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F:\GitHub\Studies\Documets\"/>
    </mc:Choice>
  </mc:AlternateContent>
  <bookViews>
    <workbookView xWindow="0" yWindow="0" windowWidth="18765" windowHeight="4530" activeTab="3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  <sheet name="Лист1" sheetId="6" r:id="rId5"/>
  </sheets>
  <calcPr calcId="152511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3" l="1"/>
  <c r="Q15" i="3"/>
  <c r="Q11" i="3"/>
  <c r="Q12" i="3"/>
  <c r="Q13" i="3"/>
  <c r="Q10" i="3"/>
  <c r="B3" i="6" l="1"/>
  <c r="B4" i="6"/>
  <c r="B5" i="6"/>
  <c r="B6" i="6"/>
  <c r="B7" i="6"/>
  <c r="B8" i="6"/>
  <c r="B9" i="6"/>
  <c r="D9" i="6" s="1"/>
  <c r="B10" i="6"/>
  <c r="B11" i="6"/>
  <c r="D11" i="6" s="1"/>
  <c r="B12" i="6"/>
  <c r="D12" i="6" s="1"/>
  <c r="B13" i="6"/>
  <c r="D13" i="6" s="1"/>
  <c r="D7" i="6"/>
  <c r="N34" i="3"/>
  <c r="N35" i="3"/>
  <c r="N36" i="3"/>
  <c r="N37" i="3"/>
  <c r="N38" i="3"/>
  <c r="N39" i="3"/>
  <c r="N40" i="3"/>
  <c r="N41" i="3"/>
  <c r="N42" i="3"/>
  <c r="N43" i="3"/>
  <c r="N44" i="3"/>
  <c r="N33" i="3"/>
  <c r="L34" i="3"/>
  <c r="L35" i="3"/>
  <c r="L36" i="3"/>
  <c r="L37" i="3"/>
  <c r="L38" i="3"/>
  <c r="L39" i="3"/>
  <c r="L40" i="3"/>
  <c r="L41" i="3"/>
  <c r="L42" i="3"/>
  <c r="L43" i="3"/>
  <c r="L44" i="3"/>
  <c r="L33" i="3"/>
  <c r="D20" i="3" l="1"/>
  <c r="E20" i="3"/>
  <c r="F20" i="3" s="1"/>
  <c r="G20" i="3"/>
  <c r="D21" i="3"/>
  <c r="C35" i="3"/>
  <c r="C34" i="3"/>
  <c r="H20" i="3" l="1"/>
  <c r="D28" i="3"/>
  <c r="E28" i="3"/>
  <c r="F28" i="3" s="1"/>
  <c r="G28" i="3"/>
  <c r="D29" i="3"/>
  <c r="E29" i="3"/>
  <c r="F29" i="3" s="1"/>
  <c r="G29" i="3"/>
  <c r="D30" i="3"/>
  <c r="E30" i="3"/>
  <c r="F30" i="3" s="1"/>
  <c r="G30" i="3"/>
  <c r="G27" i="3"/>
  <c r="E27" i="3"/>
  <c r="F27" i="3" s="1"/>
  <c r="D27" i="3"/>
  <c r="G26" i="3"/>
  <c r="E26" i="3"/>
  <c r="F26" i="3" s="1"/>
  <c r="D26" i="3"/>
  <c r="G25" i="3"/>
  <c r="E25" i="3"/>
  <c r="F25" i="3" s="1"/>
  <c r="D25" i="3"/>
  <c r="G24" i="3"/>
  <c r="E24" i="3"/>
  <c r="F24" i="3" s="1"/>
  <c r="D24" i="3"/>
  <c r="G23" i="3"/>
  <c r="E23" i="3"/>
  <c r="F23" i="3" s="1"/>
  <c r="D23" i="3"/>
  <c r="G22" i="3"/>
  <c r="E22" i="3"/>
  <c r="F22" i="3" s="1"/>
  <c r="D22" i="3"/>
  <c r="G21" i="3"/>
  <c r="G19" i="3"/>
  <c r="D19" i="3"/>
  <c r="G18" i="3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D8" i="3"/>
  <c r="E8" i="3"/>
  <c r="F8" i="3" s="1"/>
  <c r="G8" i="3"/>
  <c r="D9" i="3"/>
  <c r="E9" i="3"/>
  <c r="F9" i="3" s="1"/>
  <c r="G9" i="3"/>
  <c r="D10" i="3"/>
  <c r="G10" i="3"/>
  <c r="D11" i="3"/>
  <c r="G11" i="3"/>
  <c r="D12" i="3"/>
  <c r="G12" i="3"/>
  <c r="D13" i="3"/>
  <c r="G13" i="3"/>
  <c r="H26" i="3" l="1"/>
  <c r="H25" i="3"/>
  <c r="H9" i="3"/>
  <c r="H22" i="3"/>
  <c r="H29" i="3"/>
  <c r="H23" i="3"/>
  <c r="H30" i="3"/>
  <c r="H28" i="3"/>
  <c r="H15" i="3"/>
  <c r="H27" i="3"/>
  <c r="H14" i="3"/>
  <c r="H16" i="3"/>
  <c r="H17" i="3"/>
  <c r="H24" i="3"/>
  <c r="H8" i="3"/>
  <c r="D35" i="3" l="1"/>
  <c r="G3" i="3" l="1"/>
  <c r="G4" i="3"/>
  <c r="G5" i="3"/>
  <c r="G6" i="3"/>
  <c r="G7" i="3"/>
  <c r="G2" i="3"/>
  <c r="D3" i="3"/>
  <c r="E3" i="3"/>
  <c r="F3" i="3" s="1"/>
  <c r="W2" i="3"/>
  <c r="E18" i="3" l="1"/>
  <c r="F18" i="3" s="1"/>
  <c r="H18" i="3" s="1"/>
  <c r="E19" i="3"/>
  <c r="F19" i="3" s="1"/>
  <c r="H19" i="3" s="1"/>
  <c r="E21" i="3"/>
  <c r="F21" i="3" s="1"/>
  <c r="H21" i="3" s="1"/>
  <c r="H3" i="3"/>
  <c r="E2" i="3" l="1"/>
  <c r="D59" i="3" l="1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58" i="3"/>
  <c r="E58" i="3" s="1"/>
  <c r="D49" i="3"/>
  <c r="G35" i="3" l="1"/>
  <c r="B49" i="3"/>
  <c r="B50" i="3"/>
  <c r="B51" i="3"/>
  <c r="B52" i="3"/>
  <c r="B53" i="3"/>
  <c r="F49" i="3"/>
  <c r="C60" i="3" l="1"/>
  <c r="G60" i="3" s="1"/>
  <c r="C61" i="3"/>
  <c r="G61" i="3" s="1"/>
  <c r="C63" i="3"/>
  <c r="G63" i="3" s="1"/>
  <c r="C58" i="3"/>
  <c r="G58" i="3" s="1"/>
  <c r="C62" i="3"/>
  <c r="G62" i="3" s="1"/>
  <c r="C64" i="3"/>
  <c r="G64" i="3" s="1"/>
  <c r="C59" i="3"/>
  <c r="G59" i="3" s="1"/>
  <c r="A3" i="4"/>
  <c r="A4" i="4"/>
  <c r="A5" i="4"/>
  <c r="A6" i="4"/>
  <c r="A7" i="4"/>
  <c r="A8" i="4"/>
  <c r="A9" i="4"/>
  <c r="A10" i="4"/>
  <c r="A11" i="4"/>
  <c r="A12" i="4"/>
  <c r="A13" i="4"/>
  <c r="A2" i="4"/>
  <c r="F44" i="3" l="1"/>
  <c r="H44" i="3" s="1"/>
  <c r="F33" i="3"/>
  <c r="H33" i="3" s="1"/>
  <c r="F36" i="3"/>
  <c r="H36" i="3" s="1"/>
  <c r="F42" i="3"/>
  <c r="H42" i="3" s="1"/>
  <c r="F37" i="3"/>
  <c r="H37" i="3" s="1"/>
  <c r="F43" i="3"/>
  <c r="H43" i="3" s="1"/>
  <c r="F38" i="3"/>
  <c r="H38" i="3" s="1"/>
  <c r="F34" i="3"/>
  <c r="H34" i="3" s="1"/>
  <c r="F41" i="3"/>
  <c r="H41" i="3" s="1"/>
  <c r="F40" i="3"/>
  <c r="H40" i="3" s="1"/>
  <c r="F39" i="3"/>
  <c r="H39" i="3" s="1"/>
  <c r="F35" i="3"/>
  <c r="H35" i="3" s="1"/>
  <c r="I35" i="3" s="1"/>
  <c r="F2" i="3"/>
  <c r="D2" i="3"/>
  <c r="S7" i="3"/>
  <c r="D50" i="3"/>
  <c r="D51" i="3"/>
  <c r="H51" i="3" s="1"/>
  <c r="D52" i="3"/>
  <c r="H52" i="3" s="1"/>
  <c r="D53" i="3"/>
  <c r="C40" i="3"/>
  <c r="C44" i="3"/>
  <c r="C41" i="3"/>
  <c r="C37" i="3"/>
  <c r="C33" i="3"/>
  <c r="C43" i="3"/>
  <c r="C42" i="3"/>
  <c r="C39" i="3"/>
  <c r="C38" i="3"/>
  <c r="C36" i="3"/>
  <c r="D36" i="3" l="1"/>
  <c r="G39" i="3"/>
  <c r="G37" i="3"/>
  <c r="G34" i="3"/>
  <c r="G40" i="3"/>
  <c r="G41" i="3"/>
  <c r="I41" i="3" s="1"/>
  <c r="G38" i="3"/>
  <c r="G42" i="3"/>
  <c r="I42" i="3" s="1"/>
  <c r="G44" i="3"/>
  <c r="G33" i="3"/>
  <c r="G43" i="3"/>
  <c r="I43" i="3" s="1"/>
  <c r="G36" i="3"/>
  <c r="H2" i="3"/>
  <c r="F53" i="3"/>
  <c r="F51" i="3"/>
  <c r="F52" i="3"/>
  <c r="G49" i="3"/>
  <c r="H49" i="3" s="1"/>
  <c r="I52" i="3"/>
  <c r="F50" i="3"/>
  <c r="I51" i="3"/>
  <c r="B45" i="3"/>
  <c r="C71" i="3" l="1"/>
  <c r="G71" i="3" s="1"/>
  <c r="C72" i="3"/>
  <c r="G72" i="3" s="1"/>
  <c r="C68" i="3"/>
  <c r="G68" i="3" s="1"/>
  <c r="C69" i="3"/>
  <c r="G69" i="3" s="1"/>
  <c r="C70" i="3"/>
  <c r="G70" i="3" s="1"/>
  <c r="G50" i="3"/>
  <c r="G54" i="3" s="1"/>
  <c r="C67" i="3"/>
  <c r="G67" i="3" s="1"/>
  <c r="C65" i="3"/>
  <c r="G65" i="3" s="1"/>
  <c r="C66" i="3"/>
  <c r="G66" i="3" s="1"/>
  <c r="C73" i="3"/>
  <c r="G73" i="3" s="1"/>
  <c r="C74" i="3"/>
  <c r="G74" i="3" s="1"/>
  <c r="C75" i="3"/>
  <c r="G75" i="3" s="1"/>
  <c r="C76" i="3"/>
  <c r="G76" i="3" s="1"/>
  <c r="C77" i="3"/>
  <c r="G77" i="3" s="1"/>
  <c r="C78" i="3"/>
  <c r="G78" i="3" s="1"/>
  <c r="C79" i="3"/>
  <c r="G79" i="3" s="1"/>
  <c r="G53" i="3"/>
  <c r="C82" i="3"/>
  <c r="G82" i="3" s="1"/>
  <c r="C83" i="3"/>
  <c r="G83" i="3" s="1"/>
  <c r="C80" i="3"/>
  <c r="G80" i="3" s="1"/>
  <c r="C81" i="3"/>
  <c r="G81" i="3" s="1"/>
  <c r="H53" i="3"/>
  <c r="I53" i="3" s="1"/>
  <c r="H50" i="3"/>
  <c r="I50" i="3" s="1"/>
  <c r="I49" i="3"/>
  <c r="D42" i="3"/>
  <c r="D33" i="3"/>
  <c r="D43" i="3"/>
  <c r="D44" i="3"/>
  <c r="E10" i="3" l="1"/>
  <c r="F10" i="3" s="1"/>
  <c r="H10" i="3" s="1"/>
  <c r="E11" i="3"/>
  <c r="F11" i="3" s="1"/>
  <c r="H11" i="3" s="1"/>
  <c r="E12" i="3"/>
  <c r="F12" i="3" s="1"/>
  <c r="H12" i="3" s="1"/>
  <c r="E13" i="3"/>
  <c r="F13" i="3" s="1"/>
  <c r="H13" i="3" s="1"/>
  <c r="V6" i="3"/>
  <c r="V5" i="3"/>
  <c r="V3" i="3"/>
  <c r="V7" i="3"/>
  <c r="V4" i="3"/>
  <c r="P4" i="3"/>
  <c r="V2" i="3"/>
  <c r="S2" i="3"/>
  <c r="U2" i="3" s="1"/>
  <c r="S6" i="3"/>
  <c r="S3" i="3"/>
  <c r="U3" i="3" s="1"/>
  <c r="V8" i="3" l="1"/>
  <c r="S5" i="3"/>
  <c r="S4" i="3"/>
  <c r="U4" i="3" s="1"/>
  <c r="I33" i="3"/>
  <c r="D34" i="3"/>
  <c r="U6" i="3"/>
  <c r="U5" i="3"/>
  <c r="D5" i="3"/>
  <c r="I36" i="3"/>
  <c r="D4" i="3"/>
  <c r="D7" i="3"/>
  <c r="D6" i="3"/>
  <c r="E7" i="3"/>
  <c r="F7" i="3" s="1"/>
  <c r="E6" i="3"/>
  <c r="F6" i="3" s="1"/>
  <c r="E5" i="3"/>
  <c r="F5" i="3" s="1"/>
  <c r="E4" i="3"/>
  <c r="F4" i="3" s="1"/>
  <c r="D37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C45" i="3" l="1"/>
  <c r="I44" i="3" s="1"/>
  <c r="D40" i="3"/>
  <c r="I39" i="3"/>
  <c r="I40" i="3"/>
  <c r="D41" i="3"/>
  <c r="I34" i="3"/>
  <c r="I37" i="3"/>
  <c r="D38" i="3"/>
  <c r="D39" i="3"/>
  <c r="I38" i="3"/>
  <c r="U7" i="3"/>
  <c r="H4" i="3"/>
  <c r="H5" i="3"/>
  <c r="H7" i="3"/>
  <c r="H6" i="3"/>
  <c r="I40" i="2"/>
  <c r="I44" i="2"/>
  <c r="I41" i="2"/>
  <c r="I32" i="2"/>
  <c r="I31" i="2"/>
  <c r="I30" i="2"/>
  <c r="I29" i="2"/>
  <c r="I28" i="2"/>
  <c r="I27" i="2"/>
  <c r="I26" i="2"/>
  <c r="D45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<sst xmlns="http://schemas.openxmlformats.org/spreadsheetml/2006/main" count="385" uniqueCount="139">
  <si>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</si>
  <si>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</si>
  <si>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</si>
  <si>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</si>
  <si>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</si>
  <si>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</si>
  <si>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</si>
  <si>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</si>
  <si>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</si>
  <si>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</si>
  <si>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</si>
  <si>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</si>
  <si>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</si>
  <si>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</si>
  <si>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</si>
  <si>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</si>
  <si>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</si>
  <si>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</si>
  <si>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</si>
  <si>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</si>
  <si>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</si>
  <si>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</si>
  <si>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</si>
  <si>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</si>
  <si>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</si>
  <si>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</si>
  <si>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</si>
  <si>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</si>
  <si>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</si>
  <si>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</si>
  <si>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</si>
  <si>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</si>
  <si>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</si>
  <si>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</si>
  <si>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</si>
  <si>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</si>
  <si>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</si>
  <si>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</si>
  <si>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</si>
  <si>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</si>
  <si>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</si>
  <si>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</si>
  <si>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</si>
  <si>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</si>
  <si>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</si>
  <si>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</si>
  <si>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</si>
  <si>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</si>
  <si>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</si>
  <si>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</si>
  <si>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</si>
  <si>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</si>
  <si>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</si>
  <si>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</si>
  <si>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</si>
  <si>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</si>
  <si>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</si>
  <si>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</si>
  <si>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</si>
  <si>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</si>
  <si>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</si>
  <si>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</si>
  <si>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</si>
  <si>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</si>
  <si>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</si>
  <si>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</si>
  <si>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</si>
  <si>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</si>
  <si>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</si>
  <si>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</si>
  <si>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</si>
  <si>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</si>
  <si>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</si>
  <si>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</si>
  <si>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</si>
  <si>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</si>
  <si>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</si>
  <si>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</si>
  <si>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</si>
  <si>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</si>
  <si>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Maximum</t>
  </si>
  <si>
    <t>Std. Deviation</t>
  </si>
  <si>
    <t>90 Percent</t>
  </si>
  <si>
    <t>No Data</t>
  </si>
  <si>
    <t>click_flights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</si>
  <si>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</si>
  <si>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</si>
  <si>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</si>
  <si>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</si>
  <si>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</si>
  <si>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</si>
  <si>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</si>
  <si>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</si>
  <si>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</si>
  <si>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</si>
  <si>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</si>
  <si>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</si>
  <si>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</si>
  <si>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</si>
  <si>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</si>
  <si>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</si>
  <si>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</si>
  <si>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</si>
  <si>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</si>
  <si>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Просмотр путевого листа</t>
  </si>
  <si>
    <t>Переход на страницу поиска билета</t>
  </si>
  <si>
    <t xml:space="preserve">Threshold </t>
  </si>
  <si>
    <t xml:space="preserve">Violation(%) </t>
  </si>
  <si>
    <t>click_itinerary</t>
  </si>
  <si>
    <t>click_sign_up_now</t>
  </si>
  <si>
    <t>customer_profile</t>
  </si>
  <si>
    <t>delete_ticket</t>
  </si>
  <si>
    <t>end_registering</t>
  </si>
  <si>
    <t>enter_authorization</t>
  </si>
  <si>
    <t>enter_payment_details</t>
  </si>
  <si>
    <t>flight_reservation</t>
  </si>
  <si>
    <t>flight_selection</t>
  </si>
  <si>
    <t>sign_off</t>
  </si>
  <si>
    <t>UC1_BuyTickets</t>
  </si>
  <si>
    <t>UC2_Login</t>
  </si>
  <si>
    <t>UC3_SearchTickets</t>
  </si>
  <si>
    <t>UC4_WiewItenarary</t>
  </si>
  <si>
    <t>UC5_DeleteTicket</t>
  </si>
  <si>
    <t>UC6_NewUserRegistration</t>
  </si>
  <si>
    <t>Переход на страницу регистрации</t>
  </si>
  <si>
    <t>Переход на следуюущий эран после регистрации</t>
  </si>
  <si>
    <t>Название транзакции</t>
  </si>
  <si>
    <t>Профиль</t>
  </si>
  <si>
    <t>Факт</t>
  </si>
  <si>
    <t>Отклонение</t>
  </si>
  <si>
    <t>1 207</t>
  </si>
  <si>
    <t>1 555</t>
  </si>
  <si>
    <t>1 052</t>
  </si>
  <si>
    <t>1 050</t>
  </si>
  <si>
    <t>1 890</t>
  </si>
  <si>
    <t>1 213</t>
  </si>
  <si>
    <t>Поиск</t>
  </si>
  <si>
    <t>Библиотека</t>
  </si>
  <si>
    <t>Рега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</si>
</sst>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6">
    <xf numFmtId="0" fontId="0" fillId="0" borderId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8" fillId="0" borderId="0"/>
    <xf numFmtId="0" fontId="19" fillId="0" borderId="0" applyNumberFormat="0" applyFill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6" borderId="6" applyNumberFormat="0" applyAlignment="0" applyProtection="0"/>
    <xf numFmtId="0" fontId="24" fillId="7" borderId="7" applyNumberFormat="0" applyAlignment="0" applyProtection="0"/>
    <xf numFmtId="0" fontId="25" fillId="7" borderId="6" applyNumberFormat="0" applyAlignment="0" applyProtection="0"/>
    <xf numFmtId="0" fontId="26" fillId="0" borderId="8" applyNumberFormat="0" applyFill="0" applyAlignment="0" applyProtection="0"/>
    <xf numFmtId="0" fontId="27" fillId="8" borderId="9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5" fillId="0" borderId="11" applyNumberFormat="0" applyFill="0" applyAlignment="0" applyProtection="0"/>
    <xf numFmtId="0" fontId="30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30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30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30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30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30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9" borderId="10" applyNumberFormat="0" applyFont="0" applyAlignment="0" applyProtection="0"/>
    <xf numFmtId="9" fontId="31" fillId="0" borderId="0" applyFont="0" applyFill="0" applyBorder="0" applyAlignment="0" applyProtection="0"/>
    <xf numFmtId="0" fontId="6" fillId="0" borderId="0"/>
    <xf numFmtId="0" fontId="35" fillId="4" borderId="0" applyNumberFormat="0" applyBorder="0" applyAlignment="0" applyProtection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30" fillId="13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30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30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30" fillId="25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30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30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3">
    <xf numFmtId="0" fontId="0" fillId="0" borderId="0" xfId="0"/>
    <xf numFmtId="0" fontId="16" fillId="5" borderId="1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left" vertical="top" wrapText="1"/>
    </xf>
    <xf numFmtId="0" fontId="15" fillId="0" borderId="2" xfId="4" applyFont="1" applyBorder="1" applyAlignment="1">
      <alignment horizontal="center" vertical="top"/>
    </xf>
    <xf numFmtId="0" fontId="16" fillId="0" borderId="2" xfId="0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center" vertical="top"/>
    </xf>
    <xf numFmtId="10" fontId="18" fillId="0" borderId="2" xfId="0" applyNumberFormat="1" applyFont="1" applyBorder="1" applyAlignment="1">
      <alignment horizontal="center" vertical="top"/>
    </xf>
    <xf numFmtId="10" fontId="18" fillId="0" borderId="2" xfId="0" applyNumberFormat="1" applyFont="1" applyBorder="1" applyAlignment="1">
      <alignment horizontal="left" vertical="top"/>
    </xf>
    <xf numFmtId="0" fontId="16" fillId="5" borderId="2" xfId="0" applyFont="1" applyFill="1" applyBorder="1" applyAlignment="1">
      <alignment horizontal="left" vertical="top"/>
    </xf>
    <xf numFmtId="0" fontId="7" fillId="0" borderId="2" xfId="42" applyBorder="1"/>
    <xf numFmtId="0" fontId="16" fillId="0" borderId="2" xfId="0" applyFont="1" applyBorder="1" applyAlignment="1">
      <alignment horizontal="left" vertical="top"/>
    </xf>
    <xf numFmtId="10" fontId="16" fillId="0" borderId="2" xfId="0" applyNumberFormat="1" applyFont="1" applyBorder="1" applyAlignment="1">
      <alignment horizontal="left" vertical="top"/>
    </xf>
    <xf numFmtId="0" fontId="15" fillId="0" borderId="2" xfId="4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7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32" fillId="0" borderId="0" xfId="0" applyFont="1"/>
    <xf numFmtId="1" fontId="32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9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11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11" fillId="0" borderId="12" xfId="0" applyFont="1" applyBorder="1" applyAlignment="1">
      <alignment vertical="center" wrapText="1"/>
    </xf>
    <xf numFmtId="0" fontId="11" fillId="39" borderId="15" xfId="0" applyFont="1" applyFill="1" applyBorder="1" applyAlignment="1">
      <alignment vertical="center" wrapText="1"/>
    </xf>
    <xf numFmtId="0" fontId="11" fillId="39" borderId="16" xfId="0" applyFont="1" applyFill="1" applyBorder="1" applyAlignment="1">
      <alignment vertical="center" wrapText="1"/>
    </xf>
    <xf numFmtId="0" fontId="9" fillId="39" borderId="16" xfId="0" applyFont="1" applyFill="1" applyBorder="1" applyAlignment="1">
      <alignment horizontal="center" vertical="center" wrapText="1"/>
    </xf>
    <xf numFmtId="0" fontId="9" fillId="39" borderId="15" xfId="0" applyFont="1" applyFill="1" applyBorder="1" applyAlignment="1">
      <alignment horizontal="left" vertical="center" wrapText="1"/>
    </xf>
    <xf numFmtId="0" fontId="9" fillId="35" borderId="15" xfId="0" applyFont="1" applyFill="1" applyBorder="1" applyAlignment="1">
      <alignment horizontal="left" vertical="center" wrapText="1"/>
    </xf>
    <xf numFmtId="0" fontId="10" fillId="39" borderId="17" xfId="0" applyFont="1" applyFill="1" applyBorder="1" applyAlignment="1">
      <alignment horizontal="left" vertical="center" wrapText="1"/>
    </xf>
    <xf numFmtId="0" fontId="9" fillId="39" borderId="18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19" xfId="0" applyBorder="1"/>
    <xf numFmtId="0" fontId="0" fillId="0" borderId="20" xfId="0" applyBorder="1"/>
    <xf numFmtId="9" fontId="0" fillId="0" borderId="21" xfId="44" applyFont="1" applyBorder="1"/>
    <xf numFmtId="0" fontId="0" fillId="0" borderId="12" xfId="0" applyBorder="1"/>
    <xf numFmtId="9" fontId="0" fillId="0" borderId="0" xfId="44" applyFont="1" applyBorder="1"/>
    <xf numFmtId="0" fontId="11" fillId="0" borderId="21" xfId="0" applyFont="1" applyBorder="1" applyAlignment="1">
      <alignment vertical="center" wrapText="1"/>
    </xf>
    <xf numFmtId="9" fontId="0" fillId="0" borderId="22" xfId="44" applyFont="1" applyBorder="1"/>
    <xf numFmtId="0" fontId="11" fillId="0" borderId="12" xfId="0" applyFont="1" applyBorder="1" applyAlignment="1">
      <alignment wrapText="1"/>
    </xf>
    <xf numFmtId="0" fontId="11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0" fillId="40" borderId="21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5" fillId="0" borderId="0" xfId="66"/>
    <xf numFmtId="0" fontId="2" fillId="0" borderId="0" xfId="108"/>
    <xf numFmtId="9" fontId="0" fillId="38" borderId="2" xfId="44" applyNumberFormat="1" applyFont="1" applyFill="1" applyBorder="1"/>
    <xf numFmtId="0" fontId="11" fillId="0" borderId="2" xfId="0" applyFont="1" applyFill="1" applyBorder="1" applyAlignment="1">
      <alignment vertical="center" wrapText="1"/>
    </xf>
    <xf numFmtId="0" fontId="0" fillId="0" borderId="2" xfId="0" applyBorder="1"/>
    <xf numFmtId="1" fontId="0" fillId="0" borderId="2" xfId="0" applyNumberFormat="1" applyBorder="1" applyAlignment="1">
      <alignment horizontal="center" vertical="center"/>
    </xf>
    <xf numFmtId="0" fontId="36" fillId="0" borderId="2" xfId="0" applyFont="1" applyBorder="1" applyAlignment="1">
      <alignment horizontal="center" vertical="center" wrapText="1"/>
    </xf>
    <xf numFmtId="9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1" fontId="1" fillId="0" borderId="2" xfId="122" applyNumberFormat="1" applyBorder="1" applyAlignment="1">
      <alignment horizontal="center"/>
    </xf>
    <xf numFmtId="0" fontId="0" fillId="41" borderId="26" xfId="0" applyFill="1" applyBorder="1" applyAlignment="1">
      <alignment horizontal="center"/>
    </xf>
    <xf numFmtId="0" fontId="0" fillId="41" borderId="27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0" borderId="0" xfId="0" applyNumberFormat="1" applyFill="1" applyBorder="1"/>
    <xf numFmtId="0" fontId="0" fillId="35" borderId="0" xfId="0" applyFill="1" applyBorder="1"/>
    <xf numFmtId="1" fontId="1" fillId="0" borderId="0" xfId="122" applyNumberFormat="1" applyFill="1" applyBorder="1" applyAlignment="1">
      <alignment horizontal="center"/>
    </xf>
  </cellXfs>
  <cellStyles count="136">
    <cellStyle name="20% — акцент1" xfId="19" builtinId="30" customBuiltin="1"/>
    <cellStyle name="20% — акцент1 2" xfId="48"/>
    <cellStyle name="20% — акцент1 3" xfId="68"/>
    <cellStyle name="20% — акцент1 4" xfId="82"/>
    <cellStyle name="20% — акцент1 5" xfId="96"/>
    <cellStyle name="20% — акцент1 6" xfId="110"/>
    <cellStyle name="20% — акцент1 7" xfId="124"/>
    <cellStyle name="20% — акцент2" xfId="23" builtinId="34" customBuiltin="1"/>
    <cellStyle name="20% — акцент2 2" xfId="51"/>
    <cellStyle name="20% — акцент2 3" xfId="70"/>
    <cellStyle name="20% — акцент2 4" xfId="84"/>
    <cellStyle name="20% — акцент2 5" xfId="98"/>
    <cellStyle name="20% — акцент2 6" xfId="112"/>
    <cellStyle name="20% — акцент2 7" xfId="126"/>
    <cellStyle name="20% — акцент3" xfId="27" builtinId="38" customBuiltin="1"/>
    <cellStyle name="20% — акцент3 2" xfId="54"/>
    <cellStyle name="20% — акцент3 3" xfId="72"/>
    <cellStyle name="20% — акцент3 4" xfId="86"/>
    <cellStyle name="20% — акцент3 5" xfId="100"/>
    <cellStyle name="20% — акцент3 6" xfId="114"/>
    <cellStyle name="20% — акцент3 7" xfId="128"/>
    <cellStyle name="20% — акцент4" xfId="31" builtinId="42" customBuiltin="1"/>
    <cellStyle name="20% — акцент4 2" xfId="57"/>
    <cellStyle name="20% — акцент4 3" xfId="74"/>
    <cellStyle name="20% — акцент4 4" xfId="88"/>
    <cellStyle name="20% — акцент4 5" xfId="102"/>
    <cellStyle name="20% — акцент4 6" xfId="116"/>
    <cellStyle name="20% — акцент4 7" xfId="130"/>
    <cellStyle name="20% — акцент5" xfId="35" builtinId="46" customBuiltin="1"/>
    <cellStyle name="20% — акцент5 2" xfId="60"/>
    <cellStyle name="20% — акцент5 3" xfId="76"/>
    <cellStyle name="20% — акцент5 4" xfId="90"/>
    <cellStyle name="20% — акцент5 5" xfId="104"/>
    <cellStyle name="20% — акцент5 6" xfId="118"/>
    <cellStyle name="20% — акцент5 7" xfId="132"/>
    <cellStyle name="20% — акцент6" xfId="39" builtinId="50" customBuiltin="1"/>
    <cellStyle name="20% — акцент6 2" xfId="63"/>
    <cellStyle name="20% — акцент6 3" xfId="78"/>
    <cellStyle name="20% — акцент6 4" xfId="92"/>
    <cellStyle name="20% — акцент6 5" xfId="106"/>
    <cellStyle name="20% — акцент6 6" xfId="120"/>
    <cellStyle name="20% — акцент6 7" xfId="134"/>
    <cellStyle name="40% — акцент1" xfId="20" builtinId="31" customBuiltin="1"/>
    <cellStyle name="40% — акцент1 2" xfId="49"/>
    <cellStyle name="40% — акцент1 3" xfId="69"/>
    <cellStyle name="40% — акцент1 4" xfId="83"/>
    <cellStyle name="40% — акцент1 5" xfId="97"/>
    <cellStyle name="40% — акцент1 6" xfId="111"/>
    <cellStyle name="40% — акцент1 7" xfId="125"/>
    <cellStyle name="40% — акцент2" xfId="24" builtinId="35" customBuiltin="1"/>
    <cellStyle name="40% — акцент2 2" xfId="52"/>
    <cellStyle name="40% — акцент2 3" xfId="71"/>
    <cellStyle name="40% — акцент2 4" xfId="85"/>
    <cellStyle name="40% — акцент2 5" xfId="99"/>
    <cellStyle name="40% — акцент2 6" xfId="113"/>
    <cellStyle name="40% — акцент2 7" xfId="127"/>
    <cellStyle name="40% — акцент3" xfId="28" builtinId="39" customBuiltin="1"/>
    <cellStyle name="40% — акцент3 2" xfId="55"/>
    <cellStyle name="40% — акцент3 3" xfId="73"/>
    <cellStyle name="40% — акцент3 4" xfId="87"/>
    <cellStyle name="40% — акцент3 5" xfId="101"/>
    <cellStyle name="40% — акцент3 6" xfId="115"/>
    <cellStyle name="40% — акцент3 7" xfId="129"/>
    <cellStyle name="40% — акцент4" xfId="32" builtinId="43" customBuiltin="1"/>
    <cellStyle name="40% — акцент4 2" xfId="58"/>
    <cellStyle name="40% — акцент4 3" xfId="75"/>
    <cellStyle name="40% — акцент4 4" xfId="89"/>
    <cellStyle name="40% — акцент4 5" xfId="103"/>
    <cellStyle name="40% — акцент4 6" xfId="117"/>
    <cellStyle name="40% — акцент4 7" xfId="131"/>
    <cellStyle name="40% — акцент5" xfId="36" builtinId="47" customBuiltin="1"/>
    <cellStyle name="40% — акцент5 2" xfId="61"/>
    <cellStyle name="40% — акцент5 3" xfId="77"/>
    <cellStyle name="40% — акцент5 4" xfId="91"/>
    <cellStyle name="40% — акцент5 5" xfId="105"/>
    <cellStyle name="40% — акцент5 6" xfId="119"/>
    <cellStyle name="40% — акцент5 7" xfId="133"/>
    <cellStyle name="40% — акцент6" xfId="40" builtinId="51" customBuiltin="1"/>
    <cellStyle name="40% — акцент6 2" xfId="64"/>
    <cellStyle name="40% — акцент6 3" xfId="79"/>
    <cellStyle name="40% — акцент6 4" xfId="93"/>
    <cellStyle name="40% — акцент6 5" xfId="107"/>
    <cellStyle name="40% — акцент6 6" xfId="121"/>
    <cellStyle name="40% — акцент6 7" xfId="135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Обычный 6" xfId="80"/>
    <cellStyle name="Обычный 7" xfId="94"/>
    <cellStyle name="Обычный 8" xfId="108"/>
    <cellStyle name="Обычный 9" xfId="122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7"/>
    <cellStyle name="Примечание 5" xfId="81"/>
    <cellStyle name="Примечание 6" xfId="95"/>
    <cellStyle name="Примечание 7" xfId="109"/>
    <cellStyle name="Примечание 8" xfId="12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4849.473945949074" createdVersion="6" refreshedVersion="6" minRefreshableVersion="3" recordCount="26">
  <cacheSource type="worksheet">
    <worksheetSource ref="A57:G83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Сергей Кузнецов" refreshedDate="45047.851559259259" createdVersion="6" refreshedVersion="5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7">
        <s v="Главная Welcome страница"/>
        <s v="Вход в систему"/>
        <s v="Переход на страницу поиска билета"/>
        <s v="Заполнение полей для поиска билета "/>
        <s v="Выбор рейса из найденных "/>
        <s v="Оплата билета"/>
        <s v="Просмотр путевого листа"/>
        <s v="Выход из системы"/>
        <s v="Отмена бронирования "/>
        <s v="Переход на страницу регистрации"/>
        <s v="Заполнение полей регистарции"/>
        <s v="Переход на следуюущий эран после регистрации"/>
        <s v="Переход на следуюущий эран после регистарции" u="1"/>
        <s v="Просмотр квитанций" u="1"/>
        <s v="Перерход на страницу поиска билета" u="1"/>
        <s v="Перход на страницу регистрации" u="1"/>
        <s v="Заполнение полей для поиска билета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51" maxValue="90"/>
    </cacheField>
    <cacheField name="одним пользователем в минуту" numFmtId="2">
      <sharedItems containsSemiMixedTypes="0" containsString="0" containsNumber="1" minValue="0.66666666666666663" maxValue="1.17647058823529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3.333333333333332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3"/>
    <n v="62"/>
    <n v="0.967741935483871"/>
    <n v="20"/>
    <n v="58.064516129032256"/>
  </r>
  <r>
    <s v="Покупка билета"/>
    <x v="1"/>
    <n v="1"/>
    <n v="3"/>
    <n v="62"/>
    <n v="0.967741935483871"/>
    <n v="20"/>
    <n v="58.064516129032256"/>
  </r>
  <r>
    <s v="Покупка билета"/>
    <x v="2"/>
    <n v="1"/>
    <n v="3"/>
    <n v="62"/>
    <n v="0.967741935483871"/>
    <n v="20"/>
    <n v="58.064516129032256"/>
  </r>
  <r>
    <s v="Покупка билета"/>
    <x v="3"/>
    <n v="1"/>
    <n v="3"/>
    <n v="62"/>
    <n v="0.967741935483871"/>
    <n v="20"/>
    <n v="58.064516129032256"/>
  </r>
  <r>
    <s v="Покупка билета"/>
    <x v="4"/>
    <n v="1"/>
    <n v="3"/>
    <n v="62"/>
    <n v="0.967741935483871"/>
    <n v="20"/>
    <n v="58.064516129032256"/>
  </r>
  <r>
    <s v="Покупка билета"/>
    <x v="5"/>
    <n v="1"/>
    <n v="3"/>
    <n v="62"/>
    <n v="0.967741935483871"/>
    <n v="20"/>
    <n v="58.064516129032256"/>
  </r>
  <r>
    <s v="Покупка билета"/>
    <x v="6"/>
    <n v="1"/>
    <n v="3"/>
    <n v="62"/>
    <n v="0.967741935483871"/>
    <n v="20"/>
    <n v="58.064516129032256"/>
  </r>
  <r>
    <s v="Покупка билета"/>
    <x v="7"/>
    <n v="1"/>
    <n v="3"/>
    <n v="62"/>
    <n v="0.967741935483871"/>
    <n v="20"/>
    <n v="58.064516129032256"/>
  </r>
  <r>
    <s v="Удаление бронирования "/>
    <x v="0"/>
    <n v="1"/>
    <n v="1"/>
    <n v="51"/>
    <n v="1.1764705882352942"/>
    <n v="20"/>
    <n v="23.529411764705884"/>
  </r>
  <r>
    <s v="Удаление бронирования "/>
    <x v="1"/>
    <n v="1"/>
    <n v="1"/>
    <n v="51"/>
    <n v="1.1764705882352942"/>
    <n v="20"/>
    <n v="23.529411764705884"/>
  </r>
  <r>
    <s v="Удаление бронирования "/>
    <x v="6"/>
    <n v="1"/>
    <n v="1"/>
    <n v="51"/>
    <n v="1.1764705882352942"/>
    <n v="20"/>
    <n v="23.529411764705884"/>
  </r>
  <r>
    <s v="Удаление бронирования "/>
    <x v="8"/>
    <n v="1"/>
    <n v="1"/>
    <n v="51"/>
    <n v="1.1764705882352942"/>
    <n v="20"/>
    <n v="23.529411764705884"/>
  </r>
  <r>
    <s v="Регистрация новых пользователей"/>
    <x v="0"/>
    <n v="1"/>
    <n v="2"/>
    <n v="75"/>
    <n v="0.8"/>
    <n v="20"/>
    <n v="32"/>
  </r>
  <r>
    <s v="Регистрация новых пользователей"/>
    <x v="9"/>
    <n v="1"/>
    <n v="2"/>
    <n v="75"/>
    <n v="0.8"/>
    <n v="20"/>
    <n v="32"/>
  </r>
  <r>
    <s v="Регистрация новых пользователей"/>
    <x v="10"/>
    <n v="1"/>
    <n v="2"/>
    <n v="75"/>
    <n v="0.8"/>
    <n v="20"/>
    <n v="32"/>
  </r>
  <r>
    <s v="Регистрация новых пользователей"/>
    <x v="11"/>
    <n v="1"/>
    <n v="2"/>
    <n v="75"/>
    <n v="0.8"/>
    <n v="20"/>
    <n v="32"/>
  </r>
  <r>
    <s v="Логин"/>
    <x v="0"/>
    <n v="1"/>
    <n v="1"/>
    <n v="90"/>
    <n v="0.66666666666666663"/>
    <n v="20"/>
    <n v="13.333333333333332"/>
  </r>
  <r>
    <s v="Логин"/>
    <x v="1"/>
    <n v="1"/>
    <n v="1"/>
    <n v="90"/>
    <n v="0.66666666666666663"/>
    <n v="20"/>
    <n v="13.333333333333332"/>
  </r>
  <r>
    <s v="Логин"/>
    <x v="2"/>
    <n v="1"/>
    <n v="1"/>
    <n v="90"/>
    <n v="0.66666666666666663"/>
    <n v="20"/>
    <n v="13.333333333333332"/>
  </r>
  <r>
    <s v="Логин"/>
    <x v="7"/>
    <n v="1"/>
    <n v="1"/>
    <n v="90"/>
    <n v="0.66666666666666663"/>
    <n v="20"/>
    <n v="13.333333333333332"/>
  </r>
  <r>
    <s v="Поиск билета без покупки"/>
    <x v="0"/>
    <n v="1"/>
    <n v="2"/>
    <n v="70"/>
    <n v="0.8571428571428571"/>
    <n v="20"/>
    <n v="34.285714285714285"/>
  </r>
  <r>
    <s v="Поиск билета без покупки"/>
    <x v="1"/>
    <n v="1"/>
    <n v="2"/>
    <n v="70"/>
    <n v="0.8571428571428571"/>
    <n v="20"/>
    <n v="34.285714285714285"/>
  </r>
  <r>
    <s v="Поиск билета без покупки"/>
    <x v="2"/>
    <n v="1"/>
    <n v="2"/>
    <n v="70"/>
    <n v="0.8571428571428571"/>
    <n v="20"/>
    <n v="34.285714285714285"/>
  </r>
  <r>
    <s v="Поиск билета без покупки"/>
    <x v="3"/>
    <n v="1"/>
    <n v="2"/>
    <n v="70"/>
    <n v="0.8571428571428571"/>
    <n v="20"/>
    <n v="34.285714285714285"/>
  </r>
  <r>
    <s v="Поиск билета без покупки"/>
    <x v="4"/>
    <n v="1"/>
    <n v="2"/>
    <n v="70"/>
    <n v="0.8571428571428571"/>
    <n v="20"/>
    <n v="34.285714285714285"/>
  </r>
  <r>
    <s v="Поиск билета без покупки"/>
    <x v="7"/>
    <n v="1"/>
    <n v="2"/>
    <n v="70"/>
    <n v="0.8571428571428571"/>
    <n v="20"/>
    <n v="34.285714285714285"/>
  </r>
  <r>
    <s v="Ознакомление с путевым листом"/>
    <x v="0"/>
    <n v="1"/>
    <n v="1"/>
    <n v="80"/>
    <n v="0.75"/>
    <n v="20"/>
    <n v="15"/>
  </r>
  <r>
    <s v="Ознакомление с путевым листом"/>
    <x v="1"/>
    <n v="1"/>
    <n v="1"/>
    <n v="80"/>
    <n v="0.75"/>
    <n v="20"/>
    <n v="15"/>
  </r>
  <r>
    <s v="Ознакомление с путевым листом"/>
    <x v="6"/>
    <n v="1"/>
    <n v="1"/>
    <n v="80"/>
    <n v="0.75"/>
    <n v="20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57:J67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5">
      <pivotArea collapsedLevelsAreSubtotals="1" fieldPosition="0">
        <references count="1">
          <reference field="1" count="0"/>
        </references>
      </pivotArea>
    </format>
    <format dxfId="4">
      <pivotArea collapsedLevelsAreSubtotals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1">
            <x v="4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dataOnly="0" labelOnly="1" fieldPosition="0">
        <references count="1">
          <reference field="1" count="1">
            <x v="6"/>
          </reference>
        </references>
      </pivotArea>
    </format>
    <format dxfId="0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8">
        <item x="1"/>
        <item x="4"/>
        <item x="7"/>
        <item x="3"/>
        <item x="5"/>
        <item x="8"/>
        <item m="1" x="13"/>
        <item x="0"/>
        <item m="1" x="15"/>
        <item x="10"/>
        <item m="1" x="12"/>
        <item x="2"/>
        <item x="6"/>
        <item m="1" x="14"/>
        <item m="1" x="16"/>
        <item x="9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7"/>
    </i>
    <i>
      <x v="9"/>
    </i>
    <i>
      <x v="11"/>
    </i>
    <i>
      <x v="12"/>
    </i>
    <i>
      <x v="15"/>
    </i>
    <i>
      <x v="16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3"/>
  <sheetViews>
    <sheetView topLeftCell="N1" zoomScale="85" zoomScaleNormal="85" workbookViewId="0">
      <selection activeCell="N10" sqref="N10:R15"/>
    </sheetView>
  </sheetViews>
  <sheetFormatPr defaultColWidth="11.42578125" defaultRowHeight="15" x14ac:dyDescent="0.25"/>
  <cols>
    <col min="1" max="1" width="31.7109375" customWidth="1"/>
    <col min="2" max="2" width="47.42578125" bestFit="1" customWidth="1"/>
    <col min="3" max="3" width="18.140625" customWidth="1"/>
    <col min="4" max="4" width="17.85546875" customWidth="1"/>
    <col min="5" max="5" width="19.140625" bestFit="1" customWidth="1"/>
    <col min="6" max="6" width="18.5703125" customWidth="1"/>
    <col min="7" max="7" width="18.7109375" bestFit="1" customWidth="1"/>
    <col min="8" max="8" width="17" customWidth="1"/>
    <col min="9" max="9" width="47.42578125" customWidth="1"/>
    <col min="10" max="10" width="21.5703125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15" customWidth="1"/>
  </cols>
  <sheetData>
    <row r="1" spans="1:24" ht="15.75" thickBot="1" x14ac:dyDescent="0.3">
      <c r="A1" t="s">
        <v>36</v>
      </c>
      <c r="B1" t="s">
        <v>37</v>
      </c>
      <c r="C1" t="s">
        <v>38</v>
      </c>
      <c r="D1" t="s">
        <v>42</v>
      </c>
      <c r="E1" t="s">
        <v>52</v>
      </c>
      <c r="F1" t="s">
        <v>53</v>
      </c>
      <c r="G1" t="s">
        <v>54</v>
      </c>
      <c r="H1" t="s">
        <v>6</v>
      </c>
      <c r="I1" s="16" t="s">
        <v>39</v>
      </c>
      <c r="J1" t="s">
        <v>51</v>
      </c>
      <c r="M1" t="s">
        <v>41</v>
      </c>
      <c r="N1" t="s">
        <v>43</v>
      </c>
      <c r="O1" t="s">
        <v>44</v>
      </c>
      <c r="P1" t="s">
        <v>102</v>
      </c>
      <c r="Q1" t="s">
        <v>45</v>
      </c>
      <c r="R1" t="s">
        <v>42</v>
      </c>
      <c r="S1" t="s">
        <v>46</v>
      </c>
      <c r="T1" s="22" t="s">
        <v>47</v>
      </c>
      <c r="U1" s="22" t="s">
        <v>48</v>
      </c>
      <c r="V1" s="34" t="s">
        <v>49</v>
      </c>
      <c r="X1" t="s">
        <v>50</v>
      </c>
    </row>
    <row r="2" spans="1:24" x14ac:dyDescent="0.25">
      <c r="A2" s="30" t="s">
        <v>7</v>
      </c>
      <c r="B2" s="30" t="s">
        <v>62</v>
      </c>
      <c r="C2" s="68">
        <v>1</v>
      </c>
      <c r="D2" s="70">
        <f t="shared" ref="D2:D7" si="0">VLOOKUP(A2,$M$1:$W$8,6,FALSE)</f>
        <v>3</v>
      </c>
      <c r="E2">
        <f>VLOOKUP(A2,$M$1:$W$8,5,FALSE)</f>
        <v>62</v>
      </c>
      <c r="F2" s="21">
        <f>60/E2*C2</f>
        <v>0.967741935483871</v>
      </c>
      <c r="G2">
        <f>VLOOKUP(A2,$M$1:$W$8,8,FALSE)</f>
        <v>20</v>
      </c>
      <c r="H2" s="20">
        <f>D2*F2*G2</f>
        <v>58.064516129032256</v>
      </c>
      <c r="I2" s="17" t="s">
        <v>0</v>
      </c>
      <c r="J2" s="20">
        <v>144.21297551278576</v>
      </c>
      <c r="K2" s="15"/>
      <c r="M2" t="s">
        <v>7</v>
      </c>
      <c r="N2" s="24">
        <v>3</v>
      </c>
      <c r="O2" s="63">
        <v>21</v>
      </c>
      <c r="P2" s="64">
        <v>24</v>
      </c>
      <c r="Q2" s="36">
        <v>62</v>
      </c>
      <c r="R2" s="18">
        <v>3</v>
      </c>
      <c r="S2" s="19">
        <f t="shared" ref="S2:S7" si="1">60/(Q2)</f>
        <v>0.967741935483871</v>
      </c>
      <c r="T2" s="22">
        <v>20</v>
      </c>
      <c r="U2" s="23">
        <f>ROUND(R2*S2*T2,0)</f>
        <v>58</v>
      </c>
      <c r="V2" s="35">
        <f t="shared" ref="V2:V7" si="2">R2/W$2</f>
        <v>0.3</v>
      </c>
      <c r="W2">
        <f>SUM(R2:R7)</f>
        <v>10</v>
      </c>
    </row>
    <row r="3" spans="1:24" x14ac:dyDescent="0.25">
      <c r="A3" s="30" t="s">
        <v>7</v>
      </c>
      <c r="B3" s="30" t="s">
        <v>0</v>
      </c>
      <c r="C3" s="68">
        <v>1</v>
      </c>
      <c r="D3" s="71">
        <f t="shared" si="0"/>
        <v>3</v>
      </c>
      <c r="E3">
        <f>VLOOKUP(A3,$M$1:$W$8,5,FALSE)</f>
        <v>62</v>
      </c>
      <c r="F3" s="21">
        <f>60/E3*C3</f>
        <v>0.967741935483871</v>
      </c>
      <c r="G3">
        <f t="shared" ref="G3:G7" si="3">VLOOKUP(A3,$M$1:$W$8,8,FALSE)</f>
        <v>20</v>
      </c>
      <c r="H3" s="20">
        <f>D3*F3*G3</f>
        <v>58.064516129032256</v>
      </c>
      <c r="I3" s="17" t="s">
        <v>11</v>
      </c>
      <c r="J3" s="20">
        <v>92.350230414746534</v>
      </c>
      <c r="K3" s="15"/>
      <c r="M3" t="s">
        <v>8</v>
      </c>
      <c r="N3" s="24">
        <v>5</v>
      </c>
      <c r="O3" s="63">
        <v>15</v>
      </c>
      <c r="P3" s="64">
        <v>20</v>
      </c>
      <c r="Q3" s="36">
        <v>51</v>
      </c>
      <c r="R3" s="18">
        <v>1</v>
      </c>
      <c r="S3" s="19">
        <f t="shared" si="1"/>
        <v>1.1764705882352942</v>
      </c>
      <c r="T3" s="22">
        <v>20</v>
      </c>
      <c r="U3" s="23">
        <f>ROUND(R3*S3*T3,0)</f>
        <v>24</v>
      </c>
      <c r="V3" s="35">
        <f t="shared" si="2"/>
        <v>0.1</v>
      </c>
    </row>
    <row r="4" spans="1:24" x14ac:dyDescent="0.25">
      <c r="A4" s="30" t="s">
        <v>7</v>
      </c>
      <c r="B4" s="30" t="s">
        <v>105</v>
      </c>
      <c r="C4" s="68">
        <v>1</v>
      </c>
      <c r="D4" s="71">
        <f t="shared" si="0"/>
        <v>3</v>
      </c>
      <c r="E4">
        <f t="shared" ref="E4:E7" si="4">VLOOKUP(A4,$M$1:$W$8,5,FALSE)</f>
        <v>62</v>
      </c>
      <c r="F4" s="21">
        <f t="shared" ref="F4:F7" si="5">60/E4*C4</f>
        <v>0.967741935483871</v>
      </c>
      <c r="G4">
        <f t="shared" si="3"/>
        <v>20</v>
      </c>
      <c r="H4" s="20">
        <f t="shared" ref="H4:H7" si="6">D4*F4*G4</f>
        <v>58.064516129032256</v>
      </c>
      <c r="I4" s="17" t="s">
        <v>5</v>
      </c>
      <c r="J4" s="20">
        <v>105.68356374807988</v>
      </c>
      <c r="K4" s="15"/>
      <c r="M4" t="s">
        <v>61</v>
      </c>
      <c r="N4" s="24">
        <v>3</v>
      </c>
      <c r="O4" s="63">
        <v>17</v>
      </c>
      <c r="P4" s="64">
        <f>N4+O4</f>
        <v>20</v>
      </c>
      <c r="Q4" s="36">
        <v>75</v>
      </c>
      <c r="R4" s="18">
        <v>2</v>
      </c>
      <c r="S4" s="19">
        <f t="shared" si="1"/>
        <v>0.8</v>
      </c>
      <c r="T4" s="22">
        <v>20</v>
      </c>
      <c r="U4" s="23">
        <f>ROUND(R4*S4*T4,0)</f>
        <v>32</v>
      </c>
      <c r="V4" s="35">
        <f t="shared" si="2"/>
        <v>0.2</v>
      </c>
    </row>
    <row r="5" spans="1:24" x14ac:dyDescent="0.25">
      <c r="A5" s="30" t="s">
        <v>7</v>
      </c>
      <c r="B5" s="30" t="s">
        <v>10</v>
      </c>
      <c r="C5" s="68">
        <v>1</v>
      </c>
      <c r="D5" s="71">
        <f t="shared" si="0"/>
        <v>3</v>
      </c>
      <c r="E5">
        <f t="shared" si="4"/>
        <v>62</v>
      </c>
      <c r="F5" s="21">
        <f t="shared" si="5"/>
        <v>0.967741935483871</v>
      </c>
      <c r="G5">
        <f t="shared" si="3"/>
        <v>20</v>
      </c>
      <c r="H5" s="20">
        <f t="shared" si="6"/>
        <v>58.064516129032256</v>
      </c>
      <c r="I5" s="17" t="s">
        <v>10</v>
      </c>
      <c r="J5" s="20">
        <v>92.350230414746534</v>
      </c>
      <c r="K5" s="15"/>
      <c r="M5" t="s">
        <v>64</v>
      </c>
      <c r="N5" s="24">
        <v>2</v>
      </c>
      <c r="O5" s="63">
        <v>28</v>
      </c>
      <c r="P5" s="64">
        <v>30</v>
      </c>
      <c r="Q5" s="36">
        <v>70</v>
      </c>
      <c r="R5" s="18">
        <v>2</v>
      </c>
      <c r="S5" s="19">
        <f t="shared" si="1"/>
        <v>0.8571428571428571</v>
      </c>
      <c r="T5" s="22">
        <v>20</v>
      </c>
      <c r="U5" s="23">
        <f>ROUND(R5*S5*T5,0)</f>
        <v>34</v>
      </c>
      <c r="V5" s="35">
        <f t="shared" si="2"/>
        <v>0.2</v>
      </c>
    </row>
    <row r="6" spans="1:24" x14ac:dyDescent="0.25">
      <c r="A6" s="30" t="s">
        <v>7</v>
      </c>
      <c r="B6" s="30" t="s">
        <v>11</v>
      </c>
      <c r="C6" s="68">
        <v>1</v>
      </c>
      <c r="D6" s="71">
        <f t="shared" si="0"/>
        <v>3</v>
      </c>
      <c r="E6">
        <f t="shared" si="4"/>
        <v>62</v>
      </c>
      <c r="F6" s="21">
        <f t="shared" si="5"/>
        <v>0.967741935483871</v>
      </c>
      <c r="G6">
        <f t="shared" si="3"/>
        <v>20</v>
      </c>
      <c r="H6" s="20">
        <f t="shared" si="6"/>
        <v>58.064516129032256</v>
      </c>
      <c r="I6" s="17" t="s">
        <v>3</v>
      </c>
      <c r="J6" s="20">
        <v>58.064516129032256</v>
      </c>
      <c r="K6" s="15"/>
      <c r="M6" t="s">
        <v>9</v>
      </c>
      <c r="N6" s="24">
        <v>4</v>
      </c>
      <c r="O6" s="63">
        <v>11</v>
      </c>
      <c r="P6" s="64">
        <v>15</v>
      </c>
      <c r="Q6" s="36">
        <v>80</v>
      </c>
      <c r="R6" s="18">
        <v>1</v>
      </c>
      <c r="S6" s="19">
        <f t="shared" si="1"/>
        <v>0.75</v>
      </c>
      <c r="T6" s="22">
        <v>20</v>
      </c>
      <c r="U6" s="23">
        <f>ROUND(R6*S6*T6,0)</f>
        <v>15</v>
      </c>
      <c r="V6" s="35">
        <f t="shared" si="2"/>
        <v>0.1</v>
      </c>
    </row>
    <row r="7" spans="1:24" ht="15.75" thickBot="1" x14ac:dyDescent="0.3">
      <c r="A7" s="30" t="s">
        <v>7</v>
      </c>
      <c r="B7" s="30" t="s">
        <v>3</v>
      </c>
      <c r="C7" s="68">
        <v>1</v>
      </c>
      <c r="D7" s="69">
        <f t="shared" si="0"/>
        <v>3</v>
      </c>
      <c r="E7">
        <f t="shared" si="4"/>
        <v>62</v>
      </c>
      <c r="F7" s="21">
        <f t="shared" si="5"/>
        <v>0.967741935483871</v>
      </c>
      <c r="G7">
        <f t="shared" si="3"/>
        <v>20</v>
      </c>
      <c r="H7" s="20">
        <f t="shared" si="6"/>
        <v>58.064516129032256</v>
      </c>
      <c r="I7" s="17" t="s">
        <v>12</v>
      </c>
      <c r="J7" s="20">
        <v>23.529411764705884</v>
      </c>
      <c r="K7" s="15"/>
      <c r="M7" t="s">
        <v>65</v>
      </c>
      <c r="N7" s="24">
        <v>4</v>
      </c>
      <c r="O7" s="65">
        <v>16</v>
      </c>
      <c r="P7" s="20">
        <v>20</v>
      </c>
      <c r="Q7" s="36">
        <v>90</v>
      </c>
      <c r="R7" s="18">
        <v>1</v>
      </c>
      <c r="S7" s="19">
        <f t="shared" si="1"/>
        <v>0.66666666666666663</v>
      </c>
      <c r="T7" s="22">
        <v>20</v>
      </c>
      <c r="U7" s="23">
        <f>SUM(U2:U6)</f>
        <v>163</v>
      </c>
      <c r="V7" s="35">
        <f t="shared" si="2"/>
        <v>0.1</v>
      </c>
    </row>
    <row r="8" spans="1:24" x14ac:dyDescent="0.25">
      <c r="A8" s="30" t="s">
        <v>7</v>
      </c>
      <c r="B8" s="30" t="s">
        <v>104</v>
      </c>
      <c r="C8" s="68">
        <v>1</v>
      </c>
      <c r="D8" s="71">
        <f t="shared" ref="D8:D9" si="7">VLOOKUP(A8,$M$1:$W$8,6,FALSE)</f>
        <v>3</v>
      </c>
      <c r="E8">
        <f t="shared" ref="E8:E9" si="8">VLOOKUP(A8,$M$1:$W$8,5,FALSE)</f>
        <v>62</v>
      </c>
      <c r="F8" s="21">
        <f t="shared" ref="F8:F13" si="9">60/E8*C8</f>
        <v>0.967741935483871</v>
      </c>
      <c r="G8">
        <f t="shared" ref="G8:G30" si="10">VLOOKUP(A8,$M$1:$W$8,8,FALSE)</f>
        <v>20</v>
      </c>
      <c r="H8" s="20">
        <f t="shared" ref="H8:H9" si="11">D8*F8*G8</f>
        <v>58.064516129032256</v>
      </c>
      <c r="I8" s="17" t="s">
        <v>62</v>
      </c>
      <c r="J8" s="20">
        <v>176.21297551278576</v>
      </c>
      <c r="K8" s="15"/>
      <c r="V8" s="67">
        <f>SUM(V2:V7)</f>
        <v>1</v>
      </c>
    </row>
    <row r="9" spans="1:24" ht="15.75" thickBot="1" x14ac:dyDescent="0.3">
      <c r="A9" s="30" t="s">
        <v>7</v>
      </c>
      <c r="B9" s="30" t="s">
        <v>5</v>
      </c>
      <c r="C9" s="68">
        <v>1</v>
      </c>
      <c r="D9" s="69">
        <f t="shared" si="7"/>
        <v>3</v>
      </c>
      <c r="E9">
        <f t="shared" si="8"/>
        <v>62</v>
      </c>
      <c r="F9" s="21">
        <f t="shared" si="9"/>
        <v>0.967741935483871</v>
      </c>
      <c r="G9">
        <f t="shared" si="10"/>
        <v>20</v>
      </c>
      <c r="H9" s="20">
        <f t="shared" si="11"/>
        <v>58.064516129032256</v>
      </c>
      <c r="I9" s="17" t="s">
        <v>63</v>
      </c>
      <c r="J9" s="20">
        <v>32</v>
      </c>
      <c r="K9" s="15"/>
    </row>
    <row r="10" spans="1:24" x14ac:dyDescent="0.25">
      <c r="A10" s="30" t="s">
        <v>8</v>
      </c>
      <c r="B10" s="30" t="s">
        <v>62</v>
      </c>
      <c r="C10" s="30">
        <v>1</v>
      </c>
      <c r="D10" s="50">
        <f>VLOOKUP(A10,$M$1:$W$8,6,FALSE)</f>
        <v>1</v>
      </c>
      <c r="E10" s="20">
        <f>VLOOKUP(A10,$M$1:$W$8,5,FALSE)</f>
        <v>51</v>
      </c>
      <c r="F10" s="21">
        <f t="shared" si="9"/>
        <v>1.1764705882352942</v>
      </c>
      <c r="G10">
        <f t="shared" si="10"/>
        <v>20</v>
      </c>
      <c r="H10" s="20">
        <f>D10*F10*G10</f>
        <v>23.529411764705884</v>
      </c>
      <c r="I10" s="17" t="s">
        <v>105</v>
      </c>
      <c r="J10" s="20">
        <v>105.68356374807988</v>
      </c>
      <c r="O10" t="s">
        <v>93</v>
      </c>
      <c r="P10" s="90">
        <v>11</v>
      </c>
      <c r="Q10">
        <f>R2*3.6</f>
        <v>10.8</v>
      </c>
      <c r="R10" s="91">
        <v>11</v>
      </c>
    </row>
    <row r="11" spans="1:24" x14ac:dyDescent="0.25">
      <c r="A11" s="30" t="s">
        <v>8</v>
      </c>
      <c r="B11" s="30" t="s">
        <v>0</v>
      </c>
      <c r="C11" s="30">
        <v>1</v>
      </c>
      <c r="D11" s="49">
        <f t="shared" ref="D11:D13" si="12">VLOOKUP(A11,$M$1:$W$8,6,FALSE)</f>
        <v>1</v>
      </c>
      <c r="E11" s="20">
        <f t="shared" ref="E11" si="13">VLOOKUP(A11,$M$1:$W$8,5,FALSE)</f>
        <v>51</v>
      </c>
      <c r="F11" s="21">
        <f t="shared" si="9"/>
        <v>1.1764705882352942</v>
      </c>
      <c r="G11">
        <f t="shared" si="10"/>
        <v>20</v>
      </c>
      <c r="H11" s="20">
        <f t="shared" ref="H11:H13" si="14">D11*F11*G11</f>
        <v>23.529411764705884</v>
      </c>
      <c r="I11" s="17" t="s">
        <v>104</v>
      </c>
      <c r="J11" s="20">
        <v>96.59392789373814</v>
      </c>
      <c r="O11" t="s">
        <v>136</v>
      </c>
      <c r="P11" s="90">
        <v>8</v>
      </c>
      <c r="Q11">
        <f>R5*3.6</f>
        <v>7.2</v>
      </c>
      <c r="R11">
        <v>7</v>
      </c>
    </row>
    <row r="12" spans="1:24" x14ac:dyDescent="0.25">
      <c r="A12" s="30" t="s">
        <v>8</v>
      </c>
      <c r="B12" s="30" t="s">
        <v>104</v>
      </c>
      <c r="C12" s="30">
        <v>1</v>
      </c>
      <c r="D12" s="49">
        <f t="shared" si="12"/>
        <v>1</v>
      </c>
      <c r="E12" s="20">
        <f>VLOOKUP(A12,$M$1:$W$8,5,FALSE)</f>
        <v>51</v>
      </c>
      <c r="F12" s="21">
        <f t="shared" si="9"/>
        <v>1.1764705882352942</v>
      </c>
      <c r="G12">
        <f t="shared" si="10"/>
        <v>20</v>
      </c>
      <c r="H12" s="20">
        <f t="shared" si="14"/>
        <v>23.529411764705884</v>
      </c>
      <c r="I12" s="17" t="s">
        <v>124</v>
      </c>
      <c r="J12" s="20">
        <v>32</v>
      </c>
      <c r="O12" t="s">
        <v>137</v>
      </c>
      <c r="P12" s="90">
        <v>4</v>
      </c>
      <c r="Q12">
        <f>R6*3.6</f>
        <v>3.6</v>
      </c>
      <c r="R12">
        <v>3</v>
      </c>
    </row>
    <row r="13" spans="1:24" ht="15.75" thickBot="1" x14ac:dyDescent="0.3">
      <c r="A13" s="30" t="s">
        <v>8</v>
      </c>
      <c r="B13" s="30" t="s">
        <v>12</v>
      </c>
      <c r="C13" s="30">
        <v>1</v>
      </c>
      <c r="D13" s="49">
        <f t="shared" si="12"/>
        <v>1</v>
      </c>
      <c r="E13" s="20">
        <f t="shared" ref="E13" si="15">VLOOKUP(A13,$M$1:$W$8,5,FALSE)</f>
        <v>51</v>
      </c>
      <c r="F13" s="21">
        <f t="shared" si="9"/>
        <v>1.1764705882352942</v>
      </c>
      <c r="G13">
        <f t="shared" si="10"/>
        <v>20</v>
      </c>
      <c r="H13" s="20">
        <f t="shared" si="14"/>
        <v>23.529411764705884</v>
      </c>
      <c r="I13" s="17" t="s">
        <v>125</v>
      </c>
      <c r="J13" s="20">
        <v>32</v>
      </c>
      <c r="O13" t="s">
        <v>65</v>
      </c>
      <c r="P13" s="90">
        <v>3</v>
      </c>
      <c r="Q13">
        <f>R7*3.6</f>
        <v>3.6</v>
      </c>
      <c r="R13">
        <v>4</v>
      </c>
    </row>
    <row r="14" spans="1:24" x14ac:dyDescent="0.25">
      <c r="A14" s="30" t="s">
        <v>61</v>
      </c>
      <c r="B14" s="30" t="s">
        <v>62</v>
      </c>
      <c r="C14" s="30">
        <v>1</v>
      </c>
      <c r="D14" s="50">
        <f t="shared" ref="D14:D17" si="16">VLOOKUP(A14,$M$1:$W$8,6,FALSE)</f>
        <v>2</v>
      </c>
      <c r="E14" s="20">
        <f t="shared" ref="E14:E17" si="17">VLOOKUP(A14,$M$1:$W$8,5,FALSE)</f>
        <v>75</v>
      </c>
      <c r="F14" s="21">
        <f t="shared" ref="F14:F17" si="18">60/E14*C14</f>
        <v>0.8</v>
      </c>
      <c r="G14">
        <f t="shared" ref="G14:G17" si="19">VLOOKUP(A14,$M$1:$W$8,8,FALSE)</f>
        <v>20</v>
      </c>
      <c r="H14" s="20">
        <f>D14*F14*G14</f>
        <v>32</v>
      </c>
      <c r="I14" s="17" t="s">
        <v>40</v>
      </c>
      <c r="J14" s="20">
        <v>990.68139513870074</v>
      </c>
      <c r="O14" t="s">
        <v>97</v>
      </c>
      <c r="P14" s="90">
        <v>3</v>
      </c>
      <c r="Q14">
        <f>R3*3.6</f>
        <v>3.6</v>
      </c>
      <c r="R14">
        <v>4</v>
      </c>
    </row>
    <row r="15" spans="1:24" x14ac:dyDescent="0.25">
      <c r="A15" s="30" t="s">
        <v>61</v>
      </c>
      <c r="B15" s="30" t="s">
        <v>124</v>
      </c>
      <c r="C15" s="30">
        <v>1</v>
      </c>
      <c r="D15" s="49">
        <f t="shared" si="16"/>
        <v>2</v>
      </c>
      <c r="E15" s="20">
        <f t="shared" si="17"/>
        <v>75</v>
      </c>
      <c r="F15" s="21">
        <f t="shared" si="18"/>
        <v>0.8</v>
      </c>
      <c r="G15">
        <f t="shared" si="19"/>
        <v>20</v>
      </c>
      <c r="H15" s="20">
        <f t="shared" ref="H15:H17" si="20">D15*F15*G15</f>
        <v>32</v>
      </c>
      <c r="O15" t="s">
        <v>138</v>
      </c>
      <c r="P15" s="90">
        <v>7</v>
      </c>
      <c r="Q15">
        <f>R4*3.6</f>
        <v>7.2</v>
      </c>
      <c r="R15">
        <v>7</v>
      </c>
    </row>
    <row r="16" spans="1:24" x14ac:dyDescent="0.25">
      <c r="A16" s="30" t="s">
        <v>61</v>
      </c>
      <c r="B16" s="30" t="s">
        <v>63</v>
      </c>
      <c r="C16" s="30">
        <v>1</v>
      </c>
      <c r="D16" s="49">
        <f t="shared" si="16"/>
        <v>2</v>
      </c>
      <c r="E16" s="20">
        <f t="shared" si="17"/>
        <v>75</v>
      </c>
      <c r="F16" s="21">
        <f t="shared" si="18"/>
        <v>0.8</v>
      </c>
      <c r="G16">
        <f t="shared" si="19"/>
        <v>20</v>
      </c>
      <c r="H16" s="20">
        <f t="shared" si="20"/>
        <v>32</v>
      </c>
    </row>
    <row r="17" spans="1:14" ht="15.75" thickBot="1" x14ac:dyDescent="0.3">
      <c r="A17" s="30" t="s">
        <v>61</v>
      </c>
      <c r="B17" s="30" t="s">
        <v>125</v>
      </c>
      <c r="C17" s="30">
        <v>1</v>
      </c>
      <c r="D17" s="49">
        <f t="shared" si="16"/>
        <v>2</v>
      </c>
      <c r="E17" s="20">
        <f t="shared" si="17"/>
        <v>75</v>
      </c>
      <c r="F17" s="21">
        <f t="shared" si="18"/>
        <v>0.8</v>
      </c>
      <c r="G17">
        <f t="shared" si="19"/>
        <v>20</v>
      </c>
      <c r="H17" s="20">
        <f t="shared" si="20"/>
        <v>32</v>
      </c>
    </row>
    <row r="18" spans="1:14" x14ac:dyDescent="0.25">
      <c r="A18" s="30" t="s">
        <v>65</v>
      </c>
      <c r="B18" s="30" t="s">
        <v>62</v>
      </c>
      <c r="C18" s="68">
        <v>1</v>
      </c>
      <c r="D18" s="70">
        <f>VLOOKUP(A18,$M$1:$W$8,6,FALSE)</f>
        <v>1</v>
      </c>
      <c r="E18">
        <f>VLOOKUP(A18,$M$1:$W$8,5,FALSE)</f>
        <v>90</v>
      </c>
      <c r="F18" s="21">
        <f>60/E18*C18</f>
        <v>0.66666666666666663</v>
      </c>
      <c r="G18">
        <f t="shared" ref="G18:G19" si="21">VLOOKUP(A18,$M$1:$W$8,8,FALSE)</f>
        <v>20</v>
      </c>
      <c r="H18" s="20">
        <f>D18*F18*G18</f>
        <v>13.333333333333332</v>
      </c>
    </row>
    <row r="19" spans="1:14" x14ac:dyDescent="0.25">
      <c r="A19" s="30" t="s">
        <v>65</v>
      </c>
      <c r="B19" s="30" t="s">
        <v>0</v>
      </c>
      <c r="C19" s="68">
        <v>1</v>
      </c>
      <c r="D19" s="71">
        <f>VLOOKUP(A19,$M$1:$W$8,6,FALSE)</f>
        <v>1</v>
      </c>
      <c r="E19">
        <f>VLOOKUP(A19,$M$1:$W$8,5,FALSE)</f>
        <v>90</v>
      </c>
      <c r="F19" s="21">
        <f>60/E19*C19</f>
        <v>0.66666666666666663</v>
      </c>
      <c r="G19">
        <f t="shared" si="21"/>
        <v>20</v>
      </c>
      <c r="H19" s="20">
        <f t="shared" ref="H19" si="22">D19*F19*G19</f>
        <v>13.333333333333332</v>
      </c>
    </row>
    <row r="20" spans="1:14" x14ac:dyDescent="0.25">
      <c r="A20" s="30" t="s">
        <v>65</v>
      </c>
      <c r="B20" s="30" t="s">
        <v>105</v>
      </c>
      <c r="C20" s="68">
        <v>1</v>
      </c>
      <c r="D20" s="71">
        <f>VLOOKUP(A20,$M$1:$W$8,6,FALSE)</f>
        <v>1</v>
      </c>
      <c r="E20">
        <f>VLOOKUP(A20,$M$1:$W$8,5,FALSE)</f>
        <v>90</v>
      </c>
      <c r="F20" s="21">
        <f>60/E20*C20</f>
        <v>0.66666666666666663</v>
      </c>
      <c r="G20">
        <f t="shared" ref="G20" si="23">VLOOKUP(A20,$M$1:$W$8,8,FALSE)</f>
        <v>20</v>
      </c>
      <c r="H20" s="20">
        <f t="shared" ref="H20" si="24">D20*F20*G20</f>
        <v>13.333333333333332</v>
      </c>
    </row>
    <row r="21" spans="1:14" ht="15.75" thickBot="1" x14ac:dyDescent="0.3">
      <c r="A21" s="30" t="s">
        <v>65</v>
      </c>
      <c r="B21" s="30" t="s">
        <v>5</v>
      </c>
      <c r="C21" s="68">
        <v>1</v>
      </c>
      <c r="D21" s="69">
        <f>VLOOKUP(A21,$M$1:$W$8,6,FALSE)</f>
        <v>1</v>
      </c>
      <c r="E21">
        <f>VLOOKUP(A21,$M$1:$W$8,5,FALSE)</f>
        <v>90</v>
      </c>
      <c r="F21" s="21">
        <f>60/E21*C21</f>
        <v>0.66666666666666663</v>
      </c>
      <c r="G21">
        <f t="shared" ref="G21:G27" si="25">VLOOKUP(A21,$M$1:$W$8,8,FALSE)</f>
        <v>20</v>
      </c>
      <c r="H21" s="20">
        <f t="shared" ref="H21:H26" si="26">D21*F21*G21</f>
        <v>13.333333333333332</v>
      </c>
    </row>
    <row r="22" spans="1:14" x14ac:dyDescent="0.25">
      <c r="A22" s="30" t="s">
        <v>64</v>
      </c>
      <c r="B22" s="30" t="s">
        <v>62</v>
      </c>
      <c r="C22" s="30">
        <v>1</v>
      </c>
      <c r="D22" s="49">
        <f t="shared" ref="D22:D27" si="27">VLOOKUP(A22,$M$1:$W$8,6,FALSE)</f>
        <v>2</v>
      </c>
      <c r="E22">
        <f t="shared" ref="E22:E27" si="28">VLOOKUP(A22,$M$1:$W$8,5,FALSE)</f>
        <v>70</v>
      </c>
      <c r="F22" s="21">
        <f t="shared" ref="F22:F27" si="29">60/E22*C22</f>
        <v>0.8571428571428571</v>
      </c>
      <c r="G22">
        <f t="shared" si="25"/>
        <v>20</v>
      </c>
      <c r="H22" s="20">
        <f t="shared" si="26"/>
        <v>34.285714285714285</v>
      </c>
    </row>
    <row r="23" spans="1:14" x14ac:dyDescent="0.25">
      <c r="A23" s="30" t="s">
        <v>64</v>
      </c>
      <c r="B23" s="30" t="s">
        <v>0</v>
      </c>
      <c r="C23" s="30">
        <v>1</v>
      </c>
      <c r="D23" s="49">
        <f t="shared" si="27"/>
        <v>2</v>
      </c>
      <c r="E23">
        <f t="shared" si="28"/>
        <v>70</v>
      </c>
      <c r="F23" s="21">
        <f t="shared" si="29"/>
        <v>0.8571428571428571</v>
      </c>
      <c r="G23">
        <f t="shared" si="25"/>
        <v>20</v>
      </c>
      <c r="H23" s="20">
        <f t="shared" si="26"/>
        <v>34.285714285714285</v>
      </c>
    </row>
    <row r="24" spans="1:14" x14ac:dyDescent="0.25">
      <c r="A24" s="30" t="s">
        <v>64</v>
      </c>
      <c r="B24" s="30" t="s">
        <v>105</v>
      </c>
      <c r="C24" s="30">
        <v>1</v>
      </c>
      <c r="D24" s="49">
        <f t="shared" si="27"/>
        <v>2</v>
      </c>
      <c r="E24">
        <f t="shared" si="28"/>
        <v>70</v>
      </c>
      <c r="F24" s="21">
        <f t="shared" si="29"/>
        <v>0.8571428571428571</v>
      </c>
      <c r="G24">
        <f t="shared" si="25"/>
        <v>20</v>
      </c>
      <c r="H24" s="20">
        <f t="shared" si="26"/>
        <v>34.285714285714285</v>
      </c>
    </row>
    <row r="25" spans="1:14" x14ac:dyDescent="0.25">
      <c r="A25" s="30" t="s">
        <v>64</v>
      </c>
      <c r="B25" s="30" t="s">
        <v>10</v>
      </c>
      <c r="C25" s="30">
        <v>1</v>
      </c>
      <c r="D25" s="49">
        <f t="shared" si="27"/>
        <v>2</v>
      </c>
      <c r="E25">
        <f t="shared" si="28"/>
        <v>70</v>
      </c>
      <c r="F25" s="21">
        <f t="shared" si="29"/>
        <v>0.8571428571428571</v>
      </c>
      <c r="G25">
        <f t="shared" si="25"/>
        <v>20</v>
      </c>
      <c r="H25" s="20">
        <f t="shared" si="26"/>
        <v>34.285714285714285</v>
      </c>
    </row>
    <row r="26" spans="1:14" ht="15.75" thickBot="1" x14ac:dyDescent="0.3">
      <c r="A26" s="30" t="s">
        <v>64</v>
      </c>
      <c r="B26" s="30" t="s">
        <v>11</v>
      </c>
      <c r="C26" s="30">
        <v>1</v>
      </c>
      <c r="D26" s="49">
        <f t="shared" si="27"/>
        <v>2</v>
      </c>
      <c r="E26">
        <f t="shared" si="28"/>
        <v>70</v>
      </c>
      <c r="F26" s="21">
        <f t="shared" si="29"/>
        <v>0.8571428571428571</v>
      </c>
      <c r="G26">
        <f t="shared" si="25"/>
        <v>20</v>
      </c>
      <c r="H26" s="20">
        <f t="shared" si="26"/>
        <v>34.285714285714285</v>
      </c>
    </row>
    <row r="27" spans="1:14" ht="15.75" thickBot="1" x14ac:dyDescent="0.3">
      <c r="A27" s="30" t="s">
        <v>64</v>
      </c>
      <c r="B27" s="30" t="s">
        <v>5</v>
      </c>
      <c r="C27" s="30">
        <v>1</v>
      </c>
      <c r="D27" s="50">
        <f t="shared" si="27"/>
        <v>2</v>
      </c>
      <c r="E27">
        <f t="shared" si="28"/>
        <v>70</v>
      </c>
      <c r="F27" s="21">
        <f t="shared" si="29"/>
        <v>0.8571428571428571</v>
      </c>
      <c r="G27">
        <f t="shared" si="25"/>
        <v>20</v>
      </c>
      <c r="H27" s="20">
        <f>D27*F27*G27</f>
        <v>34.285714285714285</v>
      </c>
    </row>
    <row r="28" spans="1:14" x14ac:dyDescent="0.25">
      <c r="A28" s="30" t="s">
        <v>9</v>
      </c>
      <c r="B28" s="30" t="s">
        <v>62</v>
      </c>
      <c r="C28" s="30">
        <v>1</v>
      </c>
      <c r="D28" s="50">
        <f t="shared" ref="D28:D30" si="30">VLOOKUP(A28,$M$1:$W$8,6,FALSE)</f>
        <v>1</v>
      </c>
      <c r="E28">
        <f t="shared" ref="E28:E30" si="31">VLOOKUP(A28,$M$1:$W$8,5,FALSE)</f>
        <v>80</v>
      </c>
      <c r="F28" s="21">
        <f t="shared" ref="F28:F30" si="32">60/E28*C28</f>
        <v>0.75</v>
      </c>
      <c r="G28">
        <f t="shared" si="10"/>
        <v>20</v>
      </c>
      <c r="H28" s="20">
        <f>D28*F28*G28</f>
        <v>15</v>
      </c>
    </row>
    <row r="29" spans="1:14" x14ac:dyDescent="0.25">
      <c r="A29" s="30" t="s">
        <v>9</v>
      </c>
      <c r="B29" s="30" t="s">
        <v>0</v>
      </c>
      <c r="C29" s="30">
        <v>1</v>
      </c>
      <c r="D29" s="49">
        <f t="shared" si="30"/>
        <v>1</v>
      </c>
      <c r="E29">
        <f t="shared" si="31"/>
        <v>80</v>
      </c>
      <c r="F29" s="21">
        <f t="shared" si="32"/>
        <v>0.75</v>
      </c>
      <c r="G29">
        <f t="shared" si="10"/>
        <v>20</v>
      </c>
      <c r="H29" s="20">
        <f t="shared" ref="H29:H30" si="33">D29*F29*G29</f>
        <v>15</v>
      </c>
    </row>
    <row r="30" spans="1:14" ht="15.75" thickBot="1" x14ac:dyDescent="0.3">
      <c r="A30" s="30" t="s">
        <v>9</v>
      </c>
      <c r="B30" s="30" t="s">
        <v>104</v>
      </c>
      <c r="C30" s="30">
        <v>1</v>
      </c>
      <c r="D30" s="49">
        <f t="shared" si="30"/>
        <v>1</v>
      </c>
      <c r="E30">
        <f t="shared" si="31"/>
        <v>80</v>
      </c>
      <c r="F30" s="21">
        <f t="shared" si="32"/>
        <v>0.75</v>
      </c>
      <c r="G30">
        <f t="shared" si="10"/>
        <v>20</v>
      </c>
      <c r="H30" s="20">
        <f t="shared" si="33"/>
        <v>15</v>
      </c>
    </row>
    <row r="31" spans="1:14" x14ac:dyDescent="0.25">
      <c r="A31" s="87" t="s">
        <v>75</v>
      </c>
      <c r="B31" s="88"/>
    </row>
    <row r="32" spans="1:14" ht="93.75" x14ac:dyDescent="0.3">
      <c r="A32" s="38" t="s">
        <v>74</v>
      </c>
      <c r="B32" s="39" t="s">
        <v>58</v>
      </c>
      <c r="C32" s="37" t="s">
        <v>56</v>
      </c>
      <c r="D32" s="54" t="s">
        <v>57</v>
      </c>
      <c r="E32" s="57"/>
      <c r="F32" s="56" t="s">
        <v>85</v>
      </c>
      <c r="G32" s="29" t="s">
        <v>55</v>
      </c>
      <c r="H32" s="29" t="s">
        <v>59</v>
      </c>
      <c r="I32" s="29" t="s">
        <v>60</v>
      </c>
      <c r="K32" s="75" t="s">
        <v>126</v>
      </c>
      <c r="L32" s="75" t="s">
        <v>127</v>
      </c>
      <c r="M32" s="75" t="s">
        <v>128</v>
      </c>
      <c r="N32" s="75" t="s">
        <v>129</v>
      </c>
    </row>
    <row r="33" spans="1:14" ht="37.5" x14ac:dyDescent="0.25">
      <c r="A33" s="38" t="s">
        <v>62</v>
      </c>
      <c r="B33" s="40">
        <v>520</v>
      </c>
      <c r="C33" s="28">
        <f>GETPIVOTDATA("Итого",$I$1,"transaction rq",A33)*3</f>
        <v>528.63892653835728</v>
      </c>
      <c r="D33" s="55">
        <f>1-B33/C33</f>
        <v>1.6341828239790912E-2</v>
      </c>
      <c r="E33" s="53"/>
      <c r="F33" s="52" t="str">
        <f>VLOOKUP(A33,Соответствие!A:B,2,FALSE)</f>
        <v>open_home_page</v>
      </c>
      <c r="G33" s="58">
        <f>C33/3</f>
        <v>176.21297551278576</v>
      </c>
      <c r="H33" s="48">
        <f>VLOOKUP(F33,SummaryReport!A:J,8,FALSE)</f>
        <v>178</v>
      </c>
      <c r="I33" s="74">
        <f t="shared" ref="I33:I44" si="34">1-G33/H33</f>
        <v>1.0039463411315896E-2</v>
      </c>
      <c r="K33" s="76" t="s">
        <v>78</v>
      </c>
      <c r="L33" s="77">
        <f>G33*4</f>
        <v>704.85190205114304</v>
      </c>
      <c r="M33" s="78">
        <v>704</v>
      </c>
      <c r="N33" s="79">
        <f>1-L33/M33</f>
        <v>-1.210088140828125E-3</v>
      </c>
    </row>
    <row r="34" spans="1:14" ht="18.75" x14ac:dyDescent="0.25">
      <c r="A34" s="41" t="s">
        <v>0</v>
      </c>
      <c r="B34" s="40">
        <v>422</v>
      </c>
      <c r="C34" s="28">
        <f t="shared" ref="C34:C35" si="35">GETPIVOTDATA("Итого",$I$1,"transaction rq",A34)*3</f>
        <v>432.63892653835728</v>
      </c>
      <c r="D34" s="55">
        <f>1-B34/C34</f>
        <v>2.4590775091556716E-2</v>
      </c>
      <c r="E34" s="53"/>
      <c r="F34" s="52" t="str">
        <f>VLOOKUP(A34,Соответствие!A:B,2,FALSE)</f>
        <v>enter_authorization</v>
      </c>
      <c r="G34" s="58">
        <f t="shared" ref="G34:G44" si="36">C34/3</f>
        <v>144.21297551278576</v>
      </c>
      <c r="H34" s="48">
        <f>VLOOKUP(F34,SummaryReport!A:J,8,FALSE)</f>
        <v>147</v>
      </c>
      <c r="I34" s="26">
        <f t="shared" si="34"/>
        <v>1.8959350253158092E-2</v>
      </c>
      <c r="K34" s="76" t="s">
        <v>113</v>
      </c>
      <c r="L34" s="77">
        <f t="shared" ref="L34:L44" si="37">G34*4</f>
        <v>576.85190205114304</v>
      </c>
      <c r="M34" s="78">
        <v>575</v>
      </c>
      <c r="N34" s="79">
        <f t="shared" ref="N34:N44" si="38">1-L34/M34</f>
        <v>-3.220699219379286E-3</v>
      </c>
    </row>
    <row r="35" spans="1:14" ht="37.5" x14ac:dyDescent="0.25">
      <c r="A35" s="42" t="s">
        <v>105</v>
      </c>
      <c r="B35" s="40">
        <v>305</v>
      </c>
      <c r="C35" s="28">
        <f t="shared" si="35"/>
        <v>317.0506912442396</v>
      </c>
      <c r="D35" s="55">
        <f>1-B35/C35</f>
        <v>3.8008720930232442E-2</v>
      </c>
      <c r="E35" s="53"/>
      <c r="F35" s="52" t="str">
        <f>VLOOKUP(A35,Соответствие!A:B,2,FALSE)</f>
        <v>click_flights</v>
      </c>
      <c r="G35" s="58">
        <f t="shared" si="36"/>
        <v>105.68356374807986</v>
      </c>
      <c r="H35" s="48">
        <f>VLOOKUP(F35,SummaryReport!A:J,8,FALSE)</f>
        <v>107</v>
      </c>
      <c r="I35" s="26">
        <f t="shared" si="34"/>
        <v>1.2303142541309708E-2</v>
      </c>
      <c r="K35" s="76" t="s">
        <v>84</v>
      </c>
      <c r="L35" s="77">
        <f t="shared" si="37"/>
        <v>422.73425499231945</v>
      </c>
      <c r="M35" s="78">
        <v>421</v>
      </c>
      <c r="N35" s="79">
        <f t="shared" si="38"/>
        <v>-4.1193705280746507E-3</v>
      </c>
    </row>
    <row r="36" spans="1:14" ht="37.5" x14ac:dyDescent="0.25">
      <c r="A36" s="41" t="s">
        <v>10</v>
      </c>
      <c r="B36" s="40">
        <v>282</v>
      </c>
      <c r="C36" s="28">
        <f t="shared" ref="C36:C44" si="39">GETPIVOTDATA("Итого",$I$1,"transaction rq",A36)*3</f>
        <v>277.0506912442396</v>
      </c>
      <c r="D36" s="51">
        <f>1-B36/C36</f>
        <v>-1.7864271457086023E-2</v>
      </c>
      <c r="E36" s="53"/>
      <c r="F36" s="52" t="str">
        <f>VLOOKUP(A36,Соответствие!A:B,2,FALSE)</f>
        <v>flight_selection</v>
      </c>
      <c r="G36" s="58">
        <f t="shared" si="36"/>
        <v>92.350230414746534</v>
      </c>
      <c r="H36" s="48">
        <f>VLOOKUP(F36,SummaryReport!A:J,8,FALSE)</f>
        <v>93</v>
      </c>
      <c r="I36" s="26">
        <f t="shared" si="34"/>
        <v>6.9867697339082158E-3</v>
      </c>
      <c r="K36" s="76" t="s">
        <v>116</v>
      </c>
      <c r="L36" s="77">
        <f t="shared" si="37"/>
        <v>369.40092165898614</v>
      </c>
      <c r="M36" s="78">
        <v>368</v>
      </c>
      <c r="N36" s="79">
        <f t="shared" si="38"/>
        <v>-3.806852334201416E-3</v>
      </c>
    </row>
    <row r="37" spans="1:14" ht="37.5" x14ac:dyDescent="0.25">
      <c r="A37" s="41" t="s">
        <v>11</v>
      </c>
      <c r="B37" s="40">
        <v>270</v>
      </c>
      <c r="C37" s="28">
        <f t="shared" si="39"/>
        <v>277.0506912442396</v>
      </c>
      <c r="D37" s="51">
        <f t="shared" ref="D37:D45" si="40">1-B37/C37</f>
        <v>2.5449101796407025E-2</v>
      </c>
      <c r="E37" s="53"/>
      <c r="F37" s="52" t="str">
        <f>VLOOKUP(A37,Соответствие!A:B,2,FALSE)</f>
        <v>flight_reservation</v>
      </c>
      <c r="G37" s="58">
        <f t="shared" si="36"/>
        <v>92.350230414746534</v>
      </c>
      <c r="H37" s="48">
        <f>VLOOKUP(F37,SummaryReport!A:J,8,FALSE)</f>
        <v>93</v>
      </c>
      <c r="I37" s="26">
        <f t="shared" si="34"/>
        <v>6.9867697339082158E-3</v>
      </c>
      <c r="K37" s="76" t="s">
        <v>115</v>
      </c>
      <c r="L37" s="77">
        <f t="shared" si="37"/>
        <v>369.40092165898614</v>
      </c>
      <c r="M37" s="78">
        <v>371</v>
      </c>
      <c r="N37" s="79">
        <f t="shared" si="38"/>
        <v>4.3101842075845553E-3</v>
      </c>
    </row>
    <row r="38" spans="1:14" ht="18.75" x14ac:dyDescent="0.25">
      <c r="A38" s="41" t="s">
        <v>3</v>
      </c>
      <c r="B38" s="40">
        <v>175</v>
      </c>
      <c r="C38" s="28">
        <f t="shared" si="39"/>
        <v>174.19354838709677</v>
      </c>
      <c r="D38" s="51">
        <f t="shared" si="40"/>
        <v>-4.6296296296297612E-3</v>
      </c>
      <c r="E38" s="53"/>
      <c r="F38" s="52" t="str">
        <f>VLOOKUP(A38,Соответствие!A:B,2,FALSE)</f>
        <v>enter_payment_details</v>
      </c>
      <c r="G38" s="58">
        <f t="shared" si="36"/>
        <v>58.064516129032256</v>
      </c>
      <c r="H38" s="48">
        <f>VLOOKUP(F38,SummaryReport!A:J,8,FALSE)</f>
        <v>58</v>
      </c>
      <c r="I38" s="26">
        <f t="shared" si="34"/>
        <v>-1.1123470522802492E-3</v>
      </c>
      <c r="K38" s="76" t="s">
        <v>114</v>
      </c>
      <c r="L38" s="77">
        <f t="shared" si="37"/>
        <v>232.25806451612902</v>
      </c>
      <c r="M38" s="78">
        <v>233</v>
      </c>
      <c r="N38" s="79">
        <f t="shared" si="38"/>
        <v>3.1842724629655983E-3</v>
      </c>
    </row>
    <row r="39" spans="1:14" ht="37.5" x14ac:dyDescent="0.25">
      <c r="A39" s="41" t="s">
        <v>104</v>
      </c>
      <c r="B39" s="40">
        <v>280</v>
      </c>
      <c r="C39" s="28">
        <f t="shared" si="39"/>
        <v>289.78178368121439</v>
      </c>
      <c r="D39" s="51">
        <f t="shared" si="40"/>
        <v>3.375568870117529E-2</v>
      </c>
      <c r="E39" s="66"/>
      <c r="F39" s="52" t="str">
        <f>VLOOKUP(A39,Соответствие!A:B,2,FALSE)</f>
        <v>click_itinerary</v>
      </c>
      <c r="G39" s="58">
        <f t="shared" si="36"/>
        <v>96.593927893738126</v>
      </c>
      <c r="H39" s="48">
        <f>VLOOKUP(F39,SummaryReport!A:J,8,FALSE)</f>
        <v>96</v>
      </c>
      <c r="I39" s="26">
        <f t="shared" si="34"/>
        <v>-6.1867488931055536E-3</v>
      </c>
      <c r="K39" s="76" t="s">
        <v>108</v>
      </c>
      <c r="L39" s="77">
        <f t="shared" si="37"/>
        <v>386.3757115749525</v>
      </c>
      <c r="M39" s="78">
        <v>386</v>
      </c>
      <c r="N39" s="79">
        <f t="shared" si="38"/>
        <v>-9.7334604909971034E-4</v>
      </c>
    </row>
    <row r="40" spans="1:14" ht="18.75" x14ac:dyDescent="0.25">
      <c r="A40" s="41" t="s">
        <v>12</v>
      </c>
      <c r="B40" s="40">
        <v>73</v>
      </c>
      <c r="C40" s="28">
        <f t="shared" si="39"/>
        <v>70.588235294117652</v>
      </c>
      <c r="D40" s="51">
        <f t="shared" si="40"/>
        <v>-3.4166666666666679E-2</v>
      </c>
      <c r="E40" s="53"/>
      <c r="F40" s="52" t="str">
        <f>VLOOKUP(A40,Соответствие!A:B,2,FALSE)</f>
        <v>delete_ticket</v>
      </c>
      <c r="G40" s="58">
        <f t="shared" si="36"/>
        <v>23.529411764705884</v>
      </c>
      <c r="H40" s="48">
        <f>VLOOKUP(F40,SummaryReport!A:J,8,FALSE)</f>
        <v>23</v>
      </c>
      <c r="I40" s="26">
        <f t="shared" si="34"/>
        <v>-2.3017902813299296E-2</v>
      </c>
      <c r="K40" s="76" t="s">
        <v>111</v>
      </c>
      <c r="L40" s="77">
        <f t="shared" si="37"/>
        <v>94.117647058823536</v>
      </c>
      <c r="M40" s="78">
        <v>93</v>
      </c>
      <c r="N40" s="79">
        <f t="shared" si="38"/>
        <v>-1.2017710309930596E-2</v>
      </c>
    </row>
    <row r="41" spans="1:14" ht="18.75" x14ac:dyDescent="0.25">
      <c r="A41" s="41" t="s">
        <v>5</v>
      </c>
      <c r="B41" s="40">
        <v>326</v>
      </c>
      <c r="C41" s="28">
        <f t="shared" si="39"/>
        <v>317.0506912442396</v>
      </c>
      <c r="D41" s="51">
        <f t="shared" si="40"/>
        <v>-2.8226744186046648E-2</v>
      </c>
      <c r="E41" s="53"/>
      <c r="F41" s="52" t="str">
        <f>VLOOKUP(A41,Соответствие!A:B,2,FALSE)</f>
        <v>sign_off</v>
      </c>
      <c r="G41" s="58">
        <f t="shared" si="36"/>
        <v>105.68356374807986</v>
      </c>
      <c r="H41" s="48">
        <f>VLOOKUP(F41,SummaryReport!A:J,8,FALSE)</f>
        <v>106</v>
      </c>
      <c r="I41" s="26">
        <f t="shared" si="34"/>
        <v>2.9852476596239352E-3</v>
      </c>
      <c r="K41" s="76" t="s">
        <v>117</v>
      </c>
      <c r="L41" s="77">
        <f t="shared" si="37"/>
        <v>422.73425499231945</v>
      </c>
      <c r="M41" s="78">
        <v>422</v>
      </c>
      <c r="N41" s="79">
        <f t="shared" si="38"/>
        <v>-1.7399407400935374E-3</v>
      </c>
    </row>
    <row r="42" spans="1:14" ht="37.5" x14ac:dyDescent="0.25">
      <c r="A42" s="41" t="s">
        <v>124</v>
      </c>
      <c r="B42" s="40">
        <v>97</v>
      </c>
      <c r="C42" s="28">
        <f t="shared" si="39"/>
        <v>96</v>
      </c>
      <c r="D42" s="51">
        <f t="shared" si="40"/>
        <v>-1.0416666666666741E-2</v>
      </c>
      <c r="E42" s="53"/>
      <c r="F42" s="52" t="str">
        <f>VLOOKUP(A42,Соответствие!A:B,2,FALSE)</f>
        <v>click_sign_up_now</v>
      </c>
      <c r="G42" s="58">
        <f t="shared" si="36"/>
        <v>32</v>
      </c>
      <c r="H42" s="48">
        <f>VLOOKUP(F42,SummaryReport!A:J,8,FALSE)</f>
        <v>32</v>
      </c>
      <c r="I42" s="26">
        <f t="shared" si="34"/>
        <v>0</v>
      </c>
      <c r="K42" s="76" t="s">
        <v>109</v>
      </c>
      <c r="L42" s="77">
        <f t="shared" si="37"/>
        <v>128</v>
      </c>
      <c r="M42" s="78">
        <v>128</v>
      </c>
      <c r="N42" s="79">
        <f t="shared" si="38"/>
        <v>0</v>
      </c>
    </row>
    <row r="43" spans="1:14" ht="37.5" x14ac:dyDescent="0.25">
      <c r="A43" s="41" t="s">
        <v>63</v>
      </c>
      <c r="B43" s="40">
        <v>97</v>
      </c>
      <c r="C43" s="28">
        <f t="shared" si="39"/>
        <v>96</v>
      </c>
      <c r="D43" s="51">
        <f t="shared" si="40"/>
        <v>-1.0416666666666741E-2</v>
      </c>
      <c r="E43" s="53"/>
      <c r="F43" s="52" t="str">
        <f>VLOOKUP(A43,Соответствие!A:B,2,FALSE)</f>
        <v>customer_profile</v>
      </c>
      <c r="G43" s="58">
        <f t="shared" si="36"/>
        <v>32</v>
      </c>
      <c r="H43" s="48">
        <f>VLOOKUP(F43,SummaryReport!A:J,8,FALSE)</f>
        <v>32</v>
      </c>
      <c r="I43" s="26">
        <f t="shared" si="34"/>
        <v>0</v>
      </c>
      <c r="K43" s="76" t="s">
        <v>110</v>
      </c>
      <c r="L43" s="77">
        <f t="shared" si="37"/>
        <v>128</v>
      </c>
      <c r="M43" s="78">
        <v>128</v>
      </c>
      <c r="N43" s="79">
        <f t="shared" si="38"/>
        <v>0</v>
      </c>
    </row>
    <row r="44" spans="1:14" ht="37.5" x14ac:dyDescent="0.25">
      <c r="A44" s="41" t="s">
        <v>125</v>
      </c>
      <c r="B44" s="40">
        <v>97</v>
      </c>
      <c r="C44" s="28">
        <f t="shared" si="39"/>
        <v>96</v>
      </c>
      <c r="D44" s="51">
        <f t="shared" si="40"/>
        <v>-1.0416666666666741E-2</v>
      </c>
      <c r="E44" s="53"/>
      <c r="F44" s="52" t="str">
        <f>VLOOKUP(A44,Соответствие!A:B,2,FALSE)</f>
        <v>end_registering</v>
      </c>
      <c r="G44" s="58">
        <f t="shared" si="36"/>
        <v>32</v>
      </c>
      <c r="H44" s="48">
        <f>VLOOKUP(F44,SummaryReport!A:J,8,FALSE)</f>
        <v>32</v>
      </c>
      <c r="I44" s="26">
        <f t="shared" si="34"/>
        <v>0</v>
      </c>
      <c r="K44" s="76" t="s">
        <v>112</v>
      </c>
      <c r="L44" s="77">
        <f t="shared" si="37"/>
        <v>128</v>
      </c>
      <c r="M44" s="78">
        <v>128</v>
      </c>
      <c r="N44" s="79">
        <f t="shared" si="38"/>
        <v>0</v>
      </c>
    </row>
    <row r="45" spans="1:14" ht="19.5" thickBot="1" x14ac:dyDescent="0.3">
      <c r="A45" s="43" t="s">
        <v>6</v>
      </c>
      <c r="B45" s="44">
        <f>SUM(B33:B44)</f>
        <v>2944</v>
      </c>
      <c r="C45" s="27">
        <f>SUM(C33:C44)</f>
        <v>2972.0441854161022</v>
      </c>
      <c r="D45" s="25">
        <f t="shared" si="40"/>
        <v>9.4359920871014413E-3</v>
      </c>
    </row>
    <row r="46" spans="1:14" x14ac:dyDescent="0.25">
      <c r="I46" s="32"/>
    </row>
    <row r="47" spans="1:14" x14ac:dyDescent="0.25">
      <c r="C47" s="32" t="s">
        <v>73</v>
      </c>
      <c r="D47" s="32"/>
      <c r="E47" s="32"/>
      <c r="F47" s="32"/>
      <c r="G47" s="32"/>
      <c r="H47" s="32"/>
    </row>
    <row r="48" spans="1:14" x14ac:dyDescent="0.25">
      <c r="B48" t="s">
        <v>87</v>
      </c>
      <c r="C48" t="s">
        <v>72</v>
      </c>
      <c r="D48" t="s">
        <v>68</v>
      </c>
      <c r="E48" t="s">
        <v>70</v>
      </c>
      <c r="F48" t="s">
        <v>69</v>
      </c>
      <c r="G48" t="s">
        <v>71</v>
      </c>
      <c r="H48" t="s">
        <v>86</v>
      </c>
    </row>
    <row r="49" spans="1:10" x14ac:dyDescent="0.25">
      <c r="A49" s="59" t="s">
        <v>7</v>
      </c>
      <c r="B49" s="60">
        <f>124/3</f>
        <v>41.333333333333336</v>
      </c>
      <c r="C49" s="36">
        <v>57</v>
      </c>
      <c r="D49" s="33">
        <f>60/C49</f>
        <v>1.0526315789473684</v>
      </c>
      <c r="E49" s="47">
        <v>20</v>
      </c>
      <c r="F49" s="45">
        <f>B49/(D49*E49)</f>
        <v>1.9633333333333336</v>
      </c>
      <c r="G49" s="20">
        <f>ROUND(F49,0)</f>
        <v>2</v>
      </c>
      <c r="H49" s="20">
        <f>G49*D49*E49</f>
        <v>42.105263157894733</v>
      </c>
      <c r="I49" s="31">
        <f>1-B49/H49</f>
        <v>1.8333333333333202E-2</v>
      </c>
    </row>
    <row r="50" spans="1:10" x14ac:dyDescent="0.25">
      <c r="A50" s="59" t="s">
        <v>95</v>
      </c>
      <c r="B50" s="60">
        <f>150/3</f>
        <v>50</v>
      </c>
      <c r="C50" s="36">
        <v>25</v>
      </c>
      <c r="D50" s="33">
        <f>60/C50</f>
        <v>2.4</v>
      </c>
      <c r="E50" s="47">
        <v>20</v>
      </c>
      <c r="F50" s="45">
        <f>B50/(D50*E50)</f>
        <v>1.0416666666666667</v>
      </c>
      <c r="G50" s="20">
        <f>ROUND(F50,0)</f>
        <v>1</v>
      </c>
      <c r="H50" s="20">
        <f>G50*D50*E50</f>
        <v>48</v>
      </c>
      <c r="I50" s="31">
        <f>1-B50/H50</f>
        <v>-4.1666666666666741E-2</v>
      </c>
    </row>
    <row r="51" spans="1:10" x14ac:dyDescent="0.25">
      <c r="A51" s="59" t="s">
        <v>88</v>
      </c>
      <c r="B51" s="61">
        <f>30/3</f>
        <v>10</v>
      </c>
      <c r="C51" s="46">
        <v>115</v>
      </c>
      <c r="D51" s="33">
        <f>60/C51</f>
        <v>0.52173913043478259</v>
      </c>
      <c r="E51" s="47">
        <v>20</v>
      </c>
      <c r="F51" s="45">
        <f>B51/(D51*E51)</f>
        <v>0.95833333333333337</v>
      </c>
      <c r="G51" s="20">
        <v>1</v>
      </c>
      <c r="H51" s="20">
        <f>G51*D51*E51</f>
        <v>10.434782608695652</v>
      </c>
      <c r="I51" s="31">
        <f>1-B51/H51</f>
        <v>4.166666666666663E-2</v>
      </c>
    </row>
    <row r="52" spans="1:10" x14ac:dyDescent="0.25">
      <c r="A52" s="59" t="s">
        <v>66</v>
      </c>
      <c r="B52" s="60">
        <f>20/3</f>
        <v>6.666666666666667</v>
      </c>
      <c r="C52" s="36">
        <v>180</v>
      </c>
      <c r="D52" s="33">
        <f>60/C52</f>
        <v>0.33333333333333331</v>
      </c>
      <c r="E52" s="47">
        <v>20</v>
      </c>
      <c r="F52" s="45">
        <f>B52/(D52*E52)</f>
        <v>1.0000000000000002</v>
      </c>
      <c r="G52" s="20">
        <v>1</v>
      </c>
      <c r="H52" s="20">
        <f>G52*D52*E52</f>
        <v>6.6666666666666661</v>
      </c>
      <c r="I52" s="31">
        <f>1-B52/H52</f>
        <v>0</v>
      </c>
    </row>
    <row r="53" spans="1:10" x14ac:dyDescent="0.25">
      <c r="A53" s="59" t="s">
        <v>67</v>
      </c>
      <c r="B53" s="60">
        <f>120/3</f>
        <v>40</v>
      </c>
      <c r="C53" s="36">
        <v>30</v>
      </c>
      <c r="D53" s="33">
        <f>60/C53</f>
        <v>2</v>
      </c>
      <c r="E53" s="47">
        <v>20</v>
      </c>
      <c r="F53" s="45">
        <f>B53/(D53*E53)</f>
        <v>1</v>
      </c>
      <c r="G53" s="20">
        <f>ROUND(F53,0)</f>
        <v>1</v>
      </c>
      <c r="H53" s="20">
        <f>G53*D53*E53</f>
        <v>40</v>
      </c>
      <c r="I53" s="31">
        <f>1-B53/H53</f>
        <v>0</v>
      </c>
    </row>
    <row r="54" spans="1:10" x14ac:dyDescent="0.25">
      <c r="G54" s="20">
        <f>SUM(G49:G53)</f>
        <v>6</v>
      </c>
    </row>
    <row r="57" spans="1:10" x14ac:dyDescent="0.25">
      <c r="A57" t="s">
        <v>98</v>
      </c>
      <c r="B57" t="s">
        <v>99</v>
      </c>
      <c r="C57" t="s">
        <v>100</v>
      </c>
      <c r="D57" t="s">
        <v>45</v>
      </c>
      <c r="E57" t="s">
        <v>101</v>
      </c>
      <c r="F57" t="s">
        <v>54</v>
      </c>
      <c r="G57" t="s">
        <v>6</v>
      </c>
      <c r="I57" s="16" t="s">
        <v>39</v>
      </c>
      <c r="J57" t="s">
        <v>51</v>
      </c>
    </row>
    <row r="58" spans="1:10" x14ac:dyDescent="0.25">
      <c r="A58" t="s">
        <v>7</v>
      </c>
      <c r="B58" t="s">
        <v>89</v>
      </c>
      <c r="C58" s="20">
        <f>VLOOKUP(A58,$A$49:$H$53,6,FALSE)</f>
        <v>1.9633333333333336</v>
      </c>
      <c r="D58">
        <f>VLOOKUP(A58,$A$49:$H$53,3,FALSE)</f>
        <v>57</v>
      </c>
      <c r="E58" s="20">
        <f>60/D58</f>
        <v>1.0526315789473684</v>
      </c>
      <c r="F58">
        <v>20</v>
      </c>
      <c r="G58" s="20">
        <f>C58*E58*F58</f>
        <v>41.333333333333336</v>
      </c>
      <c r="I58" s="17" t="s">
        <v>92</v>
      </c>
      <c r="J58" s="20">
        <v>48</v>
      </c>
    </row>
    <row r="59" spans="1:10" x14ac:dyDescent="0.25">
      <c r="A59" t="s">
        <v>7</v>
      </c>
      <c r="B59" t="s">
        <v>65</v>
      </c>
      <c r="C59" s="20">
        <f t="shared" ref="C59:C83" si="41">VLOOKUP(A59,$A$49:$H$53,6,FALSE)</f>
        <v>1.9633333333333336</v>
      </c>
      <c r="D59">
        <f t="shared" ref="D59:D83" si="42">VLOOKUP(A59,$A$49:$H$53,3,FALSE)</f>
        <v>57</v>
      </c>
      <c r="E59" s="20">
        <f t="shared" ref="E59:E83" si="43">60/D59</f>
        <v>1.0526315789473684</v>
      </c>
      <c r="F59">
        <v>20</v>
      </c>
      <c r="G59" s="20">
        <f t="shared" ref="G59:G83" si="44">C59*E59*F59</f>
        <v>41.333333333333336</v>
      </c>
      <c r="I59" s="17" t="s">
        <v>89</v>
      </c>
      <c r="J59" s="20">
        <v>154.66666666666669</v>
      </c>
    </row>
    <row r="60" spans="1:10" x14ac:dyDescent="0.25">
      <c r="A60" t="s">
        <v>7</v>
      </c>
      <c r="B60" t="s">
        <v>90</v>
      </c>
      <c r="C60" s="20">
        <f t="shared" si="41"/>
        <v>1.9633333333333336</v>
      </c>
      <c r="D60">
        <f t="shared" si="42"/>
        <v>57</v>
      </c>
      <c r="E60" s="20">
        <f t="shared" si="43"/>
        <v>1.0526315789473684</v>
      </c>
      <c r="F60">
        <v>20</v>
      </c>
      <c r="G60" s="20">
        <f t="shared" si="44"/>
        <v>41.333333333333336</v>
      </c>
      <c r="I60" s="17" t="s">
        <v>91</v>
      </c>
      <c r="J60" s="20">
        <v>48</v>
      </c>
    </row>
    <row r="61" spans="1:10" x14ac:dyDescent="0.25">
      <c r="A61" t="s">
        <v>7</v>
      </c>
      <c r="B61" t="s">
        <v>91</v>
      </c>
      <c r="C61" s="20">
        <f t="shared" si="41"/>
        <v>1.9633333333333336</v>
      </c>
      <c r="D61">
        <f t="shared" si="42"/>
        <v>57</v>
      </c>
      <c r="E61" s="20">
        <f t="shared" si="43"/>
        <v>1.0526315789473684</v>
      </c>
      <c r="F61">
        <v>20</v>
      </c>
      <c r="G61" s="20">
        <f t="shared" si="44"/>
        <v>41.333333333333336</v>
      </c>
      <c r="I61" s="62" t="s">
        <v>94</v>
      </c>
      <c r="J61" s="20">
        <v>148</v>
      </c>
    </row>
    <row r="62" spans="1:10" x14ac:dyDescent="0.25">
      <c r="A62" t="s">
        <v>7</v>
      </c>
      <c r="B62" t="s">
        <v>92</v>
      </c>
      <c r="C62" s="20">
        <f t="shared" si="41"/>
        <v>1.9633333333333336</v>
      </c>
      <c r="D62">
        <f t="shared" si="42"/>
        <v>57</v>
      </c>
      <c r="E62" s="20">
        <f t="shared" si="43"/>
        <v>1.0526315789473684</v>
      </c>
      <c r="F62">
        <v>20</v>
      </c>
      <c r="G62" s="20">
        <f t="shared" si="44"/>
        <v>41.333333333333336</v>
      </c>
      <c r="I62" s="62" t="s">
        <v>65</v>
      </c>
      <c r="J62" s="20">
        <v>148</v>
      </c>
    </row>
    <row r="63" spans="1:10" x14ac:dyDescent="0.25">
      <c r="A63" t="s">
        <v>7</v>
      </c>
      <c r="B63" t="s">
        <v>93</v>
      </c>
      <c r="C63" s="20">
        <f t="shared" si="41"/>
        <v>1.9633333333333336</v>
      </c>
      <c r="D63">
        <f t="shared" si="42"/>
        <v>57</v>
      </c>
      <c r="E63" s="20">
        <f t="shared" si="43"/>
        <v>1.0526315789473684</v>
      </c>
      <c r="F63">
        <v>20</v>
      </c>
      <c r="G63" s="20">
        <f t="shared" si="44"/>
        <v>41.333333333333336</v>
      </c>
      <c r="I63" s="17" t="s">
        <v>90</v>
      </c>
      <c r="J63" s="20">
        <v>48</v>
      </c>
    </row>
    <row r="64" spans="1:10" x14ac:dyDescent="0.25">
      <c r="A64" t="s">
        <v>7</v>
      </c>
      <c r="B64" t="s">
        <v>94</v>
      </c>
      <c r="C64" s="20">
        <f t="shared" si="41"/>
        <v>1.9633333333333336</v>
      </c>
      <c r="D64">
        <f t="shared" si="42"/>
        <v>57</v>
      </c>
      <c r="E64" s="20">
        <f t="shared" si="43"/>
        <v>1.0526315789473684</v>
      </c>
      <c r="F64">
        <v>20</v>
      </c>
      <c r="G64" s="20">
        <f t="shared" si="44"/>
        <v>41.333333333333336</v>
      </c>
      <c r="I64" s="62" t="s">
        <v>93</v>
      </c>
      <c r="J64" s="20">
        <v>41.333333333333336</v>
      </c>
    </row>
    <row r="65" spans="1:10" x14ac:dyDescent="0.25">
      <c r="A65" t="s">
        <v>95</v>
      </c>
      <c r="B65" t="s">
        <v>89</v>
      </c>
      <c r="C65" s="20">
        <f t="shared" si="41"/>
        <v>1.0416666666666667</v>
      </c>
      <c r="D65">
        <f t="shared" si="42"/>
        <v>25</v>
      </c>
      <c r="E65" s="20">
        <f t="shared" si="43"/>
        <v>2.4</v>
      </c>
      <c r="F65">
        <v>20</v>
      </c>
      <c r="G65" s="20">
        <f t="shared" si="44"/>
        <v>50</v>
      </c>
      <c r="I65" s="17" t="s">
        <v>96</v>
      </c>
      <c r="J65" s="20">
        <v>50</v>
      </c>
    </row>
    <row r="66" spans="1:10" x14ac:dyDescent="0.25">
      <c r="A66" t="s">
        <v>95</v>
      </c>
      <c r="B66" t="s">
        <v>65</v>
      </c>
      <c r="C66" s="20">
        <f t="shared" si="41"/>
        <v>1.0416666666666667</v>
      </c>
      <c r="D66">
        <f t="shared" si="42"/>
        <v>25</v>
      </c>
      <c r="E66" s="20">
        <f t="shared" si="43"/>
        <v>2.4</v>
      </c>
      <c r="F66">
        <v>20</v>
      </c>
      <c r="G66" s="20">
        <f t="shared" si="44"/>
        <v>50</v>
      </c>
      <c r="I66" s="62" t="s">
        <v>97</v>
      </c>
      <c r="J66" s="20">
        <v>10</v>
      </c>
    </row>
    <row r="67" spans="1:10" x14ac:dyDescent="0.25">
      <c r="A67" t="s">
        <v>95</v>
      </c>
      <c r="B67" t="s">
        <v>94</v>
      </c>
      <c r="C67" s="20">
        <f t="shared" si="41"/>
        <v>1.0416666666666667</v>
      </c>
      <c r="D67">
        <f t="shared" si="42"/>
        <v>25</v>
      </c>
      <c r="E67" s="20">
        <f t="shared" si="43"/>
        <v>2.4</v>
      </c>
      <c r="F67">
        <v>20</v>
      </c>
      <c r="G67" s="20">
        <f t="shared" si="44"/>
        <v>50</v>
      </c>
      <c r="I67" s="17" t="s">
        <v>40</v>
      </c>
      <c r="J67" s="15">
        <v>696.00000000000011</v>
      </c>
    </row>
    <row r="68" spans="1:10" x14ac:dyDescent="0.25">
      <c r="A68" t="s">
        <v>88</v>
      </c>
      <c r="B68" t="s">
        <v>89</v>
      </c>
      <c r="C68" s="20">
        <f t="shared" si="41"/>
        <v>0.95833333333333337</v>
      </c>
      <c r="D68">
        <f t="shared" si="42"/>
        <v>115</v>
      </c>
      <c r="E68" s="20">
        <f t="shared" si="43"/>
        <v>0.52173913043478259</v>
      </c>
      <c r="F68">
        <v>20</v>
      </c>
      <c r="G68" s="20">
        <f t="shared" si="44"/>
        <v>10</v>
      </c>
    </row>
    <row r="69" spans="1:10" x14ac:dyDescent="0.25">
      <c r="A69" t="s">
        <v>88</v>
      </c>
      <c r="B69" t="s">
        <v>65</v>
      </c>
      <c r="C69" s="20">
        <f t="shared" si="41"/>
        <v>0.95833333333333337</v>
      </c>
      <c r="D69">
        <f t="shared" si="42"/>
        <v>115</v>
      </c>
      <c r="E69" s="20">
        <f t="shared" si="43"/>
        <v>0.52173913043478259</v>
      </c>
      <c r="F69">
        <v>20</v>
      </c>
      <c r="G69" s="20">
        <f t="shared" si="44"/>
        <v>10</v>
      </c>
    </row>
    <row r="70" spans="1:10" x14ac:dyDescent="0.25">
      <c r="A70" t="s">
        <v>88</v>
      </c>
      <c r="B70" t="s">
        <v>96</v>
      </c>
      <c r="C70" s="20">
        <f t="shared" si="41"/>
        <v>0.95833333333333337</v>
      </c>
      <c r="D70">
        <f t="shared" si="42"/>
        <v>115</v>
      </c>
      <c r="E70" s="20">
        <f t="shared" si="43"/>
        <v>0.52173913043478259</v>
      </c>
      <c r="F70">
        <v>20</v>
      </c>
      <c r="G70" s="20">
        <f t="shared" si="44"/>
        <v>10</v>
      </c>
    </row>
    <row r="71" spans="1:10" x14ac:dyDescent="0.25">
      <c r="A71" t="s">
        <v>88</v>
      </c>
      <c r="B71" t="s">
        <v>97</v>
      </c>
      <c r="C71" s="20">
        <f t="shared" si="41"/>
        <v>0.95833333333333337</v>
      </c>
      <c r="D71">
        <f t="shared" si="42"/>
        <v>115</v>
      </c>
      <c r="E71" s="20">
        <f t="shared" si="43"/>
        <v>0.52173913043478259</v>
      </c>
      <c r="F71">
        <v>20</v>
      </c>
      <c r="G71" s="20">
        <f t="shared" si="44"/>
        <v>10</v>
      </c>
    </row>
    <row r="72" spans="1:10" x14ac:dyDescent="0.25">
      <c r="A72" t="s">
        <v>88</v>
      </c>
      <c r="B72" t="s">
        <v>94</v>
      </c>
      <c r="C72" s="20">
        <f t="shared" si="41"/>
        <v>0.95833333333333337</v>
      </c>
      <c r="D72">
        <f t="shared" si="42"/>
        <v>115</v>
      </c>
      <c r="E72" s="20">
        <f t="shared" si="43"/>
        <v>0.52173913043478259</v>
      </c>
      <c r="F72">
        <v>20</v>
      </c>
      <c r="G72" s="20">
        <f t="shared" si="44"/>
        <v>10</v>
      </c>
    </row>
    <row r="73" spans="1:10" x14ac:dyDescent="0.25">
      <c r="A73" t="s">
        <v>66</v>
      </c>
      <c r="B73" t="s">
        <v>89</v>
      </c>
      <c r="C73" s="20">
        <f t="shared" si="41"/>
        <v>1.0000000000000002</v>
      </c>
      <c r="D73">
        <f t="shared" si="42"/>
        <v>180</v>
      </c>
      <c r="E73" s="20">
        <f t="shared" si="43"/>
        <v>0.33333333333333331</v>
      </c>
      <c r="F73">
        <v>20</v>
      </c>
      <c r="G73" s="20">
        <f t="shared" si="44"/>
        <v>6.6666666666666679</v>
      </c>
    </row>
    <row r="74" spans="1:10" x14ac:dyDescent="0.25">
      <c r="A74" t="s">
        <v>66</v>
      </c>
      <c r="B74" t="s">
        <v>89</v>
      </c>
      <c r="C74" s="20">
        <f t="shared" si="41"/>
        <v>1.0000000000000002</v>
      </c>
      <c r="D74">
        <f t="shared" si="42"/>
        <v>180</v>
      </c>
      <c r="E74" s="20">
        <f>60/D74</f>
        <v>0.33333333333333331</v>
      </c>
      <c r="F74">
        <v>20</v>
      </c>
      <c r="G74" s="20">
        <f t="shared" si="44"/>
        <v>6.6666666666666679</v>
      </c>
    </row>
    <row r="75" spans="1:10" x14ac:dyDescent="0.25">
      <c r="A75" t="s">
        <v>66</v>
      </c>
      <c r="B75" t="s">
        <v>65</v>
      </c>
      <c r="C75" s="20">
        <f t="shared" si="41"/>
        <v>1.0000000000000002</v>
      </c>
      <c r="D75">
        <f t="shared" si="42"/>
        <v>180</v>
      </c>
      <c r="E75" s="20">
        <f t="shared" si="43"/>
        <v>0.33333333333333331</v>
      </c>
      <c r="F75">
        <v>20</v>
      </c>
      <c r="G75" s="20">
        <f t="shared" si="44"/>
        <v>6.6666666666666679</v>
      </c>
    </row>
    <row r="76" spans="1:10" x14ac:dyDescent="0.25">
      <c r="A76" t="s">
        <v>66</v>
      </c>
      <c r="B76" t="s">
        <v>90</v>
      </c>
      <c r="C76" s="20">
        <f t="shared" si="41"/>
        <v>1.0000000000000002</v>
      </c>
      <c r="D76">
        <f t="shared" si="42"/>
        <v>180</v>
      </c>
      <c r="E76" s="20">
        <f t="shared" si="43"/>
        <v>0.33333333333333331</v>
      </c>
      <c r="F76">
        <v>20</v>
      </c>
      <c r="G76" s="20">
        <f t="shared" si="44"/>
        <v>6.6666666666666679</v>
      </c>
    </row>
    <row r="77" spans="1:10" x14ac:dyDescent="0.25">
      <c r="A77" t="s">
        <v>66</v>
      </c>
      <c r="B77" t="s">
        <v>91</v>
      </c>
      <c r="C77" s="20">
        <f t="shared" si="41"/>
        <v>1.0000000000000002</v>
      </c>
      <c r="D77">
        <f t="shared" si="42"/>
        <v>180</v>
      </c>
      <c r="E77" s="20">
        <f t="shared" si="43"/>
        <v>0.33333333333333331</v>
      </c>
      <c r="F77">
        <v>20</v>
      </c>
      <c r="G77" s="20">
        <f t="shared" si="44"/>
        <v>6.6666666666666679</v>
      </c>
    </row>
    <row r="78" spans="1:10" x14ac:dyDescent="0.25">
      <c r="A78" t="s">
        <v>66</v>
      </c>
      <c r="B78" t="s">
        <v>92</v>
      </c>
      <c r="C78" s="20">
        <f t="shared" si="41"/>
        <v>1.0000000000000002</v>
      </c>
      <c r="D78">
        <f t="shared" si="42"/>
        <v>180</v>
      </c>
      <c r="E78" s="20">
        <f t="shared" si="43"/>
        <v>0.33333333333333331</v>
      </c>
      <c r="F78">
        <v>20</v>
      </c>
      <c r="G78" s="20">
        <f t="shared" si="44"/>
        <v>6.6666666666666679</v>
      </c>
    </row>
    <row r="79" spans="1:10" x14ac:dyDescent="0.25">
      <c r="A79" t="s">
        <v>66</v>
      </c>
      <c r="B79" t="s">
        <v>94</v>
      </c>
      <c r="C79" s="20">
        <f t="shared" si="41"/>
        <v>1.0000000000000002</v>
      </c>
      <c r="D79">
        <f t="shared" si="42"/>
        <v>180</v>
      </c>
      <c r="E79" s="20">
        <f t="shared" si="43"/>
        <v>0.33333333333333331</v>
      </c>
      <c r="F79">
        <v>20</v>
      </c>
      <c r="G79" s="20">
        <f t="shared" si="44"/>
        <v>6.6666666666666679</v>
      </c>
    </row>
    <row r="80" spans="1:10" x14ac:dyDescent="0.25">
      <c r="A80" t="s">
        <v>67</v>
      </c>
      <c r="B80" t="s">
        <v>89</v>
      </c>
      <c r="C80" s="20">
        <f t="shared" si="41"/>
        <v>1</v>
      </c>
      <c r="D80">
        <f t="shared" si="42"/>
        <v>30</v>
      </c>
      <c r="E80" s="20">
        <f t="shared" si="43"/>
        <v>2</v>
      </c>
      <c r="F80">
        <v>20</v>
      </c>
      <c r="G80" s="20">
        <f t="shared" si="44"/>
        <v>40</v>
      </c>
    </row>
    <row r="81" spans="1:7" x14ac:dyDescent="0.25">
      <c r="A81" t="s">
        <v>67</v>
      </c>
      <c r="B81" t="s">
        <v>65</v>
      </c>
      <c r="C81" s="20">
        <f t="shared" si="41"/>
        <v>1</v>
      </c>
      <c r="D81">
        <f t="shared" si="42"/>
        <v>30</v>
      </c>
      <c r="E81" s="20">
        <f t="shared" si="43"/>
        <v>2</v>
      </c>
      <c r="F81">
        <v>20</v>
      </c>
      <c r="G81" s="20">
        <f t="shared" si="44"/>
        <v>40</v>
      </c>
    </row>
    <row r="82" spans="1:7" x14ac:dyDescent="0.25">
      <c r="A82" t="s">
        <v>67</v>
      </c>
      <c r="B82" t="s">
        <v>96</v>
      </c>
      <c r="C82" s="20">
        <f t="shared" si="41"/>
        <v>1</v>
      </c>
      <c r="D82">
        <f t="shared" si="42"/>
        <v>30</v>
      </c>
      <c r="E82" s="20">
        <f t="shared" si="43"/>
        <v>2</v>
      </c>
      <c r="F82">
        <v>20</v>
      </c>
      <c r="G82" s="20">
        <f t="shared" si="44"/>
        <v>40</v>
      </c>
    </row>
    <row r="83" spans="1:7" x14ac:dyDescent="0.25">
      <c r="A83" t="s">
        <v>67</v>
      </c>
      <c r="B83" t="s">
        <v>94</v>
      </c>
      <c r="C83" s="20">
        <f t="shared" si="41"/>
        <v>1</v>
      </c>
      <c r="D83">
        <f t="shared" si="42"/>
        <v>30</v>
      </c>
      <c r="E83" s="20">
        <f t="shared" si="43"/>
        <v>2</v>
      </c>
      <c r="F83">
        <v>20</v>
      </c>
      <c r="G83" s="20">
        <f t="shared" si="44"/>
        <v>40</v>
      </c>
    </row>
  </sheetData>
  <mergeCells count="1">
    <mergeCell ref="A31:B31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:B13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tr">
        <f>'Автоматизированный расчет'!A33</f>
        <v>Главная Welcome страница</v>
      </c>
      <c r="B2" t="s">
        <v>78</v>
      </c>
    </row>
    <row r="3" spans="1:2" x14ac:dyDescent="0.25">
      <c r="A3" t="str">
        <f>'Автоматизированный расчет'!A34</f>
        <v>Вход в систему</v>
      </c>
      <c r="B3" t="s">
        <v>113</v>
      </c>
    </row>
    <row r="4" spans="1:2" x14ac:dyDescent="0.25">
      <c r="A4" t="str">
        <f>'Автоматизированный расчет'!A35</f>
        <v>Переход на страницу поиска билета</v>
      </c>
      <c r="B4" t="s">
        <v>84</v>
      </c>
    </row>
    <row r="5" spans="1:2" x14ac:dyDescent="0.25">
      <c r="A5" t="str">
        <f>'Автоматизированный расчет'!A36</f>
        <v xml:space="preserve">Заполнение полей для поиска билета </v>
      </c>
      <c r="B5" t="s">
        <v>116</v>
      </c>
    </row>
    <row r="6" spans="1:2" x14ac:dyDescent="0.25">
      <c r="A6" t="str">
        <f>'Автоматизированный расчет'!A37</f>
        <v xml:space="preserve">Выбор рейса из найденных </v>
      </c>
      <c r="B6" t="s">
        <v>115</v>
      </c>
    </row>
    <row r="7" spans="1:2" x14ac:dyDescent="0.25">
      <c r="A7" t="str">
        <f>'Автоматизированный расчет'!A38</f>
        <v>Оплата билета</v>
      </c>
      <c r="B7" t="s">
        <v>114</v>
      </c>
    </row>
    <row r="8" spans="1:2" x14ac:dyDescent="0.25">
      <c r="A8" t="str">
        <f>'Автоматизированный расчет'!A39</f>
        <v>Просмотр путевого листа</v>
      </c>
      <c r="B8" t="s">
        <v>108</v>
      </c>
    </row>
    <row r="9" spans="1:2" x14ac:dyDescent="0.25">
      <c r="A9" t="str">
        <f>'Автоматизированный расчет'!A40</f>
        <v xml:space="preserve">Отмена бронирования </v>
      </c>
      <c r="B9" t="s">
        <v>111</v>
      </c>
    </row>
    <row r="10" spans="1:2" x14ac:dyDescent="0.25">
      <c r="A10" t="str">
        <f>'Автоматизированный расчет'!A41</f>
        <v>Выход из системы</v>
      </c>
      <c r="B10" t="s">
        <v>117</v>
      </c>
    </row>
    <row r="11" spans="1:2" x14ac:dyDescent="0.25">
      <c r="A11" t="str">
        <f>'Автоматизированный расчет'!A42</f>
        <v>Переход на страницу регистрации</v>
      </c>
      <c r="B11" t="s">
        <v>109</v>
      </c>
    </row>
    <row r="12" spans="1:2" x14ac:dyDescent="0.25">
      <c r="A12" t="str">
        <f>'Автоматизированный расчет'!A43</f>
        <v>Заполнение полей регистарции</v>
      </c>
      <c r="B12" t="s">
        <v>110</v>
      </c>
    </row>
    <row r="13" spans="1:2" x14ac:dyDescent="0.25">
      <c r="A13" t="str">
        <f>'Автоматизированный расчет'!A44</f>
        <v>Переход на следуюущий эран после регистрации</v>
      </c>
      <c r="B1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20" sqref="A20"/>
    </sheetView>
  </sheetViews>
  <sheetFormatPr defaultRowHeight="15" x14ac:dyDescent="0.25"/>
  <cols>
    <col min="1" max="1" width="36.42578125" bestFit="1" customWidth="1"/>
    <col min="2" max="2" width="17" customWidth="1"/>
    <col min="3" max="3" width="15.42578125" customWidth="1"/>
    <col min="4" max="4" width="13.85546875" customWidth="1"/>
    <col min="5" max="5" width="14.140625" customWidth="1"/>
    <col min="6" max="6" width="11" customWidth="1"/>
    <col min="7" max="7" width="11.28515625" customWidth="1"/>
  </cols>
  <sheetData>
    <row r="1" spans="1:10" x14ac:dyDescent="0.25">
      <c r="A1" s="73" t="s">
        <v>26</v>
      </c>
      <c r="B1" s="73" t="s">
        <v>79</v>
      </c>
      <c r="C1" s="73" t="s">
        <v>106</v>
      </c>
      <c r="D1" s="73" t="s">
        <v>107</v>
      </c>
      <c r="E1" s="73" t="s">
        <v>80</v>
      </c>
      <c r="F1" s="73" t="s">
        <v>81</v>
      </c>
      <c r="G1" s="73" t="s">
        <v>82</v>
      </c>
      <c r="H1" s="73" t="s">
        <v>27</v>
      </c>
      <c r="I1" s="73" t="s">
        <v>28</v>
      </c>
      <c r="J1" s="73" t="s">
        <v>29</v>
      </c>
    </row>
    <row r="2" spans="1:10" x14ac:dyDescent="0.25">
      <c r="A2" s="73" t="s">
        <v>103</v>
      </c>
      <c r="B2" s="73" t="s">
        <v>83</v>
      </c>
      <c r="C2" s="73">
        <v>0</v>
      </c>
      <c r="D2" s="73">
        <v>0</v>
      </c>
      <c r="E2" s="73">
        <v>0.67200000000000004</v>
      </c>
      <c r="F2" s="73">
        <v>0.13900000000000001</v>
      </c>
      <c r="G2" s="73">
        <v>0.63400000000000001</v>
      </c>
      <c r="H2" s="73">
        <v>176</v>
      </c>
      <c r="I2" s="73">
        <v>0</v>
      </c>
      <c r="J2" s="73">
        <v>0</v>
      </c>
    </row>
    <row r="3" spans="1:10" x14ac:dyDescent="0.25">
      <c r="A3" s="73" t="s">
        <v>84</v>
      </c>
      <c r="B3" s="73" t="s">
        <v>83</v>
      </c>
      <c r="C3" s="73">
        <v>0</v>
      </c>
      <c r="D3" s="73">
        <v>0</v>
      </c>
      <c r="E3" s="73">
        <v>0.14499999999999999</v>
      </c>
      <c r="F3" s="73">
        <v>1.0999999999999999E-2</v>
      </c>
      <c r="G3" s="73">
        <v>0.129</v>
      </c>
      <c r="H3" s="73">
        <v>107</v>
      </c>
      <c r="I3" s="73">
        <v>0</v>
      </c>
      <c r="J3" s="73">
        <v>0</v>
      </c>
    </row>
    <row r="4" spans="1:10" x14ac:dyDescent="0.25">
      <c r="A4" s="73" t="s">
        <v>108</v>
      </c>
      <c r="B4" s="73" t="s">
        <v>83</v>
      </c>
      <c r="C4" s="73">
        <v>0</v>
      </c>
      <c r="D4" s="73">
        <v>0</v>
      </c>
      <c r="E4" s="73">
        <v>0.14499999999999999</v>
      </c>
      <c r="F4" s="73">
        <v>8.0000000000000002E-3</v>
      </c>
      <c r="G4" s="73">
        <v>0.129</v>
      </c>
      <c r="H4" s="73">
        <v>96</v>
      </c>
      <c r="I4" s="73">
        <v>0</v>
      </c>
      <c r="J4" s="73">
        <v>0</v>
      </c>
    </row>
    <row r="5" spans="1:10" x14ac:dyDescent="0.25">
      <c r="A5" s="73" t="s">
        <v>109</v>
      </c>
      <c r="B5" s="73" t="s">
        <v>83</v>
      </c>
      <c r="C5" s="73">
        <v>0</v>
      </c>
      <c r="D5" s="73">
        <v>0</v>
      </c>
      <c r="E5" s="73">
        <v>4.3999999999999997E-2</v>
      </c>
      <c r="F5" s="73">
        <v>2E-3</v>
      </c>
      <c r="G5" s="73">
        <v>4.2999999999999997E-2</v>
      </c>
      <c r="H5" s="73">
        <v>32</v>
      </c>
      <c r="I5" s="73">
        <v>0</v>
      </c>
      <c r="J5" s="73">
        <v>0</v>
      </c>
    </row>
    <row r="6" spans="1:10" x14ac:dyDescent="0.25">
      <c r="A6" s="73" t="s">
        <v>110</v>
      </c>
      <c r="B6" s="73" t="s">
        <v>83</v>
      </c>
      <c r="C6" s="73">
        <v>0</v>
      </c>
      <c r="D6" s="73">
        <v>0</v>
      </c>
      <c r="E6" s="73">
        <v>4.9000000000000002E-2</v>
      </c>
      <c r="F6" s="73">
        <v>3.0000000000000001E-3</v>
      </c>
      <c r="G6" s="73">
        <v>4.2000000000000003E-2</v>
      </c>
      <c r="H6" s="73">
        <v>32</v>
      </c>
      <c r="I6" s="73">
        <v>0</v>
      </c>
      <c r="J6" s="73">
        <v>0</v>
      </c>
    </row>
    <row r="7" spans="1:10" x14ac:dyDescent="0.25">
      <c r="A7" s="73" t="s">
        <v>111</v>
      </c>
      <c r="B7" s="73" t="s">
        <v>83</v>
      </c>
      <c r="C7" s="73">
        <v>0</v>
      </c>
      <c r="D7" s="73">
        <v>0</v>
      </c>
      <c r="E7" s="73">
        <v>7.5999999999999998E-2</v>
      </c>
      <c r="F7" s="73">
        <v>6.0000000000000001E-3</v>
      </c>
      <c r="G7" s="73">
        <v>7.4999999999999997E-2</v>
      </c>
      <c r="H7" s="73">
        <v>23</v>
      </c>
      <c r="I7" s="73">
        <v>0</v>
      </c>
      <c r="J7" s="73">
        <v>0</v>
      </c>
    </row>
    <row r="8" spans="1:10" x14ac:dyDescent="0.25">
      <c r="A8" s="73" t="s">
        <v>112</v>
      </c>
      <c r="B8" s="73" t="s">
        <v>83</v>
      </c>
      <c r="C8" s="73">
        <v>0</v>
      </c>
      <c r="D8" s="73">
        <v>0</v>
      </c>
      <c r="E8" s="73">
        <v>0.129</v>
      </c>
      <c r="F8" s="73">
        <v>1.2999999999999999E-2</v>
      </c>
      <c r="G8" s="73">
        <v>9.7000000000000003E-2</v>
      </c>
      <c r="H8" s="73">
        <v>32</v>
      </c>
      <c r="I8" s="73">
        <v>0</v>
      </c>
      <c r="J8" s="73">
        <v>0</v>
      </c>
    </row>
    <row r="9" spans="1:10" x14ac:dyDescent="0.25">
      <c r="A9" s="73" t="s">
        <v>113</v>
      </c>
      <c r="B9" s="73" t="s">
        <v>83</v>
      </c>
      <c r="C9" s="73">
        <v>0</v>
      </c>
      <c r="D9" s="73">
        <v>0</v>
      </c>
      <c r="E9" s="73">
        <v>0.14499999999999999</v>
      </c>
      <c r="F9" s="73">
        <v>1.2E-2</v>
      </c>
      <c r="G9" s="73">
        <v>0.128</v>
      </c>
      <c r="H9" s="73">
        <v>147</v>
      </c>
      <c r="I9" s="73">
        <v>0</v>
      </c>
      <c r="J9" s="73">
        <v>0</v>
      </c>
    </row>
    <row r="10" spans="1:10" x14ac:dyDescent="0.25">
      <c r="A10" s="73" t="s">
        <v>114</v>
      </c>
      <c r="B10" s="73" t="s">
        <v>83</v>
      </c>
      <c r="C10" s="73">
        <v>0</v>
      </c>
      <c r="D10" s="73">
        <v>0</v>
      </c>
      <c r="E10" s="73">
        <v>5.8999999999999997E-2</v>
      </c>
      <c r="F10" s="73">
        <v>3.0000000000000001E-3</v>
      </c>
      <c r="G10" s="73">
        <v>4.8000000000000001E-2</v>
      </c>
      <c r="H10" s="73">
        <v>58</v>
      </c>
      <c r="I10" s="73">
        <v>0</v>
      </c>
      <c r="J10" s="73">
        <v>0</v>
      </c>
    </row>
    <row r="11" spans="1:10" x14ac:dyDescent="0.25">
      <c r="A11" s="73" t="s">
        <v>115</v>
      </c>
      <c r="B11" s="73" t="s">
        <v>83</v>
      </c>
      <c r="C11" s="73">
        <v>0</v>
      </c>
      <c r="D11" s="73">
        <v>0</v>
      </c>
      <c r="E11" s="73">
        <v>5.6000000000000001E-2</v>
      </c>
      <c r="F11" s="73">
        <v>3.0000000000000001E-3</v>
      </c>
      <c r="G11" s="73">
        <v>4.8000000000000001E-2</v>
      </c>
      <c r="H11" s="73">
        <v>93</v>
      </c>
      <c r="I11" s="73">
        <v>0</v>
      </c>
      <c r="J11" s="73">
        <v>0</v>
      </c>
    </row>
    <row r="12" spans="1:10" x14ac:dyDescent="0.25">
      <c r="A12" s="73" t="s">
        <v>116</v>
      </c>
      <c r="B12" s="73" t="s">
        <v>83</v>
      </c>
      <c r="C12" s="73">
        <v>0</v>
      </c>
      <c r="D12" s="73">
        <v>0</v>
      </c>
      <c r="E12" s="73">
        <v>5.0999999999999997E-2</v>
      </c>
      <c r="F12" s="73">
        <v>3.0000000000000001E-3</v>
      </c>
      <c r="G12" s="73">
        <v>4.7E-2</v>
      </c>
      <c r="H12" s="73">
        <v>93</v>
      </c>
      <c r="I12" s="73">
        <v>0</v>
      </c>
      <c r="J12" s="73">
        <v>0</v>
      </c>
    </row>
    <row r="13" spans="1:10" x14ac:dyDescent="0.25">
      <c r="A13" s="73" t="s">
        <v>78</v>
      </c>
      <c r="B13" s="73" t="s">
        <v>83</v>
      </c>
      <c r="C13" s="73">
        <v>0</v>
      </c>
      <c r="D13" s="73">
        <v>0</v>
      </c>
      <c r="E13" s="73">
        <v>0.111</v>
      </c>
      <c r="F13" s="73">
        <v>1.0999999999999999E-2</v>
      </c>
      <c r="G13" s="73">
        <v>9.6000000000000002E-2</v>
      </c>
      <c r="H13" s="73">
        <v>178</v>
      </c>
      <c r="I13" s="73">
        <v>0</v>
      </c>
      <c r="J13" s="73">
        <v>0</v>
      </c>
    </row>
    <row r="14" spans="1:10" x14ac:dyDescent="0.25">
      <c r="A14" s="73" t="s">
        <v>117</v>
      </c>
      <c r="B14" s="73" t="s">
        <v>83</v>
      </c>
      <c r="C14" s="73">
        <v>0</v>
      </c>
      <c r="D14" s="73">
        <v>0</v>
      </c>
      <c r="E14" s="73">
        <v>0.08</v>
      </c>
      <c r="F14" s="73">
        <v>4.0000000000000001E-3</v>
      </c>
      <c r="G14" s="73">
        <v>7.4999999999999997E-2</v>
      </c>
      <c r="H14" s="73">
        <v>106</v>
      </c>
      <c r="I14" s="73">
        <v>0</v>
      </c>
      <c r="J14" s="73">
        <v>0</v>
      </c>
    </row>
    <row r="15" spans="1:10" x14ac:dyDescent="0.25">
      <c r="A15" s="73" t="s">
        <v>118</v>
      </c>
      <c r="B15" s="73" t="s">
        <v>83</v>
      </c>
      <c r="C15" s="73">
        <v>0</v>
      </c>
      <c r="D15" s="73">
        <v>0</v>
      </c>
      <c r="E15" s="73">
        <v>0.67200000000000004</v>
      </c>
      <c r="F15" s="73">
        <v>0.02</v>
      </c>
      <c r="G15" s="73">
        <v>0.66200000000000003</v>
      </c>
      <c r="H15" s="73">
        <v>57</v>
      </c>
      <c r="I15" s="73">
        <v>0</v>
      </c>
      <c r="J15" s="73">
        <v>0</v>
      </c>
    </row>
    <row r="16" spans="1:10" x14ac:dyDescent="0.25">
      <c r="A16" s="73" t="s">
        <v>119</v>
      </c>
      <c r="B16" s="73" t="s">
        <v>83</v>
      </c>
      <c r="C16" s="73">
        <v>0</v>
      </c>
      <c r="D16" s="73">
        <v>0</v>
      </c>
      <c r="E16" s="73">
        <v>0.42499999999999999</v>
      </c>
      <c r="F16" s="73">
        <v>1.2999999999999999E-2</v>
      </c>
      <c r="G16" s="73">
        <v>0.40600000000000003</v>
      </c>
      <c r="H16" s="73">
        <v>14</v>
      </c>
      <c r="I16" s="73">
        <v>0</v>
      </c>
      <c r="J16" s="73">
        <v>0</v>
      </c>
    </row>
    <row r="17" spans="1:10" x14ac:dyDescent="0.25">
      <c r="A17" s="73" t="s">
        <v>120</v>
      </c>
      <c r="B17" s="73" t="s">
        <v>83</v>
      </c>
      <c r="C17" s="73">
        <v>0</v>
      </c>
      <c r="D17" s="73">
        <v>0</v>
      </c>
      <c r="E17" s="73">
        <v>0.52200000000000002</v>
      </c>
      <c r="F17" s="73">
        <v>1.6E-2</v>
      </c>
      <c r="G17" s="73">
        <v>0.498</v>
      </c>
      <c r="H17" s="73">
        <v>35</v>
      </c>
      <c r="I17" s="73">
        <v>0</v>
      </c>
      <c r="J17" s="73">
        <v>0</v>
      </c>
    </row>
    <row r="18" spans="1:10" x14ac:dyDescent="0.25">
      <c r="A18" s="73" t="s">
        <v>121</v>
      </c>
      <c r="B18" s="73" t="s">
        <v>83</v>
      </c>
      <c r="C18" s="73">
        <v>0</v>
      </c>
      <c r="D18" s="73">
        <v>0</v>
      </c>
      <c r="E18" s="73">
        <v>0.35299999999999998</v>
      </c>
      <c r="F18" s="73">
        <v>2.1000000000000001E-2</v>
      </c>
      <c r="G18" s="73">
        <v>0.35299999999999998</v>
      </c>
      <c r="H18" s="73">
        <v>15</v>
      </c>
      <c r="I18" s="73">
        <v>0</v>
      </c>
      <c r="J18" s="73">
        <v>0</v>
      </c>
    </row>
    <row r="19" spans="1:10" x14ac:dyDescent="0.25">
      <c r="A19" s="73" t="s">
        <v>122</v>
      </c>
      <c r="B19" s="73" t="s">
        <v>83</v>
      </c>
      <c r="C19" s="73">
        <v>0</v>
      </c>
      <c r="D19" s="73">
        <v>0</v>
      </c>
      <c r="E19" s="73">
        <v>0.437</v>
      </c>
      <c r="F19" s="73">
        <v>0.02</v>
      </c>
      <c r="G19" s="73">
        <v>0.41399999999999998</v>
      </c>
      <c r="H19" s="73">
        <v>23</v>
      </c>
      <c r="I19" s="73">
        <v>0</v>
      </c>
      <c r="J19" s="73">
        <v>0</v>
      </c>
    </row>
    <row r="20" spans="1:10" x14ac:dyDescent="0.25">
      <c r="A20" s="73" t="s">
        <v>123</v>
      </c>
      <c r="B20" s="73" t="s">
        <v>83</v>
      </c>
      <c r="C20" s="73">
        <v>0</v>
      </c>
      <c r="D20" s="73">
        <v>0</v>
      </c>
      <c r="E20" s="73">
        <v>0.29899999999999999</v>
      </c>
      <c r="F20" s="73">
        <v>1.2E-2</v>
      </c>
      <c r="G20" s="73">
        <v>0.27600000000000002</v>
      </c>
      <c r="H20" s="73">
        <v>32</v>
      </c>
      <c r="I20" s="73">
        <v>0</v>
      </c>
      <c r="J20" s="73">
        <v>0</v>
      </c>
    </row>
    <row r="21" spans="1:10" x14ac:dyDescent="0.25">
      <c r="A21" s="72"/>
      <c r="B21" s="72"/>
      <c r="C21" s="72"/>
      <c r="D21" s="72"/>
      <c r="E21" s="72"/>
      <c r="F21" s="72"/>
      <c r="G21" s="72"/>
      <c r="H21" s="72"/>
      <c r="I21" s="72"/>
      <c r="J21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abSelected="1" topLeftCell="A13" workbookViewId="0">
      <selection activeCell="L17" sqref="L1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89" t="s">
        <v>32</v>
      </c>
      <c r="F9" s="89"/>
      <c r="G9" s="89"/>
      <c r="H9" s="89"/>
      <c r="I9" s="89"/>
    </row>
    <row r="11" spans="5:9" ht="28.5" x14ac:dyDescent="0.25"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</row>
    <row r="12" spans="5:9" ht="15.75" x14ac:dyDescent="0.25">
      <c r="E12" s="2" t="s">
        <v>0</v>
      </c>
      <c r="F12" s="3" t="s">
        <v>23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22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25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18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19</v>
      </c>
      <c r="F16" s="3" t="s">
        <v>21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4</v>
      </c>
      <c r="F17" s="3" t="s">
        <v>20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5</v>
      </c>
      <c r="F18" s="3" t="s">
        <v>24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89" t="s">
        <v>30</v>
      </c>
      <c r="F23" s="89"/>
      <c r="G23" s="89"/>
      <c r="H23" s="89"/>
      <c r="I23" s="89"/>
    </row>
    <row r="25" spans="5:9" x14ac:dyDescent="0.25">
      <c r="E25" s="8" t="s">
        <v>13</v>
      </c>
      <c r="F25" s="8" t="s">
        <v>14</v>
      </c>
      <c r="G25" s="8" t="s">
        <v>15</v>
      </c>
      <c r="H25" s="8" t="s">
        <v>16</v>
      </c>
      <c r="I25" s="8" t="s">
        <v>17</v>
      </c>
    </row>
    <row r="26" spans="5:9" ht="15.75" x14ac:dyDescent="0.25">
      <c r="E26" s="13" t="s">
        <v>0</v>
      </c>
      <c r="F26" s="12" t="s">
        <v>23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22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25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18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19</v>
      </c>
      <c r="F30" s="12" t="s">
        <v>21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4</v>
      </c>
      <c r="F31" s="12" t="s">
        <v>20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5</v>
      </c>
      <c r="F32" s="12" t="s">
        <v>24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89" t="s">
        <v>31</v>
      </c>
      <c r="F35" s="89"/>
      <c r="G35" s="89"/>
      <c r="H35" s="89"/>
      <c r="I35" s="89"/>
    </row>
    <row r="37" spans="5:15" x14ac:dyDescent="0.25">
      <c r="E37" s="8" t="s">
        <v>13</v>
      </c>
      <c r="F37" s="8" t="s">
        <v>14</v>
      </c>
      <c r="G37" s="8" t="s">
        <v>15</v>
      </c>
      <c r="H37" s="8" t="s">
        <v>16</v>
      </c>
      <c r="I37" s="8" t="s">
        <v>17</v>
      </c>
      <c r="L37" s="14" t="s">
        <v>26</v>
      </c>
      <c r="M37" s="14" t="s">
        <v>27</v>
      </c>
      <c r="N37" s="14" t="s">
        <v>28</v>
      </c>
      <c r="O37" s="14" t="s">
        <v>29</v>
      </c>
    </row>
    <row r="38" spans="5:15" ht="15.75" x14ac:dyDescent="0.25">
      <c r="E38" s="13" t="s">
        <v>0</v>
      </c>
      <c r="F38" s="12" t="s">
        <v>23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20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22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21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25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22</v>
      </c>
      <c r="M40" s="14" t="s">
        <v>33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18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23</v>
      </c>
      <c r="M41" s="14" t="s">
        <v>34</v>
      </c>
      <c r="N41" s="14">
        <v>139</v>
      </c>
      <c r="O41" s="14">
        <v>0</v>
      </c>
    </row>
    <row r="42" spans="5:15" ht="15.75" x14ac:dyDescent="0.25">
      <c r="E42" s="13" t="s">
        <v>19</v>
      </c>
      <c r="F42" s="12" t="s">
        <v>21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24</v>
      </c>
      <c r="M42" s="14" t="s">
        <v>35</v>
      </c>
      <c r="N42" s="14">
        <v>1</v>
      </c>
      <c r="O42" s="14">
        <v>0</v>
      </c>
    </row>
    <row r="43" spans="5:15" ht="15.75" x14ac:dyDescent="0.25">
      <c r="E43" s="13" t="s">
        <v>4</v>
      </c>
      <c r="F43" s="12" t="s">
        <v>20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18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5</v>
      </c>
      <c r="F44" s="12" t="s">
        <v>24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25</v>
      </c>
      <c r="M44" s="14" t="s">
        <v>33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9" sqref="B9"/>
    </sheetView>
  </sheetViews>
  <sheetFormatPr defaultRowHeight="15" x14ac:dyDescent="0.25"/>
  <cols>
    <col min="1" max="1" width="30.5703125" customWidth="1"/>
    <col min="2" max="2" width="12.5703125" customWidth="1"/>
    <col min="3" max="3" width="13.42578125" customWidth="1"/>
    <col min="4" max="4" width="21.28515625" customWidth="1"/>
  </cols>
  <sheetData>
    <row r="1" spans="1:8" ht="18.75" x14ac:dyDescent="0.25">
      <c r="A1" s="81" t="s">
        <v>126</v>
      </c>
      <c r="B1" s="81" t="s">
        <v>127</v>
      </c>
      <c r="C1" s="81" t="s">
        <v>128</v>
      </c>
      <c r="D1" s="81" t="s">
        <v>129</v>
      </c>
      <c r="G1" s="85"/>
      <c r="H1" s="85"/>
    </row>
    <row r="2" spans="1:8" ht="18.75" x14ac:dyDescent="0.25">
      <c r="A2" s="82" t="s">
        <v>78</v>
      </c>
      <c r="B2" s="80">
        <v>1903</v>
      </c>
      <c r="C2" s="80" t="s">
        <v>134</v>
      </c>
      <c r="D2" s="83">
        <v>0</v>
      </c>
      <c r="G2" s="84"/>
      <c r="H2" s="85"/>
    </row>
    <row r="3" spans="1:8" ht="18.75" x14ac:dyDescent="0.25">
      <c r="A3" s="82" t="s">
        <v>113</v>
      </c>
      <c r="B3" s="80">
        <f>'Автоматизированный расчет'!G34*10.8</f>
        <v>1557.5001355380864</v>
      </c>
      <c r="C3" s="80" t="s">
        <v>131</v>
      </c>
      <c r="D3" s="83">
        <v>0</v>
      </c>
      <c r="G3" s="84"/>
      <c r="H3" s="85"/>
    </row>
    <row r="4" spans="1:8" ht="18.75" x14ac:dyDescent="0.25">
      <c r="A4" s="82" t="s">
        <v>84</v>
      </c>
      <c r="B4" s="80">
        <f>'Автоматизированный расчет'!G35*10.8</f>
        <v>1141.3824884792625</v>
      </c>
      <c r="C4" s="80" t="s">
        <v>130</v>
      </c>
      <c r="D4" s="83">
        <v>0.05</v>
      </c>
      <c r="G4" s="84"/>
      <c r="H4" s="85"/>
    </row>
    <row r="5" spans="1:8" ht="18.75" x14ac:dyDescent="0.25">
      <c r="A5" s="82" t="s">
        <v>116</v>
      </c>
      <c r="B5" s="80">
        <f>'Автоматизированный расчет'!G36*10.8</f>
        <v>997.38248847926263</v>
      </c>
      <c r="C5" s="80" t="s">
        <v>133</v>
      </c>
      <c r="D5" s="83">
        <v>0.05</v>
      </c>
      <c r="G5" s="84"/>
      <c r="H5" s="85"/>
    </row>
    <row r="6" spans="1:8" ht="18.75" x14ac:dyDescent="0.25">
      <c r="A6" s="82" t="s">
        <v>115</v>
      </c>
      <c r="B6" s="80">
        <f>'Автоматизированный расчет'!G37*10.8</f>
        <v>997.38248847926263</v>
      </c>
      <c r="C6" s="80" t="s">
        <v>132</v>
      </c>
      <c r="D6" s="83">
        <v>0.05</v>
      </c>
      <c r="G6" s="84"/>
      <c r="H6" s="85"/>
    </row>
    <row r="7" spans="1:8" ht="18.75" x14ac:dyDescent="0.25">
      <c r="A7" s="82" t="s">
        <v>114</v>
      </c>
      <c r="B7" s="80">
        <f>'Автоматизированный расчет'!G38*10.8</f>
        <v>627.09677419354841</v>
      </c>
      <c r="C7" s="86">
        <v>638</v>
      </c>
      <c r="D7" s="83">
        <f>1-C7/B7</f>
        <v>-1.738683127572016E-2</v>
      </c>
      <c r="G7" s="84"/>
      <c r="H7" s="85"/>
    </row>
    <row r="8" spans="1:8" ht="18.75" x14ac:dyDescent="0.25">
      <c r="A8" s="82" t="s">
        <v>108</v>
      </c>
      <c r="B8" s="80">
        <f>'Автоматизированный расчет'!G39*10.8</f>
        <v>1043.2144212523717</v>
      </c>
      <c r="C8" s="86">
        <v>987</v>
      </c>
      <c r="D8" s="83">
        <v>0.05</v>
      </c>
      <c r="G8" s="84"/>
      <c r="H8" s="85"/>
    </row>
    <row r="9" spans="1:8" ht="18.75" x14ac:dyDescent="0.25">
      <c r="A9" s="82" t="s">
        <v>111</v>
      </c>
      <c r="B9" s="80">
        <f>'Автоматизированный расчет'!G40*10.8</f>
        <v>254.11764705882356</v>
      </c>
      <c r="C9" s="86">
        <v>212</v>
      </c>
      <c r="D9" s="83">
        <f>1-B9/C9</f>
        <v>-0.19866814650388465</v>
      </c>
      <c r="G9" s="84"/>
      <c r="H9" s="85"/>
    </row>
    <row r="10" spans="1:8" ht="18.75" x14ac:dyDescent="0.25">
      <c r="A10" s="82" t="s">
        <v>117</v>
      </c>
      <c r="B10" s="80">
        <f>'Автоматизированный расчет'!G41*10.8</f>
        <v>1141.3824884792625</v>
      </c>
      <c r="C10" s="80" t="s">
        <v>135</v>
      </c>
      <c r="D10" s="83">
        <v>0.05</v>
      </c>
      <c r="G10" s="84"/>
      <c r="H10" s="85"/>
    </row>
    <row r="11" spans="1:8" ht="18.75" x14ac:dyDescent="0.25">
      <c r="A11" s="82" t="s">
        <v>109</v>
      </c>
      <c r="B11" s="80">
        <f>'Автоматизированный расчет'!G42*10.8</f>
        <v>345.6</v>
      </c>
      <c r="C11" s="86">
        <v>336</v>
      </c>
      <c r="D11" s="83">
        <f>1-B11/C11</f>
        <v>-2.8571428571428692E-2</v>
      </c>
      <c r="G11" s="84"/>
      <c r="H11" s="85"/>
    </row>
    <row r="12" spans="1:8" ht="18.75" x14ac:dyDescent="0.25">
      <c r="A12" s="82" t="s">
        <v>110</v>
      </c>
      <c r="B12" s="80">
        <f>'Автоматизированный расчет'!G43*10.8</f>
        <v>345.6</v>
      </c>
      <c r="C12" s="86">
        <v>336</v>
      </c>
      <c r="D12" s="83">
        <f>1-B12/C12</f>
        <v>-2.8571428571428692E-2</v>
      </c>
      <c r="G12" s="84"/>
      <c r="H12" s="85"/>
    </row>
    <row r="13" spans="1:8" ht="18.75" x14ac:dyDescent="0.25">
      <c r="A13" s="82" t="s">
        <v>112</v>
      </c>
      <c r="B13" s="80">
        <f>'Автоматизированный расчет'!G44*10.8</f>
        <v>345.6</v>
      </c>
      <c r="C13" s="86">
        <v>335</v>
      </c>
      <c r="D13" s="83">
        <f>1-B13/C13</f>
        <v>-3.1641791044776157E-2</v>
      </c>
      <c r="G13" s="84"/>
      <c r="H13" s="85"/>
    </row>
    <row r="16" spans="1:8" x14ac:dyDescent="0.25">
      <c r="C16" s="92"/>
    </row>
    <row r="17" spans="3:3" x14ac:dyDescent="0.25">
      <c r="C17" s="92"/>
    </row>
    <row r="18" spans="3:3" x14ac:dyDescent="0.25">
      <c r="C18" s="92"/>
    </row>
    <row r="19" spans="3:3" x14ac:dyDescent="0.25">
      <c r="C19" s="92"/>
    </row>
    <row r="20" spans="3:3" x14ac:dyDescent="0.25">
      <c r="C20" s="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Результаты всех тестов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Сергей Кузнецов</cp:lastModifiedBy>
  <dcterms:created xsi:type="dcterms:W3CDTF">2015-06-05T18:19:34Z</dcterms:created>
  <dcterms:modified xsi:type="dcterms:W3CDTF">2023-05-03T19:50:50Z</dcterms:modified>
</cp:coreProperties>
</file>