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showInkAnnotation="0" autoCompressPictures="0"/>
  <bookViews>
    <workbookView xWindow="13040" yWindow="5640" windowWidth="19100" windowHeight="10840" tabRatio="777" activeTab="2"/>
  </bookViews>
  <sheets>
    <sheet name="Constants &amp; Parameters" sheetId="5" r:id="rId1"/>
    <sheet name="Geographic to Grid" sheetId="2" r:id="rId2"/>
    <sheet name="Grid to Geographic" sheetId="3" r:id="rId3"/>
    <sheet name="Test data" sheetId="4" r:id="rId4"/>
  </sheets>
  <externalReferences>
    <externalReference r:id="rId5"/>
  </externalReferenc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6" i="2" l="1"/>
  <c r="C7" i="2"/>
  <c r="C9" i="2"/>
  <c r="C8" i="2"/>
  <c r="L8" i="2"/>
  <c r="L7" i="2"/>
  <c r="G30" i="3"/>
  <c r="L8" i="3"/>
  <c r="L9" i="3"/>
  <c r="L11" i="3"/>
  <c r="G18" i="3"/>
  <c r="L12" i="3"/>
  <c r="G19" i="3"/>
  <c r="L13" i="3"/>
  <c r="G20" i="3"/>
  <c r="L14" i="3"/>
  <c r="G21" i="3"/>
  <c r="L15" i="3"/>
  <c r="G22" i="3"/>
  <c r="G23" i="3"/>
  <c r="J30" i="3"/>
  <c r="G25" i="3"/>
  <c r="L19" i="3"/>
  <c r="G27" i="3"/>
  <c r="L18" i="3"/>
  <c r="L7" i="3"/>
  <c r="E8" i="3"/>
  <c r="E9" i="3"/>
  <c r="E7" i="3"/>
  <c r="M8" i="2"/>
  <c r="H24" i="2"/>
  <c r="H25" i="2"/>
  <c r="F6" i="2"/>
  <c r="G6" i="2"/>
  <c r="E24" i="2"/>
  <c r="E25" i="2"/>
  <c r="E11" i="2"/>
  <c r="K12" i="2"/>
  <c r="K18" i="2"/>
  <c r="K17" i="2"/>
  <c r="M24" i="2"/>
  <c r="K44" i="2"/>
  <c r="H27" i="2"/>
  <c r="E27" i="2"/>
  <c r="M25" i="2"/>
  <c r="M26" i="2"/>
  <c r="K24" i="2"/>
  <c r="K25" i="2"/>
  <c r="K45" i="2"/>
  <c r="H26" i="2"/>
  <c r="H29" i="2"/>
  <c r="E26" i="2"/>
  <c r="E29" i="2"/>
  <c r="K27" i="2"/>
  <c r="K46" i="2"/>
  <c r="K47" i="2"/>
  <c r="K49" i="2"/>
  <c r="K41" i="2"/>
  <c r="K35" i="2"/>
  <c r="K36" i="2"/>
  <c r="E28" i="2"/>
  <c r="M27" i="2"/>
  <c r="K37" i="2"/>
  <c r="H31" i="2"/>
  <c r="E30" i="2"/>
  <c r="K29" i="2"/>
  <c r="K38" i="2"/>
  <c r="K13" i="2"/>
  <c r="K14" i="2"/>
  <c r="M11" i="2"/>
  <c r="E17" i="2"/>
  <c r="M12" i="2"/>
  <c r="E12" i="2"/>
  <c r="E18" i="2"/>
  <c r="M13" i="2"/>
  <c r="E13" i="2"/>
  <c r="E19" i="2"/>
  <c r="M14" i="2"/>
  <c r="E14" i="2"/>
  <c r="E20" i="2"/>
  <c r="E21" i="2"/>
  <c r="K34" i="2"/>
  <c r="K39" i="2"/>
  <c r="K40" i="2"/>
  <c r="E41" i="2"/>
  <c r="E35" i="2"/>
  <c r="E36" i="2"/>
  <c r="H28" i="2"/>
  <c r="E37" i="2"/>
  <c r="H30" i="2"/>
  <c r="E38" i="2"/>
  <c r="E39" i="2"/>
  <c r="E40" i="2"/>
  <c r="P39" i="3"/>
  <c r="C28" i="5"/>
  <c r="C29" i="5"/>
  <c r="C10" i="5"/>
  <c r="C9" i="5"/>
  <c r="C16" i="5"/>
  <c r="C17" i="5"/>
  <c r="C19" i="5"/>
  <c r="C20" i="5"/>
  <c r="C18" i="5"/>
  <c r="C11" i="5"/>
  <c r="C13" i="5"/>
  <c r="C14" i="5"/>
  <c r="C12" i="5"/>
  <c r="C8" i="5"/>
  <c r="M39" i="3"/>
  <c r="H30" i="3"/>
  <c r="G26" i="3"/>
  <c r="Q40" i="3"/>
  <c r="H31" i="3"/>
  <c r="H32" i="3"/>
  <c r="K30" i="3"/>
  <c r="J31" i="3"/>
  <c r="Q41" i="3"/>
  <c r="H33" i="3"/>
  <c r="H34" i="3"/>
  <c r="K31" i="3"/>
  <c r="K32" i="3"/>
  <c r="J33" i="3"/>
  <c r="Q42" i="3"/>
  <c r="H35" i="3"/>
  <c r="H36" i="3"/>
  <c r="J32" i="3"/>
  <c r="J35" i="3"/>
  <c r="Q43" i="3"/>
  <c r="Q39" i="3"/>
  <c r="Q45" i="3"/>
  <c r="P45" i="3"/>
  <c r="M45" i="3"/>
  <c r="N45" i="3"/>
  <c r="O45" i="3"/>
  <c r="F7" i="2"/>
  <c r="G44" i="2"/>
  <c r="F44" i="2"/>
  <c r="C44" i="2"/>
  <c r="C2" i="2"/>
  <c r="C2" i="3"/>
  <c r="F18" i="3"/>
  <c r="C18" i="3"/>
  <c r="D18" i="3"/>
  <c r="E18" i="3"/>
  <c r="F19" i="3"/>
  <c r="C19" i="3"/>
  <c r="D19" i="3"/>
  <c r="E19" i="3"/>
  <c r="F20" i="3"/>
  <c r="C20" i="3"/>
  <c r="D20" i="3"/>
  <c r="E20" i="3"/>
  <c r="F21" i="3"/>
  <c r="C21" i="3"/>
  <c r="D21" i="3"/>
  <c r="E21" i="3"/>
  <c r="F22" i="3"/>
  <c r="C22" i="3"/>
  <c r="D22" i="3"/>
  <c r="E22" i="3"/>
  <c r="F23" i="3"/>
  <c r="C23" i="3"/>
  <c r="D23" i="3"/>
  <c r="E23" i="3"/>
  <c r="I30" i="3"/>
  <c r="G31" i="3"/>
  <c r="I31" i="3"/>
  <c r="G32" i="3"/>
  <c r="I32" i="3"/>
  <c r="G33" i="3"/>
  <c r="K33" i="3"/>
  <c r="J34" i="3"/>
  <c r="G39" i="3"/>
  <c r="F39" i="3"/>
  <c r="C39" i="3"/>
  <c r="D39" i="3"/>
  <c r="E39" i="3"/>
  <c r="N39" i="3"/>
  <c r="O39" i="3"/>
  <c r="G40" i="3"/>
  <c r="F40" i="3"/>
  <c r="C40" i="3"/>
  <c r="D40" i="3"/>
  <c r="E40" i="3"/>
  <c r="P40" i="3"/>
  <c r="M40" i="3"/>
  <c r="N40" i="3"/>
  <c r="O40" i="3"/>
  <c r="G41" i="3"/>
  <c r="F41" i="3"/>
  <c r="C41" i="3"/>
  <c r="D41" i="3"/>
  <c r="E41" i="3"/>
  <c r="P41" i="3"/>
  <c r="M41" i="3"/>
  <c r="N41" i="3"/>
  <c r="O41" i="3"/>
  <c r="G42" i="3"/>
  <c r="F42" i="3"/>
  <c r="C42" i="3"/>
  <c r="D42" i="3"/>
  <c r="E42" i="3"/>
  <c r="P42" i="3"/>
  <c r="M42" i="3"/>
  <c r="N42" i="3"/>
  <c r="O42" i="3"/>
  <c r="G43" i="3"/>
  <c r="F43" i="3"/>
  <c r="C43" i="3"/>
  <c r="D43" i="3"/>
  <c r="E43" i="3"/>
  <c r="P43" i="3"/>
  <c r="M43" i="3"/>
  <c r="N43" i="3"/>
  <c r="O43" i="3"/>
  <c r="G45" i="3"/>
  <c r="F45" i="3"/>
  <c r="C44" i="3"/>
  <c r="D44" i="3"/>
  <c r="E44" i="3"/>
  <c r="C45" i="3"/>
  <c r="D45" i="3"/>
  <c r="E45" i="3"/>
  <c r="G47" i="3"/>
  <c r="F47" i="3"/>
  <c r="C47" i="3"/>
  <c r="D47" i="3"/>
  <c r="E47" i="3"/>
  <c r="Q47" i="3"/>
  <c r="G48" i="3"/>
  <c r="F48" i="3"/>
  <c r="C48" i="3"/>
  <c r="D48" i="3"/>
  <c r="E48" i="3"/>
  <c r="Q48" i="3"/>
  <c r="G49" i="3"/>
  <c r="F49" i="3"/>
  <c r="C49" i="3"/>
  <c r="D49" i="3"/>
  <c r="E49" i="3"/>
  <c r="Q49" i="3"/>
  <c r="G50" i="3"/>
  <c r="F50" i="3"/>
  <c r="C50" i="3"/>
  <c r="D50" i="3"/>
  <c r="E50" i="3"/>
  <c r="Q50" i="3"/>
  <c r="G52" i="3"/>
  <c r="F52" i="3"/>
  <c r="C51" i="3"/>
  <c r="D51" i="3"/>
  <c r="E51" i="3"/>
  <c r="C52" i="3"/>
  <c r="D52" i="3"/>
  <c r="E52" i="3"/>
  <c r="Q52" i="3"/>
  <c r="O52" i="3"/>
  <c r="M6" i="2"/>
  <c r="I8" i="2"/>
  <c r="J8" i="2"/>
  <c r="K8" i="2"/>
  <c r="F9" i="2"/>
  <c r="G9" i="2"/>
  <c r="E42" i="2"/>
  <c r="K42" i="2"/>
  <c r="D44" i="2"/>
  <c r="E44" i="2"/>
  <c r="G45" i="2"/>
  <c r="F45" i="2"/>
  <c r="C45" i="2"/>
  <c r="D45" i="2"/>
  <c r="E45" i="2"/>
  <c r="G46" i="2"/>
  <c r="F46" i="2"/>
  <c r="C46" i="2"/>
  <c r="D46" i="2"/>
  <c r="E46" i="2"/>
  <c r="G47" i="2"/>
  <c r="F47" i="2"/>
  <c r="C47" i="2"/>
  <c r="D47" i="2"/>
  <c r="E47" i="2"/>
  <c r="G49" i="2"/>
  <c r="F49" i="2"/>
  <c r="C48" i="2"/>
  <c r="D48" i="2"/>
  <c r="E48" i="2"/>
  <c r="C49" i="2"/>
  <c r="D49" i="2"/>
  <c r="E49" i="2"/>
</calcChain>
</file>

<file path=xl/comments1.xml><?xml version="1.0" encoding="utf-8"?>
<comments xmlns="http://schemas.openxmlformats.org/spreadsheetml/2006/main">
  <authors>
    <author>A satisfied Microsoft Office user</author>
  </authors>
  <commentList>
    <comment ref="B27" authorId="0">
      <text>
        <r>
          <rPr>
            <sz val="10"/>
            <rFont val="Arial"/>
          </rPr>
          <t>Enter this longitude as + or - 0° to 180°, not 0° to 360°</t>
        </r>
      </text>
    </comment>
  </commentList>
</comments>
</file>

<file path=xl/sharedStrings.xml><?xml version="1.0" encoding="utf-8"?>
<sst xmlns="http://schemas.openxmlformats.org/spreadsheetml/2006/main" count="206" uniqueCount="121">
  <si>
    <t>Semi major axis (a) (m)</t>
  </si>
  <si>
    <t>n</t>
  </si>
  <si>
    <t>False easting (m)</t>
  </si>
  <si>
    <t>False northing (m)</t>
  </si>
  <si>
    <t>Zone width (degrees)</t>
  </si>
  <si>
    <t>Longitude of the central meridian of zone 1(degrees)</t>
  </si>
  <si>
    <t>KEY</t>
  </si>
  <si>
    <t>User input</t>
  </si>
  <si>
    <t>Site Name</t>
  </si>
  <si>
    <t>dec deg</t>
  </si>
  <si>
    <t>radians</t>
  </si>
  <si>
    <t>Latitude</t>
  </si>
  <si>
    <t>Zone no. (real number)</t>
  </si>
  <si>
    <t>Central Meridian</t>
  </si>
  <si>
    <t>Zone</t>
  </si>
  <si>
    <t>FUNCTIONS</t>
  </si>
  <si>
    <t>A0</t>
  </si>
  <si>
    <t>A2</t>
  </si>
  <si>
    <t>A4</t>
  </si>
  <si>
    <t>A6</t>
  </si>
  <si>
    <t>Meridian Distance</t>
  </si>
  <si>
    <t xml:space="preserve">               Radii of Curvature</t>
  </si>
  <si>
    <t>1st term</t>
  </si>
  <si>
    <t>2nd term</t>
  </si>
  <si>
    <t>3rd term</t>
  </si>
  <si>
    <t>4th term</t>
  </si>
  <si>
    <t>sum (meridian dist)</t>
  </si>
  <si>
    <t>Powers</t>
  </si>
  <si>
    <t>Cos latitude</t>
  </si>
  <si>
    <t>Tan latitude</t>
  </si>
  <si>
    <t>Easting</t>
  </si>
  <si>
    <t>Northing</t>
  </si>
  <si>
    <t xml:space="preserve">                        Meridian Dist</t>
  </si>
  <si>
    <t>Sum</t>
  </si>
  <si>
    <t>False Origin</t>
  </si>
  <si>
    <t>Grid Convergence</t>
  </si>
  <si>
    <t>Point Scale</t>
  </si>
  <si>
    <t>Result</t>
  </si>
  <si>
    <t>False origin</t>
  </si>
  <si>
    <t>E'</t>
  </si>
  <si>
    <t>N'</t>
  </si>
  <si>
    <t>sigma</t>
  </si>
  <si>
    <t>2 sigma</t>
  </si>
  <si>
    <t>4 sigma</t>
  </si>
  <si>
    <t>6 sigma</t>
  </si>
  <si>
    <t>8 sigma</t>
  </si>
  <si>
    <t>Foot Point latitude</t>
  </si>
  <si>
    <t>deg</t>
  </si>
  <si>
    <t>min</t>
  </si>
  <si>
    <t>sec</t>
  </si>
  <si>
    <t>Radii of curvature</t>
  </si>
  <si>
    <t>Term 1</t>
  </si>
  <si>
    <t>Term 2</t>
  </si>
  <si>
    <t>Term 3</t>
  </si>
  <si>
    <t>Term 4</t>
  </si>
  <si>
    <t>Term 5</t>
  </si>
  <si>
    <t>Lat'</t>
  </si>
  <si>
    <t>Deg</t>
  </si>
  <si>
    <t>Min</t>
  </si>
  <si>
    <t>Secs</t>
  </si>
  <si>
    <t>Dec Deg</t>
  </si>
  <si>
    <t>Radians</t>
  </si>
  <si>
    <t>Longitude</t>
  </si>
  <si>
    <t>Foot point latitude</t>
  </si>
  <si>
    <t>Central meridian</t>
  </si>
  <si>
    <t>sum</t>
  </si>
  <si>
    <t>Inverse flattening (1/f)</t>
  </si>
  <si>
    <t>`</t>
  </si>
  <si>
    <t>Diff longitude (w)</t>
  </si>
  <si>
    <t>Sin latitude (sinj)</t>
  </si>
  <si>
    <t>sin(2j)</t>
  </si>
  <si>
    <t>sin(4j)</t>
  </si>
  <si>
    <t>sin(6j)</t>
  </si>
  <si>
    <t>Rho(r)</t>
  </si>
  <si>
    <t>Nu (n)</t>
  </si>
  <si>
    <t>MGA2020</t>
  </si>
  <si>
    <t>GDA2020 and MGA2020 Test Data</t>
  </si>
  <si>
    <t>GRS80 Ellipsoid</t>
  </si>
  <si>
    <t>Easting (m)</t>
  </si>
  <si>
    <t>Northing (m)</t>
  </si>
  <si>
    <t>Conversion</t>
  </si>
  <si>
    <r>
      <t>e</t>
    </r>
    <r>
      <rPr>
        <vertAlign val="superscript"/>
        <sz val="11"/>
        <rFont val="Arial"/>
        <family val="2"/>
      </rPr>
      <t>2</t>
    </r>
  </si>
  <si>
    <r>
      <t>e</t>
    </r>
    <r>
      <rPr>
        <vertAlign val="superscript"/>
        <sz val="11"/>
        <rFont val="Arial"/>
        <family val="2"/>
      </rPr>
      <t>4</t>
    </r>
  </si>
  <si>
    <r>
      <t>e</t>
    </r>
    <r>
      <rPr>
        <vertAlign val="superscript"/>
        <sz val="11"/>
        <rFont val="Arial"/>
        <family val="2"/>
      </rPr>
      <t>6</t>
    </r>
  </si>
  <si>
    <r>
      <t xml:space="preserve">Diff long </t>
    </r>
    <r>
      <rPr>
        <sz val="11"/>
        <rFont val="Arial"/>
        <family val="2"/>
      </rPr>
      <t>(w)</t>
    </r>
  </si>
  <si>
    <r>
      <t xml:space="preserve">Psi </t>
    </r>
    <r>
      <rPr>
        <sz val="11"/>
        <rFont val="Arial"/>
        <family val="2"/>
      </rPr>
      <t>(y)</t>
    </r>
    <r>
      <rPr>
        <b/>
        <sz val="11"/>
        <rFont val="Arial"/>
        <family val="2"/>
      </rPr>
      <t>= Nu/Rho</t>
    </r>
  </si>
  <si>
    <r>
      <t>Sum*K</t>
    </r>
    <r>
      <rPr>
        <vertAlign val="subscript"/>
        <sz val="11"/>
        <rFont val="Arial"/>
        <family val="2"/>
      </rPr>
      <t>0</t>
    </r>
  </si>
  <si>
    <r>
      <t>E'/K</t>
    </r>
    <r>
      <rPr>
        <vertAlign val="subscript"/>
        <sz val="11"/>
        <rFont val="Arial"/>
        <family val="2"/>
      </rPr>
      <t>0</t>
    </r>
  </si>
  <si>
    <r>
      <t>m = N'/K</t>
    </r>
    <r>
      <rPr>
        <vertAlign val="subscript"/>
        <sz val="11"/>
        <rFont val="Arial"/>
        <family val="2"/>
      </rPr>
      <t>0</t>
    </r>
  </si>
  <si>
    <t>Alice Springs</t>
  </si>
  <si>
    <r>
      <t>Central Scale factor (K</t>
    </r>
    <r>
      <rPr>
        <vertAlign val="subscript"/>
        <sz val="11"/>
        <rFont val="Arial"/>
        <family val="2"/>
      </rPr>
      <t>0</t>
    </r>
    <r>
      <rPr>
        <sz val="11"/>
        <rFont val="Arial"/>
        <family val="2"/>
      </rPr>
      <t>)</t>
    </r>
  </si>
  <si>
    <t>Rho' (r')</t>
  </si>
  <si>
    <t>Nu' (n')</t>
  </si>
  <si>
    <t>sin(j')</t>
  </si>
  <si>
    <t>sec(j')</t>
  </si>
  <si>
    <r>
      <t>t'/(k</t>
    </r>
    <r>
      <rPr>
        <vertAlign val="subscript"/>
        <sz val="11"/>
        <rFont val="Arial"/>
        <family val="2"/>
      </rPr>
      <t>0</t>
    </r>
    <r>
      <rPr>
        <sz val="11"/>
        <rFont val="Arial"/>
        <family val="2"/>
      </rPr>
      <t>n'r')</t>
    </r>
  </si>
  <si>
    <r>
      <t>x = E'/(k</t>
    </r>
    <r>
      <rPr>
        <vertAlign val="subscript"/>
        <sz val="11"/>
        <rFont val="Arial"/>
        <family val="2"/>
      </rPr>
      <t>0</t>
    </r>
    <r>
      <rPr>
        <sz val="11"/>
        <rFont val="Arial"/>
        <family val="2"/>
      </rPr>
      <t>n')</t>
    </r>
  </si>
  <si>
    <r>
      <t>E'</t>
    </r>
    <r>
      <rPr>
        <vertAlign val="superscript"/>
        <sz val="11"/>
        <rFont val="Arial"/>
        <family val="2"/>
      </rPr>
      <t>2</t>
    </r>
    <r>
      <rPr>
        <sz val="11"/>
        <rFont val="Arial"/>
        <family val="2"/>
      </rPr>
      <t>/(k</t>
    </r>
    <r>
      <rPr>
        <vertAlign val="subscript"/>
        <sz val="11"/>
        <rFont val="Arial"/>
        <family val="2"/>
      </rPr>
      <t>0</t>
    </r>
    <r>
      <rPr>
        <vertAlign val="superscript"/>
        <sz val="11"/>
        <rFont val="Arial"/>
        <family val="2"/>
      </rPr>
      <t>2</t>
    </r>
    <r>
      <rPr>
        <sz val="11"/>
        <rFont val="Arial"/>
        <family val="2"/>
      </rPr>
      <t>n'r')</t>
    </r>
  </si>
  <si>
    <t>t'=tanj'</t>
  </si>
  <si>
    <t>y'=n'/r'</t>
  </si>
  <si>
    <r>
      <t xml:space="preserve">Grid to Geographic (Krueger </t>
    </r>
    <r>
      <rPr>
        <b/>
        <sz val="18"/>
        <color theme="0"/>
        <rFont val="Calibri"/>
        <family val="2"/>
      </rPr>
      <t>λ</t>
    </r>
    <r>
      <rPr>
        <b/>
        <sz val="18"/>
        <color theme="0"/>
        <rFont val="Arial"/>
        <family val="2"/>
      </rPr>
      <t>-series)</t>
    </r>
  </si>
  <si>
    <t>Geographic to Grid (Krueger λ-series)</t>
  </si>
  <si>
    <t>Constants and Parameters</t>
  </si>
  <si>
    <t>Ellipsoid definition</t>
  </si>
  <si>
    <t>GRS80</t>
  </si>
  <si>
    <r>
      <t>Inverse flattening (</t>
    </r>
    <r>
      <rPr>
        <vertAlign val="superscript"/>
        <sz val="11"/>
        <rFont val="Arial"/>
        <family val="2"/>
      </rPr>
      <t>1</t>
    </r>
    <r>
      <rPr>
        <sz val="11"/>
        <rFont val="Arial"/>
        <family val="2"/>
      </rPr>
      <t>/</t>
    </r>
    <r>
      <rPr>
        <vertAlign val="subscript"/>
        <sz val="11"/>
        <rFont val="Arial"/>
        <family val="2"/>
      </rPr>
      <t>f</t>
    </r>
    <r>
      <rPr>
        <sz val="11"/>
        <rFont val="Arial"/>
        <family val="2"/>
      </rPr>
      <t>)</t>
    </r>
  </si>
  <si>
    <t>Flattening (f)</t>
  </si>
  <si>
    <t>Semi-minor axis (b) (m)</t>
  </si>
  <si>
    <r>
      <t>Eccentricity (e</t>
    </r>
    <r>
      <rPr>
        <vertAlign val="superscript"/>
        <sz val="11"/>
        <rFont val="Arial"/>
        <family val="2"/>
      </rPr>
      <t>2</t>
    </r>
    <r>
      <rPr>
        <sz val="11"/>
        <rFont val="Arial"/>
        <family val="2"/>
      </rPr>
      <t>)</t>
    </r>
  </si>
  <si>
    <t>e</t>
  </si>
  <si>
    <r>
      <t>Second eccentricity (e'</t>
    </r>
    <r>
      <rPr>
        <vertAlign val="superscript"/>
        <sz val="11"/>
        <rFont val="Arial"/>
        <family val="2"/>
      </rPr>
      <t>2</t>
    </r>
    <r>
      <rPr>
        <sz val="11"/>
        <rFont val="Arial"/>
        <family val="2"/>
      </rPr>
      <t>)</t>
    </r>
  </si>
  <si>
    <t xml:space="preserve"> </t>
  </si>
  <si>
    <t>e'</t>
  </si>
  <si>
    <t>n**2</t>
  </si>
  <si>
    <t>n**3</t>
  </si>
  <si>
    <t>n**4</t>
  </si>
  <si>
    <t>G</t>
  </si>
  <si>
    <t>TM definition</t>
  </si>
  <si>
    <t>GDA2020-MGA2020</t>
  </si>
  <si>
    <t>Longitude of western edge of zone zero</t>
  </si>
  <si>
    <t>Central meridian of zone zero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</si>
</sst>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3">
    <numFmt numFmtId="164" formatCode="0.000"/>
    <numFmt numFmtId="165" formatCode="0,000,000.000"/>
    <numFmt numFmtId="166" formatCode="0.000\ 000\ 000\ 000"/>
    <numFmt numFmtId="167" formatCode="0.00000"/>
    <numFmt numFmtId="168" formatCode="000,000.000"/>
    <numFmt numFmtId="169" formatCode="0.0000"/>
    <numFmt numFmtId="170" formatCode="000,000.0000"/>
    <numFmt numFmtId="171" formatCode="00,000.000"/>
    <numFmt numFmtId="172" formatCode="0,000.0000"/>
    <numFmt numFmtId="173" formatCode="0\°"/>
    <numFmt numFmtId="174" formatCode="00\'"/>
    <numFmt numFmtId="175" formatCode="0.00000\&quot;"/>
    <numFmt numFmtId="176" formatCode="0.000\&quot;"/>
    <numFmt numFmtId="177" formatCode="00.000\&quot;"/>
    <numFmt numFmtId="178" formatCode="00.00000\&quot;"/>
    <numFmt numFmtId="179" formatCode="0.000\ 000\ 000\°"/>
    <numFmt numFmtId="180" formatCode="00\°"/>
    <numFmt numFmtId="181" formatCode="00.000\ 000\ 000\°"/>
    <numFmt numFmtId="182" formatCode="00.000\ 00\&quot;"/>
    <numFmt numFmtId="183" formatCode="0.000\ 000\ 0000"/>
    <numFmt numFmtId="184" formatCode="#,##0.000000000"/>
    <numFmt numFmtId="185" formatCode="#,##0.000000"/>
    <numFmt numFmtId="186" formatCode="0.000000000"/>
  </numFmts>
  <fonts count="16" x14ac:knownFonts="1">
    <font>
      <sz val="10"/>
      <name val="Arial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1"/>
      <color theme="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11"/>
      <color indexed="8"/>
      <name val="Arial"/>
      <family val="2"/>
    </font>
    <font>
      <sz val="11"/>
      <color indexed="10"/>
      <name val="Arial"/>
      <family val="2"/>
    </font>
    <font>
      <sz val="11"/>
      <color indexed="47"/>
      <name val="Arial"/>
      <family val="2"/>
    </font>
    <font>
      <vertAlign val="superscript"/>
      <sz val="11"/>
      <name val="Arial"/>
      <family val="2"/>
    </font>
    <font>
      <vertAlign val="subscript"/>
      <sz val="11"/>
      <name val="Arial"/>
      <family val="2"/>
    </font>
    <font>
      <i/>
      <sz val="11"/>
      <name val="Arial"/>
      <family val="2"/>
    </font>
    <font>
      <b/>
      <sz val="18"/>
      <color theme="0"/>
      <name val="Arial"/>
      <family val="2"/>
    </font>
    <font>
      <sz val="18"/>
      <color theme="0"/>
      <name val="Arial"/>
      <family val="2"/>
    </font>
    <font>
      <b/>
      <sz val="18"/>
      <color theme="0"/>
      <name val="Calibri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4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5" fillId="0" borderId="0"/>
  </cellStyleXfs>
  <cellXfs count="153">
    <xf numFmtId="0" fontId="0" fillId="0" borderId="0" xfId="0"/>
    <xf numFmtId="0" fontId="4" fillId="0" borderId="0" xfId="0" applyFont="1"/>
    <xf numFmtId="0" fontId="5" fillId="0" borderId="0" xfId="0" applyFont="1" applyBorder="1"/>
    <xf numFmtId="0" fontId="4" fillId="0" borderId="0" xfId="0" applyFont="1" applyBorder="1"/>
    <xf numFmtId="0" fontId="6" fillId="0" borderId="0" xfId="0" applyFont="1" applyBorder="1"/>
    <xf numFmtId="0" fontId="4" fillId="2" borderId="6" xfId="0" applyFont="1" applyFill="1" applyBorder="1"/>
    <xf numFmtId="0" fontId="7" fillId="2" borderId="6" xfId="0" applyFont="1" applyFill="1" applyBorder="1"/>
    <xf numFmtId="0" fontId="8" fillId="0" borderId="0" xfId="0" applyFont="1"/>
    <xf numFmtId="0" fontId="4" fillId="0" borderId="0" xfId="0" applyFont="1" applyAlignment="1">
      <alignment horizontal="right"/>
    </xf>
    <xf numFmtId="0" fontId="4" fillId="0" borderId="8" xfId="0" applyFont="1" applyBorder="1"/>
    <xf numFmtId="0" fontId="5" fillId="0" borderId="1" xfId="0" applyFont="1" applyBorder="1" applyAlignment="1">
      <alignment horizontal="center"/>
    </xf>
    <xf numFmtId="0" fontId="5" fillId="0" borderId="1" xfId="0" quotePrefix="1" applyFont="1" applyBorder="1" applyAlignment="1">
      <alignment horizontal="center"/>
    </xf>
    <xf numFmtId="0" fontId="5" fillId="0" borderId="1" xfId="0" applyFont="1" applyBorder="1"/>
    <xf numFmtId="0" fontId="5" fillId="0" borderId="2" xfId="0" applyFont="1" applyBorder="1" applyAlignment="1">
      <alignment horizontal="center"/>
    </xf>
    <xf numFmtId="0" fontId="4" fillId="0" borderId="3" xfId="0" applyFont="1" applyBorder="1" applyAlignment="1">
      <alignment horizontal="right"/>
    </xf>
    <xf numFmtId="173" fontId="4" fillId="2" borderId="0" xfId="0" applyNumberFormat="1" applyFont="1" applyFill="1" applyBorder="1" applyAlignment="1">
      <alignment horizontal="right"/>
    </xf>
    <xf numFmtId="174" fontId="4" fillId="2" borderId="0" xfId="0" applyNumberFormat="1" applyFont="1" applyFill="1" applyBorder="1"/>
    <xf numFmtId="166" fontId="4" fillId="0" borderId="0" xfId="0" applyNumberFormat="1" applyFont="1" applyBorder="1"/>
    <xf numFmtId="0" fontId="4" fillId="0" borderId="0" xfId="0" applyFont="1" applyBorder="1" applyAlignment="1">
      <alignment horizontal="right"/>
    </xf>
    <xf numFmtId="166" fontId="4" fillId="0" borderId="0" xfId="0" applyNumberFormat="1" applyFont="1"/>
    <xf numFmtId="0" fontId="4" fillId="0" borderId="3" xfId="0" applyFont="1" applyBorder="1"/>
    <xf numFmtId="164" fontId="4" fillId="0" borderId="0" xfId="0" applyNumberFormat="1" applyFont="1" applyBorder="1"/>
    <xf numFmtId="0" fontId="4" fillId="0" borderId="4" xfId="0" applyFont="1" applyBorder="1" applyAlignment="1">
      <alignment horizontal="left"/>
    </xf>
    <xf numFmtId="173" fontId="4" fillId="0" borderId="0" xfId="0" applyNumberFormat="1" applyFont="1" applyBorder="1"/>
    <xf numFmtId="167" fontId="4" fillId="0" borderId="0" xfId="0" applyNumberFormat="1" applyFont="1" applyBorder="1"/>
    <xf numFmtId="174" fontId="4" fillId="0" borderId="0" xfId="0" applyNumberFormat="1" applyFont="1" applyBorder="1"/>
    <xf numFmtId="175" fontId="4" fillId="0" borderId="4" xfId="0" applyNumberFormat="1" applyFont="1" applyBorder="1" applyAlignment="1">
      <alignment horizontal="left"/>
    </xf>
    <xf numFmtId="179" fontId="4" fillId="0" borderId="0" xfId="0" applyNumberFormat="1" applyFont="1"/>
    <xf numFmtId="0" fontId="4" fillId="4" borderId="3" xfId="0" applyFont="1" applyFill="1" applyBorder="1" applyAlignment="1">
      <alignment horizontal="right"/>
    </xf>
    <xf numFmtId="1" fontId="4" fillId="4" borderId="0" xfId="0" applyNumberFormat="1" applyFont="1" applyFill="1" applyBorder="1" applyAlignment="1">
      <alignment horizontal="right"/>
    </xf>
    <xf numFmtId="167" fontId="4" fillId="0" borderId="0" xfId="0" applyNumberFormat="1" applyFont="1" applyBorder="1" applyAlignment="1">
      <alignment horizontal="right"/>
    </xf>
    <xf numFmtId="0" fontId="4" fillId="0" borderId="4" xfId="0" applyFont="1" applyBorder="1"/>
    <xf numFmtId="0" fontId="5" fillId="4" borderId="3" xfId="0" applyFont="1" applyFill="1" applyBorder="1" applyAlignment="1">
      <alignment horizontal="right"/>
    </xf>
    <xf numFmtId="0" fontId="4" fillId="4" borderId="0" xfId="0" applyFont="1" applyFill="1" applyBorder="1" applyAlignment="1">
      <alignment horizontal="right"/>
    </xf>
    <xf numFmtId="166" fontId="4" fillId="0" borderId="0" xfId="0" applyNumberFormat="1" applyFont="1" applyBorder="1" applyAlignment="1">
      <alignment horizontal="right"/>
    </xf>
    <xf numFmtId="166" fontId="4" fillId="0" borderId="4" xfId="0" applyNumberFormat="1" applyFont="1" applyBorder="1" applyAlignment="1">
      <alignment horizontal="left"/>
    </xf>
    <xf numFmtId="170" fontId="4" fillId="0" borderId="0" xfId="0" applyNumberFormat="1" applyFont="1" applyBorder="1" applyAlignment="1">
      <alignment horizontal="right"/>
    </xf>
    <xf numFmtId="171" fontId="4" fillId="0" borderId="0" xfId="0" applyNumberFormat="1" applyFont="1" applyBorder="1" applyAlignment="1">
      <alignment horizontal="right"/>
    </xf>
    <xf numFmtId="169" fontId="4" fillId="0" borderId="0" xfId="0" applyNumberFormat="1" applyFont="1" applyBorder="1" applyAlignment="1">
      <alignment horizontal="right"/>
    </xf>
    <xf numFmtId="0" fontId="5" fillId="0" borderId="0" xfId="0" applyFont="1" applyBorder="1" applyAlignment="1">
      <alignment horizontal="right"/>
    </xf>
    <xf numFmtId="0" fontId="5" fillId="0" borderId="0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0" xfId="0" applyFont="1"/>
    <xf numFmtId="166" fontId="4" fillId="0" borderId="4" xfId="0" applyNumberFormat="1" applyFont="1" applyBorder="1"/>
    <xf numFmtId="166" fontId="4" fillId="0" borderId="0" xfId="0" applyNumberFormat="1" applyFont="1" applyBorder="1" applyAlignment="1">
      <alignment horizontal="left"/>
    </xf>
    <xf numFmtId="0" fontId="4" fillId="0" borderId="0" xfId="0" applyFont="1" applyBorder="1" applyAlignment="1">
      <alignment horizontal="centerContinuous"/>
    </xf>
    <xf numFmtId="170" fontId="4" fillId="0" borderId="4" xfId="0" applyNumberFormat="1" applyFont="1" applyBorder="1"/>
    <xf numFmtId="172" fontId="4" fillId="0" borderId="4" xfId="0" applyNumberFormat="1" applyFont="1" applyBorder="1"/>
    <xf numFmtId="0" fontId="4" fillId="0" borderId="0" xfId="0" applyFont="1" applyBorder="1" applyAlignment="1">
      <alignment horizontal="left"/>
    </xf>
    <xf numFmtId="169" fontId="4" fillId="0" borderId="4" xfId="0" applyNumberFormat="1" applyFont="1" applyBorder="1"/>
    <xf numFmtId="0" fontId="5" fillId="4" borderId="0" xfId="0" applyFont="1" applyFill="1" applyBorder="1" applyAlignment="1">
      <alignment horizontal="right"/>
    </xf>
    <xf numFmtId="0" fontId="5" fillId="4" borderId="4" xfId="0" applyFont="1" applyFill="1" applyBorder="1" applyAlignment="1">
      <alignment horizontal="right"/>
    </xf>
    <xf numFmtId="173" fontId="4" fillId="4" borderId="0" xfId="0" applyNumberFormat="1" applyFont="1" applyFill="1" applyBorder="1" applyAlignment="1">
      <alignment horizontal="right"/>
    </xf>
    <xf numFmtId="174" fontId="4" fillId="4" borderId="0" xfId="0" applyNumberFormat="1" applyFont="1" applyFill="1" applyBorder="1" applyAlignment="1">
      <alignment horizontal="right"/>
    </xf>
    <xf numFmtId="166" fontId="4" fillId="4" borderId="4" xfId="0" applyNumberFormat="1" applyFont="1" applyFill="1" applyBorder="1" applyAlignment="1">
      <alignment horizontal="right"/>
    </xf>
    <xf numFmtId="0" fontId="4" fillId="4" borderId="4" xfId="0" applyFont="1" applyFill="1" applyBorder="1" applyAlignment="1">
      <alignment horizontal="right"/>
    </xf>
    <xf numFmtId="177" fontId="4" fillId="4" borderId="0" xfId="0" applyNumberFormat="1" applyFont="1" applyFill="1" applyBorder="1" applyAlignment="1">
      <alignment horizontal="right"/>
    </xf>
    <xf numFmtId="183" fontId="4" fillId="4" borderId="4" xfId="0" applyNumberFormat="1" applyFont="1" applyFill="1" applyBorder="1" applyAlignment="1">
      <alignment horizontal="right"/>
    </xf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2" borderId="0" xfId="0" applyFont="1" applyFill="1" applyBorder="1"/>
    <xf numFmtId="0" fontId="8" fillId="0" borderId="0" xfId="0" applyFont="1" applyBorder="1"/>
    <xf numFmtId="179" fontId="4" fillId="0" borderId="0" xfId="0" applyNumberFormat="1" applyFont="1" applyBorder="1"/>
    <xf numFmtId="0" fontId="4" fillId="5" borderId="0" xfId="0" applyFont="1" applyFill="1" applyBorder="1"/>
    <xf numFmtId="0" fontId="7" fillId="5" borderId="0" xfId="0" applyFont="1" applyFill="1" applyBorder="1"/>
    <xf numFmtId="0" fontId="5" fillId="0" borderId="8" xfId="0" applyFont="1" applyBorder="1"/>
    <xf numFmtId="0" fontId="4" fillId="3" borderId="1" xfId="0" applyFont="1" applyFill="1" applyBorder="1" applyAlignment="1">
      <alignment horizontal="left"/>
    </xf>
    <xf numFmtId="0" fontId="4" fillId="0" borderId="1" xfId="0" applyFont="1" applyBorder="1"/>
    <xf numFmtId="0" fontId="4" fillId="0" borderId="2" xfId="0" applyFont="1" applyBorder="1"/>
    <xf numFmtId="0" fontId="6" fillId="0" borderId="5" xfId="0" applyFont="1" applyBorder="1"/>
    <xf numFmtId="0" fontId="7" fillId="2" borderId="7" xfId="0" applyFont="1" applyFill="1" applyBorder="1"/>
    <xf numFmtId="178" fontId="4" fillId="2" borderId="4" xfId="0" applyNumberFormat="1" applyFont="1" applyFill="1" applyBorder="1" applyAlignment="1">
      <alignment horizontal="right"/>
    </xf>
    <xf numFmtId="178" fontId="4" fillId="2" borderId="0" xfId="0" applyNumberFormat="1" applyFont="1" applyFill="1" applyBorder="1" applyAlignment="1">
      <alignment horizontal="right"/>
    </xf>
    <xf numFmtId="0" fontId="5" fillId="0" borderId="8" xfId="0" applyFont="1" applyBorder="1" applyAlignment="1">
      <alignment horizontal="right"/>
    </xf>
    <xf numFmtId="0" fontId="5" fillId="0" borderId="3" xfId="0" applyFont="1" applyBorder="1" applyAlignment="1">
      <alignment horizontal="right"/>
    </xf>
    <xf numFmtId="168" fontId="4" fillId="0" borderId="0" xfId="0" applyNumberFormat="1" applyFont="1" applyBorder="1"/>
    <xf numFmtId="0" fontId="11" fillId="0" borderId="3" xfId="0" applyFont="1" applyBorder="1"/>
    <xf numFmtId="0" fontId="11" fillId="0" borderId="0" xfId="0" applyFont="1" applyBorder="1"/>
    <xf numFmtId="183" fontId="4" fillId="0" borderId="0" xfId="0" applyNumberFormat="1" applyFont="1" applyBorder="1"/>
    <xf numFmtId="0" fontId="5" fillId="0" borderId="3" xfId="0" applyFont="1" applyBorder="1"/>
    <xf numFmtId="0" fontId="4" fillId="0" borderId="0" xfId="0" applyFont="1" applyBorder="1" applyAlignment="1">
      <alignment horizontal="center"/>
    </xf>
    <xf numFmtId="180" fontId="4" fillId="0" borderId="0" xfId="0" applyNumberFormat="1" applyFont="1" applyBorder="1"/>
    <xf numFmtId="174" fontId="4" fillId="0" borderId="0" xfId="0" applyNumberFormat="1" applyFont="1" applyBorder="1" applyAlignment="1">
      <alignment horizontal="center"/>
    </xf>
    <xf numFmtId="182" fontId="4" fillId="0" borderId="0" xfId="0" applyNumberFormat="1" applyFont="1" applyBorder="1"/>
    <xf numFmtId="181" fontId="4" fillId="0" borderId="0" xfId="0" applyNumberFormat="1" applyFont="1" applyBorder="1"/>
    <xf numFmtId="0" fontId="4" fillId="0" borderId="4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4" borderId="3" xfId="0" applyFont="1" applyFill="1" applyBorder="1"/>
    <xf numFmtId="0" fontId="4" fillId="4" borderId="0" xfId="0" applyFont="1" applyFill="1" applyBorder="1"/>
    <xf numFmtId="180" fontId="4" fillId="4" borderId="0" xfId="0" applyNumberFormat="1" applyFont="1" applyFill="1" applyBorder="1"/>
    <xf numFmtId="174" fontId="4" fillId="4" borderId="0" xfId="0" applyNumberFormat="1" applyFont="1" applyFill="1" applyBorder="1"/>
    <xf numFmtId="168" fontId="4" fillId="2" borderId="0" xfId="0" applyNumberFormat="1" applyFont="1" applyFill="1" applyBorder="1" applyAlignment="1">
      <alignment horizontal="right"/>
    </xf>
    <xf numFmtId="168" fontId="4" fillId="2" borderId="4" xfId="0" applyNumberFormat="1" applyFont="1" applyFill="1" applyBorder="1" applyAlignment="1">
      <alignment horizontal="right"/>
    </xf>
    <xf numFmtId="178" fontId="4" fillId="4" borderId="0" xfId="0" applyNumberFormat="1" applyFont="1" applyFill="1" applyBorder="1" applyAlignment="1">
      <alignment horizontal="right"/>
    </xf>
    <xf numFmtId="182" fontId="4" fillId="4" borderId="0" xfId="0" applyNumberFormat="1" applyFont="1" applyFill="1" applyBorder="1" applyAlignment="1">
      <alignment horizontal="right"/>
    </xf>
    <xf numFmtId="178" fontId="4" fillId="4" borderId="4" xfId="0" applyNumberFormat="1" applyFont="1" applyFill="1" applyBorder="1" applyAlignment="1">
      <alignment horizontal="right"/>
    </xf>
    <xf numFmtId="170" fontId="4" fillId="2" borderId="4" xfId="0" applyNumberFormat="1" applyFont="1" applyFill="1" applyBorder="1"/>
    <xf numFmtId="173" fontId="4" fillId="2" borderId="4" xfId="0" applyNumberFormat="1" applyFont="1" applyFill="1" applyBorder="1"/>
    <xf numFmtId="0" fontId="4" fillId="0" borderId="5" xfId="0" applyFont="1" applyBorder="1" applyAlignment="1">
      <alignment wrapText="1"/>
    </xf>
    <xf numFmtId="173" fontId="4" fillId="2" borderId="7" xfId="0" applyNumberFormat="1" applyFont="1" applyFill="1" applyBorder="1"/>
    <xf numFmtId="170" fontId="5" fillId="2" borderId="2" xfId="0" applyNumberFormat="1" applyFont="1" applyFill="1" applyBorder="1"/>
    <xf numFmtId="0" fontId="5" fillId="2" borderId="8" xfId="0" applyFont="1" applyFill="1" applyBorder="1"/>
    <xf numFmtId="0" fontId="4" fillId="2" borderId="1" xfId="0" applyFont="1" applyFill="1" applyBorder="1"/>
    <xf numFmtId="0" fontId="4" fillId="2" borderId="2" xfId="0" applyFont="1" applyFill="1" applyBorder="1"/>
    <xf numFmtId="180" fontId="4" fillId="2" borderId="0" xfId="0" applyNumberFormat="1" applyFont="1" applyFill="1" applyBorder="1"/>
    <xf numFmtId="184" fontId="4" fillId="2" borderId="4" xfId="0" applyNumberFormat="1" applyFont="1" applyFill="1" applyBorder="1"/>
    <xf numFmtId="0" fontId="4" fillId="2" borderId="4" xfId="0" applyFont="1" applyFill="1" applyBorder="1" applyAlignment="1">
      <alignment horizontal="right"/>
    </xf>
    <xf numFmtId="170" fontId="5" fillId="2" borderId="4" xfId="0" applyNumberFormat="1" applyFont="1" applyFill="1" applyBorder="1"/>
    <xf numFmtId="176" fontId="4" fillId="2" borderId="4" xfId="0" applyNumberFormat="1" applyFont="1" applyFill="1" applyBorder="1" applyAlignment="1">
      <alignment horizontal="right"/>
    </xf>
    <xf numFmtId="169" fontId="4" fillId="2" borderId="4" xfId="0" applyNumberFormat="1" applyFont="1" applyFill="1" applyBorder="1"/>
    <xf numFmtId="183" fontId="4" fillId="2" borderId="7" xfId="0" applyNumberFormat="1" applyFont="1" applyFill="1" applyBorder="1" applyAlignment="1">
      <alignment horizontal="right"/>
    </xf>
    <xf numFmtId="0" fontId="4" fillId="2" borderId="1" xfId="0" applyFont="1" applyFill="1" applyBorder="1" applyAlignment="1">
      <alignment horizontal="right"/>
    </xf>
    <xf numFmtId="182" fontId="4" fillId="0" borderId="4" xfId="0" applyNumberFormat="1" applyFont="1" applyBorder="1"/>
    <xf numFmtId="185" fontId="4" fillId="4" borderId="0" xfId="0" applyNumberFormat="1" applyFont="1" applyFill="1" applyBorder="1" applyAlignment="1">
      <alignment horizontal="right"/>
    </xf>
    <xf numFmtId="185" fontId="4" fillId="4" borderId="4" xfId="0" applyNumberFormat="1" applyFont="1" applyFill="1" applyBorder="1" applyAlignment="1">
      <alignment horizontal="right"/>
    </xf>
    <xf numFmtId="0" fontId="3" fillId="6" borderId="0" xfId="0" applyFont="1" applyFill="1"/>
    <xf numFmtId="0" fontId="12" fillId="6" borderId="0" xfId="0" applyFont="1" applyFill="1"/>
    <xf numFmtId="0" fontId="3" fillId="6" borderId="11" xfId="0" applyFont="1" applyFill="1" applyBorder="1" applyAlignment="1">
      <alignment horizontal="center"/>
    </xf>
    <xf numFmtId="0" fontId="4" fillId="6" borderId="0" xfId="0" applyFont="1" applyFill="1"/>
    <xf numFmtId="0" fontId="3" fillId="5" borderId="0" xfId="0" applyFont="1" applyFill="1"/>
    <xf numFmtId="165" fontId="4" fillId="2" borderId="9" xfId="0" applyNumberFormat="1" applyFont="1" applyFill="1" applyBorder="1" applyAlignment="1">
      <alignment horizontal="center"/>
    </xf>
    <xf numFmtId="0" fontId="4" fillId="4" borderId="10" xfId="0" applyFont="1" applyFill="1" applyBorder="1" applyAlignment="1">
      <alignment horizontal="center"/>
    </xf>
    <xf numFmtId="0" fontId="12" fillId="6" borderId="8" xfId="0" applyFont="1" applyFill="1" applyBorder="1"/>
    <xf numFmtId="0" fontId="3" fillId="6" borderId="1" xfId="0" applyFont="1" applyFill="1" applyBorder="1"/>
    <xf numFmtId="0" fontId="3" fillId="6" borderId="2" xfId="0" applyFont="1" applyFill="1" applyBorder="1"/>
    <xf numFmtId="0" fontId="4" fillId="0" borderId="0" xfId="0" applyFont="1" applyFill="1"/>
    <xf numFmtId="0" fontId="13" fillId="6" borderId="0" xfId="0" applyFont="1" applyFill="1"/>
    <xf numFmtId="0" fontId="4" fillId="3" borderId="0" xfId="0" applyFont="1" applyFill="1" applyBorder="1" applyAlignment="1">
      <alignment horizontal="left"/>
    </xf>
    <xf numFmtId="0" fontId="12" fillId="6" borderId="0" xfId="0" applyFont="1" applyFill="1" applyBorder="1"/>
    <xf numFmtId="0" fontId="3" fillId="6" borderId="0" xfId="0" applyFont="1" applyFill="1" applyBorder="1"/>
    <xf numFmtId="0" fontId="4" fillId="0" borderId="0" xfId="33" applyFont="1"/>
    <xf numFmtId="0" fontId="12" fillId="6" borderId="0" xfId="33" applyFont="1" applyFill="1"/>
    <xf numFmtId="0" fontId="4" fillId="6" borderId="0" xfId="33" applyFont="1" applyFill="1"/>
    <xf numFmtId="0" fontId="3" fillId="6" borderId="11" xfId="33" applyFont="1" applyFill="1" applyBorder="1" applyAlignment="1">
      <alignment horizontal="center"/>
    </xf>
    <xf numFmtId="165" fontId="4" fillId="7" borderId="10" xfId="33" applyNumberFormat="1" applyFont="1" applyFill="1" applyBorder="1"/>
    <xf numFmtId="165" fontId="4" fillId="5" borderId="0" xfId="33" applyNumberFormat="1" applyFont="1" applyFill="1" applyBorder="1"/>
    <xf numFmtId="0" fontId="5" fillId="0" borderId="8" xfId="33" applyFont="1" applyBorder="1"/>
    <xf numFmtId="0" fontId="11" fillId="7" borderId="2" xfId="33" applyFont="1" applyFill="1" applyBorder="1" applyAlignment="1">
      <alignment horizontal="left"/>
    </xf>
    <xf numFmtId="0" fontId="4" fillId="0" borderId="3" xfId="33" applyFont="1" applyBorder="1"/>
    <xf numFmtId="165" fontId="4" fillId="2" borderId="4" xfId="33" applyNumberFormat="1" applyFont="1" applyFill="1" applyBorder="1" applyAlignment="1">
      <alignment horizontal="right"/>
    </xf>
    <xf numFmtId="186" fontId="4" fillId="2" borderId="4" xfId="33" applyNumberFormat="1" applyFont="1" applyFill="1" applyBorder="1" applyAlignment="1">
      <alignment horizontal="right"/>
    </xf>
    <xf numFmtId="0" fontId="4" fillId="0" borderId="4" xfId="33" applyFont="1" applyBorder="1" applyAlignment="1">
      <alignment horizontal="right"/>
    </xf>
    <xf numFmtId="165" fontId="4" fillId="0" borderId="4" xfId="33" applyNumberFormat="1" applyFont="1" applyBorder="1" applyAlignment="1">
      <alignment horizontal="right"/>
    </xf>
    <xf numFmtId="166" fontId="4" fillId="0" borderId="4" xfId="33" applyNumberFormat="1" applyFont="1" applyBorder="1" applyAlignment="1">
      <alignment horizontal="right"/>
    </xf>
    <xf numFmtId="0" fontId="11" fillId="2" borderId="2" xfId="33" applyFont="1" applyFill="1" applyBorder="1" applyAlignment="1">
      <alignment horizontal="left"/>
    </xf>
    <xf numFmtId="170" fontId="4" fillId="2" borderId="4" xfId="33" applyNumberFormat="1" applyFont="1" applyFill="1" applyBorder="1" applyAlignment="1">
      <alignment horizontal="right"/>
    </xf>
    <xf numFmtId="0" fontId="4" fillId="2" borderId="4" xfId="33" applyFont="1" applyFill="1" applyBorder="1" applyAlignment="1">
      <alignment horizontal="right"/>
    </xf>
    <xf numFmtId="173" fontId="4" fillId="2" borderId="4" xfId="33" applyNumberFormat="1" applyFont="1" applyFill="1" applyBorder="1" applyAlignment="1">
      <alignment horizontal="right"/>
    </xf>
    <xf numFmtId="0" fontId="4" fillId="0" borderId="5" xfId="33" applyFont="1" applyBorder="1" applyAlignment="1">
      <alignment wrapText="1"/>
    </xf>
    <xf numFmtId="173" fontId="4" fillId="2" borderId="7" xfId="33" applyNumberFormat="1" applyFont="1" applyFill="1" applyBorder="1" applyAlignment="1">
      <alignment horizontal="right"/>
    </xf>
    <xf numFmtId="0" fontId="4" fillId="0" borderId="0" xfId="33" applyFont="1" applyAlignment="1">
      <alignment wrapText="1"/>
    </xf>
    <xf numFmtId="180" fontId="4" fillId="0" borderId="0" xfId="33" applyNumberFormat="1" applyFont="1"/>
  </cellXfs>
  <cellStyles count="34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Normal" xfId="0" builtinId="0"/>
    <cellStyle name="Normal 2" xfId="33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0066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externalLink" Target="externalLinks/externalLink1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127000</xdr:colOff>
      <xdr:row>4</xdr:row>
      <xdr:rowOff>12701</xdr:rowOff>
    </xdr:from>
    <xdr:to>
      <xdr:col>15</xdr:col>
      <xdr:colOff>0</xdr:colOff>
      <xdr:row>29</xdr:row>
      <xdr:rowOff>19051</xdr:rowOff>
    </xdr:to>
    <xdr:sp macro="" textlink="">
      <xdr:nvSpPr>
        <xdr:cNvPr id="2" name="Text 1"/>
        <xdr:cNvSpPr txBox="1">
          <a:spLocks noChangeArrowheads="1"/>
        </xdr:cNvSpPr>
      </xdr:nvSpPr>
      <xdr:spPr bwMode="auto">
        <a:xfrm>
          <a:off x="3403600" y="746126"/>
          <a:ext cx="7064375" cy="2311400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108000" tIns="108000" rIns="108000" bIns="108000" anchor="t" upright="1"/>
        <a:lstStyle/>
        <a:p>
          <a:pPr algn="l" rtl="0">
            <a:lnSpc>
              <a:spcPts val="1100"/>
            </a:lnSpc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rPr>
            <a:t>INSTRUCTIONS</a:t>
          </a:r>
          <a:endParaRPr lang="en-US" sz="1000" b="0" i="0" u="none" strike="noStrike" baseline="0">
            <a:solidFill>
              <a:srgbClr val="000000"/>
            </a:solidFill>
            <a:latin typeface="Arial"/>
            <a:ea typeface="Arial"/>
            <a:cs typeface="Arial"/>
          </a:endParaRPr>
        </a:p>
        <a:p>
          <a:pPr algn="l" rtl="0">
            <a:lnSpc>
              <a:spcPts val="11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ea typeface="Arial"/>
            <a:cs typeface="Arial"/>
          </a:endParaRPr>
        </a:p>
        <a:p>
          <a:pPr algn="l" rtl="0">
            <a:lnSpc>
              <a:spcPts val="1100"/>
            </a:lnSpc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rPr>
            <a:t>(1) Copy &amp; Paste the values required from the table below into the fields to the left, or enter your own values.</a:t>
          </a:r>
        </a:p>
        <a:p>
          <a:pPr algn="l" rtl="0">
            <a:lnSpc>
              <a:spcPts val="1100"/>
            </a:lnSpc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ea typeface="Arial"/>
            <a:cs typeface="Arial"/>
          </a:endParaRPr>
        </a:p>
        <a:p>
          <a:pPr algn="l" rtl="0">
            <a:lnSpc>
              <a:spcPts val="1100"/>
            </a:lnSpc>
            <a:defRPr sz="1000"/>
          </a:pPr>
          <a:r>
            <a:rPr lang="en-US" sz="1000" b="0" i="0" u="sng" strike="noStrike" baseline="0">
              <a:solidFill>
                <a:srgbClr val="000000"/>
              </a:solidFill>
              <a:latin typeface="Arial"/>
              <a:ea typeface="Arial"/>
              <a:cs typeface="Arial"/>
            </a:rPr>
            <a:t>Coordinate Set                        	Ellipsoid		Semi-major axis		Inverse Flattening</a:t>
          </a:r>
          <a:endParaRPr lang="en-US" sz="500" b="0" i="0" u="none" strike="noStrike" baseline="0">
            <a:solidFill>
              <a:srgbClr val="000000"/>
            </a:solidFill>
            <a:latin typeface="Courier New"/>
            <a:ea typeface="Courier New"/>
            <a:cs typeface="Courier New"/>
          </a:endParaRPr>
        </a:p>
        <a:p>
          <a:pPr algn="l" rtl="0">
            <a:lnSpc>
              <a:spcPts val="1200"/>
            </a:lnSpc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Courier New"/>
              <a:ea typeface="Courier New"/>
              <a:cs typeface="Courier New"/>
            </a:rPr>
            <a:t>GDA2020/MGA2020    	GRS80		6378137.0 m      	298.257222101</a:t>
          </a:r>
        </a:p>
        <a:p>
          <a:pPr algn="l" rtl="0">
            <a:lnSpc>
              <a:spcPts val="1200"/>
            </a:lnSpc>
            <a:defRPr sz="1000"/>
          </a:pPr>
          <a:r>
            <a:rPr lang="de-DE" sz="1000" b="0" i="0" u="none" strike="noStrike" baseline="0">
              <a:solidFill>
                <a:srgbClr val="000000"/>
              </a:solidFill>
              <a:latin typeface="Courier New"/>
              <a:ea typeface="Courier New"/>
              <a:cs typeface="Courier New"/>
            </a:rPr>
            <a:t>GDA94/MGA94        	GRS80		6378137.0 m        	298.257222101</a:t>
          </a:r>
          <a:endParaRPr lang="en-US" sz="1000" b="0" i="0" u="none" strike="noStrike" baseline="0">
            <a:solidFill>
              <a:srgbClr val="000000"/>
            </a:solidFill>
            <a:latin typeface="Courier New"/>
            <a:ea typeface="Courier New"/>
            <a:cs typeface="Courier New"/>
          </a:endParaRPr>
        </a:p>
        <a:p>
          <a:pPr algn="l" rtl="0">
            <a:lnSpc>
              <a:spcPts val="1200"/>
            </a:lnSpc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Courier New"/>
              <a:ea typeface="Courier New"/>
              <a:cs typeface="Courier New"/>
            </a:rPr>
            <a:t>AGD/AMG            	ANS           	6378160.0 m        	298.25</a:t>
          </a:r>
        </a:p>
        <a:p>
          <a:pPr algn="l" rtl="0">
            <a:lnSpc>
              <a:spcPts val="1200"/>
            </a:lnSpc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Courier New"/>
              <a:ea typeface="Courier New"/>
              <a:cs typeface="Courier New"/>
            </a:rPr>
            <a:t>ANG                	CLARKE 1858   	6975449.335 yd     	294.26</a:t>
          </a:r>
          <a:endParaRPr lang="en-US" sz="1000" b="0" i="0" u="none" strike="noStrike" baseline="0">
            <a:solidFill>
              <a:srgbClr val="000000"/>
            </a:solidFill>
            <a:latin typeface="Courier New"/>
            <a:ea typeface="Arial"/>
            <a:cs typeface="Courier New"/>
          </a:endParaRPr>
        </a:p>
        <a:p>
          <a:pPr algn="l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+mn-lt"/>
            <a:ea typeface="Arial"/>
            <a:cs typeface="Arial"/>
          </a:endParaRPr>
        </a:p>
        <a:p>
          <a:pPr algn="l" rtl="0">
            <a:lnSpc>
              <a:spcPts val="1100"/>
            </a:lnSpc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rPr>
            <a:t>(2) Use the tabs below to perform conversion from:</a:t>
          </a:r>
        </a:p>
        <a:p>
          <a:pPr algn="l" rtl="0">
            <a:lnSpc>
              <a:spcPts val="1100"/>
            </a:lnSpc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rPr>
            <a:t> - Geographic to Grid (Latitude and Longitude to Easting, Northing and Zone); or</a:t>
          </a:r>
        </a:p>
        <a:p>
          <a:pPr algn="l" rtl="0">
            <a:lnSpc>
              <a:spcPts val="1100"/>
            </a:lnSpc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rPr>
            <a:t> - Grid to Geographic (Easting, Northing and Zone to Latitude and Longitude).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50</xdr:row>
      <xdr:rowOff>101601</xdr:rowOff>
    </xdr:from>
    <xdr:to>
      <xdr:col>11</xdr:col>
      <xdr:colOff>0</xdr:colOff>
      <xdr:row>58</xdr:row>
      <xdr:rowOff>95250</xdr:rowOff>
    </xdr:to>
    <xdr:sp macro="" textlink="">
      <xdr:nvSpPr>
        <xdr:cNvPr id="2049" name="Text 1"/>
        <xdr:cNvSpPr txBox="1">
          <a:spLocks noChangeArrowheads="1"/>
        </xdr:cNvSpPr>
      </xdr:nvSpPr>
      <xdr:spPr bwMode="auto">
        <a:xfrm>
          <a:off x="152400" y="1949451"/>
          <a:ext cx="7600950" cy="1441449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108000" tIns="108000" rIns="108000" bIns="10800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rPr>
            <a:t>INSTRUCTIONS</a:t>
          </a:r>
          <a:endParaRPr lang="en-US" sz="1000" b="0" i="0" u="none" strike="noStrike" baseline="0">
            <a:solidFill>
              <a:srgbClr val="000000"/>
            </a:solidFill>
            <a:latin typeface="Arial"/>
            <a:ea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rPr>
            <a:t>(1) Enter the appropriate ellipsoid parameters and if neccessary, TM constants, on the "Constant &amp; Parameters" worksheet.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rPr>
            <a:t>(2) Enter the station name in cell C3 (documentation only).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rPr>
            <a:t>(3) Enter the latitude in cells (C6:E6). Remember that south latitude is negative.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rPr>
            <a:t>(4) Enter the longitude in cells (I6:K6). Remember that east longitude is positive.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ea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rPr>
            <a:t>To see the intermediate steps, use the Excel "outlining" features: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rPr>
            <a:t>(i) SHOW the outline symbols, and then</a:t>
          </a:r>
        </a:p>
        <a:p>
          <a:pPr algn="l" rtl="0">
            <a:lnSpc>
              <a:spcPts val="1100"/>
            </a:lnSpc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rPr>
            <a:t>(ii) UNGROUP the hidden rows and columns as required.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3174</xdr:colOff>
      <xdr:row>53</xdr:row>
      <xdr:rowOff>63500</xdr:rowOff>
    </xdr:from>
    <xdr:to>
      <xdr:col>14</xdr:col>
      <xdr:colOff>1047749</xdr:colOff>
      <xdr:row>62</xdr:row>
      <xdr:rowOff>161925</xdr:rowOff>
    </xdr:to>
    <xdr:sp macro="" textlink="">
      <xdr:nvSpPr>
        <xdr:cNvPr id="3073" name="Text 1"/>
        <xdr:cNvSpPr txBox="1">
          <a:spLocks noChangeArrowheads="1"/>
        </xdr:cNvSpPr>
      </xdr:nvSpPr>
      <xdr:spPr bwMode="auto">
        <a:xfrm>
          <a:off x="165099" y="1844675"/>
          <a:ext cx="6654800" cy="1727200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108000" tIns="108000" rIns="108000" bIns="10800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rPr>
            <a:t>INSTRUCTIONS</a:t>
          </a:r>
          <a:endParaRPr lang="en-US" sz="1000" b="0" i="0" u="none" strike="noStrike" baseline="0">
            <a:solidFill>
              <a:srgbClr val="000000"/>
            </a:solidFill>
            <a:latin typeface="Arial"/>
            <a:ea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rPr>
            <a:t>(1) Enter the appropriate ellipsoid parameters and, if necessary, the TM constants on the "Constant &amp; Parameters" worksheet.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rPr>
            <a:t>(2) Enter the station name in cell C3 (documentation only).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rPr>
            <a:t>(3) Enter the zone number in cell E5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rPr>
            <a:t>(4) Enter the easting in cell E6.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rPr>
            <a:t>(5) Enter the northing in cell O6.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ea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rPr>
            <a:t>To see the intermediate steps, use the Excel "outlining" features: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rPr>
            <a:t>(i) SHOW the outline symbols, and then</a:t>
          </a:r>
        </a:p>
        <a:p>
          <a:pPr algn="l" rtl="0">
            <a:lnSpc>
              <a:spcPts val="1100"/>
            </a:lnSpc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rPr>
            <a:t>(ii) UNGROUP the hidden rows and columns as required.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Krueger%20n-serie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onstants &amp; Parameters"/>
      <sheetName val="Geographic to Grid"/>
      <sheetName val="Grid to Geographic"/>
    </sheetNames>
    <sheetDataSet>
      <sheetData sheetId="0">
        <row r="6">
          <cell r="C6">
            <v>6378137</v>
          </cell>
        </row>
        <row r="11">
          <cell r="C11">
            <v>6.6943800229007869E-3</v>
          </cell>
        </row>
        <row r="22">
          <cell r="C22" t="str">
            <v>GDA2020-MGA2020</v>
          </cell>
        </row>
        <row r="25">
          <cell r="C25">
            <v>0.99960000000000004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F30"/>
  <sheetViews>
    <sheetView showGridLines="0" showOutlineSymbols="0" workbookViewId="0">
      <selection activeCell="C40" sqref="C40"/>
    </sheetView>
  </sheetViews>
  <sheetFormatPr baseColWidth="10" defaultColWidth="8.83203125" defaultRowHeight="13" outlineLevelRow="1" x14ac:dyDescent="0"/>
  <cols>
    <col min="1" max="1" width="1.83203125" style="131" customWidth="1"/>
    <col min="2" max="2" width="25.1640625" style="131" customWidth="1"/>
    <col min="3" max="3" width="22.1640625" style="131" customWidth="1"/>
    <col min="4" max="4" width="8.83203125" style="131" customWidth="1"/>
    <col min="5" max="5" width="10.5" style="131" bestFit="1" customWidth="1"/>
    <col min="6" max="16384" width="8.83203125" style="131"/>
  </cols>
  <sheetData>
    <row r="1" spans="2:6" ht="6" customHeight="1"/>
    <row r="2" spans="2:6" ht="21">
      <c r="B2" s="132" t="s">
        <v>102</v>
      </c>
      <c r="C2" s="133"/>
      <c r="E2" s="134" t="s">
        <v>6</v>
      </c>
    </row>
    <row r="3" spans="2:6">
      <c r="E3" s="135" t="s">
        <v>7</v>
      </c>
    </row>
    <row r="4" spans="2:6">
      <c r="E4" s="136"/>
    </row>
    <row r="5" spans="2:6">
      <c r="B5" s="137" t="s">
        <v>103</v>
      </c>
      <c r="C5" s="138" t="s">
        <v>104</v>
      </c>
    </row>
    <row r="6" spans="2:6">
      <c r="B6" s="139" t="s">
        <v>0</v>
      </c>
      <c r="C6" s="140">
        <v>6378137</v>
      </c>
    </row>
    <row r="7" spans="2:6" ht="15">
      <c r="B7" s="139" t="s">
        <v>105</v>
      </c>
      <c r="C7" s="141">
        <v>298.25722210100002</v>
      </c>
    </row>
    <row r="8" spans="2:6" hidden="1" outlineLevel="1">
      <c r="B8" s="139" t="s">
        <v>106</v>
      </c>
      <c r="C8" s="142">
        <f>1/C7</f>
        <v>3.3528106811823188E-3</v>
      </c>
    </row>
    <row r="9" spans="2:6" hidden="1" outlineLevel="1">
      <c r="B9" s="139" t="s">
        <v>107</v>
      </c>
      <c r="C9" s="143">
        <f>C6*(1-C10)</f>
        <v>6356752.3141403561</v>
      </c>
    </row>
    <row r="10" spans="2:6" hidden="1" outlineLevel="1">
      <c r="B10" s="139" t="s">
        <v>106</v>
      </c>
      <c r="C10" s="144">
        <f>1/C7</f>
        <v>3.3528106811823188E-3</v>
      </c>
    </row>
    <row r="11" spans="2:6" ht="14" hidden="1" outlineLevel="1">
      <c r="B11" s="139" t="s">
        <v>108</v>
      </c>
      <c r="C11" s="144">
        <f>(2*C10)-(C10*C10)</f>
        <v>6.6943800229007869E-3</v>
      </c>
    </row>
    <row r="12" spans="2:6" hidden="1" outlineLevel="1">
      <c r="B12" s="139" t="s">
        <v>109</v>
      </c>
      <c r="C12" s="144">
        <f>SQRT(C11)</f>
        <v>8.1819191042815792E-2</v>
      </c>
    </row>
    <row r="13" spans="2:6" ht="14" hidden="1" outlineLevel="1">
      <c r="B13" s="139" t="s">
        <v>110</v>
      </c>
      <c r="C13" s="144">
        <f>C11/(1-C11)</f>
        <v>6.7394967754789573E-3</v>
      </c>
      <c r="F13" s="131" t="s">
        <v>111</v>
      </c>
    </row>
    <row r="14" spans="2:6" hidden="1" outlineLevel="1">
      <c r="B14" s="139" t="s">
        <v>112</v>
      </c>
      <c r="C14" s="144">
        <f>SQRT(C13)</f>
        <v>8.2094438151917193E-2</v>
      </c>
    </row>
    <row r="15" spans="2:6" hidden="1" outlineLevel="1">
      <c r="B15" s="139"/>
      <c r="C15" s="142"/>
    </row>
    <row r="16" spans="2:6" hidden="1" outlineLevel="1">
      <c r="B16" s="139" t="s">
        <v>1</v>
      </c>
      <c r="C16" s="142">
        <f>(C6-C9)/(C6+C9)</f>
        <v>1.6792203946287211E-3</v>
      </c>
    </row>
    <row r="17" spans="2:3" hidden="1" outlineLevel="1">
      <c r="B17" s="139" t="s">
        <v>113</v>
      </c>
      <c r="C17" s="142">
        <f>C16*C16</f>
        <v>2.8197811337370378E-6</v>
      </c>
    </row>
    <row r="18" spans="2:3" hidden="1" outlineLevel="1">
      <c r="B18" s="139" t="s">
        <v>114</v>
      </c>
      <c r="C18" s="142">
        <f>C16*C17</f>
        <v>4.7350339881605316E-9</v>
      </c>
    </row>
    <row r="19" spans="2:3" hidden="1" outlineLevel="1">
      <c r="B19" s="139" t="s">
        <v>115</v>
      </c>
      <c r="C19" s="142">
        <f>C17*C17</f>
        <v>7.9511656421793351E-12</v>
      </c>
    </row>
    <row r="20" spans="2:3" hidden="1" outlineLevel="1">
      <c r="B20" s="139" t="s">
        <v>116</v>
      </c>
      <c r="C20" s="142">
        <f>C6*(1-C16)*(1-C17)*(1+(9*C17)/4+(225*C19)/64)*PI()/180</f>
        <v>111132.95254700514</v>
      </c>
    </row>
    <row r="21" spans="2:3" collapsed="1">
      <c r="B21" s="139"/>
      <c r="C21" s="142"/>
    </row>
    <row r="22" spans="2:3">
      <c r="B22" s="137" t="s">
        <v>117</v>
      </c>
      <c r="C22" s="145" t="s">
        <v>118</v>
      </c>
    </row>
    <row r="23" spans="2:3">
      <c r="B23" s="139" t="s">
        <v>2</v>
      </c>
      <c r="C23" s="146">
        <v>500000</v>
      </c>
    </row>
    <row r="24" spans="2:3">
      <c r="B24" s="139" t="s">
        <v>3</v>
      </c>
      <c r="C24" s="146">
        <v>10000000</v>
      </c>
    </row>
    <row r="25" spans="2:3" ht="15">
      <c r="B25" s="139" t="s">
        <v>90</v>
      </c>
      <c r="C25" s="147">
        <v>0.99960000000000004</v>
      </c>
    </row>
    <row r="26" spans="2:3">
      <c r="B26" s="139" t="s">
        <v>4</v>
      </c>
      <c r="C26" s="148">
        <v>6</v>
      </c>
    </row>
    <row r="27" spans="2:3" ht="26">
      <c r="B27" s="149" t="s">
        <v>5</v>
      </c>
      <c r="C27" s="150">
        <v>-177</v>
      </c>
    </row>
    <row r="28" spans="2:3" ht="26" hidden="1" outlineLevel="1">
      <c r="B28" s="151" t="s">
        <v>119</v>
      </c>
      <c r="C28" s="152">
        <f>C27-(1.5*C26)</f>
        <v>-186</v>
      </c>
    </row>
    <row r="29" spans="2:3" hidden="1" outlineLevel="1">
      <c r="B29" s="131" t="s">
        <v>120</v>
      </c>
      <c r="C29" s="152">
        <f>C28+(C26/2)</f>
        <v>-183</v>
      </c>
    </row>
    <row r="30" spans="2:3" collapsed="1"/>
  </sheetData>
  <printOptions gridLinesSet="0"/>
  <pageMargins left="0.75" right="0.75" top="1" bottom="1" header="0.5" footer="0.5"/>
  <pageSetup paperSize="9" orientation="portrait" horizontalDpi="180" verticalDpi="180"/>
  <headerFooter>
    <oddHeader>&amp;C&amp;F&amp;RConstants &amp; Parameters</oddHeader>
    <oddFooter>&amp;L&amp;D&amp;CGDA Technical Manual</oddFooter>
  </headerFooter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B1:N50"/>
  <sheetViews>
    <sheetView showGridLines="0" showOutlineSymbols="0" workbookViewId="0">
      <selection activeCell="E67" sqref="E67"/>
    </sheetView>
  </sheetViews>
  <sheetFormatPr baseColWidth="10" defaultColWidth="8.83203125" defaultRowHeight="13" outlineLevelRow="1" outlineLevelCol="1" x14ac:dyDescent="0"/>
  <cols>
    <col min="1" max="1" width="2.33203125" style="1" customWidth="1"/>
    <col min="2" max="2" width="22.5" style="1" customWidth="1"/>
    <col min="3" max="3" width="8.5" style="1" customWidth="1"/>
    <col min="4" max="4" width="4.33203125" style="1" customWidth="1"/>
    <col min="5" max="5" width="16.83203125" style="1" customWidth="1"/>
    <col min="6" max="6" width="17.33203125" style="1" hidden="1" customWidth="1" outlineLevel="1"/>
    <col min="7" max="7" width="18.83203125" style="1" hidden="1" customWidth="1" outlineLevel="1"/>
    <col min="8" max="8" width="21.83203125" style="1" customWidth="1" collapsed="1"/>
    <col min="9" max="9" width="12.33203125" style="1" bestFit="1" customWidth="1"/>
    <col min="10" max="10" width="8.6640625" style="1" customWidth="1"/>
    <col min="11" max="11" width="19.1640625" style="1" bestFit="1" customWidth="1"/>
    <col min="12" max="12" width="19.5" style="1" hidden="1" customWidth="1" outlineLevel="1"/>
    <col min="13" max="13" width="17.83203125" style="1" hidden="1" customWidth="1" outlineLevel="1"/>
    <col min="14" max="14" width="15.6640625" style="1" customWidth="1" collapsed="1"/>
    <col min="15" max="15" width="16.33203125" style="1" customWidth="1"/>
    <col min="16" max="16" width="8.83203125" style="1" customWidth="1"/>
    <col min="17" max="16384" width="8.83203125" style="1"/>
  </cols>
  <sheetData>
    <row r="1" spans="2:13" ht="21">
      <c r="B1" s="123" t="s">
        <v>101</v>
      </c>
      <c r="C1" s="124"/>
      <c r="D1" s="124"/>
      <c r="E1" s="125"/>
      <c r="F1" s="116"/>
      <c r="G1" s="116"/>
      <c r="H1" s="116"/>
      <c r="I1" s="120"/>
      <c r="J1" s="120"/>
      <c r="K1" s="118" t="s">
        <v>6</v>
      </c>
    </row>
    <row r="2" spans="2:13">
      <c r="B2" s="66" t="s">
        <v>80</v>
      </c>
      <c r="C2" s="67" t="str">
        <f>'[1]Constants &amp; Parameters'!C22</f>
        <v>GDA2020-MGA2020</v>
      </c>
      <c r="D2" s="68"/>
      <c r="E2" s="69"/>
      <c r="F2" s="3"/>
      <c r="G2" s="3"/>
      <c r="H2" s="3"/>
      <c r="I2" s="3"/>
      <c r="J2" s="3"/>
      <c r="K2" s="121" t="s">
        <v>7</v>
      </c>
    </row>
    <row r="3" spans="2:13">
      <c r="B3" s="70" t="s">
        <v>8</v>
      </c>
      <c r="C3" s="5" t="s">
        <v>89</v>
      </c>
      <c r="D3" s="6"/>
      <c r="E3" s="71"/>
      <c r="F3" s="7"/>
      <c r="G3" s="7"/>
      <c r="K3" s="122" t="s">
        <v>37</v>
      </c>
      <c r="L3" s="8" t="s">
        <v>9</v>
      </c>
      <c r="M3" s="8" t="s">
        <v>10</v>
      </c>
    </row>
    <row r="4" spans="2:13">
      <c r="B4" s="4"/>
      <c r="C4" s="64"/>
      <c r="D4" s="65"/>
      <c r="E4" s="65"/>
      <c r="F4" s="62"/>
      <c r="G4" s="62"/>
      <c r="H4" s="3"/>
      <c r="I4" s="3"/>
      <c r="J4" s="3"/>
      <c r="K4" s="3"/>
      <c r="L4" s="8"/>
      <c r="M4" s="8"/>
    </row>
    <row r="5" spans="2:13">
      <c r="B5" s="9"/>
      <c r="C5" s="10"/>
      <c r="D5" s="11"/>
      <c r="E5" s="10"/>
      <c r="F5" s="10"/>
      <c r="G5" s="10"/>
      <c r="H5" s="12"/>
      <c r="I5" s="10"/>
      <c r="J5" s="10"/>
      <c r="K5" s="13"/>
      <c r="L5" s="8"/>
      <c r="M5" s="8"/>
    </row>
    <row r="6" spans="2:13">
      <c r="B6" s="14" t="s">
        <v>11</v>
      </c>
      <c r="C6" s="15">
        <v>-23</v>
      </c>
      <c r="D6" s="16">
        <v>40</v>
      </c>
      <c r="E6" s="73">
        <v>12.446018759999999</v>
      </c>
      <c r="F6" s="3">
        <f>IF(C6&lt;0,-F7,IF(D6&lt;0,-F7,IF(E6&lt;0,-F7,F7)))</f>
        <v>-23.670123894100001</v>
      </c>
      <c r="G6" s="17">
        <f>(F6/180)*PI()</f>
        <v>-0.41312159630702661</v>
      </c>
      <c r="H6" s="18" t="s">
        <v>62</v>
      </c>
      <c r="I6" s="15">
        <v>133</v>
      </c>
      <c r="J6" s="16">
        <v>53</v>
      </c>
      <c r="K6" s="72">
        <v>7.8478440000000003</v>
      </c>
      <c r="L6" s="3">
        <f>IF(I6&lt;0,-L7,IF(J6&lt;0,-L7,IF(K6&lt;0,-L7,L7)))</f>
        <v>133.88551329000001</v>
      </c>
      <c r="M6" s="19">
        <f>(L6/180)*PI()</f>
        <v>2.3367430276331258</v>
      </c>
    </row>
    <row r="7" spans="2:13" hidden="1" outlineLevel="1">
      <c r="B7" s="20" t="s">
        <v>12</v>
      </c>
      <c r="C7" s="21">
        <f>(L6-'Constants &amp; Parameters'!C28)/'Constants &amp; Parameters'!C26</f>
        <v>53.314252215000003</v>
      </c>
      <c r="D7" s="3"/>
      <c r="E7" s="3"/>
      <c r="F7" s="3">
        <f>ABS(C6)+(ABS(D6)/60)+ABS(E6)/3600</f>
        <v>23.670123894100001</v>
      </c>
      <c r="G7" s="3"/>
      <c r="H7" s="18"/>
      <c r="I7" s="3"/>
      <c r="J7" s="3"/>
      <c r="K7" s="22"/>
      <c r="L7" s="3">
        <f>ABS(I6)+(ABS(J6)/60)+ABS(K6)/3600</f>
        <v>133.88551329000001</v>
      </c>
    </row>
    <row r="8" spans="2:13" hidden="1" outlineLevel="1">
      <c r="B8" s="20" t="s">
        <v>13</v>
      </c>
      <c r="C8" s="23">
        <f>(C9*'Constants &amp; Parameters'!C26)+'Constants &amp; Parameters'!C29</f>
        <v>135</v>
      </c>
      <c r="D8" s="3"/>
      <c r="E8" s="24"/>
      <c r="F8" s="3"/>
      <c r="G8" s="17"/>
      <c r="H8" s="18" t="s">
        <v>68</v>
      </c>
      <c r="I8" s="23">
        <f>TRUNC(L8,0)</f>
        <v>-1</v>
      </c>
      <c r="J8" s="25">
        <f>TRUNC(((L8-I8)*60),0)</f>
        <v>-6</v>
      </c>
      <c r="K8" s="26">
        <f>((L8-I8)-(J8/60))*3600</f>
        <v>-52.152155999979165</v>
      </c>
      <c r="L8" s="27">
        <f>L6-C8</f>
        <v>-1.1144867099999942</v>
      </c>
      <c r="M8" s="19">
        <f>(L8/180)*PI()</f>
        <v>-1.9451462559219111E-2</v>
      </c>
    </row>
    <row r="9" spans="2:13" collapsed="1">
      <c r="B9" s="28" t="s">
        <v>14</v>
      </c>
      <c r="C9" s="29">
        <f>TRUNC(C7)</f>
        <v>53</v>
      </c>
      <c r="D9" s="18"/>
      <c r="E9" s="30"/>
      <c r="F9" s="3">
        <f>C8</f>
        <v>135</v>
      </c>
      <c r="G9" s="17">
        <f>(F9/180)*PI()</f>
        <v>2.3561944901923448</v>
      </c>
      <c r="H9" s="3"/>
      <c r="I9" s="3"/>
      <c r="J9" s="3"/>
      <c r="K9" s="31"/>
    </row>
    <row r="10" spans="2:13" hidden="1" outlineLevel="1">
      <c r="B10" s="32" t="s">
        <v>15</v>
      </c>
      <c r="C10" s="33"/>
      <c r="D10" s="18"/>
      <c r="E10" s="18"/>
      <c r="F10" s="3"/>
      <c r="G10" s="3"/>
      <c r="H10" s="3"/>
      <c r="I10" s="3"/>
      <c r="J10" s="3"/>
      <c r="K10" s="31"/>
    </row>
    <row r="11" spans="2:13" hidden="1" outlineLevel="1">
      <c r="B11" s="28" t="s">
        <v>69</v>
      </c>
      <c r="C11" s="33"/>
      <c r="D11" s="18"/>
      <c r="E11" s="34">
        <f>SIN(G6)</f>
        <v>-0.40147026221301757</v>
      </c>
      <c r="F11" s="3"/>
      <c r="G11" s="3"/>
      <c r="H11" s="3"/>
      <c r="I11" s="3"/>
      <c r="J11" s="3"/>
      <c r="K11" s="31"/>
      <c r="L11" s="8" t="s">
        <v>16</v>
      </c>
      <c r="M11" s="19">
        <f>1-(K12/4)-((3*K13)/64)-((5*K14)/256)</f>
        <v>0.99832429844458481</v>
      </c>
    </row>
    <row r="12" spans="2:13" ht="14" hidden="1" outlineLevel="1">
      <c r="B12" s="28" t="s">
        <v>70</v>
      </c>
      <c r="C12" s="33"/>
      <c r="D12" s="18"/>
      <c r="E12" s="34">
        <f>SIN(2*G6)</f>
        <v>-0.73539079140519759</v>
      </c>
      <c r="F12" s="3"/>
      <c r="G12" s="3"/>
      <c r="H12" s="18" t="s">
        <v>81</v>
      </c>
      <c r="I12" s="3"/>
      <c r="J12" s="3"/>
      <c r="K12" s="35">
        <f>'[1]Constants &amp; Parameters'!C11</f>
        <v>6.6943800229007869E-3</v>
      </c>
      <c r="L12" s="8" t="s">
        <v>17</v>
      </c>
      <c r="M12" s="19">
        <f>(3/8)*(K12+(K13/4)+((15*K14)/128))</f>
        <v>2.5146070728448195E-3</v>
      </c>
    </row>
    <row r="13" spans="2:13" ht="14" hidden="1" outlineLevel="1">
      <c r="B13" s="28" t="s">
        <v>71</v>
      </c>
      <c r="C13" s="33"/>
      <c r="D13" s="18"/>
      <c r="E13" s="34">
        <f>SIN(4*G6)</f>
        <v>-0.99666522228365906</v>
      </c>
      <c r="F13" s="3"/>
      <c r="G13" s="3"/>
      <c r="H13" s="18" t="s">
        <v>82</v>
      </c>
      <c r="I13" s="3"/>
      <c r="J13" s="3"/>
      <c r="K13" s="35">
        <f>K12*K12</f>
        <v>4.481472389101314E-5</v>
      </c>
      <c r="L13" s="8" t="s">
        <v>18</v>
      </c>
      <c r="M13" s="19">
        <f>(15/256)*(K13+((3*K14)/4))</f>
        <v>2.6390466202308984E-6</v>
      </c>
    </row>
    <row r="14" spans="2:13" ht="14" hidden="1" outlineLevel="1">
      <c r="B14" s="28" t="s">
        <v>72</v>
      </c>
      <c r="C14" s="33"/>
      <c r="D14" s="18"/>
      <c r="E14" s="34">
        <f>SIN(6*G6)</f>
        <v>-0.61537614356231984</v>
      </c>
      <c r="F14" s="3"/>
      <c r="G14" s="3"/>
      <c r="H14" s="18" t="s">
        <v>83</v>
      </c>
      <c r="I14" s="3"/>
      <c r="J14" s="3"/>
      <c r="K14" s="35">
        <f>K12*K13</f>
        <v>3.0000679234781296E-7</v>
      </c>
      <c r="L14" s="8" t="s">
        <v>19</v>
      </c>
      <c r="M14" s="19">
        <f>(35*K14)/3072</f>
        <v>3.4180461367752132E-9</v>
      </c>
    </row>
    <row r="15" spans="2:13" hidden="1" outlineLevel="1">
      <c r="B15" s="28"/>
      <c r="C15" s="33"/>
      <c r="D15" s="18"/>
      <c r="E15" s="18"/>
      <c r="F15" s="3"/>
      <c r="G15" s="3"/>
      <c r="H15" s="3"/>
      <c r="I15" s="3"/>
      <c r="J15" s="3"/>
      <c r="K15" s="31"/>
    </row>
    <row r="16" spans="2:13" hidden="1" outlineLevel="1">
      <c r="B16" s="32" t="s">
        <v>20</v>
      </c>
      <c r="C16" s="33"/>
      <c r="D16" s="18"/>
      <c r="E16" s="18"/>
      <c r="F16" s="3"/>
      <c r="G16" s="3"/>
      <c r="H16" s="2" t="s">
        <v>21</v>
      </c>
      <c r="I16" s="3"/>
      <c r="J16" s="2"/>
      <c r="K16" s="31"/>
    </row>
    <row r="17" spans="2:13" hidden="1" outlineLevel="1">
      <c r="B17" s="28" t="s">
        <v>22</v>
      </c>
      <c r="C17" s="33"/>
      <c r="D17" s="18"/>
      <c r="E17" s="36">
        <f>('[1]Constants &amp; Parameters'!C6)*M11*G6</f>
        <v>-2630530.7555615115</v>
      </c>
      <c r="F17" s="3"/>
      <c r="G17" s="3"/>
      <c r="H17" s="18" t="s">
        <v>73</v>
      </c>
      <c r="I17" s="3"/>
      <c r="J17" s="3"/>
      <c r="K17" s="22">
        <f>'[1]Constants &amp; Parameters'!C6*(1-K12)/(1-(K12*E11*E11))^1.5</f>
        <v>6345706.9807792697</v>
      </c>
    </row>
    <row r="18" spans="2:13" hidden="1" outlineLevel="1">
      <c r="B18" s="28" t="s">
        <v>23</v>
      </c>
      <c r="C18" s="33"/>
      <c r="D18" s="18"/>
      <c r="E18" s="37">
        <f>-('[1]Constants &amp; Parameters'!C6)*M12*E12</f>
        <v>11794.57139389284</v>
      </c>
      <c r="F18" s="3"/>
      <c r="G18" s="3"/>
      <c r="H18" s="18" t="s">
        <v>74</v>
      </c>
      <c r="I18" s="3"/>
      <c r="J18" s="3"/>
      <c r="K18" s="22">
        <f>'[1]Constants &amp; Parameters'!C6/(1-(K12*E11*E11))^0.5</f>
        <v>6381580.7577764615</v>
      </c>
    </row>
    <row r="19" spans="2:13" hidden="1" outlineLevel="1">
      <c r="B19" s="28" t="s">
        <v>24</v>
      </c>
      <c r="C19" s="33"/>
      <c r="D19" s="18"/>
      <c r="E19" s="38">
        <f>('[1]Constants &amp; Parameters'!C6)*M13*E13</f>
        <v>-16.77606924476396</v>
      </c>
      <c r="F19" s="3"/>
      <c r="G19" s="3"/>
      <c r="H19" s="3"/>
      <c r="I19" s="3"/>
      <c r="J19" s="3"/>
      <c r="K19" s="31"/>
    </row>
    <row r="20" spans="2:13" hidden="1" outlineLevel="1">
      <c r="B20" s="28" t="s">
        <v>25</v>
      </c>
      <c r="C20" s="33"/>
      <c r="D20" s="18"/>
      <c r="E20" s="38">
        <f>-('[1]Constants &amp; Parameters'!C6)*M14*E14</f>
        <v>1.3415671635578826E-2</v>
      </c>
      <c r="F20" s="3"/>
      <c r="G20" s="3"/>
      <c r="H20" s="3"/>
      <c r="I20" s="3"/>
      <c r="J20" s="3"/>
      <c r="K20" s="31"/>
    </row>
    <row r="21" spans="2:13" hidden="1" outlineLevel="1">
      <c r="B21" s="28" t="s">
        <v>26</v>
      </c>
      <c r="C21" s="33"/>
      <c r="D21" s="18"/>
      <c r="E21" s="36">
        <f>E17+E18+E19+E20</f>
        <v>-2618752.9468211923</v>
      </c>
      <c r="F21" s="3"/>
      <c r="G21" s="3"/>
      <c r="H21" s="3"/>
      <c r="I21" s="3"/>
      <c r="J21" s="3"/>
      <c r="K21" s="31"/>
    </row>
    <row r="22" spans="2:13" hidden="1" outlineLevel="1">
      <c r="B22" s="28"/>
      <c r="C22" s="33"/>
      <c r="D22" s="18"/>
      <c r="E22" s="18"/>
      <c r="F22" s="3"/>
      <c r="G22" s="3"/>
      <c r="H22" s="3"/>
      <c r="I22" s="3"/>
      <c r="J22" s="3"/>
      <c r="K22" s="31"/>
    </row>
    <row r="23" spans="2:13" hidden="1" outlineLevel="1">
      <c r="B23" s="32" t="s">
        <v>27</v>
      </c>
      <c r="C23" s="33"/>
      <c r="D23" s="18"/>
      <c r="E23" s="39" t="s">
        <v>28</v>
      </c>
      <c r="F23" s="3"/>
      <c r="G23" s="3"/>
      <c r="H23" s="40" t="s">
        <v>84</v>
      </c>
      <c r="I23" s="3"/>
      <c r="J23" s="3"/>
      <c r="K23" s="41" t="s">
        <v>29</v>
      </c>
      <c r="M23" s="42" t="s">
        <v>85</v>
      </c>
    </row>
    <row r="24" spans="2:13" hidden="1" outlineLevel="1">
      <c r="B24" s="28">
        <v>1</v>
      </c>
      <c r="C24" s="33"/>
      <c r="D24" s="18"/>
      <c r="E24" s="34">
        <f>COS(G6)</f>
        <v>0.91587205905552704</v>
      </c>
      <c r="F24" s="17"/>
      <c r="G24" s="3"/>
      <c r="H24" s="17">
        <f>M8</f>
        <v>-1.9451462559219111E-2</v>
      </c>
      <c r="I24" s="3"/>
      <c r="J24" s="3"/>
      <c r="K24" s="43">
        <f>TAN(G6)</f>
        <v>-0.43834753800331561</v>
      </c>
      <c r="M24" s="19">
        <f>K18/K17</f>
        <v>1.0056532356608729</v>
      </c>
    </row>
    <row r="25" spans="2:13" hidden="1" outlineLevel="1">
      <c r="B25" s="28">
        <v>2</v>
      </c>
      <c r="C25" s="33"/>
      <c r="D25" s="18"/>
      <c r="E25" s="34">
        <f>E24*E24</f>
        <v>0.83882162855861087</v>
      </c>
      <c r="F25" s="44"/>
      <c r="G25" s="44"/>
      <c r="H25" s="34">
        <f>H24*H24</f>
        <v>3.7835939569270287E-4</v>
      </c>
      <c r="I25" s="3"/>
      <c r="J25" s="3"/>
      <c r="K25" s="43">
        <f>K24*K24</f>
        <v>0.19214856407356823</v>
      </c>
      <c r="M25" s="19">
        <f>M24*M24</f>
        <v>1.0113384303951833</v>
      </c>
    </row>
    <row r="26" spans="2:13" hidden="1" outlineLevel="1">
      <c r="B26" s="28">
        <v>3</v>
      </c>
      <c r="C26" s="33"/>
      <c r="D26" s="18"/>
      <c r="E26" s="34">
        <f>E25*E24</f>
        <v>0.76825329212828541</v>
      </c>
      <c r="F26" s="44"/>
      <c r="G26" s="44"/>
      <c r="H26" s="34">
        <f>H25*H24</f>
        <v>-7.3596436192453784E-6</v>
      </c>
      <c r="I26" s="3"/>
      <c r="J26" s="3"/>
      <c r="K26" s="43"/>
      <c r="M26" s="19">
        <f>M24*M25</f>
        <v>1.0170557648751046</v>
      </c>
    </row>
    <row r="27" spans="2:13" hidden="1" outlineLevel="1">
      <c r="B27" s="28">
        <v>4</v>
      </c>
      <c r="C27" s="33"/>
      <c r="D27" s="18"/>
      <c r="E27" s="34">
        <f>E25*E25</f>
        <v>0.70362172453772009</v>
      </c>
      <c r="F27" s="44"/>
      <c r="G27" s="44"/>
      <c r="H27" s="34">
        <f>H25*H25</f>
        <v>1.4315583230894731E-7</v>
      </c>
      <c r="I27" s="3"/>
      <c r="J27" s="3"/>
      <c r="K27" s="43">
        <f>K25*K25</f>
        <v>3.6921070675534157E-2</v>
      </c>
      <c r="M27" s="19">
        <f>M25*M25</f>
        <v>1.022805420794193</v>
      </c>
    </row>
    <row r="28" spans="2:13" hidden="1" outlineLevel="1">
      <c r="B28" s="28">
        <v>5</v>
      </c>
      <c r="C28" s="33"/>
      <c r="D28" s="18"/>
      <c r="E28" s="34">
        <f>E26*E25</f>
        <v>0.64442747764856256</v>
      </c>
      <c r="F28" s="44"/>
      <c r="G28" s="44"/>
      <c r="H28" s="34">
        <f>H26*H25</f>
        <v>-2.784590312291338E-9</v>
      </c>
      <c r="I28" s="3"/>
      <c r="J28" s="3"/>
      <c r="K28" s="43"/>
    </row>
    <row r="29" spans="2:13" hidden="1" outlineLevel="1">
      <c r="B29" s="28">
        <v>6</v>
      </c>
      <c r="C29" s="33"/>
      <c r="D29" s="18"/>
      <c r="E29" s="34">
        <f>E26*E26</f>
        <v>0.59021312086594868</v>
      </c>
      <c r="F29" s="44"/>
      <c r="G29" s="44"/>
      <c r="H29" s="34">
        <f>H26*H26</f>
        <v>5.416435420229921E-11</v>
      </c>
      <c r="I29" s="3"/>
      <c r="J29" s="3"/>
      <c r="K29" s="43">
        <f>K25*K27</f>
        <v>7.0943307143626162E-3</v>
      </c>
    </row>
    <row r="30" spans="2:13" hidden="1" outlineLevel="1">
      <c r="B30" s="28">
        <v>7</v>
      </c>
      <c r="C30" s="33"/>
      <c r="D30" s="18"/>
      <c r="E30" s="34">
        <f>E29*E24</f>
        <v>0.54055970628908512</v>
      </c>
      <c r="F30" s="44"/>
      <c r="G30" s="44"/>
      <c r="H30" s="34">
        <f>H29*H24</f>
        <v>-1.0535759078103055E-12</v>
      </c>
      <c r="I30" s="3"/>
      <c r="J30" s="3"/>
      <c r="K30" s="31"/>
    </row>
    <row r="31" spans="2:13" hidden="1" outlineLevel="1">
      <c r="B31" s="28">
        <v>8</v>
      </c>
      <c r="C31" s="33"/>
      <c r="D31" s="18"/>
      <c r="E31" s="34"/>
      <c r="F31" s="3"/>
      <c r="G31" s="3"/>
      <c r="H31" s="34">
        <f>H27*H27</f>
        <v>2.0493592324067442E-14</v>
      </c>
      <c r="I31" s="3"/>
      <c r="J31" s="3"/>
      <c r="K31" s="31"/>
    </row>
    <row r="32" spans="2:13" hidden="1" outlineLevel="1">
      <c r="B32" s="28"/>
      <c r="C32" s="33"/>
      <c r="D32" s="18"/>
      <c r="E32" s="18"/>
      <c r="F32" s="3"/>
      <c r="G32" s="3"/>
      <c r="H32" s="3"/>
      <c r="I32" s="3"/>
      <c r="J32" s="3"/>
      <c r="K32" s="31"/>
    </row>
    <row r="33" spans="2:11" hidden="1" outlineLevel="1">
      <c r="B33" s="32" t="s">
        <v>30</v>
      </c>
      <c r="C33" s="33"/>
      <c r="D33" s="18"/>
      <c r="E33" s="18"/>
      <c r="F33" s="3"/>
      <c r="G33" s="3"/>
      <c r="H33" s="3"/>
      <c r="I33" s="2" t="s">
        <v>31</v>
      </c>
      <c r="J33" s="3"/>
      <c r="K33" s="31"/>
    </row>
    <row r="34" spans="2:11" hidden="1" outlineLevel="1">
      <c r="B34" s="32"/>
      <c r="C34" s="33"/>
      <c r="D34" s="18"/>
      <c r="E34" s="18"/>
      <c r="F34" s="3"/>
      <c r="G34" s="3"/>
      <c r="H34" s="45" t="s">
        <v>32</v>
      </c>
      <c r="I34" s="45"/>
      <c r="J34" s="45"/>
      <c r="K34" s="46">
        <f>E21</f>
        <v>-2618752.9468211923</v>
      </c>
    </row>
    <row r="35" spans="2:11" hidden="1" outlineLevel="1">
      <c r="B35" s="28" t="s">
        <v>22</v>
      </c>
      <c r="C35" s="33"/>
      <c r="D35" s="18"/>
      <c r="E35" s="36">
        <f>K18*H24*E24</f>
        <v>-113688.18708001757</v>
      </c>
      <c r="F35" s="3"/>
      <c r="G35" s="3"/>
      <c r="H35" s="3"/>
      <c r="I35" s="3" t="s">
        <v>22</v>
      </c>
      <c r="J35" s="3"/>
      <c r="K35" s="47">
        <f>K18*E11*H25*E24/2</f>
        <v>-443.90597292471716</v>
      </c>
    </row>
    <row r="36" spans="2:11" hidden="1" outlineLevel="1">
      <c r="B36" s="28" t="s">
        <v>23</v>
      </c>
      <c r="C36" s="33"/>
      <c r="D36" s="18"/>
      <c r="E36" s="38">
        <f>K18*H26*E26*(M24-K25)/6</f>
        <v>-4.8921333335191433</v>
      </c>
      <c r="F36" s="3"/>
      <c r="G36" s="3"/>
      <c r="H36" s="3"/>
      <c r="I36" s="48" t="s">
        <v>23</v>
      </c>
      <c r="J36" s="3"/>
      <c r="K36" s="49">
        <f>K18*E11*H27*E26*(4*M25+M24-K25)/24</f>
        <v>-5.7045071379905825E-2</v>
      </c>
    </row>
    <row r="37" spans="2:11" hidden="1" outlineLevel="1">
      <c r="B37" s="28" t="s">
        <v>24</v>
      </c>
      <c r="C37" s="33"/>
      <c r="D37" s="18"/>
      <c r="E37" s="38">
        <f>K18*H28*E28*(4*M26*(1-6*K25)+M25*(1+8*K25)-M24*(2*K25)+K27)/120</f>
        <v>-1.5215379032692701E-4</v>
      </c>
      <c r="F37" s="3"/>
      <c r="G37" s="3"/>
      <c r="H37" s="3"/>
      <c r="I37" s="48" t="s">
        <v>24</v>
      </c>
      <c r="J37" s="3"/>
      <c r="K37" s="49">
        <f>K18*E11*H29*E28*(8*M27*(11-24*K25)-28*M26*(1-6*K25)+M25*(1-32*K25)-M24*(2*K25)+K27)/720</f>
        <v>-6.3431523936880094E-6</v>
      </c>
    </row>
    <row r="38" spans="2:11" hidden="1" outlineLevel="1">
      <c r="B38" s="28" t="s">
        <v>25</v>
      </c>
      <c r="C38" s="33"/>
      <c r="D38" s="18"/>
      <c r="E38" s="18">
        <f>K18*H30*E30*(61-479*K25+179*K27-K29)/5040</f>
        <v>1.7622274534383308E-8</v>
      </c>
      <c r="F38" s="3"/>
      <c r="G38" s="3"/>
      <c r="H38" s="3"/>
      <c r="I38" s="48" t="s">
        <v>25</v>
      </c>
      <c r="J38" s="3"/>
      <c r="K38" s="31">
        <f>K18*E11*H31*E30*(1385-3111*K25+543*K27-K29)/40320</f>
        <v>-5.6825074883901821E-10</v>
      </c>
    </row>
    <row r="39" spans="2:11" hidden="1" outlineLevel="1">
      <c r="B39" s="28" t="s">
        <v>33</v>
      </c>
      <c r="C39" s="33"/>
      <c r="D39" s="18"/>
      <c r="E39" s="36">
        <f>SUM(E35:E38)</f>
        <v>-113693.07936548725</v>
      </c>
      <c r="F39" s="3"/>
      <c r="G39" s="3"/>
      <c r="H39" s="3"/>
      <c r="I39" s="48" t="s">
        <v>33</v>
      </c>
      <c r="J39" s="3"/>
      <c r="K39" s="46">
        <f>SUM(K34:K38)</f>
        <v>-2619196.9098455319</v>
      </c>
    </row>
    <row r="40" spans="2:11" ht="15" hidden="1" outlineLevel="1">
      <c r="B40" s="28" t="s">
        <v>86</v>
      </c>
      <c r="C40" s="33"/>
      <c r="D40" s="18"/>
      <c r="E40" s="36">
        <f>'Constants &amp; Parameters'!C25*E39</f>
        <v>-113647.60213374106</v>
      </c>
      <c r="F40" s="3"/>
      <c r="G40" s="3"/>
      <c r="H40" s="3"/>
      <c r="I40" s="48" t="s">
        <v>86</v>
      </c>
      <c r="J40" s="3"/>
      <c r="K40" s="46">
        <f>'Constants &amp; Parameters'!C25*K39</f>
        <v>-2618149.2310815938</v>
      </c>
    </row>
    <row r="41" spans="2:11" hidden="1" outlineLevel="1">
      <c r="B41" s="28" t="s">
        <v>34</v>
      </c>
      <c r="C41" s="33"/>
      <c r="D41" s="18"/>
      <c r="E41" s="36">
        <f>'Constants &amp; Parameters'!C23</f>
        <v>500000</v>
      </c>
      <c r="F41" s="3"/>
      <c r="G41" s="3"/>
      <c r="H41" s="3"/>
      <c r="I41" s="48" t="s">
        <v>34</v>
      </c>
      <c r="J41" s="3"/>
      <c r="K41" s="46">
        <f>'Constants &amp; Parameters'!C24</f>
        <v>10000000</v>
      </c>
    </row>
    <row r="42" spans="2:11" collapsed="1">
      <c r="B42" s="28" t="s">
        <v>30</v>
      </c>
      <c r="C42" s="33"/>
      <c r="D42" s="33"/>
      <c r="E42" s="114">
        <f>E40+E41</f>
        <v>386352.39786625892</v>
      </c>
      <c r="F42" s="3"/>
      <c r="G42" s="3"/>
      <c r="H42" s="3"/>
      <c r="I42" s="33" t="s">
        <v>31</v>
      </c>
      <c r="J42" s="33"/>
      <c r="K42" s="115">
        <f>K40+K41</f>
        <v>7381850.7689184062</v>
      </c>
    </row>
    <row r="43" spans="2:11" hidden="1" outlineLevel="1">
      <c r="B43" s="32" t="s">
        <v>35</v>
      </c>
      <c r="C43" s="33"/>
      <c r="D43" s="33"/>
      <c r="E43" s="33"/>
      <c r="F43" s="3"/>
      <c r="G43" s="3"/>
      <c r="H43" s="3"/>
      <c r="I43" s="50" t="s">
        <v>36</v>
      </c>
      <c r="J43" s="50"/>
      <c r="K43" s="51"/>
    </row>
    <row r="44" spans="2:11" hidden="1" outlineLevel="1">
      <c r="B44" s="28" t="s">
        <v>22</v>
      </c>
      <c r="C44" s="52">
        <f>TRUNC(F44)</f>
        <v>0</v>
      </c>
      <c r="D44" s="53">
        <f>TRUNC((F44-C44)*60)</f>
        <v>-26</v>
      </c>
      <c r="E44" s="56">
        <f>(F44-C44-(D44/60))*3600</f>
        <v>-50.759778107835359</v>
      </c>
      <c r="F44" s="63">
        <f>(G44/PI())*180</f>
        <v>-0.44743327169662095</v>
      </c>
      <c r="G44" s="34">
        <f>-E11*H24</f>
        <v>-7.8091837740763906E-3</v>
      </c>
      <c r="H44" s="3"/>
      <c r="I44" s="33" t="s">
        <v>22</v>
      </c>
      <c r="J44" s="33"/>
      <c r="K44" s="54">
        <f>1+(H25*E25*M24)/2</f>
        <v>1.0001595851230241</v>
      </c>
    </row>
    <row r="45" spans="2:11" hidden="1" outlineLevel="1">
      <c r="B45" s="28" t="s">
        <v>23</v>
      </c>
      <c r="C45" s="52">
        <f>TRUNC(F45)</f>
        <v>0</v>
      </c>
      <c r="D45" s="53">
        <f>TRUNC((F45-C45)*60)</f>
        <v>0</v>
      </c>
      <c r="E45" s="56">
        <f>(F45-C45-(D45/60))*3600</f>
        <v>-0.17330644205737697</v>
      </c>
      <c r="F45" s="63">
        <f>(G45/PI())*180</f>
        <v>-4.8140678349271377E-5</v>
      </c>
      <c r="G45" s="34">
        <f>-E11*H26*E25*(2*M25-M24)/3</f>
        <v>-8.4021334133833431E-7</v>
      </c>
      <c r="H45" s="3"/>
      <c r="I45" s="33" t="s">
        <v>23</v>
      </c>
      <c r="J45" s="33"/>
      <c r="K45" s="55">
        <f>H27*E27*(4*M26*(1-6*K25)+M25*(1+24*K25)-4*M24*K25)/24</f>
        <v>1.7964156190722433E-8</v>
      </c>
    </row>
    <row r="46" spans="2:11" hidden="1" outlineLevel="1">
      <c r="B46" s="28" t="s">
        <v>24</v>
      </c>
      <c r="C46" s="52">
        <f>TRUNC(F46)</f>
        <v>0</v>
      </c>
      <c r="D46" s="53">
        <f>TRUNC((F46-C46)*60)</f>
        <v>0</v>
      </c>
      <c r="E46" s="56">
        <f>(F46-C46-(D46/60))*3600</f>
        <v>-2.0304474172764188E-5</v>
      </c>
      <c r="F46" s="63">
        <f>(G46/PI())*180</f>
        <v>-5.6401317146567191E-9</v>
      </c>
      <c r="G46" s="18">
        <f>-E11*H28*E27*(M27*(11-24*K25)-M26*(11-36*K25)+2*M25*(1-7*K25)+M24*K25)/15</f>
        <v>-9.8438868666913067E-11</v>
      </c>
      <c r="H46" s="3"/>
      <c r="I46" s="33" t="s">
        <v>24</v>
      </c>
      <c r="J46" s="33"/>
      <c r="K46" s="55">
        <f>H29*E29*(61-148*K25+16*K27)/720</f>
        <v>1.4720056842182432E-12</v>
      </c>
    </row>
    <row r="47" spans="2:11" hidden="1" outlineLevel="1">
      <c r="B47" s="28" t="s">
        <v>25</v>
      </c>
      <c r="C47" s="52">
        <f>TRUNC(F47)</f>
        <v>0</v>
      </c>
      <c r="D47" s="53">
        <f>TRUNC((F47-C47)*60)</f>
        <v>0</v>
      </c>
      <c r="E47" s="56">
        <f>(F47-C47-(D47/60))*3600</f>
        <v>1.9744081692634936E-9</v>
      </c>
      <c r="F47" s="63">
        <f>(G47/PI())*180</f>
        <v>5.484467136843038E-13</v>
      </c>
      <c r="G47" s="18">
        <f>E11*H30*E29*(17-26*K25+2*K27)/315</f>
        <v>9.5722009255337412E-15</v>
      </c>
      <c r="H47" s="3"/>
      <c r="I47" s="33" t="s">
        <v>33</v>
      </c>
      <c r="J47" s="33"/>
      <c r="K47" s="54">
        <f>SUM(K44:K46)</f>
        <v>1.0001596030886521</v>
      </c>
    </row>
    <row r="48" spans="2:11" hidden="1" outlineLevel="1">
      <c r="B48" s="28"/>
      <c r="C48" s="52">
        <f>TRUNC(F49)</f>
        <v>0</v>
      </c>
      <c r="D48" s="53">
        <f>TRUNC((F49-C48)*60)</f>
        <v>-26</v>
      </c>
      <c r="E48" s="56">
        <f>(F49-C48-(D48/60))*3600</f>
        <v>-50.933104852392908</v>
      </c>
      <c r="F48" s="63"/>
      <c r="G48" s="18"/>
      <c r="H48" s="3"/>
      <c r="I48" s="33"/>
      <c r="J48" s="33"/>
      <c r="K48" s="54"/>
    </row>
    <row r="49" spans="2:11" collapsed="1">
      <c r="B49" s="28" t="s">
        <v>35</v>
      </c>
      <c r="C49" s="52">
        <f>C48</f>
        <v>0</v>
      </c>
      <c r="D49" s="53">
        <f>D48</f>
        <v>-26</v>
      </c>
      <c r="E49" s="56">
        <f>E48</f>
        <v>-50.933104852392908</v>
      </c>
      <c r="F49" s="63">
        <f>(G49/PI())*180</f>
        <v>-0.4474814180145536</v>
      </c>
      <c r="G49" s="34">
        <f>SUM(G44:G47)</f>
        <v>-7.8100240858470261E-3</v>
      </c>
      <c r="H49" s="3"/>
      <c r="I49" s="33" t="s">
        <v>36</v>
      </c>
      <c r="J49" s="33"/>
      <c r="K49" s="57">
        <f>'Constants &amp; Parameters'!C25*K47</f>
        <v>0.99975953924741678</v>
      </c>
    </row>
    <row r="50" spans="2:11">
      <c r="B50" s="58"/>
      <c r="C50" s="59"/>
      <c r="D50" s="59"/>
      <c r="E50" s="59"/>
      <c r="F50" s="59"/>
      <c r="G50" s="59"/>
      <c r="H50" s="59"/>
      <c r="I50" s="59"/>
      <c r="J50" s="59"/>
      <c r="K50" s="60"/>
    </row>
  </sheetData>
  <printOptions gridLinesSet="0"/>
  <pageMargins left="0.25" right="0.13" top="0.76" bottom="0.71" header="0.5" footer="0.5"/>
  <pageSetup paperSize="9" scale="99" orientation="portrait" horizontalDpi="180" verticalDpi="180"/>
  <headerFooter>
    <oddHeader>&amp;C&amp;F&amp;RLat/Long to E,N Zone</oddHeader>
    <oddFooter>&amp;L&amp;D&amp;CGDA Technical Mmanual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B1:R53"/>
  <sheetViews>
    <sheetView showGridLines="0" tabSelected="1" showOutlineSymbols="0" workbookViewId="0">
      <selection activeCell="S73" sqref="S73"/>
    </sheetView>
  </sheetViews>
  <sheetFormatPr baseColWidth="10" defaultColWidth="8.83203125" defaultRowHeight="13" outlineLevelRow="1" outlineLevelCol="1" x14ac:dyDescent="0"/>
  <cols>
    <col min="1" max="1" width="2.5" style="1" customWidth="1"/>
    <col min="2" max="2" width="17.1640625" style="1" customWidth="1"/>
    <col min="3" max="3" width="8.5" style="1" customWidth="1"/>
    <col min="4" max="4" width="4.5" style="1" bestFit="1" customWidth="1"/>
    <col min="5" max="5" width="13.33203125" style="1" bestFit="1" customWidth="1"/>
    <col min="6" max="6" width="15.5" style="1" hidden="1" customWidth="1" outlineLevel="1"/>
    <col min="7" max="7" width="20.83203125" style="1" hidden="1" customWidth="1" outlineLevel="1"/>
    <col min="8" max="8" width="14.1640625" style="1" hidden="1" customWidth="1" outlineLevel="1"/>
    <col min="9" max="9" width="14.5" style="1" hidden="1" customWidth="1" outlineLevel="1"/>
    <col min="10" max="10" width="17" style="1" hidden="1" customWidth="1" outlineLevel="1"/>
    <col min="11" max="11" width="14" style="1" customWidth="1" collapsed="1"/>
    <col min="12" max="12" width="17.5" style="1" customWidth="1"/>
    <col min="13" max="13" width="5.33203125" style="1" customWidth="1"/>
    <col min="14" max="14" width="4.1640625" style="1" customWidth="1"/>
    <col min="15" max="15" width="15.6640625" style="1" customWidth="1"/>
    <col min="16" max="16" width="17.5" style="1" hidden="1" customWidth="1" outlineLevel="1"/>
    <col min="17" max="17" width="16.1640625" style="1" hidden="1" customWidth="1" outlineLevel="1"/>
    <col min="18" max="18" width="9.1640625" style="1" customWidth="1" collapsed="1"/>
    <col min="19" max="19" width="8.83203125" style="1" customWidth="1"/>
    <col min="20" max="16384" width="8.83203125" style="1"/>
  </cols>
  <sheetData>
    <row r="1" spans="2:15" ht="23">
      <c r="B1" s="129" t="s">
        <v>100</v>
      </c>
      <c r="C1" s="130"/>
      <c r="D1" s="130"/>
      <c r="E1" s="130"/>
      <c r="F1" s="116"/>
      <c r="G1" s="116"/>
      <c r="H1" s="116"/>
      <c r="I1" s="116"/>
      <c r="J1" s="116"/>
      <c r="K1" s="116"/>
      <c r="L1" s="119"/>
      <c r="M1" s="126"/>
      <c r="N1" s="126"/>
      <c r="O1" s="118" t="s">
        <v>6</v>
      </c>
    </row>
    <row r="2" spans="2:15">
      <c r="B2" s="80" t="s">
        <v>80</v>
      </c>
      <c r="C2" s="128" t="str">
        <f>'[1]Constants &amp; Parameters'!C22</f>
        <v>GDA2020-MGA2020</v>
      </c>
      <c r="D2" s="3"/>
      <c r="E2" s="31"/>
      <c r="F2" s="3"/>
      <c r="G2" s="3"/>
      <c r="H2" s="3"/>
      <c r="I2" s="3"/>
      <c r="J2" s="3"/>
      <c r="K2" s="3"/>
      <c r="O2" s="121" t="s">
        <v>7</v>
      </c>
    </row>
    <row r="3" spans="2:15">
      <c r="B3" s="70" t="s">
        <v>8</v>
      </c>
      <c r="C3" s="5" t="s">
        <v>89</v>
      </c>
      <c r="D3" s="6"/>
      <c r="E3" s="71"/>
      <c r="F3" s="7"/>
      <c r="G3" s="7"/>
      <c r="O3" s="122" t="s">
        <v>37</v>
      </c>
    </row>
    <row r="5" spans="2:15">
      <c r="B5" s="74" t="s">
        <v>14</v>
      </c>
      <c r="C5" s="12"/>
      <c r="D5" s="68"/>
      <c r="E5" s="112">
        <v>53</v>
      </c>
      <c r="F5" s="12"/>
      <c r="G5" s="68"/>
      <c r="H5" s="68"/>
      <c r="I5" s="68"/>
      <c r="J5" s="68"/>
      <c r="K5" s="68"/>
      <c r="L5" s="68"/>
      <c r="M5" s="68"/>
      <c r="N5" s="68"/>
      <c r="O5" s="69"/>
    </row>
    <row r="6" spans="2:15">
      <c r="B6" s="75" t="s">
        <v>30</v>
      </c>
      <c r="C6" s="2"/>
      <c r="D6" s="3"/>
      <c r="E6" s="92">
        <v>386352.39786625898</v>
      </c>
      <c r="F6" s="2"/>
      <c r="G6" s="3"/>
      <c r="H6" s="3"/>
      <c r="I6" s="3"/>
      <c r="J6" s="3"/>
      <c r="K6" s="3"/>
      <c r="L6" s="2" t="s">
        <v>31</v>
      </c>
      <c r="M6" s="3"/>
      <c r="N6" s="3"/>
      <c r="O6" s="93">
        <v>7381850.7689183997</v>
      </c>
    </row>
    <row r="7" spans="2:15" hidden="1" outlineLevel="1">
      <c r="B7" s="20" t="s">
        <v>34</v>
      </c>
      <c r="C7" s="3"/>
      <c r="D7" s="3"/>
      <c r="E7" s="76">
        <f>'Constants &amp; Parameters'!C23</f>
        <v>500000</v>
      </c>
      <c r="F7" s="3"/>
      <c r="G7" s="18"/>
      <c r="H7" s="3"/>
      <c r="I7" s="3"/>
      <c r="J7" s="3"/>
      <c r="K7" s="3" t="s">
        <v>38</v>
      </c>
      <c r="L7" s="76">
        <f>'Constants &amp; Parameters'!C24</f>
        <v>10000000</v>
      </c>
      <c r="M7" s="3"/>
      <c r="N7" s="3"/>
      <c r="O7" s="31"/>
    </row>
    <row r="8" spans="2:15" hidden="1" outlineLevel="1">
      <c r="B8" s="20" t="s">
        <v>39</v>
      </c>
      <c r="C8" s="3"/>
      <c r="D8" s="3"/>
      <c r="E8" s="76">
        <f>E6-E7</f>
        <v>-113647.60213374102</v>
      </c>
      <c r="F8" s="3"/>
      <c r="G8" s="18"/>
      <c r="H8" s="3"/>
      <c r="I8" s="3"/>
      <c r="J8" s="3"/>
      <c r="K8" s="3" t="s">
        <v>40</v>
      </c>
      <c r="L8" s="76">
        <f>O6-L7</f>
        <v>-2618149.2310816003</v>
      </c>
      <c r="M8" s="3"/>
      <c r="N8" s="3"/>
      <c r="O8" s="31"/>
    </row>
    <row r="9" spans="2:15" ht="15" hidden="1" outlineLevel="1">
      <c r="B9" s="20" t="s">
        <v>87</v>
      </c>
      <c r="C9" s="3"/>
      <c r="D9" s="3"/>
      <c r="E9" s="76">
        <f>E8/'Constants &amp; Parameters'!C25</f>
        <v>-113693.07936548721</v>
      </c>
      <c r="F9" s="3"/>
      <c r="G9" s="18"/>
      <c r="H9" s="3"/>
      <c r="I9" s="3"/>
      <c r="J9" s="3"/>
      <c r="K9" s="3" t="s">
        <v>88</v>
      </c>
      <c r="L9" s="76">
        <f>L8/'Constants &amp; Parameters'!C25</f>
        <v>-2619196.9098455384</v>
      </c>
      <c r="M9" s="3"/>
      <c r="N9" s="3"/>
      <c r="O9" s="31"/>
    </row>
    <row r="10" spans="2:15" hidden="1" outlineLevel="1">
      <c r="B10" s="20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1"/>
    </row>
    <row r="11" spans="2:15" hidden="1" outlineLevel="1">
      <c r="B11" s="77"/>
      <c r="C11" s="78"/>
      <c r="D11" s="78"/>
      <c r="E11" s="78"/>
      <c r="F11" s="78"/>
      <c r="G11" s="3"/>
      <c r="H11" s="3"/>
      <c r="I11" s="3"/>
      <c r="J11" s="3"/>
      <c r="K11" s="3" t="s">
        <v>41</v>
      </c>
      <c r="L11" s="79">
        <f>(L9*PI())/('Constants &amp; Parameters'!C20*180)</f>
        <v>-0.41134162988723399</v>
      </c>
      <c r="M11" s="3"/>
      <c r="N11" s="3"/>
      <c r="O11" s="31"/>
    </row>
    <row r="12" spans="2:15" hidden="1" outlineLevel="1">
      <c r="B12" s="77"/>
      <c r="C12" s="78"/>
      <c r="D12" s="78"/>
      <c r="E12" s="78"/>
      <c r="F12" s="78"/>
      <c r="G12" s="3"/>
      <c r="H12" s="3"/>
      <c r="I12" s="3"/>
      <c r="J12" s="3"/>
      <c r="K12" s="3" t="s">
        <v>42</v>
      </c>
      <c r="L12" s="79">
        <f>L11*2</f>
        <v>-0.82268325977446799</v>
      </c>
      <c r="M12" s="3"/>
      <c r="N12" s="3"/>
      <c r="O12" s="31"/>
    </row>
    <row r="13" spans="2:15" hidden="1" outlineLevel="1">
      <c r="B13" s="77"/>
      <c r="C13" s="78"/>
      <c r="D13" s="78"/>
      <c r="E13" s="78"/>
      <c r="F13" s="78"/>
      <c r="G13" s="3"/>
      <c r="H13" s="3"/>
      <c r="I13" s="3"/>
      <c r="J13" s="3"/>
      <c r="K13" s="3" t="s">
        <v>43</v>
      </c>
      <c r="L13" s="79">
        <f>L11*4</f>
        <v>-1.645366519548936</v>
      </c>
      <c r="M13" s="3"/>
      <c r="N13" s="3"/>
      <c r="O13" s="31"/>
    </row>
    <row r="14" spans="2:15" hidden="1" outlineLevel="1">
      <c r="B14" s="77"/>
      <c r="C14" s="78"/>
      <c r="D14" s="78"/>
      <c r="E14" s="78"/>
      <c r="F14" s="78"/>
      <c r="G14" s="3"/>
      <c r="H14" s="3"/>
      <c r="I14" s="3"/>
      <c r="J14" s="3"/>
      <c r="K14" s="3" t="s">
        <v>44</v>
      </c>
      <c r="L14" s="79">
        <f>L11*6</f>
        <v>-2.4680497793234037</v>
      </c>
      <c r="M14" s="3"/>
      <c r="N14" s="3"/>
      <c r="O14" s="31"/>
    </row>
    <row r="15" spans="2:15" hidden="1" outlineLevel="1">
      <c r="B15" s="20"/>
      <c r="C15" s="3"/>
      <c r="D15" s="3"/>
      <c r="E15" s="3"/>
      <c r="F15" s="3"/>
      <c r="G15" s="3"/>
      <c r="H15" s="3"/>
      <c r="I15" s="3"/>
      <c r="J15" s="3"/>
      <c r="K15" s="3" t="s">
        <v>45</v>
      </c>
      <c r="L15" s="79">
        <f>L11*8</f>
        <v>-3.290733039097872</v>
      </c>
      <c r="M15" s="3"/>
      <c r="N15" s="3"/>
      <c r="O15" s="31"/>
    </row>
    <row r="16" spans="2:15" hidden="1" outlineLevel="1">
      <c r="B16" s="20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1"/>
    </row>
    <row r="17" spans="2:15" hidden="1" outlineLevel="1">
      <c r="B17" s="80" t="s">
        <v>46</v>
      </c>
      <c r="C17" s="18" t="s">
        <v>47</v>
      </c>
      <c r="D17" s="81" t="s">
        <v>48</v>
      </c>
      <c r="E17" s="81" t="s">
        <v>49</v>
      </c>
      <c r="F17" s="81" t="s">
        <v>9</v>
      </c>
      <c r="G17" s="81" t="s">
        <v>10</v>
      </c>
      <c r="H17" s="3"/>
      <c r="I17" s="3"/>
      <c r="J17" s="3"/>
      <c r="K17" s="2" t="s">
        <v>50</v>
      </c>
      <c r="L17" s="3"/>
      <c r="M17" s="2"/>
      <c r="N17" s="3"/>
      <c r="O17" s="31"/>
    </row>
    <row r="18" spans="2:15" hidden="1" outlineLevel="1">
      <c r="B18" s="20" t="s">
        <v>51</v>
      </c>
      <c r="C18" s="82">
        <f t="shared" ref="C18:C23" si="0">TRUNC(F18)</f>
        <v>-23</v>
      </c>
      <c r="D18" s="83">
        <f t="shared" ref="D18:D23" si="1">TRUNC((F18-C18)*60)</f>
        <v>-34</v>
      </c>
      <c r="E18" s="84">
        <f t="shared" ref="E18:E23" si="2">(F18-C18-(D18/60))*3600</f>
        <v>-5.3015900551407036</v>
      </c>
      <c r="F18" s="85">
        <f t="shared" ref="F18:F23" si="3">(G18/PI())*180</f>
        <v>-23.568139330570872</v>
      </c>
      <c r="G18" s="79">
        <f>L11</f>
        <v>-0.41134162988723399</v>
      </c>
      <c r="H18" s="3"/>
      <c r="I18" s="3"/>
      <c r="J18" s="3"/>
      <c r="K18" s="48" t="s">
        <v>91</v>
      </c>
      <c r="L18" s="76">
        <f>'Constants &amp; Parameters'!C6*(1-'Constants &amp; Parameters'!C11)/(1-'Constants &amp; Parameters'!C11*'Grid to Geographic'!G25*'Grid to Geographic'!G25)^1.5</f>
        <v>6345710.2629679227</v>
      </c>
      <c r="M18" s="3"/>
      <c r="N18" s="48"/>
      <c r="O18" s="31"/>
    </row>
    <row r="19" spans="2:15" hidden="1" outlineLevel="1">
      <c r="B19" s="20" t="s">
        <v>52</v>
      </c>
      <c r="C19" s="82">
        <f t="shared" si="0"/>
        <v>0</v>
      </c>
      <c r="D19" s="83">
        <f t="shared" si="1"/>
        <v>-6</v>
      </c>
      <c r="E19" s="84">
        <f t="shared" si="2"/>
        <v>-20.81306365957742</v>
      </c>
      <c r="F19" s="85">
        <f t="shared" si="3"/>
        <v>-0.10578140657210484</v>
      </c>
      <c r="G19" s="79">
        <f>((3*'Constants &amp; Parameters'!C16/2)-(27*'Constants &amp; Parameters'!C18/32))*SIN(L12)</f>
        <v>-1.8462338320739981E-3</v>
      </c>
      <c r="H19" s="3"/>
      <c r="I19" s="3"/>
      <c r="J19" s="3"/>
      <c r="K19" s="48" t="s">
        <v>92</v>
      </c>
      <c r="L19" s="76">
        <f>'Constants &amp; Parameters'!C6/(1-'Constants &amp; Parameters'!C11*'Grid to Geographic'!G25*'Grid to Geographic'!G25)^0.5</f>
        <v>6381581.8580241511</v>
      </c>
      <c r="M19" s="3"/>
      <c r="N19" s="48"/>
      <c r="O19" s="31"/>
    </row>
    <row r="20" spans="2:15" hidden="1" outlineLevel="1">
      <c r="B20" s="20" t="s">
        <v>53</v>
      </c>
      <c r="C20" s="82">
        <f t="shared" si="0"/>
        <v>0</v>
      </c>
      <c r="D20" s="83">
        <f t="shared" si="1"/>
        <v>0</v>
      </c>
      <c r="E20" s="84">
        <f t="shared" si="2"/>
        <v>-0.76125407020700808</v>
      </c>
      <c r="F20" s="85">
        <f t="shared" si="3"/>
        <v>-2.1145946394639115E-4</v>
      </c>
      <c r="G20" s="79">
        <f>((21*'Constants &amp; Parameters'!C17/16)-(55*'Constants &amp; Parameters'!C19/32))*SIN(L13)</f>
        <v>-3.6906638803667677E-6</v>
      </c>
      <c r="H20" s="3"/>
      <c r="I20" s="3"/>
      <c r="J20" s="3"/>
      <c r="K20" s="3"/>
      <c r="L20" s="3"/>
      <c r="M20" s="3"/>
      <c r="N20" s="3"/>
      <c r="O20" s="31"/>
    </row>
    <row r="21" spans="2:15" hidden="1" outlineLevel="1">
      <c r="B21" s="20" t="s">
        <v>54</v>
      </c>
      <c r="C21" s="82">
        <f t="shared" si="0"/>
        <v>0</v>
      </c>
      <c r="D21" s="83">
        <f t="shared" si="1"/>
        <v>0</v>
      </c>
      <c r="E21" s="84">
        <f t="shared" si="2"/>
        <v>-9.5823232829881126E-4</v>
      </c>
      <c r="F21" s="85">
        <f t="shared" si="3"/>
        <v>-2.6617564674966979E-7</v>
      </c>
      <c r="G21" s="79">
        <f>(151*'Constants &amp; Parameters'!C18)*SIN(L14)/96</f>
        <v>-4.6456414244070804E-9</v>
      </c>
      <c r="H21" s="3"/>
      <c r="I21" s="3"/>
      <c r="J21" s="3"/>
      <c r="K21" s="3"/>
      <c r="L21" s="3"/>
      <c r="M21" s="3"/>
      <c r="N21" s="3"/>
      <c r="O21" s="31"/>
    </row>
    <row r="22" spans="2:15" hidden="1" outlineLevel="1">
      <c r="B22" s="20" t="s">
        <v>55</v>
      </c>
      <c r="C22" s="82">
        <f t="shared" si="0"/>
        <v>0</v>
      </c>
      <c r="D22" s="83">
        <f t="shared" si="1"/>
        <v>0</v>
      </c>
      <c r="E22" s="84">
        <f t="shared" si="2"/>
        <v>5.2212762921958462E-7</v>
      </c>
      <c r="F22" s="85">
        <f t="shared" si="3"/>
        <v>1.4503545256099574E-10</v>
      </c>
      <c r="G22" s="79">
        <f>1097*'Constants &amp; Parameters'!C19*SIN(L15)/512</f>
        <v>2.5313461793094175E-12</v>
      </c>
      <c r="H22" s="3"/>
      <c r="I22" s="3"/>
      <c r="J22" s="3"/>
      <c r="K22" s="3"/>
      <c r="L22" s="3"/>
      <c r="M22" s="3"/>
      <c r="N22" s="3"/>
      <c r="O22" s="31"/>
    </row>
    <row r="23" spans="2:15" hidden="1" outlineLevel="1">
      <c r="B23" s="20" t="s">
        <v>56</v>
      </c>
      <c r="C23" s="82">
        <f t="shared" si="0"/>
        <v>-23</v>
      </c>
      <c r="D23" s="83">
        <f t="shared" si="1"/>
        <v>-40</v>
      </c>
      <c r="E23" s="84">
        <f t="shared" si="2"/>
        <v>-26.876865495108994</v>
      </c>
      <c r="F23" s="85">
        <f t="shared" si="3"/>
        <v>-23.67413246263753</v>
      </c>
      <c r="G23" s="79">
        <f>SUM(G18:G22)</f>
        <v>-0.41319155902629839</v>
      </c>
      <c r="H23" s="3"/>
      <c r="I23" s="3"/>
      <c r="J23" s="3"/>
      <c r="K23" s="3"/>
      <c r="L23" s="3"/>
      <c r="M23" s="3"/>
      <c r="N23" s="3"/>
      <c r="O23" s="31"/>
    </row>
    <row r="24" spans="2:15" hidden="1" outlineLevel="1">
      <c r="B24" s="20"/>
      <c r="C24" s="3"/>
      <c r="D24" s="81"/>
      <c r="E24" s="3"/>
      <c r="F24" s="3"/>
      <c r="G24" s="79"/>
      <c r="H24" s="3"/>
      <c r="I24" s="3"/>
      <c r="J24" s="3"/>
      <c r="K24" s="3"/>
      <c r="L24" s="3"/>
      <c r="M24" s="3"/>
      <c r="N24" s="3"/>
      <c r="O24" s="31"/>
    </row>
    <row r="25" spans="2:15" hidden="1" outlineLevel="1">
      <c r="B25" s="20" t="s">
        <v>93</v>
      </c>
      <c r="C25" s="3"/>
      <c r="D25" s="81"/>
      <c r="E25" s="3"/>
      <c r="F25" s="3"/>
      <c r="G25" s="79">
        <f>SIN(G23)</f>
        <v>-0.40153433813016715</v>
      </c>
      <c r="H25" s="3"/>
      <c r="I25" s="3"/>
      <c r="J25" s="3"/>
      <c r="K25" s="3"/>
      <c r="L25" s="3"/>
      <c r="M25" s="3"/>
      <c r="N25" s="3"/>
      <c r="O25" s="31"/>
    </row>
    <row r="26" spans="2:15" hidden="1" outlineLevel="1">
      <c r="B26" s="20" t="s">
        <v>94</v>
      </c>
      <c r="C26" s="3"/>
      <c r="D26" s="81"/>
      <c r="E26" s="3"/>
      <c r="F26" s="3"/>
      <c r="G26" s="79">
        <f>1/COS(G23)</f>
        <v>1.0918890487881843</v>
      </c>
      <c r="H26" s="3"/>
      <c r="I26" s="3"/>
      <c r="J26" s="3"/>
      <c r="K26" s="3"/>
      <c r="L26" s="3"/>
      <c r="M26" s="3"/>
      <c r="N26" s="3"/>
      <c r="O26" s="31"/>
    </row>
    <row r="27" spans="2:15" ht="15" hidden="1" outlineLevel="1">
      <c r="B27" s="20" t="s">
        <v>95</v>
      </c>
      <c r="C27" s="3"/>
      <c r="D27" s="81"/>
      <c r="E27" s="3"/>
      <c r="F27" s="3"/>
      <c r="G27" s="79">
        <f>J30/('Constants &amp; Parameters'!C25*'Grid to Geographic'!L19)</f>
        <v>-6.8730041991214152E-8</v>
      </c>
      <c r="H27" s="3"/>
      <c r="I27" s="3"/>
      <c r="J27" s="3"/>
      <c r="K27" s="3"/>
      <c r="L27" s="3"/>
      <c r="M27" s="3"/>
      <c r="N27" s="3"/>
      <c r="O27" s="31"/>
    </row>
    <row r="28" spans="2:15" hidden="1" outlineLevel="1">
      <c r="B28" s="20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1"/>
    </row>
    <row r="29" spans="2:15" ht="15" hidden="1" outlineLevel="1">
      <c r="B29" s="20"/>
      <c r="C29" s="39"/>
      <c r="D29" s="39"/>
      <c r="E29" s="39"/>
      <c r="F29" s="39" t="s">
        <v>27</v>
      </c>
      <c r="G29" s="81" t="s">
        <v>1</v>
      </c>
      <c r="H29" s="81" t="s">
        <v>96</v>
      </c>
      <c r="I29" s="81" t="s">
        <v>97</v>
      </c>
      <c r="J29" s="81" t="s">
        <v>98</v>
      </c>
      <c r="K29" s="81" t="s">
        <v>99</v>
      </c>
      <c r="L29" s="3"/>
      <c r="M29" s="3"/>
      <c r="N29" s="3"/>
      <c r="O29" s="31"/>
    </row>
    <row r="30" spans="2:15" hidden="1" outlineLevel="1">
      <c r="B30" s="20"/>
      <c r="C30" s="78"/>
      <c r="D30" s="78"/>
      <c r="E30" s="78"/>
      <c r="F30" s="78">
        <v>1</v>
      </c>
      <c r="G30" s="79">
        <f>'Constants &amp; Parameters'!C16</f>
        <v>1.6792203946287211E-3</v>
      </c>
      <c r="H30" s="79">
        <f>E9/L19</f>
        <v>-1.7815814620089913E-2</v>
      </c>
      <c r="I30" s="79">
        <f>(E9*E9)/(L18*L19)</f>
        <v>3.1919749588682549E-4</v>
      </c>
      <c r="J30" s="79">
        <f>TAN(G23)</f>
        <v>-0.43843094651674136</v>
      </c>
      <c r="K30" s="79">
        <f>L19/L18</f>
        <v>1.0056528888918181</v>
      </c>
      <c r="L30" s="3"/>
      <c r="M30" s="3"/>
      <c r="N30" s="3"/>
      <c r="O30" s="31"/>
    </row>
    <row r="31" spans="2:15" hidden="1" outlineLevel="1">
      <c r="B31" s="20"/>
      <c r="C31" s="78"/>
      <c r="D31" s="78"/>
      <c r="E31" s="78"/>
      <c r="F31" s="78">
        <v>2</v>
      </c>
      <c r="G31" s="79">
        <f>G30*G30</f>
        <v>2.8197811337370378E-6</v>
      </c>
      <c r="H31" s="79">
        <f>H30*H30</f>
        <v>3.1740325057740947E-4</v>
      </c>
      <c r="I31" s="79">
        <f>I30*I30</f>
        <v>1.0188704138041997E-7</v>
      </c>
      <c r="J31" s="79">
        <f>J30*J30</f>
        <v>0.19222169486356572</v>
      </c>
      <c r="K31" s="79">
        <f>K30*K30</f>
        <v>1.0113377329364595</v>
      </c>
      <c r="L31" s="3"/>
      <c r="M31" s="3"/>
      <c r="N31" s="3"/>
      <c r="O31" s="31"/>
    </row>
    <row r="32" spans="2:15" hidden="1" outlineLevel="1">
      <c r="B32" s="20"/>
      <c r="C32" s="78"/>
      <c r="D32" s="78"/>
      <c r="E32" s="78"/>
      <c r="F32" s="78">
        <v>3</v>
      </c>
      <c r="G32" s="79">
        <f>G30*G31</f>
        <v>4.7350339881605316E-9</v>
      </c>
      <c r="H32" s="79">
        <f>H30*H31</f>
        <v>-5.6547974721010737E-6</v>
      </c>
      <c r="I32" s="79">
        <f>I30*I31</f>
        <v>3.2522088471947425E-11</v>
      </c>
      <c r="J32" s="79">
        <f>J30*J31</f>
        <v>-8.4275939620085352E-2</v>
      </c>
      <c r="K32" s="79">
        <f>K31*K30</f>
        <v>1.0170547127728524</v>
      </c>
      <c r="L32" s="3"/>
      <c r="M32" s="3"/>
      <c r="N32" s="3"/>
      <c r="O32" s="31"/>
    </row>
    <row r="33" spans="2:17" hidden="1" outlineLevel="1">
      <c r="B33" s="20"/>
      <c r="C33" s="78"/>
      <c r="D33" s="78"/>
      <c r="E33" s="78"/>
      <c r="F33" s="78">
        <v>4</v>
      </c>
      <c r="G33" s="79">
        <f>G31*G31</f>
        <v>7.9511656421793351E-12</v>
      </c>
      <c r="H33" s="79">
        <f>H31*H31</f>
        <v>1.0074482347710579E-7</v>
      </c>
      <c r="I33" s="79"/>
      <c r="J33" s="79">
        <f>J31*J31</f>
        <v>3.6949179976221769E-2</v>
      </c>
      <c r="K33" s="79">
        <f>K31*K31</f>
        <v>1.0228040100610574</v>
      </c>
      <c r="L33" s="3"/>
      <c r="M33" s="3"/>
      <c r="N33" s="3"/>
      <c r="O33" s="31"/>
    </row>
    <row r="34" spans="2:17" hidden="1" outlineLevel="1">
      <c r="B34" s="20"/>
      <c r="C34" s="78"/>
      <c r="D34" s="78"/>
      <c r="E34" s="78"/>
      <c r="F34" s="78">
        <v>5</v>
      </c>
      <c r="G34" s="79"/>
      <c r="H34" s="79">
        <f>H33*H30</f>
        <v>-1.7948510990017988E-9</v>
      </c>
      <c r="I34" s="79"/>
      <c r="J34" s="79">
        <f>J33*J30</f>
        <v>-1.6199663949992338E-2</v>
      </c>
      <c r="K34" s="79"/>
      <c r="L34" s="3"/>
      <c r="M34" s="3"/>
      <c r="N34" s="3"/>
      <c r="O34" s="31"/>
    </row>
    <row r="35" spans="2:17" hidden="1" outlineLevel="1">
      <c r="B35" s="20"/>
      <c r="C35" s="78"/>
      <c r="D35" s="78"/>
      <c r="E35" s="78"/>
      <c r="F35" s="78">
        <v>6</v>
      </c>
      <c r="G35" s="79"/>
      <c r="H35" s="79">
        <f>H32*H32</f>
        <v>3.1976734450480691E-11</v>
      </c>
      <c r="I35" s="79"/>
      <c r="J35" s="79">
        <f>J32*J32</f>
        <v>7.1024339988482723E-3</v>
      </c>
      <c r="K35" s="79"/>
      <c r="L35" s="3"/>
      <c r="M35" s="3"/>
      <c r="N35" s="3"/>
      <c r="O35" s="31"/>
    </row>
    <row r="36" spans="2:17" hidden="1" outlineLevel="1">
      <c r="B36" s="20"/>
      <c r="C36" s="78"/>
      <c r="D36" s="78"/>
      <c r="E36" s="78"/>
      <c r="F36" s="78">
        <v>7</v>
      </c>
      <c r="G36" s="79"/>
      <c r="H36" s="79">
        <f>H30*H35</f>
        <v>-5.6969157312560668E-13</v>
      </c>
      <c r="I36" s="79"/>
      <c r="J36" s="79"/>
      <c r="K36" s="79"/>
      <c r="L36" s="3"/>
      <c r="M36" s="3"/>
      <c r="N36" s="3"/>
      <c r="O36" s="31"/>
    </row>
    <row r="37" spans="2:17" hidden="1" outlineLevel="1">
      <c r="B37" s="77"/>
      <c r="C37" s="78"/>
      <c r="D37" s="78"/>
      <c r="E37" s="78"/>
      <c r="F37" s="78"/>
      <c r="G37" s="3"/>
      <c r="H37" s="3"/>
      <c r="I37" s="3"/>
      <c r="J37" s="3"/>
      <c r="K37" s="3"/>
      <c r="L37" s="3"/>
      <c r="M37" s="3"/>
      <c r="N37" s="3"/>
      <c r="O37" s="31"/>
    </row>
    <row r="38" spans="2:17" hidden="1" outlineLevel="1">
      <c r="B38" s="20" t="s">
        <v>11</v>
      </c>
      <c r="C38" s="3" t="s">
        <v>57</v>
      </c>
      <c r="D38" s="3" t="s">
        <v>58</v>
      </c>
      <c r="E38" s="81" t="s">
        <v>59</v>
      </c>
      <c r="F38" s="81" t="s">
        <v>60</v>
      </c>
      <c r="G38" s="81" t="s">
        <v>61</v>
      </c>
      <c r="H38" s="3"/>
      <c r="I38" s="3"/>
      <c r="J38" s="3"/>
      <c r="K38" s="3"/>
      <c r="L38" s="3" t="s">
        <v>62</v>
      </c>
      <c r="M38" s="3" t="s">
        <v>57</v>
      </c>
      <c r="N38" s="3" t="s">
        <v>58</v>
      </c>
      <c r="O38" s="86" t="s">
        <v>59</v>
      </c>
      <c r="P38" s="87" t="s">
        <v>60</v>
      </c>
      <c r="Q38" s="87" t="s">
        <v>61</v>
      </c>
    </row>
    <row r="39" spans="2:17" hidden="1" outlineLevel="1">
      <c r="B39" s="20" t="s">
        <v>63</v>
      </c>
      <c r="C39" s="82">
        <f>TRUNC(F39)</f>
        <v>-23</v>
      </c>
      <c r="D39" s="25">
        <f>TRUNC((F39-C39)*60)</f>
        <v>-40</v>
      </c>
      <c r="E39" s="84">
        <f>(F39-C39-(D39/60))*3600</f>
        <v>-26.876865495108994</v>
      </c>
      <c r="F39" s="63">
        <f t="shared" ref="F39:F45" si="4">(G39/PI())*180</f>
        <v>-23.67413246263753</v>
      </c>
      <c r="G39" s="79">
        <f>G23</f>
        <v>-0.41319155902629839</v>
      </c>
      <c r="H39" s="3"/>
      <c r="I39" s="3"/>
      <c r="J39" s="3"/>
      <c r="K39" s="3"/>
      <c r="L39" s="3" t="s">
        <v>64</v>
      </c>
      <c r="M39" s="82">
        <f>TRUNC(P39)</f>
        <v>135</v>
      </c>
      <c r="N39" s="25">
        <f>TRUNC((P39-M39)*60)</f>
        <v>0</v>
      </c>
      <c r="O39" s="113">
        <f>(P39-M39-(N39/60))*3600</f>
        <v>0</v>
      </c>
      <c r="P39" s="63">
        <f>(E5*'Constants &amp; Parameters'!C26+'Constants &amp; Parameters'!C27-'Constants &amp; Parameters'!C26)</f>
        <v>135</v>
      </c>
      <c r="Q39" s="79">
        <f>(P39/180)*PI()</f>
        <v>2.3561944901923448</v>
      </c>
    </row>
    <row r="40" spans="2:17" hidden="1" outlineLevel="1">
      <c r="B40" s="20" t="s">
        <v>22</v>
      </c>
      <c r="C40" s="82">
        <f>TRUNC(F40)</f>
        <v>0</v>
      </c>
      <c r="D40" s="25">
        <f>TRUNC((F40-C40)*60)</f>
        <v>0</v>
      </c>
      <c r="E40" s="84">
        <f>(F40-C40-(D40/60))*3600</f>
        <v>14.43297350099078</v>
      </c>
      <c r="F40" s="63">
        <f t="shared" si="4"/>
        <v>4.0091593058307722E-3</v>
      </c>
      <c r="G40" s="79">
        <f>-((J30/('[1]Constants &amp; Parameters'!C25*L18))*H30*E8/2)</f>
        <v>6.9973030123717271E-5</v>
      </c>
      <c r="H40" s="3"/>
      <c r="I40" s="3"/>
      <c r="J40" s="3"/>
      <c r="K40" s="3"/>
      <c r="L40" s="3" t="s">
        <v>22</v>
      </c>
      <c r="M40" s="82">
        <f t="shared" ref="M40:M45" si="5">TRUNC(P40)</f>
        <v>-1</v>
      </c>
      <c r="N40" s="25">
        <f>TRUNC((P40-M40)*60)</f>
        <v>-6</v>
      </c>
      <c r="O40" s="113">
        <f>(P40-M40-(N40/60))*3600</f>
        <v>-52.447180615252918</v>
      </c>
      <c r="P40" s="63">
        <f>(Q40/PI())*180</f>
        <v>-1.1145686612820147</v>
      </c>
      <c r="Q40" s="79">
        <f>G26*H30</f>
        <v>-1.9452892878916602E-2</v>
      </c>
    </row>
    <row r="41" spans="2:17" hidden="1" outlineLevel="1">
      <c r="B41" s="20" t="s">
        <v>23</v>
      </c>
      <c r="C41" s="82">
        <f>TRUNC(F41)</f>
        <v>0</v>
      </c>
      <c r="D41" s="25">
        <f>TRUNC((F41-C41)*60)</f>
        <v>0</v>
      </c>
      <c r="E41" s="84">
        <f>(F41-C41-(D41/60))*3600</f>
        <v>-2.1273015395318236E-3</v>
      </c>
      <c r="F41" s="63">
        <f t="shared" si="4"/>
        <v>-5.9091709431439544E-7</v>
      </c>
      <c r="G41" s="79">
        <f>(J30/('[1]Constants &amp; Parameters'!C25*L18))*(H32*E8/24)*(-4*K31+9*K30*(1-J31)+12*J31)</f>
        <v>-1.0313448902104065E-8</v>
      </c>
      <c r="H41" s="3"/>
      <c r="I41" s="3"/>
      <c r="J41" s="3"/>
      <c r="K41" s="3"/>
      <c r="L41" s="3" t="s">
        <v>23</v>
      </c>
      <c r="M41" s="82">
        <f t="shared" si="5"/>
        <v>0</v>
      </c>
      <c r="N41" s="25">
        <f>TRUNC((P41-M41)*60)</f>
        <v>0</v>
      </c>
      <c r="O41" s="113">
        <f>(P41-M41-(N41/60))*3600</f>
        <v>0.29506271137318768</v>
      </c>
      <c r="P41" s="63">
        <f>(Q41/PI())*180</f>
        <v>8.1961864270329915E-5</v>
      </c>
      <c r="Q41" s="79">
        <f>-G26*(H32/6)*(K30+2*J31)</f>
        <v>1.4305043925899569E-6</v>
      </c>
    </row>
    <row r="42" spans="2:17" hidden="1" outlineLevel="1">
      <c r="B42" s="20" t="s">
        <v>24</v>
      </c>
      <c r="C42" s="82">
        <f>TRUNC(F42)</f>
        <v>0</v>
      </c>
      <c r="D42" s="25">
        <f>TRUNC((F42-C42)*60)</f>
        <v>0</v>
      </c>
      <c r="E42" s="84">
        <f>(F42-C42-(D42/60))*3600</f>
        <v>3.228383423680073E-7</v>
      </c>
      <c r="F42" s="63">
        <f t="shared" si="4"/>
        <v>8.9677317324446476E-11</v>
      </c>
      <c r="G42" s="79">
        <f>-(J30/('[1]Constants &amp; Parameters'!C25*L18))*(H34*E8/720)*(8*K33*(11-24*J31)-12*K32*(21-71*J31)+15*K31*(15-98*J31+15*J33)+180*K30*(5*J31-3*J33)+360*J33)</f>
        <v>1.565164451667343E-12</v>
      </c>
      <c r="H42" s="3"/>
      <c r="I42" s="3"/>
      <c r="J42" s="3"/>
      <c r="K42" s="3"/>
      <c r="L42" s="3" t="s">
        <v>24</v>
      </c>
      <c r="M42" s="82">
        <f t="shared" si="5"/>
        <v>0</v>
      </c>
      <c r="N42" s="25">
        <f>TRUNC((P42-M42)*60)</f>
        <v>0</v>
      </c>
      <c r="O42" s="113">
        <f>(P42-M42-(N42/60))*3600</f>
        <v>-3.8104130067296424E-5</v>
      </c>
      <c r="P42" s="63">
        <f>(Q42/PI())*180</f>
        <v>-1.0584480574249007E-8</v>
      </c>
      <c r="Q42" s="79">
        <f>G26*(H34/120)*(-4*K32*(1-6*J31)+K31*(9-68*J31)+72*K30*J31+24*J33)</f>
        <v>-1.8473403563402531E-10</v>
      </c>
    </row>
    <row r="43" spans="2:17" hidden="1" outlineLevel="1">
      <c r="B43" s="20" t="s">
        <v>25</v>
      </c>
      <c r="C43" s="82">
        <f>TRUNC(F43)</f>
        <v>0</v>
      </c>
      <c r="D43" s="25">
        <f>TRUNC((F43-C43)*60)</f>
        <v>0</v>
      </c>
      <c r="E43" s="84">
        <f>(F43-C43-(D43/60))*3600</f>
        <v>-5.1413500460397237E-11</v>
      </c>
      <c r="F43" s="63">
        <f t="shared" si="4"/>
        <v>-1.4281527905665898E-14</v>
      </c>
      <c r="G43" s="79">
        <f>(J30/('[1]Constants &amp; Parameters'!C25*L18))*(H36*E8/40320)*(1385+3633*J31+4095*J33+1575*J35)</f>
        <v>-2.4925968416932009E-16</v>
      </c>
      <c r="H43" s="3"/>
      <c r="I43" s="3"/>
      <c r="J43" s="3"/>
      <c r="K43" s="3"/>
      <c r="L43" s="3" t="s">
        <v>25</v>
      </c>
      <c r="M43" s="82">
        <f t="shared" si="5"/>
        <v>0</v>
      </c>
      <c r="N43" s="25">
        <f>TRUNC((P43-M43)*60)</f>
        <v>0</v>
      </c>
      <c r="O43" s="113">
        <f>(P43-M43-(N43/60))*3600</f>
        <v>6.1641732235964408E-9</v>
      </c>
      <c r="P43" s="63">
        <f>(Q43/PI())*180</f>
        <v>1.7122703398879003E-12</v>
      </c>
      <c r="Q43" s="79">
        <f>-G26*(H36/5040)*(61+662*J31+1320*J33+720*J35)</f>
        <v>2.9884755115286257E-14</v>
      </c>
    </row>
    <row r="44" spans="2:17" hidden="1" outlineLevel="1">
      <c r="B44" s="20"/>
      <c r="C44" s="82">
        <f>TRUNC(F45)</f>
        <v>-23</v>
      </c>
      <c r="D44" s="25">
        <f>TRUNC((F45-C44)*60)</f>
        <v>-40</v>
      </c>
      <c r="E44" s="84">
        <f>(F45-C44-(D44/60))*3600</f>
        <v>-12.44601897287807</v>
      </c>
      <c r="F44" s="63"/>
      <c r="G44" s="79"/>
      <c r="H44" s="3"/>
      <c r="I44" s="3"/>
      <c r="J44" s="3"/>
      <c r="K44" s="3"/>
      <c r="L44" s="3"/>
      <c r="M44" s="82"/>
      <c r="N44" s="25"/>
      <c r="O44" s="113"/>
      <c r="P44" s="63"/>
      <c r="Q44" s="79"/>
    </row>
    <row r="45" spans="2:17" collapsed="1">
      <c r="B45" s="88" t="s">
        <v>11</v>
      </c>
      <c r="C45" s="90">
        <f>C44</f>
        <v>-23</v>
      </c>
      <c r="D45" s="91">
        <f>ABS(D44)</f>
        <v>40</v>
      </c>
      <c r="E45" s="94">
        <f>ABS(E44)</f>
        <v>12.44601897287807</v>
      </c>
      <c r="F45" s="63">
        <f t="shared" si="4"/>
        <v>-23.670123894159133</v>
      </c>
      <c r="G45" s="79">
        <f>SUM(G39:G43)</f>
        <v>-0.41312159630805867</v>
      </c>
      <c r="H45" s="3"/>
      <c r="I45" s="3"/>
      <c r="J45" s="3"/>
      <c r="K45" s="3"/>
      <c r="L45" s="89" t="s">
        <v>62</v>
      </c>
      <c r="M45" s="90">
        <f t="shared" si="5"/>
        <v>133</v>
      </c>
      <c r="N45" s="91">
        <f>ABS(TRUNC((P45-M45)*60))</f>
        <v>53</v>
      </c>
      <c r="O45" s="96">
        <f>ABS((P45-M45-(N45/60))*3600)</f>
        <v>7.8478439981791936</v>
      </c>
      <c r="P45" s="63">
        <f>(Q45/PI())*180</f>
        <v>133.88551328999949</v>
      </c>
      <c r="Q45" s="79">
        <f>SUM(Q39:Q43)</f>
        <v>2.3367430276331169</v>
      </c>
    </row>
    <row r="46" spans="2:17" ht="15" hidden="1" customHeight="1" outlineLevel="1">
      <c r="B46" s="88" t="s">
        <v>35</v>
      </c>
      <c r="C46" s="89" t="s">
        <v>57</v>
      </c>
      <c r="D46" s="89" t="s">
        <v>58</v>
      </c>
      <c r="E46" s="33" t="s">
        <v>59</v>
      </c>
      <c r="F46" s="81" t="s">
        <v>60</v>
      </c>
      <c r="G46" s="81" t="s">
        <v>61</v>
      </c>
      <c r="H46" s="3"/>
      <c r="I46" s="3"/>
      <c r="J46" s="3"/>
      <c r="K46" s="3"/>
      <c r="L46" s="89" t="s">
        <v>36</v>
      </c>
      <c r="M46" s="89"/>
      <c r="N46" s="89"/>
      <c r="O46" s="55"/>
    </row>
    <row r="47" spans="2:17" hidden="1" outlineLevel="1">
      <c r="B47" s="88" t="s">
        <v>22</v>
      </c>
      <c r="C47" s="90">
        <f>TRUNC(F47)</f>
        <v>0</v>
      </c>
      <c r="D47" s="91">
        <f>TRUNC((F47-C47)*60)</f>
        <v>-26</v>
      </c>
      <c r="E47" s="95">
        <f>(F47-C47-(D47/60))*3600</f>
        <v>-51.135322950600923</v>
      </c>
      <c r="F47" s="63">
        <f>(G47/PI())*180</f>
        <v>-0.44753758970850027</v>
      </c>
      <c r="G47" s="79">
        <f>-J30*H30</f>
        <v>-7.8110044668528193E-3</v>
      </c>
      <c r="H47" s="3"/>
      <c r="I47" s="3"/>
      <c r="J47" s="3"/>
      <c r="K47" s="3"/>
      <c r="L47" s="89" t="s">
        <v>22</v>
      </c>
      <c r="M47" s="89"/>
      <c r="N47" s="89"/>
      <c r="O47" s="55"/>
      <c r="Q47" s="79">
        <f>1+I30/2</f>
        <v>1.0001595987479435</v>
      </c>
    </row>
    <row r="48" spans="2:17" hidden="1" outlineLevel="1">
      <c r="B48" s="88" t="s">
        <v>23</v>
      </c>
      <c r="C48" s="90">
        <f>TRUNC(F48)</f>
        <v>0</v>
      </c>
      <c r="D48" s="91">
        <f>TRUNC((F48-C48)*60)</f>
        <v>0</v>
      </c>
      <c r="E48" s="95">
        <f>(F48-C48-(D48/60))*3600</f>
        <v>0.20225146181560358</v>
      </c>
      <c r="F48" s="63">
        <f>(G48/PI())*180</f>
        <v>5.6180961615445442E-5</v>
      </c>
      <c r="G48" s="79">
        <f>(J30*H32/3)*(-2*K31+3*K30+J31)</f>
        <v>9.8054275712607531E-7</v>
      </c>
      <c r="H48" s="3"/>
      <c r="I48" s="3"/>
      <c r="J48" s="3"/>
      <c r="K48" s="3"/>
      <c r="L48" s="89" t="s">
        <v>23</v>
      </c>
      <c r="M48" s="89"/>
      <c r="N48" s="89"/>
      <c r="O48" s="55"/>
      <c r="Q48" s="79">
        <f>(I31/24)*(4*K30*(1-6*J31)-3*(1-16*J31)-24*J31/K30)</f>
        <v>4.3406637577009367E-9</v>
      </c>
    </row>
    <row r="49" spans="2:17" hidden="1" outlineLevel="1">
      <c r="B49" s="88" t="s">
        <v>24</v>
      </c>
      <c r="C49" s="90">
        <f>TRUNC(F49)</f>
        <v>0</v>
      </c>
      <c r="D49" s="91">
        <f>TRUNC((F49-C49)*60)</f>
        <v>0</v>
      </c>
      <c r="E49" s="95">
        <f>(F49-C49-(D49/60))*3600</f>
        <v>-3.3378110390121623E-5</v>
      </c>
      <c r="F49" s="63">
        <f>(G49/PI())*180</f>
        <v>-9.2716973305893389E-9</v>
      </c>
      <c r="G49" s="79">
        <f>-(J30*H34/15)*(K33*(11-24*J31)-3*K32*(8-23*J31)+5*K31*(3-14*J31)+30*K30*J31+3*J33)</f>
        <v>-1.6182164566715314E-10</v>
      </c>
      <c r="H49" s="3"/>
      <c r="I49" s="3"/>
      <c r="J49" s="3"/>
      <c r="K49" s="3"/>
      <c r="L49" s="89" t="s">
        <v>24</v>
      </c>
      <c r="M49" s="89"/>
      <c r="N49" s="89"/>
      <c r="O49" s="55"/>
      <c r="Q49" s="79">
        <f>I32/720</f>
        <v>4.5169567322149198E-14</v>
      </c>
    </row>
    <row r="50" spans="2:17" hidden="1" outlineLevel="1">
      <c r="B50" s="88" t="s">
        <v>25</v>
      </c>
      <c r="C50" s="90">
        <f>TRUNC(F50)</f>
        <v>0</v>
      </c>
      <c r="D50" s="91">
        <f>TRUNC((F50-C50)*60)</f>
        <v>0</v>
      </c>
      <c r="E50" s="95">
        <f>(F50-C50-(D50/60))*3600</f>
        <v>5.8879244090958842E-9</v>
      </c>
      <c r="F50" s="63">
        <f>(G50/PI())*180</f>
        <v>1.6355345580821901E-12</v>
      </c>
      <c r="G50" s="79">
        <f>(J30*H36/315)*(17+77*J31+105*J33+45*J35)</f>
        <v>2.8545463068684653E-14</v>
      </c>
      <c r="H50" s="3"/>
      <c r="I50" s="3"/>
      <c r="J50" s="3"/>
      <c r="K50" s="3"/>
      <c r="L50" s="89" t="s">
        <v>65</v>
      </c>
      <c r="M50" s="89"/>
      <c r="N50" s="89"/>
      <c r="O50" s="55"/>
      <c r="Q50" s="79">
        <f>SUM(Q47:Q49)</f>
        <v>1.0001596030886524</v>
      </c>
    </row>
    <row r="51" spans="2:17" hidden="1" outlineLevel="1">
      <c r="B51" s="88"/>
      <c r="C51" s="90">
        <f>TRUNC(F52)</f>
        <v>0</v>
      </c>
      <c r="D51" s="91">
        <f>TRUNC((F52-C51)*60)</f>
        <v>-26</v>
      </c>
      <c r="E51" s="95">
        <f>(F52-C51-(D51/60))*3600</f>
        <v>-50.933104861007614</v>
      </c>
      <c r="F51" s="63"/>
      <c r="G51" s="79"/>
      <c r="H51" s="3"/>
      <c r="I51" s="3"/>
      <c r="J51" s="3"/>
      <c r="K51" s="3"/>
      <c r="L51" s="89"/>
      <c r="M51" s="89"/>
      <c r="N51" s="89"/>
      <c r="O51" s="55"/>
      <c r="Q51" s="79"/>
    </row>
    <row r="52" spans="2:17" collapsed="1">
      <c r="B52" s="88" t="s">
        <v>35</v>
      </c>
      <c r="C52" s="90">
        <f>C51</f>
        <v>0</v>
      </c>
      <c r="D52" s="91">
        <f>D51</f>
        <v>-26</v>
      </c>
      <c r="E52" s="56">
        <f>E51</f>
        <v>-50.933104861007614</v>
      </c>
      <c r="F52" s="63">
        <f>(G52/PI())*180</f>
        <v>-0.44748141801694657</v>
      </c>
      <c r="G52" s="79">
        <f>SUM(G47:G50)</f>
        <v>-7.8100240858887931E-3</v>
      </c>
      <c r="H52" s="3"/>
      <c r="I52" s="3"/>
      <c r="J52" s="3"/>
      <c r="K52" s="3"/>
      <c r="L52" s="89" t="s">
        <v>36</v>
      </c>
      <c r="M52" s="89"/>
      <c r="N52" s="89"/>
      <c r="O52" s="57">
        <f>Q52</f>
        <v>0.99975953924741701</v>
      </c>
      <c r="Q52" s="79">
        <f>Q50*'[1]Constants &amp; Parameters'!C25</f>
        <v>0.99975953924741701</v>
      </c>
    </row>
    <row r="53" spans="2:17">
      <c r="B53" s="58"/>
      <c r="C53" s="59"/>
      <c r="D53" s="59"/>
      <c r="E53" s="59"/>
      <c r="F53" s="59"/>
      <c r="G53" s="59"/>
      <c r="H53" s="59"/>
      <c r="I53" s="59"/>
      <c r="J53" s="59"/>
      <c r="K53" s="59"/>
      <c r="L53" s="59"/>
      <c r="M53" s="59"/>
      <c r="N53" s="59"/>
      <c r="O53" s="60"/>
    </row>
  </sheetData>
  <printOptions gridLinesSet="0"/>
  <pageMargins left="0.75" right="0.75" top="1" bottom="1" header="0.5" footer="0.5"/>
  <pageSetup paperSize="9" scale="87" orientation="portrait" horizontalDpi="180" verticalDpi="180"/>
  <headerFooter>
    <oddHeader>&amp;C&amp;F&amp;RE, N Zone to Lat, Long</oddHeader>
    <oddFooter>&amp;L&amp;D&amp;CGDA Technical Manual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H16"/>
  <sheetViews>
    <sheetView workbookViewId="0">
      <selection activeCell="H28" sqref="H28"/>
    </sheetView>
  </sheetViews>
  <sheetFormatPr baseColWidth="10" defaultColWidth="8.83203125" defaultRowHeight="13" x14ac:dyDescent="0"/>
  <cols>
    <col min="1" max="1" width="4.6640625" style="1" customWidth="1"/>
    <col min="2" max="2" width="24.83203125" style="1" customWidth="1"/>
    <col min="3" max="3" width="20.33203125" style="1" customWidth="1"/>
    <col min="4" max="4" width="3" style="1" customWidth="1"/>
    <col min="5" max="5" width="17.6640625" style="1" customWidth="1"/>
    <col min="6" max="6" width="5.1640625" style="1" customWidth="1"/>
    <col min="7" max="7" width="4.5" style="1" customWidth="1"/>
    <col min="8" max="8" width="15.5" style="1" bestFit="1" customWidth="1"/>
    <col min="9" max="10" width="8.83203125" style="1" customWidth="1"/>
    <col min="11" max="11" width="11.5" style="1" customWidth="1"/>
    <col min="12" max="12" width="8.83203125" style="1" customWidth="1"/>
    <col min="13" max="16384" width="8.83203125" style="1"/>
  </cols>
  <sheetData>
    <row r="1" spans="1:8" ht="21">
      <c r="B1" s="117" t="s">
        <v>76</v>
      </c>
      <c r="C1" s="127"/>
      <c r="D1" s="127"/>
      <c r="E1" s="127"/>
      <c r="F1" s="127"/>
      <c r="G1" s="127"/>
      <c r="H1" s="127"/>
    </row>
    <row r="3" spans="1:8">
      <c r="B3" s="66" t="s">
        <v>77</v>
      </c>
      <c r="C3" s="101"/>
      <c r="E3" s="102" t="s">
        <v>89</v>
      </c>
      <c r="F3" s="103"/>
      <c r="G3" s="103"/>
      <c r="H3" s="104"/>
    </row>
    <row r="4" spans="1:8">
      <c r="B4" s="20" t="s">
        <v>0</v>
      </c>
      <c r="C4" s="97">
        <v>6378137</v>
      </c>
      <c r="E4" s="20" t="s">
        <v>11</v>
      </c>
      <c r="F4" s="105">
        <v>-23</v>
      </c>
      <c r="G4" s="16">
        <v>40</v>
      </c>
      <c r="H4" s="72">
        <v>12.446018759999999</v>
      </c>
    </row>
    <row r="5" spans="1:8">
      <c r="B5" s="20" t="s">
        <v>66</v>
      </c>
      <c r="C5" s="106">
        <v>298.25722210100002</v>
      </c>
      <c r="E5" s="20" t="s">
        <v>62</v>
      </c>
      <c r="F5" s="105">
        <v>133</v>
      </c>
      <c r="G5" s="16">
        <v>53</v>
      </c>
      <c r="H5" s="72">
        <v>7.8478440000000003</v>
      </c>
    </row>
    <row r="6" spans="1:8">
      <c r="B6" s="20"/>
      <c r="C6" s="97"/>
      <c r="E6" s="20" t="s">
        <v>14</v>
      </c>
      <c r="F6" s="61"/>
      <c r="G6" s="61"/>
      <c r="H6" s="107">
        <v>53</v>
      </c>
    </row>
    <row r="7" spans="1:8">
      <c r="B7" s="80" t="s">
        <v>75</v>
      </c>
      <c r="C7" s="108"/>
      <c r="E7" s="20" t="s">
        <v>78</v>
      </c>
      <c r="F7" s="61"/>
      <c r="G7" s="61"/>
      <c r="H7" s="93">
        <v>386352.39786625892</v>
      </c>
    </row>
    <row r="8" spans="1:8">
      <c r="B8" s="20" t="s">
        <v>2</v>
      </c>
      <c r="C8" s="97">
        <v>500000</v>
      </c>
      <c r="E8" s="20" t="s">
        <v>79</v>
      </c>
      <c r="F8" s="61"/>
      <c r="G8" s="61"/>
      <c r="H8" s="93">
        <v>7381850.7689184062</v>
      </c>
    </row>
    <row r="9" spans="1:8">
      <c r="B9" s="20" t="s">
        <v>3</v>
      </c>
      <c r="C9" s="97">
        <v>10000000</v>
      </c>
      <c r="E9" s="20" t="s">
        <v>35</v>
      </c>
      <c r="F9" s="105">
        <v>0</v>
      </c>
      <c r="G9" s="16">
        <v>-26</v>
      </c>
      <c r="H9" s="109">
        <v>-50.933104852392908</v>
      </c>
    </row>
    <row r="10" spans="1:8" ht="15">
      <c r="B10" s="20" t="s">
        <v>90</v>
      </c>
      <c r="C10" s="110">
        <v>0.99960000000000004</v>
      </c>
      <c r="E10" s="58" t="s">
        <v>36</v>
      </c>
      <c r="F10" s="5"/>
      <c r="G10" s="5"/>
      <c r="H10" s="111">
        <v>0.99975953924741678</v>
      </c>
    </row>
    <row r="11" spans="1:8">
      <c r="B11" s="20" t="s">
        <v>4</v>
      </c>
      <c r="C11" s="98">
        <v>6</v>
      </c>
    </row>
    <row r="12" spans="1:8" ht="26">
      <c r="A12" s="42"/>
      <c r="B12" s="99" t="s">
        <v>5</v>
      </c>
      <c r="C12" s="100">
        <v>-177</v>
      </c>
    </row>
    <row r="16" spans="1:8">
      <c r="E16" s="1" t="s">
        <v>67</v>
      </c>
    </row>
  </sheetData>
  <sheetProtection sheet="1" objects="1" scenarios="1"/>
  <pageMargins left="0.75" right="0.75" top="1" bottom="1" header="0.5" footer="0.5"/>
  <pageSetup paperSize="9" scale="94" orientation="portrait" horizontalDpi="4294967292" verticalDpi="4294967292"/>
  <headerFooter>
    <oddHeader>&amp;C&amp;F&amp;RTest Data</oddHeader>
    <oddFooter>&amp;L&amp;D&amp;C&amp;F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Constants &amp; Parameters</vt:lpstr>
      <vt:lpstr>Geographic to Grid</vt:lpstr>
      <vt:lpstr>Grid to Geographic</vt:lpstr>
      <vt:lpstr>Test data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Nicholas Brown</cp:lastModifiedBy>
  <cp:lastPrinted>1998-03-31T02:28:43Z</cp:lastPrinted>
  <dcterms:created xsi:type="dcterms:W3CDTF">1999-07-14T05:04:21Z</dcterms:created>
  <dcterms:modified xsi:type="dcterms:W3CDTF">2017-12-14T07:58:33Z</dcterms:modified>
</cp:coreProperties>
</file>