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1970" windowHeight="3450" activeTab="2"/>
  </bookViews>
  <sheets>
    <sheet name="Geographic to Cartesian" sheetId="1" r:id="rId1"/>
    <sheet name="7-parameter transformation" sheetId="2" r:id="rId2"/>
    <sheet name="Cartesian to Geographic" sheetId="3" r:id="rId3"/>
  </sheets>
  <calcPr calcId="0" concurrentCalc="0"/>
</workbook>
</file>

<file path=xl/calcChain.xml><?xml version="1.0" encoding="utf-8"?>
<calcChain xmlns="http://schemas.openxmlformats.org/spreadsheetml/2006/main">
  <c r="G12" i="2" l="1"/>
  <c r="G11" i="2"/>
  <c r="G10" i="2"/>
  <c r="G9" i="2"/>
  <c r="G8" i="2"/>
  <c r="G7" i="2"/>
  <c r="G6" i="2"/>
  <c r="D15" i="1"/>
  <c r="D16" i="1"/>
  <c r="G7" i="1"/>
  <c r="H7" i="1"/>
  <c r="I7" i="1"/>
  <c r="D17" i="1"/>
  <c r="G8" i="1"/>
  <c r="H8" i="1"/>
  <c r="I8" i="1"/>
  <c r="L7" i="1"/>
  <c r="D6" i="2"/>
  <c r="L9" i="1"/>
  <c r="D8" i="2"/>
  <c r="M21" i="2"/>
  <c r="M19" i="2"/>
  <c r="L8" i="1"/>
  <c r="D7" i="2"/>
  <c r="M20" i="2"/>
  <c r="G15" i="2"/>
  <c r="G16" i="2"/>
  <c r="I19" i="2"/>
  <c r="J19" i="2"/>
  <c r="K19" i="2"/>
  <c r="I23" i="2"/>
  <c r="G17" i="2"/>
  <c r="G23" i="2"/>
  <c r="G27" i="2"/>
  <c r="E27" i="2"/>
  <c r="E31" i="2"/>
  <c r="K6" i="2"/>
  <c r="G14" i="2"/>
  <c r="I20" i="2"/>
  <c r="J20" i="2"/>
  <c r="K20" i="2"/>
  <c r="I24" i="2"/>
  <c r="G28" i="2"/>
  <c r="E28" i="2"/>
  <c r="E32" i="2"/>
  <c r="K7" i="2"/>
  <c r="I21" i="2"/>
  <c r="J21" i="2"/>
  <c r="K21" i="2"/>
  <c r="I25" i="2"/>
  <c r="G29" i="2"/>
  <c r="E29" i="2"/>
  <c r="E33" i="2"/>
  <c r="K8" i="2"/>
  <c r="E19" i="2"/>
  <c r="G19" i="2"/>
  <c r="E20" i="2"/>
  <c r="E21" i="2"/>
  <c r="E23" i="2"/>
  <c r="E24" i="2"/>
  <c r="E25" i="2"/>
  <c r="D6" i="3"/>
  <c r="D8" i="3"/>
  <c r="D7" i="3"/>
  <c r="D19" i="3"/>
  <c r="D20" i="3"/>
  <c r="D21" i="3"/>
  <c r="D26" i="3"/>
  <c r="D27" i="3"/>
  <c r="D23" i="3"/>
  <c r="F23" i="3"/>
  <c r="G6" i="3"/>
  <c r="H6" i="3"/>
  <c r="I6" i="3"/>
  <c r="D22" i="3"/>
  <c r="E22" i="3"/>
  <c r="F22" i="3"/>
  <c r="G7" i="3"/>
  <c r="H7" i="3"/>
  <c r="I7" i="3"/>
  <c r="D24" i="3"/>
  <c r="I8" i="3"/>
  <c r="D14" i="3"/>
  <c r="D15" i="3"/>
  <c r="D16" i="3"/>
</calcChain>
</file>

<file path=xl/sharedStrings.xml><?xml version="1.0" encoding="utf-8"?>
<sst xmlns="http://schemas.openxmlformats.org/spreadsheetml/2006/main" count="107" uniqueCount="63">
  <si>
    <t>deg</t>
  </si>
  <si>
    <t>min</t>
  </si>
  <si>
    <t>secs</t>
  </si>
  <si>
    <t>abs dec deg</t>
  </si>
  <si>
    <t>dec deg</t>
  </si>
  <si>
    <t>radians</t>
  </si>
  <si>
    <t>X</t>
  </si>
  <si>
    <t>Y</t>
  </si>
  <si>
    <t>Z</t>
  </si>
  <si>
    <t>Ellipsoid</t>
  </si>
  <si>
    <t>Semi major axis (a)</t>
  </si>
  <si>
    <t>Inverse flattening (1/f)</t>
  </si>
  <si>
    <t>f</t>
  </si>
  <si>
    <t>n</t>
  </si>
  <si>
    <t>Input</t>
  </si>
  <si>
    <t>Output</t>
  </si>
  <si>
    <t>GDA94</t>
  </si>
  <si>
    <t>(metres)</t>
  </si>
  <si>
    <t>Xs</t>
  </si>
  <si>
    <t>Ys</t>
  </si>
  <si>
    <t>Zs</t>
  </si>
  <si>
    <t>(seconds)</t>
  </si>
  <si>
    <t>Sc</t>
  </si>
  <si>
    <t>(ppm)</t>
  </si>
  <si>
    <t>Rx</t>
  </si>
  <si>
    <t>(radians)</t>
  </si>
  <si>
    <t>Ry</t>
  </si>
  <si>
    <t>Rz</t>
  </si>
  <si>
    <t>Scale factor</t>
  </si>
  <si>
    <t>+</t>
  </si>
  <si>
    <t>=</t>
  </si>
  <si>
    <t>sec</t>
  </si>
  <si>
    <t>GRS80 (GDA94)</t>
  </si>
  <si>
    <t>p</t>
  </si>
  <si>
    <t>r</t>
  </si>
  <si>
    <t>m</t>
  </si>
  <si>
    <t>longitude</t>
  </si>
  <si>
    <t>latitude</t>
  </si>
  <si>
    <t>ellip height</t>
  </si>
  <si>
    <t>latitudetop line</t>
  </si>
  <si>
    <t>latitude bottom line</t>
  </si>
  <si>
    <r>
      <t>e</t>
    </r>
    <r>
      <rPr>
        <vertAlign val="superscript"/>
        <sz val="11"/>
        <rFont val="Arial"/>
        <family val="2"/>
      </rPr>
      <t>2</t>
    </r>
  </si>
  <si>
    <t>KEY</t>
  </si>
  <si>
    <t>X:</t>
  </si>
  <si>
    <t>Y:</t>
  </si>
  <si>
    <t>Z:</t>
  </si>
  <si>
    <t>Latitude:</t>
  </si>
  <si>
    <t>Longitude:</t>
  </si>
  <si>
    <t>Ellipsoidal height:</t>
  </si>
  <si>
    <t>GDA2020</t>
  </si>
  <si>
    <r>
      <t>R</t>
    </r>
    <r>
      <rPr>
        <vertAlign val="subscript"/>
        <sz val="11"/>
        <rFont val="Arial"/>
        <family val="2"/>
      </rPr>
      <t>X</t>
    </r>
  </si>
  <si>
    <r>
      <t>R</t>
    </r>
    <r>
      <rPr>
        <vertAlign val="subscript"/>
        <sz val="11"/>
        <rFont val="Arial"/>
        <family val="2"/>
      </rPr>
      <t>Y</t>
    </r>
  </si>
  <si>
    <r>
      <t>R</t>
    </r>
    <r>
      <rPr>
        <vertAlign val="subscript"/>
        <sz val="11"/>
        <rFont val="Arial"/>
        <family val="2"/>
      </rPr>
      <t>Z</t>
    </r>
  </si>
  <si>
    <t>Similarity Transformation</t>
  </si>
  <si>
    <t>PARAMETERS</t>
  </si>
  <si>
    <t>OUTPUT:</t>
  </si>
  <si>
    <t>INPUT:</t>
  </si>
  <si>
    <r>
      <t>T</t>
    </r>
    <r>
      <rPr>
        <vertAlign val="subscript"/>
        <sz val="11"/>
        <rFont val="Arial"/>
        <family val="2"/>
      </rPr>
      <t>X</t>
    </r>
  </si>
  <si>
    <r>
      <t>T</t>
    </r>
    <r>
      <rPr>
        <vertAlign val="subscript"/>
        <sz val="11"/>
        <rFont val="Arial"/>
        <family val="2"/>
      </rPr>
      <t>Y</t>
    </r>
  </si>
  <si>
    <r>
      <t>T</t>
    </r>
    <r>
      <rPr>
        <vertAlign val="subscript"/>
        <sz val="11"/>
        <rFont val="Arial"/>
        <family val="2"/>
      </rPr>
      <t>Z</t>
    </r>
  </si>
  <si>
    <t>GRS80 (GDA2020)</t>
  </si>
  <si>
    <t>Conversion of Earth-centred Cartesian coordinates to Geodetic coordinates</t>
  </si>
  <si>
    <t>Conversion of Geodetic coordinates to Earth-centred Cartesian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</si>
</sst>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2" formatCode="0.0000"/>
    <numFmt numFmtId="173" formatCode="0.000"/>
    <numFmt numFmtId="174" formatCode="0.000000"/>
    <numFmt numFmtId="175" formatCode="0.000000000"/>
    <numFmt numFmtId="176" formatCode="0.0000000000"/>
    <numFmt numFmtId="177" formatCode="0,000,000.000"/>
    <numFmt numFmtId="179" formatCode="00\°"/>
    <numFmt numFmtId="180" formatCode="00\'"/>
    <numFmt numFmtId="181" formatCode="00.00000\&quot;"/>
    <numFmt numFmtId="184" formatCode="000,000.000"/>
    <numFmt numFmtId="191" formatCode="0.00000"/>
    <numFmt numFmtId="192" formatCode="0.0000000"/>
    <numFmt numFmtId="193" formatCode="#,##0.000"/>
  </numFmts>
  <fonts count="14" x14ac:knownFonts="1">
    <font>
      <sz val="10"/>
      <name val="Arial"/>
    </font>
    <font>
      <b/>
      <sz val="10"/>
      <name val="Arial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vertAlign val="superscript"/>
      <sz val="11"/>
      <name val="Arial"/>
      <family val="2"/>
    </font>
    <font>
      <sz val="11"/>
      <name val="Symbol"/>
      <family val="1"/>
      <charset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u/>
      <sz val="11"/>
      <name val="Arial"/>
      <family val="2"/>
    </font>
    <font>
      <vertAlign val="subscript"/>
      <sz val="11"/>
      <name val="Arial"/>
      <family val="2"/>
    </font>
    <font>
      <sz val="12"/>
      <color theme="0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  <xf numFmtId="0" fontId="3" fillId="0" borderId="0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0" xfId="0" applyFont="1" applyBorder="1" applyAlignment="1">
      <alignment horizontal="right"/>
    </xf>
    <xf numFmtId="179" fontId="2" fillId="2" borderId="0" xfId="0" applyNumberFormat="1" applyFont="1" applyFill="1" applyBorder="1"/>
    <xf numFmtId="180" fontId="2" fillId="2" borderId="0" xfId="0" applyNumberFormat="1" applyFont="1" applyFill="1" applyBorder="1"/>
    <xf numFmtId="181" fontId="2" fillId="2" borderId="0" xfId="0" applyNumberFormat="1" applyFont="1" applyFill="1" applyBorder="1"/>
    <xf numFmtId="173" fontId="2" fillId="2" borderId="0" xfId="0" applyNumberFormat="1" applyFont="1" applyFill="1" applyBorder="1"/>
    <xf numFmtId="173" fontId="4" fillId="3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2" fontId="2" fillId="2" borderId="0" xfId="0" applyNumberFormat="1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0" xfId="0" applyFont="1" applyBorder="1"/>
    <xf numFmtId="0" fontId="2" fillId="2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/>
    <xf numFmtId="0" fontId="7" fillId="4" borderId="0" xfId="0" applyFont="1" applyFill="1" applyBorder="1"/>
    <xf numFmtId="0" fontId="8" fillId="4" borderId="0" xfId="0" applyFont="1" applyFill="1" applyBorder="1"/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0" fontId="2" fillId="2" borderId="0" xfId="0" applyFont="1" applyFill="1" applyBorder="1" applyAlignment="1">
      <alignment horizontal="centerContinuous"/>
    </xf>
    <xf numFmtId="0" fontId="2" fillId="0" borderId="0" xfId="0" applyFont="1" applyBorder="1" applyAlignment="1">
      <alignment horizontal="left"/>
    </xf>
    <xf numFmtId="173" fontId="2" fillId="0" borderId="0" xfId="0" applyNumberFormat="1" applyFont="1" applyBorder="1"/>
    <xf numFmtId="172" fontId="2" fillId="0" borderId="0" xfId="0" applyNumberFormat="1" applyFont="1" applyBorder="1" applyAlignment="1">
      <alignment horizontal="center"/>
    </xf>
    <xf numFmtId="173" fontId="2" fillId="0" borderId="8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172" fontId="2" fillId="0" borderId="8" xfId="0" applyNumberFormat="1" applyFont="1" applyBorder="1" applyAlignment="1">
      <alignment horizontal="center"/>
    </xf>
    <xf numFmtId="173" fontId="2" fillId="0" borderId="0" xfId="0" applyNumberFormat="1" applyFont="1"/>
    <xf numFmtId="0" fontId="2" fillId="0" borderId="0" xfId="0" applyFont="1" applyAlignment="1">
      <alignment horizontal="right"/>
    </xf>
    <xf numFmtId="176" fontId="2" fillId="0" borderId="0" xfId="0" applyNumberFormat="1" applyFont="1" applyBorder="1" applyAlignment="1">
      <alignment horizontal="right"/>
    </xf>
    <xf numFmtId="17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73" fontId="2" fillId="0" borderId="1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left"/>
    </xf>
    <xf numFmtId="174" fontId="2" fillId="0" borderId="0" xfId="0" applyNumberFormat="1" applyFont="1" applyAlignment="1">
      <alignment horizontal="centerContinuous"/>
    </xf>
    <xf numFmtId="176" fontId="2" fillId="0" borderId="2" xfId="0" applyNumberFormat="1" applyFont="1" applyBorder="1" applyAlignment="1">
      <alignment horizontal="center"/>
    </xf>
    <xf numFmtId="176" fontId="2" fillId="0" borderId="0" xfId="0" applyNumberFormat="1" applyFont="1"/>
    <xf numFmtId="176" fontId="2" fillId="0" borderId="3" xfId="0" applyNumberFormat="1" applyFont="1" applyBorder="1"/>
    <xf numFmtId="173" fontId="2" fillId="0" borderId="1" xfId="0" applyNumberFormat="1" applyFont="1" applyBorder="1"/>
    <xf numFmtId="176" fontId="2" fillId="0" borderId="2" xfId="0" applyNumberFormat="1" applyFont="1" applyBorder="1"/>
    <xf numFmtId="176" fontId="2" fillId="0" borderId="0" xfId="0" applyNumberFormat="1" applyFont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73" fontId="2" fillId="0" borderId="0" xfId="0" applyNumberFormat="1" applyFont="1" applyBorder="1" applyAlignment="1">
      <alignment horizontal="center"/>
    </xf>
    <xf numFmtId="0" fontId="2" fillId="0" borderId="1" xfId="0" applyFont="1" applyBorder="1"/>
    <xf numFmtId="49" fontId="2" fillId="0" borderId="0" xfId="0" applyNumberFormat="1" applyFont="1" applyBorder="1" applyAlignment="1">
      <alignment horizontal="center"/>
    </xf>
    <xf numFmtId="0" fontId="11" fillId="4" borderId="0" xfId="0" applyFont="1" applyFill="1" applyBorder="1"/>
    <xf numFmtId="0" fontId="3" fillId="0" borderId="0" xfId="0" applyFont="1" applyBorder="1" applyAlignment="1">
      <alignment horizontal="right"/>
    </xf>
    <xf numFmtId="175" fontId="2" fillId="2" borderId="8" xfId="0" applyNumberFormat="1" applyFont="1" applyFill="1" applyBorder="1"/>
    <xf numFmtId="191" fontId="2" fillId="2" borderId="0" xfId="0" applyNumberFormat="1" applyFont="1" applyFill="1" applyBorder="1" applyAlignment="1">
      <alignment horizontal="right"/>
    </xf>
    <xf numFmtId="174" fontId="2" fillId="2" borderId="0" xfId="0" applyNumberFormat="1" applyFont="1" applyFill="1" applyBorder="1" applyAlignment="1">
      <alignment horizontal="right"/>
    </xf>
    <xf numFmtId="192" fontId="2" fillId="2" borderId="0" xfId="0" applyNumberFormat="1" applyFont="1" applyFill="1" applyBorder="1" applyAlignment="1">
      <alignment horizontal="right"/>
    </xf>
    <xf numFmtId="193" fontId="2" fillId="5" borderId="0" xfId="0" applyNumberFormat="1" applyFont="1" applyFill="1" applyBorder="1"/>
    <xf numFmtId="193" fontId="2" fillId="6" borderId="0" xfId="0" applyNumberFormat="1" applyFont="1" applyFill="1" applyBorder="1"/>
    <xf numFmtId="184" fontId="12" fillId="2" borderId="0" xfId="0" applyNumberFormat="1" applyFont="1" applyFill="1" applyBorder="1"/>
    <xf numFmtId="177" fontId="4" fillId="3" borderId="0" xfId="0" applyNumberFormat="1" applyFont="1" applyFill="1" applyBorder="1"/>
    <xf numFmtId="172" fontId="2" fillId="2" borderId="0" xfId="0" applyNumberFormat="1" applyFont="1" applyFill="1" applyBorder="1"/>
    <xf numFmtId="0" fontId="6" fillId="0" borderId="0" xfId="0" applyFont="1"/>
    <xf numFmtId="0" fontId="2" fillId="5" borderId="0" xfId="0" applyFont="1" applyFill="1"/>
    <xf numFmtId="179" fontId="2" fillId="5" borderId="0" xfId="0" applyNumberFormat="1" applyFont="1" applyFill="1"/>
    <xf numFmtId="180" fontId="2" fillId="5" borderId="0" xfId="0" applyNumberFormat="1" applyFont="1" applyFill="1"/>
    <xf numFmtId="181" fontId="2" fillId="5" borderId="0" xfId="0" applyNumberFormat="1" applyFont="1" applyFill="1"/>
    <xf numFmtId="173" fontId="2" fillId="5" borderId="0" xfId="0" applyNumberFormat="1" applyFont="1" applyFill="1"/>
    <xf numFmtId="0" fontId="13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18</xdr:row>
      <xdr:rowOff>104775</xdr:rowOff>
    </xdr:from>
    <xdr:to>
      <xdr:col>11</xdr:col>
      <xdr:colOff>1085850</xdr:colOff>
      <xdr:row>27</xdr:row>
      <xdr:rowOff>76200</xdr:rowOff>
    </xdr:to>
    <xdr:sp macro="" textlink="">
      <xdr:nvSpPr>
        <xdr:cNvPr id="1025" name="Text 1"/>
        <xdr:cNvSpPr txBox="1">
          <a:spLocks noChangeArrowheads="1"/>
        </xdr:cNvSpPr>
      </xdr:nvSpPr>
      <xdr:spPr bwMode="auto">
        <a:xfrm>
          <a:off x="266700" y="2867025"/>
          <a:ext cx="5895975" cy="16097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INSTRUCTIONS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Enter the name of the ellipsoid associated with the geographic coordinates in C12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Enter the semi major axis (metres) and inverse flattening of the associated ellipsoid in D13:D14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 Enter the latitude in D7:F7 (south latitudes are negative)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 Enter the longitude in D8:D7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5. Enter the ellipsoidal height (metres) in D9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6. The Earth-centred Cartesian coordinates (metres) are in L7:L9</a:t>
          </a:r>
        </a:p>
        <a:p>
          <a:pPr algn="l" rtl="0">
            <a:defRPr sz="1000"/>
          </a:pPr>
          <a:endParaRPr lang="en-A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see the intermediate calculations, use Excel's outlining tool to show the hidden rows.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123825</xdr:rowOff>
    </xdr:from>
    <xdr:to>
      <xdr:col>9</xdr:col>
      <xdr:colOff>590550</xdr:colOff>
      <xdr:row>44</xdr:row>
      <xdr:rowOff>47625</xdr:rowOff>
    </xdr:to>
    <xdr:sp macro="" textlink="">
      <xdr:nvSpPr>
        <xdr:cNvPr id="2068" name="Text 20"/>
        <xdr:cNvSpPr txBox="1">
          <a:spLocks noChangeArrowheads="1"/>
        </xdr:cNvSpPr>
      </xdr:nvSpPr>
      <xdr:spPr bwMode="auto">
        <a:xfrm>
          <a:off x="142875" y="2819400"/>
          <a:ext cx="6448425" cy="19050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rtl="0"/>
          <a:r>
            <a:rPr lang="en-AU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INSTRUCTIONS</a:t>
          </a:r>
          <a:endParaRPr lang="en-AU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1. Enter the name of the starting coordinate system in C5 (documentation only)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2. Enter the starting coordinates in D6:D8 (by default they will be tajken from the output of the Geodetic to Cartesian sheet.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3. Enter the name of the resulting coordinate system in C5 (documentation only)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4. Enter the 7 transformation parameters in G6:G12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5. Note the transformed position from K6:K8</a:t>
          </a:r>
        </a:p>
        <a:p>
          <a:pPr algn="l" rtl="0">
            <a:defRPr sz="1000"/>
          </a:pPr>
          <a:endParaRPr lang="en-AU" sz="1000" b="0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AU" sz="1000" b="0" i="0" u="sng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WARNING:</a:t>
          </a: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Be careful of the sign convention for rotations. See GDA2020 Technical Manual for more information.</a:t>
          </a:r>
        </a:p>
        <a:p>
          <a:pPr algn="l" rtl="0">
            <a:defRPr sz="1000"/>
          </a:pPr>
          <a:endParaRPr lang="en-A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A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A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17</xdr:row>
      <xdr:rowOff>161925</xdr:rowOff>
    </xdr:from>
    <xdr:to>
      <xdr:col>9</xdr:col>
      <xdr:colOff>200025</xdr:colOff>
      <xdr:row>34</xdr:row>
      <xdr:rowOff>95250</xdr:rowOff>
    </xdr:to>
    <xdr:sp macro="" textlink="">
      <xdr:nvSpPr>
        <xdr:cNvPr id="3073" name="Text 1"/>
        <xdr:cNvSpPr txBox="1">
          <a:spLocks noChangeArrowheads="1"/>
        </xdr:cNvSpPr>
      </xdr:nvSpPr>
      <xdr:spPr bwMode="auto">
        <a:xfrm>
          <a:off x="180975" y="2714625"/>
          <a:ext cx="5867400" cy="13906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rtl="0"/>
          <a:r>
            <a:rPr lang="en-AU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INSTRUCTIONS</a:t>
          </a:r>
          <a:endParaRPr lang="en-AU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1. Enter the name of the reference ellipsoid in C11 (documentation only)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2. Enter the semi major axis (metres) and inverse flattening of the reference ellipsoid in D12 &amp; D13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3. Enter the XYZ coordinates in D6:D8 (by default they are taklen from the  transformation sheet)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4. Read the resulting latitude, longitude and ellipsoidal height from G6:I8</a:t>
          </a:r>
        </a:p>
        <a:p>
          <a:pPr algn="l" rtl="0">
            <a:defRPr sz="1000"/>
          </a:pPr>
          <a:endParaRPr lang="en-A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see the intermediate calculations, use Excel's outlining tool to show the hidden rows.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1"/>
  <sheetViews>
    <sheetView showGridLines="0" showOutlineSymbols="0" zoomScaleNormal="100" workbookViewId="0">
      <selection activeCell="T10" sqref="T10"/>
    </sheetView>
  </sheetViews>
  <sheetFormatPr defaultRowHeight="14.25" outlineLevelRow="1" outlineLevelCol="1" x14ac:dyDescent="0.2"/>
  <cols>
    <col min="1" max="1" width="4.28515625" style="3" customWidth="1"/>
    <col min="2" max="2" width="4.7109375" style="3" customWidth="1"/>
    <col min="3" max="3" width="23.140625" style="3" customWidth="1"/>
    <col min="4" max="4" width="15.42578125" style="3" bestFit="1" customWidth="1"/>
    <col min="5" max="5" width="6" style="3" customWidth="1"/>
    <col min="6" max="6" width="10.5703125" style="3" customWidth="1"/>
    <col min="7" max="7" width="11.140625" style="3" hidden="1" customWidth="1" outlineLevel="1"/>
    <col min="8" max="9" width="9.140625" style="3" hidden="1" customWidth="1" outlineLevel="1"/>
    <col min="10" max="10" width="9.140625" style="3" collapsed="1"/>
    <col min="11" max="11" width="6.28515625" style="3" customWidth="1"/>
    <col min="12" max="12" width="19" style="3" customWidth="1"/>
    <col min="13" max="13" width="9.140625" style="3"/>
    <col min="14" max="14" width="3.5703125" style="3" customWidth="1"/>
    <col min="15" max="16384" width="9.140625" style="3"/>
  </cols>
  <sheetData>
    <row r="1" spans="2:14" ht="15" thickBot="1" x14ac:dyDescent="0.25"/>
    <row r="2" spans="2:14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2:14" ht="15.75" x14ac:dyDescent="0.25">
      <c r="B3" s="7"/>
      <c r="C3" s="27" t="s">
        <v>62</v>
      </c>
      <c r="D3" s="28"/>
      <c r="E3" s="28"/>
      <c r="F3" s="28"/>
      <c r="G3" s="28"/>
      <c r="H3" s="28"/>
      <c r="I3" s="28"/>
      <c r="J3" s="28"/>
      <c r="K3" s="28"/>
      <c r="L3" s="28"/>
      <c r="M3" s="9"/>
      <c r="N3" s="10"/>
    </row>
    <row r="4" spans="2:14" x14ac:dyDescent="0.2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x14ac:dyDescent="0.2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2:14" x14ac:dyDescent="0.2">
      <c r="B6" s="7"/>
      <c r="C6" s="9"/>
      <c r="D6" s="11" t="s">
        <v>0</v>
      </c>
      <c r="E6" s="11" t="s">
        <v>1</v>
      </c>
      <c r="F6" s="11" t="s">
        <v>2</v>
      </c>
      <c r="G6" s="9" t="s">
        <v>3</v>
      </c>
      <c r="H6" s="9" t="s">
        <v>4</v>
      </c>
      <c r="I6" s="9" t="s">
        <v>5</v>
      </c>
      <c r="J6" s="9"/>
      <c r="K6" s="9"/>
      <c r="L6" s="9"/>
      <c r="M6" s="9"/>
      <c r="N6" s="10"/>
    </row>
    <row r="7" spans="2:14" x14ac:dyDescent="0.2">
      <c r="B7" s="7"/>
      <c r="C7" s="11" t="s">
        <v>46</v>
      </c>
      <c r="D7" s="12">
        <v>-23</v>
      </c>
      <c r="E7" s="13">
        <v>40</v>
      </c>
      <c r="F7" s="14">
        <v>12.446018759999999</v>
      </c>
      <c r="G7" s="9">
        <f>ABS(D7)+ABS(E7/60)+ABS(F7/3600)</f>
        <v>23.670123894100001</v>
      </c>
      <c r="H7" s="9">
        <f>IF(D7&lt;0,-G7,IF(E7&lt;0,-G7,IF(F7&lt;0,-G7,G7)))</f>
        <v>-23.670123894100001</v>
      </c>
      <c r="I7" s="9">
        <f>(H7/180)*PI()</f>
        <v>-0.41312159630702661</v>
      </c>
      <c r="J7" s="9"/>
      <c r="K7" s="11" t="s">
        <v>43</v>
      </c>
      <c r="L7" s="65">
        <f>(D17+D9)*COS(I7)*COS(I8)</f>
        <v>-4052051.7642879654</v>
      </c>
      <c r="M7" s="9"/>
      <c r="N7" s="10"/>
    </row>
    <row r="8" spans="2:14" x14ac:dyDescent="0.2">
      <c r="B8" s="7"/>
      <c r="C8" s="11" t="s">
        <v>47</v>
      </c>
      <c r="D8" s="12">
        <v>133</v>
      </c>
      <c r="E8" s="13">
        <v>53</v>
      </c>
      <c r="F8" s="14">
        <v>7.8478440000000003</v>
      </c>
      <c r="G8" s="9">
        <f>ABS(D8)+ABS(E8/60)+ABS(F8/3600)</f>
        <v>133.88551329000001</v>
      </c>
      <c r="H8" s="9">
        <f>IF(D8&lt;0,-G8,IF(E8&lt;0,-G8,IF(F8&lt;0,-G8,G8)))</f>
        <v>133.88551329000001</v>
      </c>
      <c r="I8" s="9">
        <f>(H8/180)*PI()</f>
        <v>2.3367430276331258</v>
      </c>
      <c r="J8" s="9"/>
      <c r="K8" s="11" t="s">
        <v>44</v>
      </c>
      <c r="L8" s="65">
        <f>(D17+D9)*COS(I7)*SIN(I8)</f>
        <v>4212836.2017274294</v>
      </c>
      <c r="M8" s="9"/>
      <c r="N8" s="10"/>
    </row>
    <row r="9" spans="2:14" x14ac:dyDescent="0.2">
      <c r="B9" s="7"/>
      <c r="C9" s="11" t="s">
        <v>48</v>
      </c>
      <c r="D9" s="15">
        <v>603.34659999999997</v>
      </c>
      <c r="E9" s="9"/>
      <c r="F9" s="9"/>
      <c r="G9" s="9"/>
      <c r="H9" s="9"/>
      <c r="I9" s="9"/>
      <c r="J9" s="9"/>
      <c r="K9" s="11" t="s">
        <v>45</v>
      </c>
      <c r="L9" s="65">
        <f>((1-D16)*D17+D9)*SIN(I7)</f>
        <v>-2545106.0245097782</v>
      </c>
      <c r="M9" s="9"/>
      <c r="N9" s="10"/>
    </row>
    <row r="10" spans="2:14" x14ac:dyDescent="0.2"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2:14" ht="15" x14ac:dyDescent="0.25">
      <c r="B11" s="7"/>
      <c r="C11" s="8" t="s">
        <v>9</v>
      </c>
      <c r="D11" s="9"/>
      <c r="E11" s="9"/>
      <c r="F11" s="9"/>
      <c r="G11" s="9"/>
      <c r="H11" s="9"/>
      <c r="I11" s="9"/>
      <c r="J11" s="9"/>
      <c r="K11" s="9"/>
      <c r="L11" s="16"/>
      <c r="M11" s="9"/>
      <c r="N11" s="10"/>
    </row>
    <row r="12" spans="2:14" x14ac:dyDescent="0.2">
      <c r="B12" s="7"/>
      <c r="C12" s="17" t="s">
        <v>32</v>
      </c>
      <c r="D12" s="9"/>
      <c r="E12" s="9"/>
      <c r="F12" s="9"/>
      <c r="G12" s="9"/>
      <c r="H12" s="9"/>
      <c r="I12" s="9"/>
      <c r="J12" s="9"/>
      <c r="K12" s="9"/>
      <c r="L12" s="16"/>
      <c r="M12" s="9"/>
      <c r="N12" s="10"/>
    </row>
    <row r="13" spans="2:14" x14ac:dyDescent="0.2">
      <c r="B13" s="7"/>
      <c r="C13" s="9" t="s">
        <v>10</v>
      </c>
      <c r="D13" s="18">
        <v>6378137</v>
      </c>
      <c r="E13" s="9"/>
      <c r="F13" s="9"/>
      <c r="G13" s="9"/>
      <c r="H13" s="9"/>
      <c r="I13" s="9"/>
      <c r="J13" s="9"/>
      <c r="K13" s="9"/>
      <c r="L13" s="16"/>
      <c r="M13" s="9"/>
      <c r="N13" s="10"/>
    </row>
    <row r="14" spans="2:14" ht="15" thickBot="1" x14ac:dyDescent="0.25">
      <c r="B14" s="19"/>
      <c r="C14" s="20" t="s">
        <v>11</v>
      </c>
      <c r="D14" s="61">
        <v>298.25722210100002</v>
      </c>
      <c r="E14" s="20"/>
      <c r="F14" s="20"/>
      <c r="G14" s="20"/>
      <c r="H14" s="20"/>
      <c r="I14" s="20"/>
      <c r="J14" s="20"/>
      <c r="K14" s="20"/>
      <c r="L14" s="20"/>
      <c r="M14" s="20"/>
      <c r="N14" s="21"/>
    </row>
    <row r="15" spans="2:14" hidden="1" outlineLevel="1" x14ac:dyDescent="0.2">
      <c r="B15" s="9"/>
      <c r="C15" s="9" t="s">
        <v>12</v>
      </c>
      <c r="D15" s="9">
        <f>1/D14</f>
        <v>3.3528106811823188E-3</v>
      </c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2:14" ht="16.5" hidden="1" outlineLevel="1" x14ac:dyDescent="0.2">
      <c r="B16" s="9"/>
      <c r="C16" s="9" t="s">
        <v>41</v>
      </c>
      <c r="D16" s="9">
        <f>2*D15-D15*D15</f>
        <v>6.6943800229007869E-3</v>
      </c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ht="15" hidden="1" outlineLevel="1" x14ac:dyDescent="0.25">
      <c r="B17" s="9"/>
      <c r="C17" s="22" t="s">
        <v>13</v>
      </c>
      <c r="D17" s="9">
        <f>D13/SQRT(1-D16*SIN(I7)*SIN(I7))</f>
        <v>6381580.7577764615</v>
      </c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collapsed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ht="15" x14ac:dyDescent="0.25">
      <c r="M19" s="25" t="s">
        <v>42</v>
      </c>
    </row>
    <row r="20" spans="2:14" x14ac:dyDescent="0.2">
      <c r="M20" s="23" t="s">
        <v>14</v>
      </c>
    </row>
    <row r="21" spans="2:14" x14ac:dyDescent="0.2">
      <c r="M21" s="24" t="s">
        <v>15</v>
      </c>
    </row>
  </sheetData>
  <printOptions gridLinesSet="0"/>
  <pageMargins left="0.75" right="0.75" top="1" bottom="1" header="0.5" footer="0.5"/>
  <pageSetup paperSize="9" orientation="landscape" horizontalDpi="0" verticalDpi="0" r:id="rId1"/>
  <headerFooter alignWithMargins="0">
    <oddHeader>&amp;CGeodetic (Lat, Long, Ellip Ht.) to Cartesian (XYZ)</oddHeader>
    <oddFooter>&amp;Chttp://www.anzlic.org.au/icsm/gdatm.htm&amp;R&amp;D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showGridLines="0" showOutlineSymbols="0" zoomScaleNormal="100" workbookViewId="0">
      <selection activeCell="E52" sqref="E52"/>
    </sheetView>
  </sheetViews>
  <sheetFormatPr defaultRowHeight="12.75" outlineLevelRow="1" x14ac:dyDescent="0.2"/>
  <cols>
    <col min="1" max="1" width="2.140625" customWidth="1"/>
    <col min="2" max="2" width="2" customWidth="1"/>
    <col min="3" max="3" width="8.42578125" customWidth="1"/>
    <col min="4" max="4" width="16.140625" bestFit="1" customWidth="1"/>
    <col min="5" max="5" width="10" customWidth="1"/>
    <col min="6" max="6" width="12.7109375" customWidth="1"/>
    <col min="7" max="7" width="15.85546875" bestFit="1" customWidth="1"/>
    <col min="8" max="8" width="8.42578125" customWidth="1"/>
    <col min="9" max="10" width="14.28515625" customWidth="1"/>
    <col min="11" max="11" width="16.140625" bestFit="1" customWidth="1"/>
    <col min="12" max="12" width="2.140625" customWidth="1"/>
    <col min="13" max="13" width="13.140625" customWidth="1"/>
    <col min="14" max="14" width="12.140625" customWidth="1"/>
    <col min="15" max="15" width="7" customWidth="1"/>
    <col min="16" max="16" width="14.85546875" customWidth="1"/>
  </cols>
  <sheetData>
    <row r="1" spans="2:18" ht="15.75" customHeight="1" thickBot="1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8" ht="9.75" customHeight="1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6"/>
      <c r="M2" s="3"/>
    </row>
    <row r="3" spans="2:18" ht="15.75" x14ac:dyDescent="0.25">
      <c r="B3" s="7"/>
      <c r="C3" s="27" t="s">
        <v>53</v>
      </c>
      <c r="D3" s="59"/>
      <c r="E3" s="59"/>
      <c r="F3" s="9"/>
      <c r="G3" s="9"/>
      <c r="H3" s="9"/>
      <c r="I3" s="9"/>
      <c r="J3" s="9"/>
      <c r="K3" s="9"/>
      <c r="L3" s="10"/>
      <c r="M3" s="3"/>
    </row>
    <row r="4" spans="2:18" ht="14.25" x14ac:dyDescent="0.2">
      <c r="B4" s="7"/>
      <c r="C4" s="9"/>
      <c r="D4" s="9"/>
      <c r="E4" s="9"/>
      <c r="F4" s="9"/>
      <c r="G4" s="9"/>
      <c r="H4" s="9"/>
      <c r="I4" s="9"/>
      <c r="J4" s="9"/>
      <c r="K4" s="9"/>
      <c r="L4" s="10"/>
      <c r="M4" s="3"/>
    </row>
    <row r="5" spans="2:18" ht="15" x14ac:dyDescent="0.25">
      <c r="B5" s="7"/>
      <c r="C5" s="60" t="s">
        <v>56</v>
      </c>
      <c r="D5" s="23" t="s">
        <v>16</v>
      </c>
      <c r="E5" s="9"/>
      <c r="F5" s="30"/>
      <c r="G5" s="30" t="s">
        <v>54</v>
      </c>
      <c r="H5" s="31"/>
      <c r="I5" s="31"/>
      <c r="J5" s="60" t="s">
        <v>55</v>
      </c>
      <c r="K5" s="32" t="s">
        <v>49</v>
      </c>
      <c r="L5" s="10"/>
      <c r="M5" s="3"/>
      <c r="O5" s="1"/>
      <c r="P5" s="1"/>
    </row>
    <row r="6" spans="2:18" ht="18.75" x14ac:dyDescent="0.35">
      <c r="B6" s="7"/>
      <c r="C6" s="11" t="s">
        <v>6</v>
      </c>
      <c r="D6" s="66">
        <f>'Geographic to Cartesian'!L7</f>
        <v>-4052051.7642879654</v>
      </c>
      <c r="E6" s="31"/>
      <c r="F6" s="11" t="s">
        <v>57</v>
      </c>
      <c r="G6" s="62">
        <f>61.55/1000</f>
        <v>6.1550000000000001E-2</v>
      </c>
      <c r="H6" s="33" t="s">
        <v>17</v>
      </c>
      <c r="I6" s="9"/>
      <c r="J6" s="11" t="s">
        <v>18</v>
      </c>
      <c r="K6" s="65">
        <f>E31</f>
        <v>-4052052.7379204403</v>
      </c>
      <c r="L6" s="10"/>
      <c r="M6" s="3"/>
      <c r="O6" s="1"/>
      <c r="P6" s="1"/>
      <c r="Q6" s="1"/>
      <c r="R6" s="1"/>
    </row>
    <row r="7" spans="2:18" ht="18.75" x14ac:dyDescent="0.35">
      <c r="B7" s="7"/>
      <c r="C7" s="11" t="s">
        <v>7</v>
      </c>
      <c r="D7" s="66">
        <f>'Geographic to Cartesian'!L8</f>
        <v>4212836.2017274294</v>
      </c>
      <c r="E7" s="34"/>
      <c r="F7" s="11" t="s">
        <v>58</v>
      </c>
      <c r="G7" s="62">
        <f>-10.87/1000</f>
        <v>-1.0869999999999999E-2</v>
      </c>
      <c r="H7" s="33" t="s">
        <v>17</v>
      </c>
      <c r="I7" s="9"/>
      <c r="J7" s="11" t="s">
        <v>19</v>
      </c>
      <c r="K7" s="65">
        <f>E32</f>
        <v>4212835.989775693</v>
      </c>
      <c r="L7" s="10"/>
      <c r="M7" s="3"/>
      <c r="O7" s="2"/>
      <c r="P7" s="1"/>
      <c r="Q7" s="1"/>
      <c r="R7" s="1"/>
    </row>
    <row r="8" spans="2:18" ht="18.75" x14ac:dyDescent="0.35">
      <c r="B8" s="7"/>
      <c r="C8" s="11" t="s">
        <v>8</v>
      </c>
      <c r="D8" s="66">
        <f>'Geographic to Cartesian'!L9</f>
        <v>-2545106.0245097782</v>
      </c>
      <c r="E8" s="34"/>
      <c r="F8" s="11" t="s">
        <v>59</v>
      </c>
      <c r="G8" s="62">
        <f>-40.19/1000</f>
        <v>-4.0189999999999997E-2</v>
      </c>
      <c r="H8" s="33" t="s">
        <v>17</v>
      </c>
      <c r="I8" s="9"/>
      <c r="J8" s="11" t="s">
        <v>20</v>
      </c>
      <c r="K8" s="65">
        <f>E33</f>
        <v>-2545104.5898326943</v>
      </c>
      <c r="L8" s="10"/>
      <c r="M8" s="3"/>
      <c r="O8" s="2"/>
      <c r="P8" s="1"/>
      <c r="Q8" s="1"/>
      <c r="R8" s="1"/>
    </row>
    <row r="9" spans="2:18" ht="14.25" x14ac:dyDescent="0.2">
      <c r="B9" s="7"/>
      <c r="C9" s="9"/>
      <c r="D9" s="9"/>
      <c r="E9" s="34"/>
      <c r="F9" s="11" t="s">
        <v>22</v>
      </c>
      <c r="G9" s="63">
        <f>-9.994/1000</f>
        <v>-9.9939999999999994E-3</v>
      </c>
      <c r="H9" s="33" t="s">
        <v>23</v>
      </c>
      <c r="I9" s="9"/>
      <c r="J9" s="9"/>
      <c r="K9" s="29"/>
      <c r="L9" s="10"/>
      <c r="M9" s="3"/>
      <c r="O9" s="2"/>
      <c r="P9" s="1"/>
      <c r="Q9" s="1"/>
      <c r="R9" s="1"/>
    </row>
    <row r="10" spans="2:18" ht="18.75" x14ac:dyDescent="0.35">
      <c r="B10" s="7"/>
      <c r="C10" s="9"/>
      <c r="D10" s="9"/>
      <c r="E10" s="34"/>
      <c r="F10" s="11" t="s">
        <v>50</v>
      </c>
      <c r="G10" s="64">
        <f>-39.4924/1000</f>
        <v>-3.9492400000000004E-2</v>
      </c>
      <c r="H10" s="33" t="s">
        <v>21</v>
      </c>
      <c r="I10" s="35"/>
      <c r="J10" s="29"/>
      <c r="K10" s="29"/>
      <c r="L10" s="10"/>
      <c r="M10" s="3"/>
      <c r="O10" s="2"/>
      <c r="P10" s="1"/>
      <c r="Q10" s="1"/>
      <c r="R10" s="1"/>
    </row>
    <row r="11" spans="2:18" ht="18.75" x14ac:dyDescent="0.35">
      <c r="B11" s="7"/>
      <c r="C11" s="9"/>
      <c r="D11" s="9"/>
      <c r="E11" s="34"/>
      <c r="F11" s="11" t="s">
        <v>51</v>
      </c>
      <c r="G11" s="64">
        <f>-32.7221/1000</f>
        <v>-3.2722099999999997E-2</v>
      </c>
      <c r="H11" s="33" t="s">
        <v>21</v>
      </c>
      <c r="I11" s="35"/>
      <c r="J11" s="29"/>
      <c r="K11" s="29"/>
      <c r="L11" s="10"/>
      <c r="M11" s="3"/>
      <c r="O11" s="2"/>
      <c r="P11" s="1"/>
      <c r="Q11" s="1"/>
      <c r="R11" s="1"/>
    </row>
    <row r="12" spans="2:18" ht="18.75" x14ac:dyDescent="0.35">
      <c r="B12" s="7"/>
      <c r="F12" s="11" t="s">
        <v>52</v>
      </c>
      <c r="G12" s="64">
        <f>-32.8979/1000</f>
        <v>-3.2897900000000001E-2</v>
      </c>
      <c r="H12" s="33" t="s">
        <v>21</v>
      </c>
      <c r="I12" s="35"/>
      <c r="J12" s="29"/>
      <c r="K12" s="29"/>
      <c r="L12" s="10"/>
      <c r="M12" s="3"/>
      <c r="O12" s="2"/>
      <c r="P12" s="1"/>
      <c r="Q12" s="1"/>
      <c r="R12" s="1"/>
    </row>
    <row r="13" spans="2:18" ht="15" thickBot="1" x14ac:dyDescent="0.25">
      <c r="B13" s="19"/>
      <c r="C13" s="20"/>
      <c r="D13" s="20"/>
      <c r="E13" s="36"/>
      <c r="F13" s="37"/>
      <c r="G13" s="37"/>
      <c r="H13" s="38"/>
      <c r="I13" s="39"/>
      <c r="J13" s="37"/>
      <c r="K13" s="37"/>
      <c r="L13" s="21"/>
      <c r="M13" s="3"/>
      <c r="O13" s="2"/>
      <c r="P13" s="1"/>
      <c r="Q13" s="1"/>
      <c r="R13" s="1"/>
    </row>
    <row r="14" spans="2:18" ht="14.25" hidden="1" outlineLevel="1" x14ac:dyDescent="0.2">
      <c r="B14" s="3"/>
      <c r="C14" s="3"/>
      <c r="D14" s="3"/>
      <c r="E14" s="40"/>
      <c r="F14" s="41" t="s">
        <v>24</v>
      </c>
      <c r="G14" s="42">
        <f>((G10/3600)/180)*PI()</f>
        <v>-1.914645581985024E-7</v>
      </c>
      <c r="H14" s="41" t="s">
        <v>25</v>
      </c>
      <c r="I14" s="43"/>
      <c r="J14" s="44"/>
      <c r="K14" s="29"/>
      <c r="L14" s="3"/>
      <c r="M14" s="3"/>
      <c r="O14" s="2"/>
      <c r="P14" s="1"/>
      <c r="Q14" s="1"/>
      <c r="R14" s="1"/>
    </row>
    <row r="15" spans="2:18" ht="14.25" hidden="1" outlineLevel="1" x14ac:dyDescent="0.2">
      <c r="B15" s="3"/>
      <c r="C15" s="3"/>
      <c r="D15" s="3"/>
      <c r="E15" s="40"/>
      <c r="F15" s="41" t="s">
        <v>26</v>
      </c>
      <c r="G15" s="42">
        <f>((G11/3600)/180)*PI()</f>
        <v>-1.5864121754634347E-7</v>
      </c>
      <c r="H15" s="41" t="s">
        <v>25</v>
      </c>
      <c r="I15" s="43"/>
      <c r="J15" s="44"/>
      <c r="K15" s="29"/>
      <c r="L15" s="3"/>
      <c r="M15" s="3"/>
      <c r="O15" s="2"/>
      <c r="P15" s="1"/>
      <c r="Q15" s="1"/>
      <c r="R15" s="1"/>
    </row>
    <row r="16" spans="2:18" ht="14.25" hidden="1" outlineLevel="1" x14ac:dyDescent="0.2">
      <c r="B16" s="3"/>
      <c r="C16" s="3"/>
      <c r="D16" s="3"/>
      <c r="E16" s="40"/>
      <c r="F16" s="41" t="s">
        <v>27</v>
      </c>
      <c r="G16" s="42">
        <f>((G12/3600)/180)*PI()</f>
        <v>-1.5949351999773405E-7</v>
      </c>
      <c r="H16" s="41" t="s">
        <v>25</v>
      </c>
      <c r="I16" s="43"/>
      <c r="J16" s="44"/>
      <c r="K16" s="29"/>
      <c r="L16" s="3"/>
      <c r="M16" s="3"/>
      <c r="O16" s="2"/>
      <c r="P16" s="1"/>
      <c r="Q16" s="1"/>
      <c r="R16" s="1"/>
    </row>
    <row r="17" spans="2:18" ht="14.25" hidden="1" outlineLevel="1" x14ac:dyDescent="0.2">
      <c r="B17" s="3"/>
      <c r="C17" s="3"/>
      <c r="D17" s="3"/>
      <c r="E17" s="40"/>
      <c r="F17" s="41" t="s">
        <v>28</v>
      </c>
      <c r="G17" s="42">
        <f>1+(G9/1000000)</f>
        <v>0.99999999000600004</v>
      </c>
      <c r="H17" s="41"/>
      <c r="I17" s="43"/>
      <c r="J17" s="44"/>
      <c r="K17" s="29"/>
      <c r="L17" s="3"/>
      <c r="M17" s="3"/>
      <c r="O17" s="2"/>
      <c r="P17" s="1"/>
      <c r="Q17" s="1"/>
      <c r="R17" s="1"/>
    </row>
    <row r="18" spans="2:18" ht="14.25" hidden="1" outlineLevel="1" x14ac:dyDescent="0.2">
      <c r="B18" s="3"/>
      <c r="C18" s="3"/>
      <c r="D18" s="3"/>
      <c r="E18" s="40"/>
      <c r="F18" s="29"/>
      <c r="G18" s="29"/>
      <c r="H18" s="41"/>
      <c r="I18" s="43"/>
      <c r="J18" s="44"/>
      <c r="K18" s="29"/>
      <c r="L18" s="3"/>
      <c r="M18" s="3"/>
      <c r="O18" s="2"/>
      <c r="P18" s="1"/>
      <c r="Q18" s="1"/>
      <c r="R18" s="1"/>
    </row>
    <row r="19" spans="2:18" ht="14.25" hidden="1" outlineLevel="1" x14ac:dyDescent="0.2">
      <c r="B19" s="3"/>
      <c r="C19" s="45" t="s">
        <v>18</v>
      </c>
      <c r="D19" s="3"/>
      <c r="E19" s="46">
        <f>G6</f>
        <v>6.1550000000000001E-2</v>
      </c>
      <c r="F19" s="44" t="s">
        <v>29</v>
      </c>
      <c r="G19" s="47">
        <f>G17</f>
        <v>0.99999999000600004</v>
      </c>
      <c r="H19" s="48"/>
      <c r="I19" s="49">
        <f>COS(G15)*COS(G16)</f>
        <v>0.99999999999997469</v>
      </c>
      <c r="J19" s="50">
        <f>COS(G15)*SIN(G16)</f>
        <v>-1.5949351999773135E-7</v>
      </c>
      <c r="K19" s="51">
        <f>-SIN(G15)</f>
        <v>1.5864121754634281E-7</v>
      </c>
      <c r="L19" s="3"/>
      <c r="M19" s="52">
        <f>D6</f>
        <v>-4052051.7642879654</v>
      </c>
    </row>
    <row r="20" spans="2:18" ht="14.25" hidden="1" outlineLevel="1" x14ac:dyDescent="0.2">
      <c r="B20" s="3"/>
      <c r="C20" s="45" t="s">
        <v>19</v>
      </c>
      <c r="D20" s="44" t="s">
        <v>30</v>
      </c>
      <c r="E20" s="46">
        <f>G7</f>
        <v>-1.0869999999999999E-2</v>
      </c>
      <c r="F20" s="3"/>
      <c r="G20" s="3"/>
      <c r="H20" s="3"/>
      <c r="I20" s="53">
        <f>SIN(G14)*SIN(G15)*COS(G16)-COS(G14)*SIN(G16)</f>
        <v>1.5949355037190109E-7</v>
      </c>
      <c r="J20" s="54">
        <f>SIN(G14)*SIN(G15)*SIN(G16)+COS(G14)*COS(G16)</f>
        <v>0.99999999999996891</v>
      </c>
      <c r="K20" s="51">
        <f>SIN(G14)*COS(G15)</f>
        <v>-1.9146455819849882E-7</v>
      </c>
      <c r="L20" s="3"/>
      <c r="M20" s="52">
        <f>D7</f>
        <v>4212836.2017274294</v>
      </c>
    </row>
    <row r="21" spans="2:18" ht="14.25" hidden="1" outlineLevel="1" x14ac:dyDescent="0.2">
      <c r="B21" s="3"/>
      <c r="C21" s="45" t="s">
        <v>20</v>
      </c>
      <c r="D21" s="44"/>
      <c r="E21" s="46">
        <f>G8</f>
        <v>-4.0189999999999997E-2</v>
      </c>
      <c r="F21" s="3"/>
      <c r="G21" s="3"/>
      <c r="H21" s="3"/>
      <c r="I21" s="53">
        <f>COS(G14)*SIN(G15)*COS(G16)+SIN(G14)*SIN(G16)</f>
        <v>-1.586411870089815E-7</v>
      </c>
      <c r="J21" s="50">
        <f>COS(G14)*SIN(G15)*SIN(G16)-SIN(G14)*COS(G16)</f>
        <v>1.9146458350074499E-7</v>
      </c>
      <c r="K21" s="55">
        <f>COS(G14)*COS(G15)</f>
        <v>0.99999999999996914</v>
      </c>
      <c r="L21" s="3"/>
      <c r="M21" s="52">
        <f>D8</f>
        <v>-2545106.0245097782</v>
      </c>
    </row>
    <row r="22" spans="2:18" ht="14.25" hidden="1" outlineLevel="1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2:18" ht="14.25" hidden="1" outlineLevel="1" x14ac:dyDescent="0.2">
      <c r="B23" s="3"/>
      <c r="C23" s="45" t="s">
        <v>18</v>
      </c>
      <c r="D23" s="3"/>
      <c r="E23" s="46">
        <f>G6</f>
        <v>6.1550000000000001E-2</v>
      </c>
      <c r="F23" s="3"/>
      <c r="G23" s="50">
        <f>G17</f>
        <v>0.99999999000600004</v>
      </c>
      <c r="H23" s="3"/>
      <c r="I23" s="52">
        <f>(I19*M19+J19*M20+K19*M21)</f>
        <v>-4052052.8399666566</v>
      </c>
      <c r="J23" s="3"/>
      <c r="K23" s="3"/>
      <c r="L23" s="3"/>
      <c r="M23" s="3"/>
    </row>
    <row r="24" spans="2:18" ht="14.25" hidden="1" outlineLevel="1" x14ac:dyDescent="0.2">
      <c r="B24" s="3"/>
      <c r="C24" s="45" t="s">
        <v>19</v>
      </c>
      <c r="D24" s="44" t="s">
        <v>30</v>
      </c>
      <c r="E24" s="46">
        <f>G7</f>
        <v>-1.0869999999999999E-2</v>
      </c>
      <c r="F24" s="44" t="s">
        <v>29</v>
      </c>
      <c r="G24" s="3"/>
      <c r="H24" s="3"/>
      <c r="I24" s="52">
        <f>(I20*M19+J20*M20+K20*M21)</f>
        <v>4212836.0427487763</v>
      </c>
      <c r="J24" s="3"/>
      <c r="K24" s="3"/>
      <c r="L24" s="3"/>
      <c r="M24" s="34"/>
    </row>
    <row r="25" spans="2:18" ht="14.25" hidden="1" outlineLevel="1" x14ac:dyDescent="0.2">
      <c r="B25" s="3"/>
      <c r="C25" s="45" t="s">
        <v>20</v>
      </c>
      <c r="D25" s="44"/>
      <c r="E25" s="46">
        <f>G8</f>
        <v>-4.0189999999999997E-2</v>
      </c>
      <c r="F25" s="9"/>
      <c r="G25" s="9"/>
      <c r="H25" s="9"/>
      <c r="I25" s="52">
        <f>(I21*M19+J21*M20+K21*M21)</f>
        <v>-2545104.5750784692</v>
      </c>
      <c r="J25" s="3"/>
      <c r="K25" s="3"/>
      <c r="L25" s="3"/>
      <c r="M25" s="34"/>
    </row>
    <row r="26" spans="2:18" ht="14.25" hidden="1" outlineLevel="1" x14ac:dyDescent="0.2">
      <c r="B26" s="3"/>
      <c r="C26" s="29"/>
      <c r="D26" s="44"/>
      <c r="E26" s="56"/>
      <c r="F26" s="9"/>
      <c r="G26" s="9"/>
      <c r="H26" s="9"/>
      <c r="I26" s="34"/>
      <c r="J26" s="3"/>
      <c r="K26" s="3"/>
      <c r="L26" s="3"/>
      <c r="M26" s="34"/>
    </row>
    <row r="27" spans="2:18" ht="14.25" hidden="1" outlineLevel="1" x14ac:dyDescent="0.2">
      <c r="B27" s="3"/>
      <c r="C27" s="45" t="s">
        <v>18</v>
      </c>
      <c r="D27" s="3"/>
      <c r="E27" s="46">
        <f>G6</f>
        <v>6.1550000000000001E-2</v>
      </c>
      <c r="F27" s="9"/>
      <c r="G27" s="57">
        <f>G23*I23</f>
        <v>-4052052.7994704405</v>
      </c>
      <c r="H27" s="9"/>
      <c r="I27" s="34"/>
      <c r="J27" s="3"/>
      <c r="K27" s="3"/>
      <c r="L27" s="3"/>
      <c r="M27" s="34"/>
    </row>
    <row r="28" spans="2:18" ht="14.25" hidden="1" outlineLevel="1" x14ac:dyDescent="0.2">
      <c r="B28" s="3"/>
      <c r="C28" s="45" t="s">
        <v>19</v>
      </c>
      <c r="D28" s="44" t="s">
        <v>30</v>
      </c>
      <c r="E28" s="46">
        <f>G7</f>
        <v>-1.0869999999999999E-2</v>
      </c>
      <c r="F28" s="29" t="s">
        <v>29</v>
      </c>
      <c r="G28" s="57">
        <f>G23*I24</f>
        <v>4212836.0006456934</v>
      </c>
      <c r="H28" s="9"/>
      <c r="I28" s="34"/>
      <c r="J28" s="3"/>
      <c r="K28" s="3"/>
      <c r="L28" s="3"/>
      <c r="M28" s="34"/>
    </row>
    <row r="29" spans="2:18" ht="14.25" hidden="1" outlineLevel="1" x14ac:dyDescent="0.2">
      <c r="B29" s="3"/>
      <c r="C29" s="45" t="s">
        <v>20</v>
      </c>
      <c r="D29" s="44"/>
      <c r="E29" s="46">
        <f>G8</f>
        <v>-4.0189999999999997E-2</v>
      </c>
      <c r="F29" s="9"/>
      <c r="G29" s="57">
        <f>G23*I25</f>
        <v>-2545104.5496426942</v>
      </c>
      <c r="H29" s="9"/>
      <c r="I29" s="34"/>
      <c r="J29" s="3"/>
      <c r="K29" s="3"/>
      <c r="L29" s="3"/>
      <c r="M29" s="34"/>
    </row>
    <row r="30" spans="2:18" ht="14.25" hidden="1" outlineLevel="1" x14ac:dyDescent="0.2">
      <c r="B30" s="3"/>
      <c r="C30" s="29"/>
      <c r="D30" s="44"/>
      <c r="E30" s="56"/>
      <c r="F30" s="9"/>
      <c r="G30" s="9"/>
      <c r="H30" s="9"/>
      <c r="I30" s="34"/>
      <c r="J30" s="3"/>
      <c r="K30" s="3"/>
      <c r="L30" s="3"/>
      <c r="M30" s="34"/>
    </row>
    <row r="31" spans="2:18" ht="14.25" hidden="1" outlineLevel="1" x14ac:dyDescent="0.2">
      <c r="B31" s="3"/>
      <c r="C31" s="45" t="s">
        <v>18</v>
      </c>
      <c r="D31" s="44"/>
      <c r="E31" s="46">
        <f>E27+G27</f>
        <v>-4052052.7379204403</v>
      </c>
      <c r="F31" s="9"/>
      <c r="G31" s="9"/>
      <c r="H31" s="9"/>
      <c r="I31" s="34"/>
      <c r="J31" s="3"/>
      <c r="K31" s="3"/>
      <c r="L31" s="3"/>
      <c r="M31" s="34"/>
    </row>
    <row r="32" spans="2:18" ht="14.25" hidden="1" outlineLevel="1" x14ac:dyDescent="0.2">
      <c r="B32" s="3"/>
      <c r="C32" s="45" t="s">
        <v>19</v>
      </c>
      <c r="D32" s="44" t="s">
        <v>30</v>
      </c>
      <c r="E32" s="46">
        <f>E28+G28</f>
        <v>4212835.989775693</v>
      </c>
      <c r="F32" s="9"/>
      <c r="G32" s="9"/>
      <c r="H32" s="9"/>
      <c r="I32" s="34"/>
      <c r="J32" s="3"/>
      <c r="K32" s="3"/>
      <c r="L32" s="3"/>
      <c r="M32" s="34"/>
    </row>
    <row r="33" spans="2:13" ht="14.25" hidden="1" outlineLevel="1" x14ac:dyDescent="0.2">
      <c r="B33" s="3"/>
      <c r="C33" s="45" t="s">
        <v>20</v>
      </c>
      <c r="D33" s="44"/>
      <c r="E33" s="46">
        <f>E29+G29</f>
        <v>-2545104.5898326943</v>
      </c>
      <c r="F33" s="9"/>
      <c r="G33" s="9"/>
      <c r="H33" s="9"/>
      <c r="I33" s="34"/>
      <c r="J33" s="3"/>
      <c r="K33" s="3"/>
      <c r="L33" s="3"/>
      <c r="M33" s="34"/>
    </row>
    <row r="34" spans="2:13" ht="12.75" customHeight="1" collapsed="1" x14ac:dyDescent="0.2">
      <c r="B34" s="3"/>
      <c r="C34" s="29"/>
      <c r="D34" s="44"/>
      <c r="E34" s="56"/>
      <c r="F34" s="9"/>
      <c r="G34" s="9"/>
      <c r="H34" s="9"/>
      <c r="I34" s="34"/>
      <c r="J34" s="3"/>
      <c r="K34" s="3"/>
      <c r="L34" s="3"/>
      <c r="M34" s="34"/>
    </row>
    <row r="35" spans="2:13" ht="15" x14ac:dyDescent="0.25">
      <c r="B35" s="3"/>
      <c r="C35" s="30"/>
      <c r="D35" s="31"/>
      <c r="E35" s="9"/>
      <c r="F35" s="9"/>
      <c r="G35" s="9"/>
      <c r="H35" s="9"/>
      <c r="I35" s="9"/>
      <c r="J35" s="9"/>
      <c r="K35" s="25" t="s">
        <v>42</v>
      </c>
      <c r="L35" s="9"/>
      <c r="M35" s="3"/>
    </row>
    <row r="36" spans="2:13" ht="14.25" x14ac:dyDescent="0.2">
      <c r="B36" s="3"/>
      <c r="C36" s="3"/>
      <c r="D36" s="9"/>
      <c r="E36" s="29"/>
      <c r="F36" s="29"/>
      <c r="G36" s="29"/>
      <c r="H36" s="29"/>
      <c r="I36" s="58"/>
      <c r="J36" s="58"/>
      <c r="K36" s="23" t="s">
        <v>14</v>
      </c>
      <c r="L36" s="29"/>
      <c r="M36" s="3"/>
    </row>
    <row r="37" spans="2:13" ht="14.25" x14ac:dyDescent="0.2">
      <c r="B37" s="3"/>
      <c r="C37" s="3"/>
      <c r="D37" s="29"/>
      <c r="E37" s="29"/>
      <c r="F37" s="9"/>
      <c r="G37" s="9"/>
      <c r="H37" s="58"/>
      <c r="I37" s="29"/>
      <c r="J37" s="58"/>
      <c r="K37" s="24" t="s">
        <v>15</v>
      </c>
      <c r="L37" s="29"/>
      <c r="M37" s="3"/>
    </row>
    <row r="38" spans="2:13" ht="14.25" x14ac:dyDescent="0.2">
      <c r="B38" s="3"/>
      <c r="C38" s="29"/>
      <c r="D38" s="9"/>
      <c r="E38" s="29"/>
      <c r="F38" s="9"/>
      <c r="G38" s="9"/>
      <c r="H38" s="58"/>
      <c r="I38" s="58"/>
      <c r="J38" s="29"/>
      <c r="K38" s="3"/>
      <c r="L38" s="29"/>
      <c r="M38" s="3"/>
    </row>
    <row r="39" spans="2:13" ht="14.25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ht="14.25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ht="14.25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ht="14.25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ht="14.25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ht="14.25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3" ht="14.25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</sheetData>
  <printOptions horizontalCentered="1" verticalCentered="1"/>
  <pageMargins left="0.5" right="0.5" top="0.5" bottom="0.5" header="0.5" footer="0.5"/>
  <pageSetup paperSize="9" orientation="landscape" horizontalDpi="0" verticalDpi="0" r:id="rId1"/>
  <headerFooter alignWithMargins="0">
    <oddHeader>&amp;CSimilarity Transformation</oddHeader>
    <oddFooter>&amp;Chttp://www.anzlic.org.au/icsm/gdatm.htm&amp;R&amp;D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0"/>
  <sheetViews>
    <sheetView showGridLines="0" tabSelected="1" showOutlineSymbols="0" zoomScaleNormal="100" workbookViewId="0">
      <selection activeCell="D39" sqref="D39"/>
    </sheetView>
  </sheetViews>
  <sheetFormatPr defaultRowHeight="14.25" outlineLevelRow="1" x14ac:dyDescent="0.2"/>
  <cols>
    <col min="1" max="1" width="2.85546875" style="3" customWidth="1"/>
    <col min="2" max="2" width="2.7109375" style="3" customWidth="1"/>
    <col min="3" max="3" width="21.7109375" style="3" customWidth="1"/>
    <col min="4" max="4" width="15" style="3" bestFit="1" customWidth="1"/>
    <col min="5" max="5" width="9.140625" style="3"/>
    <col min="6" max="6" width="14.140625" style="3" customWidth="1"/>
    <col min="7" max="7" width="9.140625" style="3"/>
    <col min="8" max="8" width="5" style="3" customWidth="1"/>
    <col min="9" max="9" width="11" style="3" bestFit="1" customWidth="1"/>
    <col min="10" max="10" width="9.140625" style="3"/>
    <col min="11" max="11" width="2.7109375" style="3" customWidth="1"/>
    <col min="12" max="16384" width="9.140625" style="3"/>
  </cols>
  <sheetData>
    <row r="1" spans="2:11" ht="15" thickBot="1" x14ac:dyDescent="0.25"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2:11" x14ac:dyDescent="0.2">
      <c r="B2" s="7"/>
      <c r="C2" s="9"/>
      <c r="D2" s="9"/>
      <c r="E2" s="9"/>
      <c r="F2" s="9"/>
      <c r="G2" s="9"/>
      <c r="H2" s="9"/>
      <c r="I2" s="9"/>
      <c r="J2" s="9"/>
      <c r="K2" s="10"/>
    </row>
    <row r="3" spans="2:11" ht="15.75" x14ac:dyDescent="0.25">
      <c r="B3" s="7"/>
      <c r="C3" s="27" t="s">
        <v>61</v>
      </c>
      <c r="D3" s="76"/>
      <c r="E3" s="76"/>
      <c r="F3" s="76"/>
      <c r="G3" s="76"/>
      <c r="H3" s="76"/>
      <c r="I3" s="76"/>
      <c r="J3" s="26"/>
      <c r="K3" s="10"/>
    </row>
    <row r="4" spans="2:11" ht="12.75" customHeight="1" x14ac:dyDescent="0.2">
      <c r="B4" s="7"/>
      <c r="C4" s="9"/>
      <c r="D4" s="9"/>
      <c r="E4" s="9"/>
      <c r="F4" s="9"/>
      <c r="G4" s="9"/>
      <c r="H4" s="9"/>
      <c r="I4" s="9"/>
      <c r="J4" s="9"/>
      <c r="K4" s="10"/>
    </row>
    <row r="5" spans="2:11" x14ac:dyDescent="0.2">
      <c r="B5" s="7"/>
      <c r="C5" s="9"/>
      <c r="D5" s="9"/>
      <c r="E5" s="9"/>
      <c r="F5" s="9"/>
      <c r="G5" s="41" t="s">
        <v>0</v>
      </c>
      <c r="H5" s="41" t="s">
        <v>1</v>
      </c>
      <c r="I5" s="44" t="s">
        <v>31</v>
      </c>
      <c r="J5" s="9"/>
      <c r="K5" s="10"/>
    </row>
    <row r="6" spans="2:11" x14ac:dyDescent="0.2">
      <c r="B6" s="7"/>
      <c r="C6" s="11" t="s">
        <v>43</v>
      </c>
      <c r="D6" s="67">
        <f>'7-parameter transformation'!K6</f>
        <v>-4052052.7379204403</v>
      </c>
      <c r="E6" s="9"/>
      <c r="F6" s="11" t="s">
        <v>46</v>
      </c>
      <c r="G6" s="72">
        <f>TRUNC(F23)</f>
        <v>-23</v>
      </c>
      <c r="H6" s="73">
        <f>TRUNC((F23-G6)*60)</f>
        <v>-40</v>
      </c>
      <c r="I6" s="74">
        <f>(F23-G6-(H6/60))*3600</f>
        <v>-12.396498773353093</v>
      </c>
      <c r="J6" s="68"/>
      <c r="K6" s="10"/>
    </row>
    <row r="7" spans="2:11" x14ac:dyDescent="0.2">
      <c r="B7" s="7"/>
      <c r="C7" s="11" t="s">
        <v>44</v>
      </c>
      <c r="D7" s="67">
        <f>'7-parameter transformation'!K7</f>
        <v>4212835.989775693</v>
      </c>
      <c r="E7" s="9"/>
      <c r="F7" s="11" t="s">
        <v>47</v>
      </c>
      <c r="G7" s="72">
        <f>TRUNC(F22)</f>
        <v>133</v>
      </c>
      <c r="H7" s="73">
        <f>TRUNC((F22-G7)*60)</f>
        <v>53</v>
      </c>
      <c r="I7" s="74">
        <f>(F22-G7-(H7/60))*3600</f>
        <v>7.8777908027928945</v>
      </c>
      <c r="J7" s="68"/>
      <c r="K7" s="10"/>
    </row>
    <row r="8" spans="2:11" x14ac:dyDescent="0.2">
      <c r="B8" s="7"/>
      <c r="C8" s="11" t="s">
        <v>45</v>
      </c>
      <c r="D8" s="67">
        <f>'7-parameter transformation'!K8</f>
        <v>-2545104.5898326943</v>
      </c>
      <c r="E8" s="9"/>
      <c r="F8" s="11" t="s">
        <v>48</v>
      </c>
      <c r="G8" s="71"/>
      <c r="H8" s="71"/>
      <c r="I8" s="75">
        <f>D24</f>
        <v>603.2488718861714</v>
      </c>
      <c r="J8" s="68"/>
      <c r="K8" s="10"/>
    </row>
    <row r="9" spans="2:11" x14ac:dyDescent="0.2">
      <c r="B9" s="7"/>
      <c r="C9" s="9"/>
      <c r="D9" s="9"/>
      <c r="E9" s="9"/>
      <c r="F9" s="9"/>
      <c r="G9" s="9"/>
      <c r="H9" s="9"/>
      <c r="I9" s="9"/>
      <c r="J9" s="9"/>
      <c r="K9" s="10"/>
    </row>
    <row r="10" spans="2:11" ht="15" x14ac:dyDescent="0.25">
      <c r="B10" s="7"/>
      <c r="C10" s="8" t="s">
        <v>9</v>
      </c>
      <c r="D10" s="9"/>
      <c r="E10" s="9"/>
      <c r="F10" s="9"/>
      <c r="G10" s="9"/>
      <c r="I10" s="9"/>
      <c r="J10" s="16"/>
      <c r="K10" s="10"/>
    </row>
    <row r="11" spans="2:11" x14ac:dyDescent="0.2">
      <c r="B11" s="7"/>
      <c r="C11" s="17" t="s">
        <v>60</v>
      </c>
      <c r="D11" s="9"/>
      <c r="E11" s="9"/>
      <c r="F11" s="9"/>
      <c r="G11" s="9"/>
      <c r="I11" s="9"/>
      <c r="J11" s="16"/>
      <c r="K11" s="10"/>
    </row>
    <row r="12" spans="2:11" x14ac:dyDescent="0.2">
      <c r="B12" s="7"/>
      <c r="C12" s="9" t="s">
        <v>10</v>
      </c>
      <c r="D12" s="18">
        <v>6378137</v>
      </c>
      <c r="E12" s="9"/>
      <c r="F12" s="9"/>
      <c r="G12" s="9"/>
      <c r="I12" s="9"/>
      <c r="J12" s="16"/>
      <c r="K12" s="10"/>
    </row>
    <row r="13" spans="2:11" x14ac:dyDescent="0.2">
      <c r="B13" s="7"/>
      <c r="C13" s="9" t="s">
        <v>11</v>
      </c>
      <c r="D13" s="69">
        <v>298.25722210100002</v>
      </c>
      <c r="E13" s="9"/>
      <c r="F13" s="9"/>
      <c r="G13" s="9"/>
      <c r="H13" s="9"/>
      <c r="I13" s="9"/>
      <c r="J13" s="9"/>
      <c r="K13" s="10"/>
    </row>
    <row r="14" spans="2:11" hidden="1" outlineLevel="1" x14ac:dyDescent="0.2">
      <c r="B14" s="7"/>
      <c r="C14" s="9" t="s">
        <v>12</v>
      </c>
      <c r="D14" s="9">
        <f>1/D13</f>
        <v>3.3528106811823188E-3</v>
      </c>
      <c r="E14" s="9"/>
      <c r="F14" s="9"/>
      <c r="G14" s="9"/>
      <c r="H14" s="9"/>
      <c r="I14" s="9"/>
      <c r="J14" s="9"/>
      <c r="K14" s="10"/>
    </row>
    <row r="15" spans="2:11" ht="16.5" hidden="1" outlineLevel="1" x14ac:dyDescent="0.2">
      <c r="B15" s="7"/>
      <c r="C15" s="9" t="s">
        <v>41</v>
      </c>
      <c r="D15" s="9">
        <f>2*D14-D14*D14</f>
        <v>6.6943800229007869E-3</v>
      </c>
      <c r="E15" s="9"/>
      <c r="F15" s="9"/>
      <c r="G15" s="9"/>
      <c r="H15" s="9"/>
      <c r="I15" s="9"/>
      <c r="J15" s="9"/>
      <c r="K15" s="10"/>
    </row>
    <row r="16" spans="2:11" ht="15" hidden="1" outlineLevel="1" x14ac:dyDescent="0.25">
      <c r="B16" s="7"/>
      <c r="C16" s="22" t="s">
        <v>13</v>
      </c>
      <c r="D16" s="9">
        <f>D12/SQRT(1-D15*SIN(D23)*SIN(D23))</f>
        <v>6381580.7540011657</v>
      </c>
      <c r="E16" s="9"/>
      <c r="F16" s="9"/>
      <c r="G16" s="9"/>
      <c r="H16" s="9"/>
      <c r="I16" s="9"/>
      <c r="J16" s="9"/>
      <c r="K16" s="10"/>
    </row>
    <row r="17" spans="2:12" ht="15" collapsed="1" thickBot="1" x14ac:dyDescent="0.25">
      <c r="B17" s="19"/>
      <c r="C17" s="20"/>
      <c r="D17" s="20"/>
      <c r="E17" s="20"/>
      <c r="F17" s="20"/>
      <c r="G17" s="20"/>
      <c r="H17" s="20"/>
      <c r="I17" s="20"/>
      <c r="J17" s="20"/>
      <c r="K17" s="21"/>
    </row>
    <row r="19" spans="2:12" hidden="1" outlineLevel="1" x14ac:dyDescent="0.2">
      <c r="C19" s="3" t="s">
        <v>33</v>
      </c>
      <c r="D19" s="3">
        <f>SQRT(D6*D6+D7*D7)</f>
        <v>5845264.6191287078</v>
      </c>
    </row>
    <row r="20" spans="2:12" hidden="1" outlineLevel="1" x14ac:dyDescent="0.2">
      <c r="C20" s="3" t="s">
        <v>34</v>
      </c>
      <c r="D20" s="3">
        <f>SQRT(D19*D19+D8*D8)</f>
        <v>6375317.7050893176</v>
      </c>
    </row>
    <row r="21" spans="2:12" ht="15" hidden="1" outlineLevel="1" x14ac:dyDescent="0.25">
      <c r="C21" s="70" t="s">
        <v>35</v>
      </c>
      <c r="D21" s="3">
        <f>ATAN((D8/D19)*((1-D14)+(D15*D12)/D20))</f>
        <v>-0.41188095972047783</v>
      </c>
      <c r="F21" s="44" t="s">
        <v>4</v>
      </c>
    </row>
    <row r="22" spans="2:12" hidden="1" outlineLevel="1" x14ac:dyDescent="0.2">
      <c r="C22" s="3" t="s">
        <v>36</v>
      </c>
      <c r="D22" s="3">
        <f>ATAN(D7/D6)</f>
        <v>-0.80484948077047069</v>
      </c>
      <c r="E22" s="3">
        <f>IF(D22&lt;0,PI()+D22,D22)</f>
        <v>2.3367431728193226</v>
      </c>
      <c r="F22" s="3">
        <f>(E22/PI())*180</f>
        <v>133.88552160855633</v>
      </c>
    </row>
    <row r="23" spans="2:12" hidden="1" outlineLevel="1" x14ac:dyDescent="0.2">
      <c r="C23" s="3" t="s">
        <v>37</v>
      </c>
      <c r="D23" s="3">
        <f>ATAN(D26/D27)</f>
        <v>-0.41312135622735646</v>
      </c>
      <c r="F23" s="3">
        <f>(D23/PI())*180</f>
        <v>-23.670110138548154</v>
      </c>
    </row>
    <row r="24" spans="2:12" hidden="1" outlineLevel="1" x14ac:dyDescent="0.2">
      <c r="C24" s="3" t="s">
        <v>38</v>
      </c>
      <c r="D24" s="3">
        <f>D19*COS(D23)+D8*SIN(D23)-D12*SQRT(1-D15*SIN(D23)*SIN(D23))</f>
        <v>603.2488718861714</v>
      </c>
    </row>
    <row r="25" spans="2:12" hidden="1" outlineLevel="1" x14ac:dyDescent="0.2"/>
    <row r="26" spans="2:12" hidden="1" outlineLevel="1" x14ac:dyDescent="0.2">
      <c r="C26" s="3" t="s">
        <v>39</v>
      </c>
      <c r="D26" s="3">
        <f>D8*(1-D14)+D15*D12*SIN(D21)*SIN(D21)*SIN(D21)</f>
        <v>-2539310.8316727108</v>
      </c>
    </row>
    <row r="27" spans="2:12" hidden="1" outlineLevel="1" x14ac:dyDescent="0.2">
      <c r="C27" s="3" t="s">
        <v>40</v>
      </c>
      <c r="D27" s="3">
        <f>(1-D14)*(D19-D15*D12*COS(D21)*COS(D21)*COS(D21))</f>
        <v>5792920.6155340867</v>
      </c>
    </row>
    <row r="28" spans="2:12" ht="15" collapsed="1" x14ac:dyDescent="0.25">
      <c r="L28" s="25" t="s">
        <v>42</v>
      </c>
    </row>
    <row r="29" spans="2:12" x14ac:dyDescent="0.2">
      <c r="L29" s="23" t="s">
        <v>14</v>
      </c>
    </row>
    <row r="30" spans="2:12" x14ac:dyDescent="0.2">
      <c r="L30" s="24" t="s">
        <v>15</v>
      </c>
    </row>
  </sheetData>
  <printOptions gridLinesSet="0"/>
  <pageMargins left="0.75" right="0.75" top="1" bottom="1" header="0.5" footer="0.5"/>
  <pageSetup paperSize="9" orientation="landscape" horizontalDpi="0" verticalDpi="0" r:id="rId1"/>
  <headerFooter alignWithMargins="0">
    <oddHeader>&amp;CCartesian (XYZ) to geodetic (lat, long, ellip. ht.)</oddHeader>
    <oddFooter>&amp;Chttp://www.anzlic.org.au/icsm/gdatm.htm&amp;R&amp;D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Geographic to Cartesian</vt:lpstr>
      <vt:lpstr>7-parameter transformation</vt:lpstr>
      <vt:lpstr>Cartesian to Geographic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Nicholas</dc:creator>
  <cp:lastModifiedBy>Nicholas Brown</cp:lastModifiedBy>
  <cp:lastPrinted>1997-12-18T04:20:32Z</cp:lastPrinted>
  <dcterms:created xsi:type="dcterms:W3CDTF">1997-02-11T07:10:33Z</dcterms:created>
  <dcterms:modified xsi:type="dcterms:W3CDTF">2017-03-21T04:08:34Z</dcterms:modified>
</cp:coreProperties>
</file>