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765" yWindow="3045" windowWidth="22035" windowHeight="12090"/>
  </bookViews>
  <sheets>
    <sheet name="Constants &amp; Parameters" sheetId="3" r:id="rId1"/>
    <sheet name="Geographic to Grid" sheetId="1" r:id="rId2"/>
    <sheet name="Grid to Geographic" sheetId="2" r:id="rId3"/>
  </sheets>
  <calcPr calcId="145621" concurrentCalc="0"/>
</workbook>
</file>

<file path=xl/calcChain.xml><?xml version="1.0" encoding="utf-8"?>
<calcChain xmlns="http://schemas.openxmlformats.org/spreadsheetml/2006/main">
  <c r="C21" i="1" l="1"/>
  <c r="I28" i="1"/>
  <c r="I32" i="1"/>
  <c r="I36" i="1"/>
  <c r="L16" i="1"/>
  <c r="I31" i="1"/>
  <c r="I35" i="1"/>
  <c r="L17" i="1"/>
  <c r="L18" i="1"/>
  <c r="L19" i="1"/>
  <c r="L20" i="1"/>
  <c r="L21" i="1"/>
  <c r="L22" i="1"/>
  <c r="L23" i="1"/>
  <c r="L24" i="1"/>
  <c r="L25" i="1"/>
  <c r="I39" i="1"/>
  <c r="I41" i="1"/>
  <c r="C19" i="1"/>
  <c r="F16" i="1"/>
  <c r="G16" i="1"/>
  <c r="C4" i="1"/>
  <c r="F15" i="1"/>
  <c r="I21" i="1"/>
  <c r="C5" i="1"/>
  <c r="I5" i="1"/>
  <c r="I6" i="1"/>
  <c r="I20" i="1"/>
  <c r="I22" i="1"/>
  <c r="I23" i="1"/>
  <c r="I7" i="1"/>
  <c r="I8" i="1"/>
  <c r="I9" i="1"/>
  <c r="I10" i="1"/>
  <c r="I11" i="1"/>
  <c r="I12" i="1"/>
  <c r="I13" i="1"/>
  <c r="I14" i="1"/>
  <c r="L5" i="1"/>
  <c r="L6" i="1"/>
  <c r="L7" i="1"/>
  <c r="L8" i="1"/>
  <c r="L9" i="1"/>
  <c r="L10" i="1"/>
  <c r="L11" i="1"/>
  <c r="L12" i="1"/>
  <c r="I17" i="1"/>
  <c r="C8" i="1"/>
  <c r="C9" i="1"/>
  <c r="G15" i="1"/>
  <c r="C10" i="1"/>
  <c r="C8" i="3"/>
  <c r="C10" i="3"/>
  <c r="C9" i="3"/>
  <c r="C11" i="3"/>
  <c r="C12" i="3"/>
  <c r="C13" i="3"/>
  <c r="C14" i="3"/>
  <c r="C16" i="3"/>
  <c r="C17" i="3"/>
  <c r="C18" i="3"/>
  <c r="C19" i="3"/>
  <c r="C20" i="3"/>
  <c r="C28" i="3"/>
  <c r="C29" i="3"/>
  <c r="H19" i="2"/>
  <c r="H4" i="2"/>
  <c r="H6" i="2"/>
  <c r="H7" i="2"/>
  <c r="H8" i="2"/>
  <c r="H9" i="2"/>
  <c r="H10" i="2"/>
  <c r="H11" i="2"/>
  <c r="H12" i="2"/>
  <c r="H13" i="2"/>
  <c r="H16" i="2"/>
  <c r="H24" i="2"/>
  <c r="H20" i="2"/>
  <c r="H23" i="2"/>
  <c r="M4" i="2"/>
  <c r="K16" i="2"/>
  <c r="M5" i="2"/>
  <c r="K17" i="2"/>
  <c r="M6" i="2"/>
  <c r="K18" i="2"/>
  <c r="M7" i="2"/>
  <c r="K19" i="2"/>
  <c r="M8" i="2"/>
  <c r="K20" i="2"/>
  <c r="M9" i="2"/>
  <c r="K21" i="2"/>
  <c r="M10" i="2"/>
  <c r="K22" i="2"/>
  <c r="M11" i="2"/>
  <c r="K23" i="2"/>
  <c r="K15" i="2"/>
  <c r="K24" i="2"/>
  <c r="M15" i="2"/>
  <c r="M16" i="2"/>
  <c r="M17" i="2"/>
  <c r="M18" i="2"/>
  <c r="M19" i="2"/>
  <c r="M20" i="2"/>
  <c r="M21" i="2"/>
  <c r="M22" i="2"/>
  <c r="M23" i="2"/>
  <c r="M24" i="2"/>
  <c r="H35" i="2"/>
  <c r="K28" i="2"/>
  <c r="H5" i="2"/>
  <c r="H36" i="2"/>
  <c r="L28" i="2"/>
  <c r="M28" i="2"/>
  <c r="N28" i="2"/>
  <c r="K29" i="2"/>
  <c r="L29" i="2"/>
  <c r="M29" i="2"/>
  <c r="N29" i="2"/>
  <c r="K30" i="2"/>
  <c r="L30" i="2"/>
  <c r="M30" i="2"/>
  <c r="N30" i="2"/>
  <c r="K31" i="2"/>
  <c r="L31" i="2"/>
  <c r="M31" i="2"/>
  <c r="N31" i="2"/>
  <c r="K32" i="2"/>
  <c r="H41" i="2"/>
  <c r="H42" i="2"/>
  <c r="C19" i="2"/>
  <c r="L55" i="2"/>
  <c r="H45" i="2"/>
  <c r="H46" i="2"/>
  <c r="H49" i="2"/>
  <c r="C20" i="2"/>
  <c r="K55" i="2"/>
  <c r="K58" i="2"/>
  <c r="K4" i="2"/>
  <c r="K39" i="2"/>
  <c r="K5" i="2"/>
  <c r="K40" i="2"/>
  <c r="K6" i="2"/>
  <c r="K41" i="2"/>
  <c r="K7" i="2"/>
  <c r="K42" i="2"/>
  <c r="K8" i="2"/>
  <c r="K43" i="2"/>
  <c r="K9" i="2"/>
  <c r="K44" i="2"/>
  <c r="K10" i="2"/>
  <c r="K45" i="2"/>
  <c r="K11" i="2"/>
  <c r="K46" i="2"/>
  <c r="K47" i="2"/>
  <c r="M39" i="2"/>
  <c r="M40" i="2"/>
  <c r="M41" i="2"/>
  <c r="M42" i="2"/>
  <c r="M43" i="2"/>
  <c r="M44" i="2"/>
  <c r="M45" i="2"/>
  <c r="M46" i="2"/>
  <c r="M47" i="2"/>
  <c r="H55" i="2"/>
  <c r="H56" i="2"/>
  <c r="L48" i="1"/>
  <c r="M48" i="1"/>
  <c r="L51" i="1"/>
  <c r="L30" i="1"/>
  <c r="L31" i="1"/>
  <c r="L32" i="1"/>
  <c r="L33" i="1"/>
  <c r="L34" i="1"/>
  <c r="L35" i="1"/>
  <c r="L36" i="1"/>
  <c r="L37" i="1"/>
  <c r="L38" i="1"/>
  <c r="N30" i="1"/>
  <c r="N31" i="1"/>
  <c r="N32" i="1"/>
  <c r="N33" i="1"/>
  <c r="N34" i="1"/>
  <c r="N35" i="1"/>
  <c r="N36" i="1"/>
  <c r="N37" i="1"/>
  <c r="N38" i="1"/>
  <c r="I48" i="1"/>
  <c r="I49" i="1"/>
  <c r="C23" i="1"/>
  <c r="I24" i="1"/>
  <c r="I25" i="1"/>
  <c r="N16" i="1"/>
  <c r="N21" i="1"/>
  <c r="N19" i="1"/>
  <c r="N23" i="1"/>
  <c r="N22" i="1"/>
  <c r="N18" i="1"/>
  <c r="N20" i="1"/>
  <c r="N17" i="1"/>
  <c r="N24" i="1"/>
  <c r="N25" i="1"/>
  <c r="D23" i="1"/>
  <c r="E23" i="1"/>
  <c r="I45" i="1"/>
  <c r="C22" i="1"/>
  <c r="I40" i="1"/>
  <c r="I42" i="1"/>
  <c r="C20" i="1"/>
  <c r="H37" i="2"/>
  <c r="H38" i="2"/>
  <c r="H27" i="2"/>
  <c r="H31" i="2"/>
  <c r="H28" i="2"/>
  <c r="H32" i="2"/>
  <c r="D20" i="2"/>
  <c r="C22" i="2"/>
  <c r="D22" i="2"/>
  <c r="E20" i="2"/>
  <c r="E22" i="2"/>
  <c r="H52" i="2"/>
  <c r="C21" i="2"/>
  <c r="D19" i="2"/>
  <c r="E19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27" authorId="0">
      <text>
        <r>
          <rPr>
            <sz val="10"/>
            <rFont val="Arial"/>
            <family val="2"/>
          </rPr>
          <t>Enter this longitude as + or - 0° to 180°, not 0° to 360°</t>
        </r>
      </text>
    </comment>
  </commentList>
</comments>
</file>

<file path=xl/sharedStrings.xml><?xml version="1.0" encoding="utf-8"?>
<sst xmlns="http://schemas.openxmlformats.org/spreadsheetml/2006/main" count="225" uniqueCount="159">
  <si>
    <t>Ellipsoid:</t>
  </si>
  <si>
    <t xml:space="preserve">denominator of flattening = </t>
  </si>
  <si>
    <t>Projection:</t>
  </si>
  <si>
    <t xml:space="preserve">semi-major axis a = </t>
  </si>
  <si>
    <t>Ellipsoid constants</t>
  </si>
  <si>
    <t xml:space="preserve">flattening: f = 1/flat = </t>
  </si>
  <si>
    <t xml:space="preserve">Latitude: φ = </t>
  </si>
  <si>
    <t>radians</t>
  </si>
  <si>
    <t xml:space="preserve">e = </t>
  </si>
  <si>
    <t>Gauss-Schreiber coords</t>
  </si>
  <si>
    <t xml:space="preserve">u = </t>
  </si>
  <si>
    <t xml:space="preserve">v = </t>
  </si>
  <si>
    <t xml:space="preserve">X = </t>
  </si>
  <si>
    <t xml:space="preserve">Y = </t>
  </si>
  <si>
    <t>q-components</t>
  </si>
  <si>
    <t>p-components</t>
  </si>
  <si>
    <t xml:space="preserve">q = </t>
  </si>
  <si>
    <t xml:space="preserve">p = </t>
  </si>
  <si>
    <t xml:space="preserve">E = </t>
  </si>
  <si>
    <t xml:space="preserve">N = </t>
  </si>
  <si>
    <t>Point Scale Factor</t>
  </si>
  <si>
    <t xml:space="preserve">m = </t>
  </si>
  <si>
    <t>Grid convergence</t>
  </si>
  <si>
    <t xml:space="preserve">Point Scale Factor: m = </t>
  </si>
  <si>
    <t xml:space="preserve">ω (radians) = </t>
  </si>
  <si>
    <t xml:space="preserve">n =  f/(2–f) = </t>
  </si>
  <si>
    <t>deg</t>
  </si>
  <si>
    <t>min</t>
  </si>
  <si>
    <t>sec</t>
  </si>
  <si>
    <t>Newton-Raphson iteration for t = tan φ</t>
  </si>
  <si>
    <t>f(t)</t>
  </si>
  <si>
    <t>σ</t>
  </si>
  <si>
    <t>f '(t)</t>
  </si>
  <si>
    <t xml:space="preserve">φ (radians) = </t>
  </si>
  <si>
    <t xml:space="preserve">φ (degrees) = </t>
  </si>
  <si>
    <t xml:space="preserve">ω (degrees) = </t>
  </si>
  <si>
    <t xml:space="preserve">λ (degrees) = </t>
  </si>
  <si>
    <t xml:space="preserve">t = tan(φ) = </t>
  </si>
  <si>
    <t xml:space="preserve">σ = </t>
  </si>
  <si>
    <t xml:space="preserve">t' = tan(φ') = </t>
  </si>
  <si>
    <t xml:space="preserve">γ (radians) = </t>
  </si>
  <si>
    <r>
      <t>e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f(2–f) = </t>
    </r>
  </si>
  <si>
    <r>
      <t>powers of n:  n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</t>
    </r>
  </si>
  <si>
    <r>
      <t>n</t>
    </r>
    <r>
      <rPr>
        <vertAlign val="superscript"/>
        <sz val="10"/>
        <rFont val="Arial"/>
        <family val="2"/>
      </rPr>
      <t xml:space="preserve">3 </t>
    </r>
    <r>
      <rPr>
        <sz val="10"/>
        <rFont val="Arial"/>
        <family val="2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</si>
  <si>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4 </t>
    </r>
    <r>
      <rPr>
        <sz val="10"/>
        <rFont val="Arial"/>
        <family val="2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</si>
  <si>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5 </t>
    </r>
    <r>
      <rPr>
        <sz val="10"/>
        <rFont val="Arial"/>
        <family val="2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</si>
  <si>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6 </t>
    </r>
    <r>
      <rPr>
        <sz val="10"/>
        <rFont val="Arial"/>
        <family val="2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</si>
  <si>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7 </t>
    </r>
    <r>
      <rPr>
        <sz val="10"/>
        <rFont val="Arial"/>
        <family val="2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</si>
  <si>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8 </t>
    </r>
    <r>
      <rPr>
        <sz val="10"/>
        <rFont val="Arial"/>
        <family val="2"/>
      </rPr>
      <t xml:space="preserve">= </t>
    </r>
  </si>
  <si>
    <r>
      <t>α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</si>
  <si>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</si>
  <si>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</si>
  <si>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</si>
  <si>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</si>
  <si>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</si>
  <si>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14</t>
    </r>
    <r>
      <rPr>
        <sz val="10"/>
        <rFont val="Arial"/>
        <family val="2"/>
      </rPr>
      <t xml:space="preserve"> = </t>
    </r>
  </si>
  <si>
    <r>
      <t>α</t>
    </r>
    <r>
      <rPr>
        <vertAlign val="subscript"/>
        <sz val="10"/>
        <rFont val="Arial"/>
        <family val="2"/>
      </rPr>
      <t>16</t>
    </r>
    <r>
      <rPr>
        <sz val="10"/>
        <rFont val="Arial"/>
        <family val="2"/>
      </rPr>
      <t xml:space="preserve"> = </t>
    </r>
  </si>
  <si>
    <r>
      <t>E = (m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× X) + E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 </t>
    </r>
  </si>
  <si>
    <r>
      <t>N = (m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× Y) + N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</t>
    </r>
  </si>
  <si>
    <t xml:space="preserve">γ (degrees) = </t>
  </si>
  <si>
    <t xml:space="preserve">eccentricity: e = </t>
  </si>
  <si>
    <t xml:space="preserve">t = tan(φ) </t>
  </si>
  <si>
    <r>
      <t>β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</si>
  <si>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</si>
  <si>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</si>
  <si>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</si>
  <si>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</si>
  <si>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</si>
  <si>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14</t>
    </r>
    <r>
      <rPr>
        <sz val="10"/>
        <rFont val="Arial"/>
        <family val="2"/>
      </rPr>
      <t xml:space="preserve"> = </t>
    </r>
  </si>
  <si>
    <r>
      <t>β</t>
    </r>
    <r>
      <rPr>
        <vertAlign val="subscript"/>
        <sz val="10"/>
        <rFont val="Arial"/>
        <family val="2"/>
      </rPr>
      <t>16</t>
    </r>
    <r>
      <rPr>
        <sz val="10"/>
        <rFont val="Arial"/>
        <family val="2"/>
      </rPr>
      <t xml:space="preserve"> = </t>
    </r>
  </si>
  <si>
    <t xml:space="preserve">Rectifying radius A </t>
  </si>
  <si>
    <t xml:space="preserve">A = </t>
  </si>
  <si>
    <t>Gauss-Schreiber ratios</t>
  </si>
  <si>
    <t xml:space="preserve">ξ = </t>
  </si>
  <si>
    <t xml:space="preserve">η = </t>
  </si>
  <si>
    <t xml:space="preserve">X = Aη = </t>
  </si>
  <si>
    <t xml:space="preserve">Y = Aξ = </t>
  </si>
  <si>
    <t>TM ratios</t>
  </si>
  <si>
    <t xml:space="preserve">ξ (radians) = Y/A = </t>
  </si>
  <si>
    <t xml:space="preserve">η (radians) = X/A = </t>
  </si>
  <si>
    <t xml:space="preserve">ξ' = </t>
  </si>
  <si>
    <t xml:space="preserve">η' = </t>
  </si>
  <si>
    <t xml:space="preserve">ξ' (radians) = u/a = </t>
  </si>
  <si>
    <t xml:space="preserve">η' (radians) = v/a = </t>
  </si>
  <si>
    <t xml:space="preserve">Grid Convergence: γ = </t>
  </si>
  <si>
    <r>
      <t xml:space="preserve">Conformal latitude </t>
    </r>
    <r>
      <rPr>
        <sz val="10"/>
        <rFont val="Arial"/>
        <family val="2"/>
      </rPr>
      <t>φ'</t>
    </r>
  </si>
  <si>
    <t>Longitude difference ω</t>
  </si>
  <si>
    <r>
      <t xml:space="preserve">Latitude </t>
    </r>
    <r>
      <rPr>
        <sz val="10"/>
        <rFont val="Arial"/>
        <family val="2"/>
      </rPr>
      <t>φ</t>
    </r>
  </si>
  <si>
    <t>Longitude λ</t>
  </si>
  <si>
    <t>Coefficients α</t>
  </si>
  <si>
    <t xml:space="preserve">ξ' (radians) = u/a =  </t>
  </si>
  <si>
    <t xml:space="preserve">η' (radians) = v/a =  </t>
  </si>
  <si>
    <t>Summations for p and q</t>
  </si>
  <si>
    <t>TM coords</t>
  </si>
  <si>
    <t>Coefficients β</t>
  </si>
  <si>
    <t xml:space="preserve">Gauss-Schreiber ratios ξ' and η'  </t>
  </si>
  <si>
    <r>
      <t>ξ</t>
    </r>
    <r>
      <rPr>
        <sz val="8"/>
        <rFont val="Arial"/>
        <family val="2"/>
      </rPr>
      <t>'</t>
    </r>
    <r>
      <rPr>
        <sz val="10"/>
        <rFont val="Arial"/>
        <family val="2"/>
      </rPr>
      <t xml:space="preserve"> components</t>
    </r>
  </si>
  <si>
    <r>
      <t>η</t>
    </r>
    <r>
      <rPr>
        <sz val="8"/>
        <rFont val="Arial"/>
        <family val="2"/>
      </rPr>
      <t>'</t>
    </r>
    <r>
      <rPr>
        <sz val="10"/>
        <rFont val="Arial"/>
        <family val="2"/>
      </rPr>
      <t xml:space="preserve"> components</t>
    </r>
  </si>
  <si>
    <r>
      <t>ξ</t>
    </r>
    <r>
      <rPr>
        <sz val="8"/>
        <rFont val="Arial"/>
        <family val="2"/>
      </rPr>
      <t>'</t>
    </r>
    <r>
      <rPr>
        <sz val="10"/>
        <rFont val="Arial"/>
        <family val="2"/>
      </rPr>
      <t xml:space="preserve"> = </t>
    </r>
  </si>
  <si>
    <r>
      <t>η</t>
    </r>
    <r>
      <rPr>
        <sz val="8"/>
        <rFont val="Arial"/>
        <family val="2"/>
      </rPr>
      <t>'</t>
    </r>
    <r>
      <rPr>
        <sz val="10"/>
        <rFont val="Arial"/>
        <family val="2"/>
      </rPr>
      <t xml:space="preserve"> = </t>
    </r>
  </si>
  <si>
    <t>Iter. No.</t>
  </si>
  <si>
    <t xml:space="preserve">Summations for TM ratios η and ξ </t>
  </si>
  <si>
    <t>η-components</t>
  </si>
  <si>
    <t>ξ-components</t>
  </si>
  <si>
    <t xml:space="preserve">φ' (radians) = </t>
  </si>
  <si>
    <t xml:space="preserve">φ' (degrees) = </t>
  </si>
  <si>
    <t>KEY</t>
  </si>
  <si>
    <t>User input</t>
  </si>
  <si>
    <t>Result</t>
  </si>
  <si>
    <r>
      <t>Central meridian longitude: λ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</si>
  <si>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Central meridian scale factor: m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</si>
  <si>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False origin (west): E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</si>
  <si>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False origin (south): N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</si>
  <si>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t xml:space="preserve">semi-major axis (a) = </t>
  </si>
  <si>
    <t>Site Name:</t>
  </si>
  <si>
    <t>Alice Springs</t>
  </si>
  <si>
    <t>Location:</t>
  </si>
  <si>
    <t>Coordinates:</t>
  </si>
  <si>
    <t>Longitude: λ =</t>
  </si>
  <si>
    <t>Latitude: φ =</t>
  </si>
  <si>
    <t>Point Scale Factor =</t>
  </si>
  <si>
    <t>Grid Convergence: γ =</t>
  </si>
  <si>
    <t xml:space="preserve">Longitude: λ = </t>
  </si>
  <si>
    <t>Geographic to Grid (Krueger n-series)</t>
  </si>
  <si>
    <t>Grid to Geographic (Krueger n-series)</t>
  </si>
  <si>
    <t>East or West of Central Meridian</t>
  </si>
  <si>
    <t>North or South of Equator</t>
  </si>
  <si>
    <t>Grid Convergence Multiplier</t>
  </si>
  <si>
    <t xml:space="preserve">Zone = </t>
  </si>
  <si>
    <t>Central meridian of zone zero</t>
  </si>
  <si>
    <t>Longitude of western edge of zone zero</t>
  </si>
  <si>
    <t>Longitude of the central meridian of zone 1(degrees)</t>
  </si>
  <si>
    <t>Zone width (degrees)</t>
  </si>
  <si>
    <r>
      <t>Central Scale factor (K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)</t>
    </r>
  </si>
  <si>
    <t>False northing (m)</t>
  </si>
  <si>
    <t>False easting (m)</t>
  </si>
  <si>
    <t>GDA2020-MGA2020</t>
  </si>
  <si>
    <t>TM definition</t>
  </si>
  <si>
    <t>G</t>
  </si>
  <si>
    <t>n**4</t>
  </si>
  <si>
    <t>n**3</t>
  </si>
  <si>
    <t>n**2</t>
  </si>
  <si>
    <t>n</t>
  </si>
  <si>
    <t>e'</t>
  </si>
  <si>
    <t xml:space="preserve"> </t>
  </si>
  <si>
    <r>
      <t>Second eccentricity (e'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</si>
  <si>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>e</t>
  </si>
  <si>
    <r>
      <t>Eccentricity (e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</si>
  <si>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>Flattening (f)</t>
  </si>
  <si>
    <t>Semi-minor axis (b) (m)</t>
  </si>
  <si>
    <r>
      <t>Inverse flattening (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/</t>
    </r>
    <r>
      <rPr>
        <vertAlign val="subscript"/>
        <sz val="11"/>
        <rFont val="Arial"/>
        <family val="2"/>
      </rPr>
      <t>f</t>
    </r>
    <r>
      <rPr>
        <sz val="11"/>
        <rFont val="Arial"/>
        <family val="2"/>
      </rPr>
      <t>)</t>
    </r>
  </si>
  <si>
    <t>Semi major axis (a) (m)</t>
  </si>
  <si>
    <t>GRS80</t>
  </si>
  <si>
    <t>Ellipsoid definition</t>
  </si>
  <si>
    <t>Constants and Parameters</t>
  </si>
  <si>
    <r>
      <t>Inverse flattening (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/</t>
    </r>
    <r>
      <rPr>
        <vertAlign val="subscript"/>
        <sz val="11"/>
        <rFont val="Arial"/>
        <family val="2"/>
      </rPr>
      <t>f</t>
    </r>
    <r>
      <rPr>
        <sz val="11"/>
        <rFont val="Arial"/>
        <family val="2"/>
      </rPr>
      <t xml:space="preserve">) = </t>
    </r>
  </si>
  <si>
    <r>
      <t>False easting: E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</si>
  <si>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False northing: N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</si>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</sst>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0.000000"/>
    <numFmt numFmtId="165" formatCode="0.0000000"/>
    <numFmt numFmtId="166" formatCode="0.00000000"/>
    <numFmt numFmtId="167" formatCode="0.000000000"/>
    <numFmt numFmtId="168" formatCode="0.0"/>
    <numFmt numFmtId="169" formatCode="0.000000000E+00"/>
    <numFmt numFmtId="170" formatCode="0.000"/>
    <numFmt numFmtId="171" formatCode="0.000000000000"/>
    <numFmt numFmtId="172" formatCode="0.0000000000000"/>
    <numFmt numFmtId="173" formatCode="0.00000000000000"/>
    <numFmt numFmtId="174" formatCode="0.000000000000E+00"/>
    <numFmt numFmtId="175" formatCode="0,000,000.000"/>
    <numFmt numFmtId="176" formatCode="00\°"/>
    <numFmt numFmtId="177" formatCode="0\°"/>
    <numFmt numFmtId="178" formatCode="000,000.0000"/>
    <numFmt numFmtId="179" formatCode="0.000\ 000\ 000\ 000"/>
  </numFmts>
  <fonts count="16" x14ac:knownFonts="1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0"/>
      <color theme="0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vertAlign val="subscript"/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9" fontId="4" fillId="0" borderId="0" xfId="0" applyNumberFormat="1" applyFont="1"/>
    <xf numFmtId="164" fontId="4" fillId="0" borderId="0" xfId="0" applyNumberFormat="1" applyFont="1"/>
    <xf numFmtId="167" fontId="4" fillId="0" borderId="0" xfId="0" applyNumberFormat="1" applyFont="1"/>
    <xf numFmtId="166" fontId="4" fillId="0" borderId="0" xfId="0" applyNumberFormat="1" applyFont="1"/>
    <xf numFmtId="173" fontId="4" fillId="0" borderId="0" xfId="0" applyNumberFormat="1" applyFont="1"/>
    <xf numFmtId="17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Border="1" applyAlignment="1">
      <alignment horizontal="right"/>
    </xf>
    <xf numFmtId="169" fontId="4" fillId="0" borderId="0" xfId="0" applyNumberFormat="1" applyFont="1" applyBorder="1" applyAlignment="1">
      <alignment horizontal="center"/>
    </xf>
    <xf numFmtId="169" fontId="4" fillId="0" borderId="1" xfId="0" applyNumberFormat="1" applyFont="1" applyBorder="1"/>
    <xf numFmtId="171" fontId="4" fillId="0" borderId="0" xfId="0" applyNumberFormat="1" applyFont="1"/>
    <xf numFmtId="167" fontId="4" fillId="0" borderId="0" xfId="0" applyNumberFormat="1" applyFont="1" applyBorder="1"/>
    <xf numFmtId="169" fontId="4" fillId="0" borderId="0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1" fontId="4" fillId="0" borderId="0" xfId="0" applyNumberFormat="1" applyFont="1"/>
    <xf numFmtId="165" fontId="4" fillId="0" borderId="0" xfId="0" applyNumberFormat="1" applyFont="1"/>
    <xf numFmtId="0" fontId="4" fillId="0" borderId="5" xfId="0" applyFont="1" applyBorder="1" applyAlignment="1">
      <alignment horizontal="right"/>
    </xf>
    <xf numFmtId="169" fontId="4" fillId="0" borderId="3" xfId="0" applyNumberFormat="1" applyFont="1" applyBorder="1"/>
    <xf numFmtId="1" fontId="4" fillId="0" borderId="4" xfId="0" applyNumberFormat="1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69" fontId="4" fillId="0" borderId="10" xfId="0" applyNumberFormat="1" applyFont="1" applyBorder="1"/>
    <xf numFmtId="169" fontId="4" fillId="0" borderId="11" xfId="0" applyNumberFormat="1" applyFont="1" applyBorder="1"/>
    <xf numFmtId="0" fontId="4" fillId="0" borderId="0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right"/>
    </xf>
    <xf numFmtId="167" fontId="4" fillId="0" borderId="4" xfId="0" applyNumberFormat="1" applyFont="1" applyBorder="1"/>
    <xf numFmtId="0" fontId="4" fillId="0" borderId="8" xfId="0" applyFont="1" applyBorder="1"/>
    <xf numFmtId="0" fontId="4" fillId="0" borderId="7" xfId="0" applyFont="1" applyBorder="1" applyAlignment="1">
      <alignment horizontal="right"/>
    </xf>
    <xf numFmtId="169" fontId="4" fillId="0" borderId="8" xfId="0" applyNumberFormat="1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74" fontId="4" fillId="0" borderId="0" xfId="0" applyNumberFormat="1" applyFont="1" applyBorder="1"/>
    <xf numFmtId="171" fontId="4" fillId="0" borderId="10" xfId="0" applyNumberFormat="1" applyFont="1" applyBorder="1"/>
    <xf numFmtId="174" fontId="4" fillId="0" borderId="1" xfId="0" applyNumberFormat="1" applyFont="1" applyBorder="1"/>
    <xf numFmtId="171" fontId="4" fillId="0" borderId="11" xfId="0" applyNumberFormat="1" applyFont="1" applyBorder="1"/>
    <xf numFmtId="174" fontId="4" fillId="0" borderId="3" xfId="0" applyNumberFormat="1" applyFont="1" applyBorder="1"/>
    <xf numFmtId="167" fontId="4" fillId="0" borderId="0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Font="1" applyFill="1"/>
    <xf numFmtId="0" fontId="4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 applyFill="1"/>
    <xf numFmtId="0" fontId="6" fillId="0" borderId="0" xfId="0" applyFont="1" applyFill="1"/>
    <xf numFmtId="0" fontId="9" fillId="3" borderId="14" xfId="1" applyFont="1" applyFill="1" applyBorder="1" applyAlignment="1">
      <alignment horizontal="center"/>
    </xf>
    <xf numFmtId="175" fontId="10" fillId="4" borderId="12" xfId="1" applyNumberFormat="1" applyFont="1" applyFill="1" applyBorder="1" applyAlignment="1">
      <alignment horizontal="center"/>
    </xf>
    <xf numFmtId="0" fontId="10" fillId="2" borderId="13" xfId="1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8" fontId="10" fillId="5" borderId="0" xfId="0" applyNumberFormat="1" applyFont="1" applyFill="1"/>
    <xf numFmtId="168" fontId="12" fillId="0" borderId="0" xfId="0" applyNumberFormat="1" applyFont="1"/>
    <xf numFmtId="167" fontId="10" fillId="5" borderId="0" xfId="0" applyNumberFormat="1" applyFont="1" applyFill="1"/>
    <xf numFmtId="167" fontId="12" fillId="0" borderId="0" xfId="0" applyNumberFormat="1" applyFont="1"/>
    <xf numFmtId="0" fontId="10" fillId="5" borderId="0" xfId="0" applyFont="1" applyFill="1"/>
    <xf numFmtId="0" fontId="12" fillId="0" borderId="0" xfId="0" applyFont="1"/>
    <xf numFmtId="165" fontId="10" fillId="5" borderId="0" xfId="0" applyNumberFormat="1" applyFont="1" applyFill="1"/>
    <xf numFmtId="165" fontId="12" fillId="0" borderId="0" xfId="0" applyNumberFormat="1" applyFont="1"/>
    <xf numFmtId="170" fontId="10" fillId="5" borderId="0" xfId="0" applyNumberFormat="1" applyFont="1" applyFill="1"/>
    <xf numFmtId="170" fontId="12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Fill="1"/>
    <xf numFmtId="1" fontId="10" fillId="5" borderId="0" xfId="0" applyNumberFormat="1" applyFont="1" applyFill="1"/>
    <xf numFmtId="0" fontId="10" fillId="5" borderId="0" xfId="0" applyFont="1" applyFill="1" applyAlignment="1">
      <alignment horizontal="center"/>
    </xf>
    <xf numFmtId="164" fontId="10" fillId="5" borderId="0" xfId="0" applyNumberFormat="1" applyFont="1" applyFill="1" applyAlignment="1">
      <alignment horizontal="center"/>
    </xf>
    <xf numFmtId="170" fontId="10" fillId="0" borderId="0" xfId="0" applyNumberFormat="1" applyFont="1" applyFill="1"/>
    <xf numFmtId="164" fontId="10" fillId="6" borderId="0" xfId="0" applyNumberFormat="1" applyFont="1" applyFill="1"/>
    <xf numFmtId="0" fontId="10" fillId="6" borderId="0" xfId="0" applyFont="1" applyFill="1"/>
    <xf numFmtId="167" fontId="10" fillId="6" borderId="0" xfId="0" applyNumberFormat="1" applyFont="1" applyFill="1"/>
    <xf numFmtId="170" fontId="10" fillId="5" borderId="0" xfId="0" applyNumberFormat="1" applyFont="1" applyFill="1" applyAlignment="1">
      <alignment horizontal="center"/>
    </xf>
    <xf numFmtId="170" fontId="10" fillId="0" borderId="0" xfId="0" applyNumberFormat="1" applyFont="1" applyFill="1" applyAlignment="1">
      <alignment horizontal="center"/>
    </xf>
    <xf numFmtId="0" fontId="4" fillId="3" borderId="0" xfId="0" applyFont="1" applyFill="1"/>
    <xf numFmtId="170" fontId="10" fillId="0" borderId="0" xfId="0" applyNumberFormat="1" applyFont="1"/>
    <xf numFmtId="166" fontId="10" fillId="5" borderId="0" xfId="0" applyNumberFormat="1" applyFont="1" applyFill="1"/>
    <xf numFmtId="0" fontId="1" fillId="0" borderId="0" xfId="0" applyFont="1"/>
    <xf numFmtId="1" fontId="10" fillId="6" borderId="0" xfId="0" applyNumberFormat="1" applyFont="1" applyFill="1"/>
    <xf numFmtId="0" fontId="10" fillId="0" borderId="0" xfId="1" applyFont="1"/>
    <xf numFmtId="176" fontId="10" fillId="0" borderId="0" xfId="1" applyNumberFormat="1" applyFont="1"/>
    <xf numFmtId="0" fontId="10" fillId="0" borderId="0" xfId="1" applyFont="1" applyAlignment="1">
      <alignment wrapText="1"/>
    </xf>
    <xf numFmtId="177" fontId="10" fillId="4" borderId="3" xfId="1" applyNumberFormat="1" applyFont="1" applyFill="1" applyBorder="1" applyAlignment="1">
      <alignment horizontal="right"/>
    </xf>
    <xf numFmtId="0" fontId="10" fillId="0" borderId="5" xfId="1" applyFont="1" applyBorder="1" applyAlignment="1">
      <alignment wrapText="1"/>
    </xf>
    <xf numFmtId="177" fontId="10" fillId="4" borderId="1" xfId="1" applyNumberFormat="1" applyFont="1" applyFill="1" applyBorder="1" applyAlignment="1">
      <alignment horizontal="right"/>
    </xf>
    <xf numFmtId="0" fontId="10" fillId="0" borderId="4" xfId="1" applyFont="1" applyBorder="1"/>
    <xf numFmtId="0" fontId="10" fillId="4" borderId="1" xfId="1" applyFont="1" applyFill="1" applyBorder="1" applyAlignment="1">
      <alignment horizontal="right"/>
    </xf>
    <xf numFmtId="178" fontId="10" fillId="4" borderId="1" xfId="1" applyNumberFormat="1" applyFont="1" applyFill="1" applyBorder="1" applyAlignment="1">
      <alignment horizontal="right"/>
    </xf>
    <xf numFmtId="0" fontId="14" fillId="4" borderId="7" xfId="1" applyFont="1" applyFill="1" applyBorder="1" applyAlignment="1">
      <alignment horizontal="left"/>
    </xf>
    <xf numFmtId="0" fontId="11" fillId="0" borderId="8" xfId="1" applyFont="1" applyBorder="1"/>
    <xf numFmtId="0" fontId="10" fillId="0" borderId="1" xfId="1" applyFont="1" applyBorder="1" applyAlignment="1">
      <alignment horizontal="right"/>
    </xf>
    <xf numFmtId="179" fontId="10" fillId="0" borderId="1" xfId="1" applyNumberFormat="1" applyFont="1" applyBorder="1" applyAlignment="1">
      <alignment horizontal="right"/>
    </xf>
    <xf numFmtId="175" fontId="10" fillId="0" borderId="1" xfId="1" applyNumberFormat="1" applyFont="1" applyBorder="1" applyAlignment="1">
      <alignment horizontal="right"/>
    </xf>
    <xf numFmtId="167" fontId="10" fillId="4" borderId="1" xfId="1" applyNumberFormat="1" applyFont="1" applyFill="1" applyBorder="1" applyAlignment="1">
      <alignment horizontal="right"/>
    </xf>
    <xf numFmtId="175" fontId="10" fillId="4" borderId="1" xfId="1" applyNumberFormat="1" applyFont="1" applyFill="1" applyBorder="1" applyAlignment="1">
      <alignment horizontal="right"/>
    </xf>
    <xf numFmtId="0" fontId="14" fillId="5" borderId="7" xfId="1" applyFont="1" applyFill="1" applyBorder="1" applyAlignment="1">
      <alignment horizontal="left"/>
    </xf>
    <xf numFmtId="175" fontId="10" fillId="7" borderId="0" xfId="1" applyNumberFormat="1" applyFont="1" applyFill="1" applyBorder="1"/>
    <xf numFmtId="175" fontId="10" fillId="5" borderId="13" xfId="1" applyNumberFormat="1" applyFont="1" applyFill="1" applyBorder="1"/>
    <xf numFmtId="0" fontId="10" fillId="3" borderId="0" xfId="1" applyFont="1" applyFill="1"/>
    <xf numFmtId="0" fontId="7" fillId="3" borderId="0" xfId="1" applyFont="1" applyFill="1"/>
    <xf numFmtId="0" fontId="10" fillId="0" borderId="0" xfId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68" fontId="10" fillId="0" borderId="0" xfId="0" applyNumberFormat="1" applyFont="1" applyFill="1"/>
    <xf numFmtId="167" fontId="10" fillId="0" borderId="0" xfId="0" applyNumberFormat="1" applyFont="1" applyFill="1"/>
    <xf numFmtId="165" fontId="10" fillId="0" borderId="0" xfId="0" applyNumberFormat="1" applyFont="1" applyFill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69" fontId="1" fillId="0" borderId="10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175" fontId="10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168" fontId="12" fillId="0" borderId="0" xfId="0" applyNumberFormat="1" applyFont="1" applyFill="1"/>
    <xf numFmtId="167" fontId="12" fillId="0" borderId="0" xfId="0" applyNumberFormat="1" applyFont="1" applyFill="1"/>
    <xf numFmtId="165" fontId="12" fillId="0" borderId="0" xfId="0" applyNumberFormat="1" applyFont="1" applyFill="1"/>
    <xf numFmtId="170" fontId="12" fillId="0" borderId="0" xfId="0" applyNumberFormat="1" applyFont="1" applyFill="1"/>
    <xf numFmtId="164" fontId="10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4</xdr:row>
      <xdr:rowOff>12701</xdr:rowOff>
    </xdr:from>
    <xdr:to>
      <xdr:col>15</xdr:col>
      <xdr:colOff>0</xdr:colOff>
      <xdr:row>29</xdr:row>
      <xdr:rowOff>19051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1898650" y="660401"/>
          <a:ext cx="6959600" cy="4054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INSTRUCTIONS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(1) Copy &amp; Paste the values required from the table below into the fields to the left, or enter your own values.</a:t>
          </a:r>
        </a:p>
        <a:p>
          <a:pPr algn="l" rtl="0">
            <a:lnSpc>
              <a:spcPts val="11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Coordinate Set                        	Ellipsoid		Semi-major axis		Inverse Flattening</a:t>
          </a:r>
          <a:endParaRPr lang="en-US" sz="500" b="0" i="0" u="none" strike="noStrike" baseline="0">
            <a:solidFill>
              <a:srgbClr val="000000"/>
            </a:solidFill>
            <a:latin typeface="Courier New"/>
            <a:ea typeface="Courier New"/>
            <a:cs typeface="Courier New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GDA2020/MGA2020    	GRS80		6378137.0 m      	298.257222101</a:t>
          </a:r>
        </a:p>
        <a:p>
          <a:pPr algn="l" rtl="0">
            <a:lnSpc>
              <a:spcPts val="1200"/>
            </a:lnSpc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GDA94/MGA94        	GRS80		6378137.0 m        	298.257222101</a:t>
          </a:r>
          <a:endParaRPr lang="en-US" sz="1000" b="0" i="0" u="none" strike="noStrike" baseline="0">
            <a:solidFill>
              <a:srgbClr val="000000"/>
            </a:solidFill>
            <a:latin typeface="Courier New"/>
            <a:ea typeface="Courier New"/>
            <a:cs typeface="Courier New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AGD/AMG            	ANS           	6378160.0 m        	298.25</a:t>
          </a: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ANG                	CLARKE 1858   	6975449.335 yd     	294.26</a:t>
          </a:r>
          <a:endParaRPr lang="en-US" sz="1000" b="0" i="0" u="none" strike="noStrike" baseline="0">
            <a:solidFill>
              <a:srgbClr val="000000"/>
            </a:solidFill>
            <a:latin typeface="Courier New"/>
            <a:ea typeface="Arial"/>
            <a:cs typeface="Courier New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(2) Use the tabs below to perform conversion from: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- Geographic to Grid (Latitude and Longitude to Easting, Northing and Zone); or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- Grid to Geographic (Easting, Northing and Zone to Latitude and Longitude).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0"/>
  <sheetViews>
    <sheetView showGridLines="0" tabSelected="1" showOutlineSymbols="0" workbookViewId="0">
      <selection activeCell="C44" sqref="C44"/>
    </sheetView>
  </sheetViews>
  <sheetFormatPr defaultColWidth="8.85546875" defaultRowHeight="14.25" outlineLevelRow="1" x14ac:dyDescent="0.2"/>
  <cols>
    <col min="1" max="1" width="1.85546875" style="93" customWidth="1"/>
    <col min="2" max="2" width="25.140625" style="93" customWidth="1"/>
    <col min="3" max="3" width="22.140625" style="93" customWidth="1"/>
    <col min="4" max="4" width="8.85546875" style="93" customWidth="1"/>
    <col min="5" max="5" width="10.42578125" style="93" bestFit="1" customWidth="1"/>
    <col min="6" max="16384" width="8.85546875" style="93"/>
  </cols>
  <sheetData>
    <row r="1" spans="2:6" ht="6" customHeight="1" x14ac:dyDescent="0.2"/>
    <row r="2" spans="2:6" ht="23.25" x14ac:dyDescent="0.35">
      <c r="B2" s="113" t="s">
        <v>154</v>
      </c>
      <c r="C2" s="112"/>
      <c r="E2" s="61" t="s">
        <v>106</v>
      </c>
    </row>
    <row r="3" spans="2:6" x14ac:dyDescent="0.2">
      <c r="E3" s="111" t="s">
        <v>107</v>
      </c>
    </row>
    <row r="4" spans="2:6" x14ac:dyDescent="0.2">
      <c r="E4" s="110"/>
    </row>
    <row r="5" spans="2:6" ht="15" x14ac:dyDescent="0.25">
      <c r="B5" s="103" t="s">
        <v>153</v>
      </c>
      <c r="C5" s="109" t="s">
        <v>152</v>
      </c>
    </row>
    <row r="6" spans="2:6" x14ac:dyDescent="0.2">
      <c r="B6" s="99" t="s">
        <v>151</v>
      </c>
      <c r="C6" s="108">
        <v>6378137</v>
      </c>
    </row>
    <row r="7" spans="2:6" ht="18.75" x14ac:dyDescent="0.35">
      <c r="B7" s="99" t="s">
        <v>150</v>
      </c>
      <c r="C7" s="107">
        <v>298.25722210100002</v>
      </c>
    </row>
    <row r="8" spans="2:6" hidden="1" outlineLevel="1" x14ac:dyDescent="0.2">
      <c r="B8" s="99" t="s">
        <v>148</v>
      </c>
      <c r="C8" s="104">
        <f>1/C7</f>
        <v>3.3528106811823188E-3</v>
      </c>
    </row>
    <row r="9" spans="2:6" hidden="1" outlineLevel="1" x14ac:dyDescent="0.2">
      <c r="B9" s="99" t="s">
        <v>149</v>
      </c>
      <c r="C9" s="106">
        <f>C6*(1-C10)</f>
        <v>6356752.3141403561</v>
      </c>
    </row>
    <row r="10" spans="2:6" hidden="1" outlineLevel="1" x14ac:dyDescent="0.2">
      <c r="B10" s="99" t="s">
        <v>148</v>
      </c>
      <c r="C10" s="105">
        <f>1/C7</f>
        <v>3.3528106811823188E-3</v>
      </c>
    </row>
    <row r="11" spans="2:6" ht="16.5" hidden="1" outlineLevel="1" x14ac:dyDescent="0.2">
      <c r="B11" s="99" t="s">
        <v>147</v>
      </c>
      <c r="C11" s="105">
        <f>(2*C10)-(C10*C10)</f>
        <v>6.6943800229007869E-3</v>
      </c>
    </row>
    <row r="12" spans="2:6" hidden="1" outlineLevel="1" x14ac:dyDescent="0.2">
      <c r="B12" s="99" t="s">
        <v>146</v>
      </c>
      <c r="C12" s="105">
        <f>SQRT(C11)</f>
        <v>8.1819191042815792E-2</v>
      </c>
    </row>
    <row r="13" spans="2:6" ht="16.5" hidden="1" outlineLevel="1" x14ac:dyDescent="0.2">
      <c r="B13" s="99" t="s">
        <v>145</v>
      </c>
      <c r="C13" s="105">
        <f>C11/(1-C11)</f>
        <v>6.7394967754789573E-3</v>
      </c>
      <c r="F13" s="93" t="s">
        <v>144</v>
      </c>
    </row>
    <row r="14" spans="2:6" hidden="1" outlineLevel="1" x14ac:dyDescent="0.2">
      <c r="B14" s="99" t="s">
        <v>143</v>
      </c>
      <c r="C14" s="105">
        <f>SQRT(C13)</f>
        <v>8.2094438151917193E-2</v>
      </c>
    </row>
    <row r="15" spans="2:6" hidden="1" outlineLevel="1" x14ac:dyDescent="0.2">
      <c r="B15" s="99"/>
      <c r="C15" s="104"/>
    </row>
    <row r="16" spans="2:6" hidden="1" outlineLevel="1" x14ac:dyDescent="0.2">
      <c r="B16" s="99" t="s">
        <v>142</v>
      </c>
      <c r="C16" s="104">
        <f>(C6-C9)/(C6+C9)</f>
        <v>1.6792203946287211E-3</v>
      </c>
    </row>
    <row r="17" spans="2:3" hidden="1" outlineLevel="1" x14ac:dyDescent="0.2">
      <c r="B17" s="99" t="s">
        <v>141</v>
      </c>
      <c r="C17" s="104">
        <f>C16*C16</f>
        <v>2.8197811337370378E-6</v>
      </c>
    </row>
    <row r="18" spans="2:3" hidden="1" outlineLevel="1" x14ac:dyDescent="0.2">
      <c r="B18" s="99" t="s">
        <v>140</v>
      </c>
      <c r="C18" s="104">
        <f>C16*C17</f>
        <v>4.7350339881605316E-9</v>
      </c>
    </row>
    <row r="19" spans="2:3" hidden="1" outlineLevel="1" x14ac:dyDescent="0.2">
      <c r="B19" s="99" t="s">
        <v>139</v>
      </c>
      <c r="C19" s="104">
        <f>C17*C17</f>
        <v>7.9511656421793351E-12</v>
      </c>
    </row>
    <row r="20" spans="2:3" hidden="1" outlineLevel="1" x14ac:dyDescent="0.2">
      <c r="B20" s="99" t="s">
        <v>138</v>
      </c>
      <c r="C20" s="104">
        <f>C6*(1-C16)*(1-C17)*(1+(9*C17)/4+(225*C19)/64)*PI()/180</f>
        <v>111132.95254700514</v>
      </c>
    </row>
    <row r="21" spans="2:3" collapsed="1" x14ac:dyDescent="0.2">
      <c r="B21" s="99"/>
      <c r="C21" s="104"/>
    </row>
    <row r="22" spans="2:3" ht="15" x14ac:dyDescent="0.25">
      <c r="B22" s="103" t="s">
        <v>137</v>
      </c>
      <c r="C22" s="102" t="s">
        <v>136</v>
      </c>
    </row>
    <row r="23" spans="2:3" x14ac:dyDescent="0.2">
      <c r="B23" s="99" t="s">
        <v>135</v>
      </c>
      <c r="C23" s="101">
        <v>500000</v>
      </c>
    </row>
    <row r="24" spans="2:3" x14ac:dyDescent="0.2">
      <c r="B24" s="99" t="s">
        <v>134</v>
      </c>
      <c r="C24" s="101">
        <v>10000000</v>
      </c>
    </row>
    <row r="25" spans="2:3" ht="18.75" x14ac:dyDescent="0.35">
      <c r="B25" s="99" t="s">
        <v>133</v>
      </c>
      <c r="C25" s="100">
        <v>0.99960000000000004</v>
      </c>
    </row>
    <row r="26" spans="2:3" x14ac:dyDescent="0.2">
      <c r="B26" s="99" t="s">
        <v>132</v>
      </c>
      <c r="C26" s="98">
        <v>6</v>
      </c>
    </row>
    <row r="27" spans="2:3" ht="42.75" x14ac:dyDescent="0.2">
      <c r="B27" s="97" t="s">
        <v>131</v>
      </c>
      <c r="C27" s="96">
        <v>-177</v>
      </c>
    </row>
    <row r="28" spans="2:3" ht="28.5" hidden="1" outlineLevel="1" x14ac:dyDescent="0.2">
      <c r="B28" s="95" t="s">
        <v>130</v>
      </c>
      <c r="C28" s="94">
        <f>C27-(1.5*C26)</f>
        <v>-186</v>
      </c>
    </row>
    <row r="29" spans="2:3" hidden="1" outlineLevel="1" x14ac:dyDescent="0.2">
      <c r="B29" s="93" t="s">
        <v>129</v>
      </c>
      <c r="C29" s="94">
        <f>C28+(C26/2)</f>
        <v>-183</v>
      </c>
    </row>
    <row r="30" spans="2:3" collapsed="1" x14ac:dyDescent="0.2"/>
  </sheetData>
  <printOptions gridLinesSet="0"/>
  <pageMargins left="0.75" right="0.75" top="1" bottom="1" header="0.5" footer="0.5"/>
  <pageSetup paperSize="9" orientation="portrait" horizontalDpi="180" verticalDpi="180"/>
  <headerFooter>
    <oddHeader>&amp;C&amp;F&amp;RConstants &amp; Parameters</oddHeader>
    <oddFooter>&amp;L&amp;D&amp;CGDA Technical Manual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51"/>
  <sheetViews>
    <sheetView workbookViewId="0">
      <selection activeCell="E23" sqref="E23"/>
    </sheetView>
  </sheetViews>
  <sheetFormatPr defaultColWidth="9.140625" defaultRowHeight="12.75" x14ac:dyDescent="0.2"/>
  <cols>
    <col min="1" max="1" width="14.28515625" style="3" customWidth="1"/>
    <col min="2" max="2" width="34.28515625" style="3" bestFit="1" customWidth="1"/>
    <col min="3" max="3" width="18.42578125" style="3" customWidth="1"/>
    <col min="4" max="4" width="4.42578125" style="3" bestFit="1" customWidth="1"/>
    <col min="5" max="5" width="15.85546875" style="3" customWidth="1"/>
    <col min="6" max="6" width="15.85546875" style="3" hidden="1" customWidth="1"/>
    <col min="7" max="7" width="14.42578125" style="3" hidden="1" customWidth="1"/>
    <col min="8" max="8" width="21.140625" style="3" hidden="1" customWidth="1"/>
    <col min="9" max="9" width="19.42578125" style="3" hidden="1" customWidth="1"/>
    <col min="10" max="10" width="5.7109375" style="3" hidden="1" customWidth="1"/>
    <col min="11" max="11" width="6.28515625" style="3" hidden="1" customWidth="1"/>
    <col min="12" max="12" width="24.42578125" style="3" hidden="1" customWidth="1"/>
    <col min="13" max="13" width="5.7109375" style="3" hidden="1" customWidth="1"/>
    <col min="14" max="14" width="21" style="3" hidden="1" customWidth="1"/>
    <col min="15" max="15" width="5.7109375" style="3" customWidth="1"/>
    <col min="16" max="16" width="16.7109375" style="3" customWidth="1"/>
    <col min="17" max="17" width="5.7109375" style="3" customWidth="1"/>
    <col min="18" max="18" width="16.7109375" style="3" customWidth="1"/>
    <col min="19" max="16384" width="9.140625" style="3"/>
  </cols>
  <sheetData>
    <row r="1" spans="1:15" s="60" customFormat="1" ht="25.5" x14ac:dyDescent="0.35">
      <c r="A1" s="57" t="s">
        <v>123</v>
      </c>
      <c r="B1" s="58"/>
      <c r="C1" s="58"/>
      <c r="D1" s="59"/>
      <c r="E1" s="61" t="s">
        <v>106</v>
      </c>
      <c r="F1" s="130"/>
      <c r="G1" s="59"/>
      <c r="H1" s="59"/>
      <c r="I1" s="59"/>
      <c r="J1" s="59"/>
      <c r="K1" s="59"/>
      <c r="L1" s="59"/>
      <c r="M1" s="59"/>
      <c r="N1" s="59"/>
    </row>
    <row r="2" spans="1:15" ht="15.75" customHeight="1" x14ac:dyDescent="0.2">
      <c r="A2" s="64"/>
      <c r="B2" s="64"/>
      <c r="C2" s="64"/>
      <c r="D2" s="64"/>
      <c r="E2" s="62" t="s">
        <v>107</v>
      </c>
      <c r="F2" s="131"/>
    </row>
    <row r="3" spans="1:15" ht="15.75" customHeight="1" x14ac:dyDescent="0.2">
      <c r="A3" s="64"/>
      <c r="B3" s="64"/>
      <c r="C3" s="64"/>
      <c r="D3" s="64"/>
      <c r="E3" s="63" t="s">
        <v>108</v>
      </c>
      <c r="F3" s="132"/>
    </row>
    <row r="4" spans="1:15" ht="15.75" customHeight="1" x14ac:dyDescent="0.25">
      <c r="A4" s="65" t="s">
        <v>0</v>
      </c>
      <c r="B4" s="66" t="s">
        <v>113</v>
      </c>
      <c r="C4" s="116">
        <f>'Constants &amp; Parameters'!C6</f>
        <v>6378137</v>
      </c>
      <c r="D4" s="68"/>
      <c r="E4" s="68"/>
      <c r="F4" s="133"/>
      <c r="H4" s="119" t="s">
        <v>4</v>
      </c>
      <c r="I4" s="119"/>
      <c r="K4" s="123" t="s">
        <v>89</v>
      </c>
      <c r="L4" s="124"/>
      <c r="M4" s="36"/>
    </row>
    <row r="5" spans="1:15" ht="15.75" customHeight="1" x14ac:dyDescent="0.35">
      <c r="A5" s="115"/>
      <c r="B5" s="114" t="s">
        <v>155</v>
      </c>
      <c r="C5" s="117">
        <f>'Constants &amp; Parameters'!C7</f>
        <v>298.25722210100002</v>
      </c>
      <c r="D5" s="70"/>
      <c r="E5" s="70"/>
      <c r="F5" s="134"/>
      <c r="H5" s="5" t="s">
        <v>5</v>
      </c>
      <c r="I5" s="6">
        <f>1/C5</f>
        <v>3.3528106811823188E-3</v>
      </c>
      <c r="K5" s="24" t="s">
        <v>49</v>
      </c>
      <c r="L5" s="50">
        <f>1/2*$I$7-2/3*$I$8+5/16*$I$9+41/180*$I$10-127/288*$I$11+7891/37800*$I$12+72161/387072*$I$13-18975107/50803200*$I$14</f>
        <v>8.3773182472855127E-4</v>
      </c>
      <c r="N5" s="1"/>
      <c r="O5" s="1"/>
    </row>
    <row r="6" spans="1:15" ht="15.75" customHeight="1" x14ac:dyDescent="0.3">
      <c r="A6" s="115"/>
      <c r="B6" s="114"/>
      <c r="C6" s="117"/>
      <c r="D6" s="70"/>
      <c r="E6" s="70"/>
      <c r="F6" s="134"/>
      <c r="H6" s="5" t="s">
        <v>41</v>
      </c>
      <c r="I6" s="6">
        <f>I5*(2-I5)</f>
        <v>6.6943800229007869E-3</v>
      </c>
      <c r="K6" s="24" t="s">
        <v>50</v>
      </c>
      <c r="L6" s="50">
        <f>13/48*$I$8-3/5*$I$9+557/1440*$I$10+281/630*$I$11-1983433/1935360*$I$12+13769/28800*$I$13+148003883/174182400*$I$14</f>
        <v>7.6085278481496568E-7</v>
      </c>
      <c r="M6" s="6"/>
      <c r="N6" s="7"/>
      <c r="O6" s="7"/>
    </row>
    <row r="7" spans="1:15" ht="15.75" customHeight="1" x14ac:dyDescent="0.35">
      <c r="A7" s="65" t="s">
        <v>2</v>
      </c>
      <c r="B7" s="66" t="s">
        <v>109</v>
      </c>
      <c r="C7" s="71">
        <v>135</v>
      </c>
      <c r="D7" s="64"/>
      <c r="E7" s="64"/>
      <c r="F7" s="78"/>
      <c r="H7" s="5" t="s">
        <v>25</v>
      </c>
      <c r="I7" s="6">
        <f>I5/(2-I5)</f>
        <v>1.6792203946287448E-3</v>
      </c>
      <c r="K7" s="24" t="s">
        <v>51</v>
      </c>
      <c r="L7" s="50">
        <f>61/240*$I$9-103/140*$I$10+15061/26880*$I$11+167603/181440*$I$12-67102379/29030400*$I$13+79682431/79833600*$I$14</f>
        <v>1.1976455208553066E-9</v>
      </c>
      <c r="M7" s="6"/>
      <c r="N7" s="7"/>
      <c r="O7" s="8"/>
    </row>
    <row r="8" spans="1:15" ht="15.75" customHeight="1" x14ac:dyDescent="0.35">
      <c r="A8" s="66"/>
      <c r="B8" s="66" t="s">
        <v>110</v>
      </c>
      <c r="C8" s="118">
        <f>'Constants &amp; Parameters'!C25</f>
        <v>0.99960000000000004</v>
      </c>
      <c r="D8" s="74"/>
      <c r="E8" s="74"/>
      <c r="F8" s="135"/>
      <c r="H8" s="5" t="s">
        <v>42</v>
      </c>
      <c r="I8" s="6">
        <f>I7*$I$7</f>
        <v>2.8197811337371174E-6</v>
      </c>
      <c r="K8" s="24" t="s">
        <v>52</v>
      </c>
      <c r="L8" s="50">
        <f>49561/161280*$I$10-179/168*$I$11+6601661/7257600*$I$12+97445/49896*$I$13-40176129013/7664025600*$I$14</f>
        <v>2.4291707280367475E-12</v>
      </c>
      <c r="M8" s="6"/>
      <c r="N8" s="7"/>
      <c r="O8" s="8"/>
    </row>
    <row r="9" spans="1:15" ht="15.75" customHeight="1" x14ac:dyDescent="0.35">
      <c r="A9" s="66"/>
      <c r="B9" s="66" t="s">
        <v>156</v>
      </c>
      <c r="C9" s="82">
        <f>'Constants &amp; Parameters'!C23</f>
        <v>500000</v>
      </c>
      <c r="D9" s="76"/>
      <c r="E9" s="76"/>
      <c r="F9" s="136"/>
      <c r="H9" s="5" t="s">
        <v>43</v>
      </c>
      <c r="I9" s="6">
        <f t="shared" ref="I9:I14" si="0">I8*$I$7</f>
        <v>4.7350339881607318E-9</v>
      </c>
      <c r="K9" s="24" t="s">
        <v>53</v>
      </c>
      <c r="L9" s="50">
        <f>34729/80640*$I$11-3418889/1995840*$I$12+14644087/9123840*$I$13+2605413599/622702080*$I$14</f>
        <v>5.7118185104663368E-15</v>
      </c>
      <c r="M9" s="6"/>
      <c r="N9" s="7"/>
      <c r="O9" s="8"/>
    </row>
    <row r="10" spans="1:15" ht="15.75" customHeight="1" x14ac:dyDescent="0.35">
      <c r="A10" s="66"/>
      <c r="B10" s="66" t="s">
        <v>157</v>
      </c>
      <c r="C10" s="82">
        <f>'Constants &amp; Parameters'!C24</f>
        <v>10000000</v>
      </c>
      <c r="D10" s="76"/>
      <c r="E10" s="76"/>
      <c r="F10" s="136"/>
      <c r="H10" s="5" t="s">
        <v>44</v>
      </c>
      <c r="I10" s="6">
        <f t="shared" si="0"/>
        <v>7.9511656421797826E-12</v>
      </c>
      <c r="K10" s="24" t="s">
        <v>54</v>
      </c>
      <c r="L10" s="50">
        <f>212378941/319334400*$I$12-30705481/10378368*$I$13+175214326799/58118860800*$I$14</f>
        <v>1.4799979749262575E-17</v>
      </c>
      <c r="M10" s="6"/>
      <c r="N10" s="7"/>
      <c r="O10" s="8"/>
    </row>
    <row r="11" spans="1:15" ht="15.75" customHeight="1" x14ac:dyDescent="0.3">
      <c r="A11" s="66"/>
      <c r="B11" s="66"/>
      <c r="C11" s="82"/>
      <c r="D11" s="76"/>
      <c r="E11" s="76"/>
      <c r="F11" s="136"/>
      <c r="H11" s="5" t="s">
        <v>45</v>
      </c>
      <c r="I11" s="6">
        <f>I10*$I$7</f>
        <v>1.3351759507419652E-14</v>
      </c>
      <c r="K11" s="24" t="s">
        <v>55</v>
      </c>
      <c r="L11" s="50">
        <f>1522256789/1383782400*$I$13-16759934899/3113510400*$I$14</f>
        <v>4.1076242503838289E-20</v>
      </c>
      <c r="M11" s="6"/>
      <c r="N11" s="7"/>
      <c r="O11" s="8"/>
    </row>
    <row r="12" spans="1:15" ht="15.75" customHeight="1" x14ac:dyDescent="0.3">
      <c r="A12" s="65" t="s">
        <v>114</v>
      </c>
      <c r="B12" s="66"/>
      <c r="C12" s="86" t="s">
        <v>115</v>
      </c>
      <c r="D12" s="76"/>
      <c r="E12" s="76"/>
      <c r="F12" s="136"/>
      <c r="H12" s="5" t="s">
        <v>46</v>
      </c>
      <c r="I12" s="6">
        <f t="shared" si="0"/>
        <v>2.2420546869037323E-17</v>
      </c>
      <c r="K12" s="27" t="s">
        <v>56</v>
      </c>
      <c r="L12" s="52">
        <f>1424729850961/743921418240*$I$14</f>
        <v>1.2107850864826076E-22</v>
      </c>
      <c r="M12" s="6"/>
      <c r="N12" s="7"/>
      <c r="O12" s="8"/>
    </row>
    <row r="13" spans="1:15" ht="15.75" customHeight="1" x14ac:dyDescent="0.25">
      <c r="A13" s="65"/>
      <c r="B13" s="66"/>
      <c r="C13" s="87"/>
      <c r="D13" s="76"/>
      <c r="E13" s="76"/>
      <c r="H13" s="5" t="s">
        <v>47</v>
      </c>
      <c r="I13" s="6">
        <f t="shared" si="0"/>
        <v>3.7649039561217119E-20</v>
      </c>
      <c r="K13" s="1"/>
      <c r="L13" s="6"/>
      <c r="M13" s="6"/>
      <c r="N13" s="7"/>
      <c r="O13" s="8"/>
    </row>
    <row r="14" spans="1:15" ht="15.75" customHeight="1" x14ac:dyDescent="0.2">
      <c r="B14" s="64"/>
      <c r="C14" s="66" t="s">
        <v>26</v>
      </c>
      <c r="D14" s="77" t="s">
        <v>27</v>
      </c>
      <c r="E14" s="77" t="s">
        <v>28</v>
      </c>
      <c r="F14" s="2" t="s">
        <v>7</v>
      </c>
      <c r="G14" s="3" t="s">
        <v>158</v>
      </c>
      <c r="H14" s="5" t="s">
        <v>48</v>
      </c>
      <c r="I14" s="6">
        <f t="shared" si="0"/>
        <v>6.3221035069380237E-23</v>
      </c>
      <c r="J14" s="6"/>
      <c r="K14" s="120" t="s">
        <v>101</v>
      </c>
      <c r="L14" s="121"/>
      <c r="M14" s="121"/>
      <c r="N14" s="122"/>
    </row>
    <row r="15" spans="1:15" ht="15.75" customHeight="1" x14ac:dyDescent="0.25">
      <c r="A15" s="65" t="s">
        <v>116</v>
      </c>
      <c r="B15" s="66" t="s">
        <v>6</v>
      </c>
      <c r="C15" s="79">
        <v>-23</v>
      </c>
      <c r="D15" s="80">
        <v>40</v>
      </c>
      <c r="E15" s="81">
        <v>12.446018759999999</v>
      </c>
      <c r="F15" s="8">
        <f>RADIANS(SIGN(C15)*(ABS(C15)+(D15/60)+(E15/3600)))</f>
        <v>-0.41312159630702661</v>
      </c>
      <c r="G15" s="3">
        <f>DEGREES(F15)</f>
        <v>-23.670123894100001</v>
      </c>
      <c r="K15" s="37"/>
      <c r="L15" s="15" t="s">
        <v>102</v>
      </c>
      <c r="M15" s="13"/>
      <c r="N15" s="38" t="s">
        <v>103</v>
      </c>
    </row>
    <row r="16" spans="1:15" ht="15.75" customHeight="1" x14ac:dyDescent="0.2">
      <c r="A16" s="64"/>
      <c r="B16" s="66" t="s">
        <v>122</v>
      </c>
      <c r="C16" s="79">
        <v>133</v>
      </c>
      <c r="D16" s="80">
        <v>53</v>
      </c>
      <c r="E16" s="80">
        <v>7.8478440000000003</v>
      </c>
      <c r="F16" s="8">
        <f>RADIANS((ABS(C16)+D16/60+E16/3600))</f>
        <v>2.3367430276331258</v>
      </c>
      <c r="G16" s="3">
        <f>DEGREES(F16)</f>
        <v>133.88551329000001</v>
      </c>
      <c r="H16" s="125" t="s">
        <v>70</v>
      </c>
      <c r="I16" s="125"/>
      <c r="K16" s="24" t="s">
        <v>81</v>
      </c>
      <c r="L16" s="48">
        <f>I36</f>
        <v>-1.7835002692970569E-2</v>
      </c>
      <c r="M16" s="53" t="s">
        <v>80</v>
      </c>
      <c r="N16" s="50">
        <f>I35</f>
        <v>-0.41072714346139055</v>
      </c>
    </row>
    <row r="17" spans="1:14" ht="15.75" customHeight="1" x14ac:dyDescent="0.2">
      <c r="A17" s="64"/>
      <c r="B17" s="64"/>
      <c r="C17" s="64"/>
      <c r="D17" s="64"/>
      <c r="E17" s="64"/>
      <c r="F17" s="78"/>
      <c r="H17" s="1" t="s">
        <v>71</v>
      </c>
      <c r="I17" s="26">
        <f>C4/(1+I7)*(1+1/4*I8+1/64*I10+1/256*I12+25/16384*I14)</f>
        <v>6367449.145771048</v>
      </c>
      <c r="K17" s="37"/>
      <c r="L17" s="48">
        <f>L5*COS(2*$I$35)*SINH(2*$I$36)</f>
        <v>-2.0358586727465963E-5</v>
      </c>
      <c r="M17" s="19"/>
      <c r="N17" s="50">
        <f>L5*SIN(2*$I$35)*COSH(2*$I$36)</f>
        <v>-6.1372486315294577E-4</v>
      </c>
    </row>
    <row r="18" spans="1:14" ht="15.75" customHeight="1" x14ac:dyDescent="0.25">
      <c r="A18" s="64"/>
      <c r="B18" s="65"/>
      <c r="C18" s="64"/>
      <c r="D18" s="64"/>
      <c r="E18" s="64"/>
      <c r="F18" s="78"/>
      <c r="K18" s="37"/>
      <c r="L18" s="48">
        <f>L6*COS(4*$I$35)*SINH(4*$I$36)</f>
        <v>3.9141249683684981E-9</v>
      </c>
      <c r="M18" s="19"/>
      <c r="N18" s="50">
        <f>L6*SIN(4*$I$35)*COSH(4*$I$36)</f>
        <v>-7.6080728588029259E-7</v>
      </c>
    </row>
    <row r="19" spans="1:14" ht="15.75" customHeight="1" x14ac:dyDescent="0.2">
      <c r="A19" s="64"/>
      <c r="B19" s="66" t="s">
        <v>18</v>
      </c>
      <c r="C19" s="83">
        <f>I41</f>
        <v>386352.39786626009</v>
      </c>
      <c r="D19" s="84"/>
      <c r="E19" s="84"/>
      <c r="F19" s="78"/>
      <c r="H19" s="119" t="s">
        <v>85</v>
      </c>
      <c r="I19" s="119"/>
      <c r="K19" s="37"/>
      <c r="L19" s="48">
        <f>L7*COS(6*$I$35)*SINH(6*$I$36)</f>
        <v>1.0006735516650648E-10</v>
      </c>
      <c r="M19" s="19"/>
      <c r="N19" s="50">
        <f>L7*SIN(6*$I$35)*COSH(6*$I$36)</f>
        <v>-7.5478956683354867E-10</v>
      </c>
    </row>
    <row r="20" spans="1:14" ht="15.75" customHeight="1" x14ac:dyDescent="0.2">
      <c r="A20" s="64"/>
      <c r="B20" s="66" t="s">
        <v>19</v>
      </c>
      <c r="C20" s="83">
        <f>I42</f>
        <v>7381850.7689245902</v>
      </c>
      <c r="D20" s="84"/>
      <c r="E20" s="84"/>
      <c r="F20" s="78"/>
      <c r="H20" s="1" t="s">
        <v>60</v>
      </c>
      <c r="I20" s="18">
        <f>SQRT(I6)</f>
        <v>8.1819191042815792E-2</v>
      </c>
      <c r="K20" s="37"/>
      <c r="L20" s="48">
        <f>L8*COS(8*$I$35)*SINH(8*$I$36)</f>
        <v>3.4416062069208838E-13</v>
      </c>
      <c r="M20" s="19"/>
      <c r="N20" s="50">
        <f>L8*SIN(8*$I$35)*COSH(8*$I$36)</f>
        <v>3.5269239014189563E-13</v>
      </c>
    </row>
    <row r="21" spans="1:14" ht="15.75" customHeight="1" x14ac:dyDescent="0.2">
      <c r="A21" s="64"/>
      <c r="B21" s="66" t="s">
        <v>128</v>
      </c>
      <c r="C21" s="83">
        <f>TRUNC((G16-'Constants &amp; Parameters'!C28)/'Constants &amp; Parameters'!C26)</f>
        <v>53</v>
      </c>
      <c r="D21" s="84"/>
      <c r="E21" s="84"/>
      <c r="F21" s="78"/>
      <c r="H21" s="1" t="s">
        <v>37</v>
      </c>
      <c r="I21" s="18">
        <f>TAN(F15)</f>
        <v>-0.43834753800331561</v>
      </c>
      <c r="K21" s="37"/>
      <c r="L21" s="48">
        <f>L9*COS(10*$I$35)*SINH(10*$I$36)</f>
        <v>5.8257518398110259E-16</v>
      </c>
      <c r="M21" s="19"/>
      <c r="N21" s="50">
        <f>L9*SIN(10*$I$35)*COSH(10*$I$36)</f>
        <v>4.7725114218095085E-15</v>
      </c>
    </row>
    <row r="22" spans="1:14" ht="15.75" customHeight="1" x14ac:dyDescent="0.2">
      <c r="A22" s="64"/>
      <c r="B22" s="66" t="s">
        <v>23</v>
      </c>
      <c r="C22" s="85">
        <f>I45</f>
        <v>0.99975953924742456</v>
      </c>
      <c r="D22" s="84"/>
      <c r="E22" s="84"/>
      <c r="F22" s="78"/>
      <c r="H22" s="1" t="s">
        <v>38</v>
      </c>
      <c r="I22" s="18">
        <f>SINH(I20*ATANH(I20*I21/SQRT(1+(I21^2))))</f>
        <v>-2.6885649969481049E-3</v>
      </c>
      <c r="K22" s="37"/>
      <c r="L22" s="48">
        <f>L10*COS(12*$I$35)*SINH(12*$I$36)</f>
        <v>-6.8511474683204519E-19</v>
      </c>
      <c r="M22" s="19"/>
      <c r="N22" s="50">
        <f>L10*SIN(12*$I$35)*COSH(12*$I$36)</f>
        <v>1.478731519062257E-17</v>
      </c>
    </row>
    <row r="23" spans="1:14" ht="15.75" customHeight="1" x14ac:dyDescent="0.2">
      <c r="B23" s="66" t="s">
        <v>84</v>
      </c>
      <c r="C23" s="92">
        <f>TRUNC(I49)</f>
        <v>0</v>
      </c>
      <c r="D23" s="84">
        <f>TRUNC((I49-C23)*60)</f>
        <v>-26</v>
      </c>
      <c r="E23" s="83">
        <f>(I49-C23-(D23/60))*3600</f>
        <v>-50.933104856450463</v>
      </c>
      <c r="F23" s="137"/>
      <c r="G23" s="56"/>
      <c r="H23" s="1" t="s">
        <v>39</v>
      </c>
      <c r="I23" s="18">
        <f>I21*SQRT(1+I22^2)-I22*SQRT(1+I21^2)</f>
        <v>-0.43541359763157372</v>
      </c>
      <c r="K23" s="37"/>
      <c r="L23" s="48">
        <f>L11*COS(14*$I$35)*SINH(14*$I$36)</f>
        <v>-8.9256859199483768E-21</v>
      </c>
      <c r="M23" s="19"/>
      <c r="N23" s="50">
        <f>L11*SIN(14*$I$35)*COSH(14*$I$36)</f>
        <v>2.1525842128087443E-20</v>
      </c>
    </row>
    <row r="24" spans="1:14" ht="15.75" customHeight="1" x14ac:dyDescent="0.2">
      <c r="B24" s="1"/>
      <c r="C24" s="7"/>
      <c r="F24" s="56"/>
      <c r="H24" s="1" t="s">
        <v>104</v>
      </c>
      <c r="I24" s="18">
        <f>ATAN(I23)</f>
        <v>-0.41065789080917486</v>
      </c>
      <c r="K24" s="37"/>
      <c r="L24" s="48">
        <f>L12*COS(16*$I$35)*SINH(16*$I$36)</f>
        <v>-3.3574915406820149E-23</v>
      </c>
      <c r="M24" s="19"/>
      <c r="N24" s="50">
        <f>L12*SIN(16*$I$35)*COSH(16*$I$36)</f>
        <v>-3.5854556304020421E-23</v>
      </c>
    </row>
    <row r="25" spans="1:14" ht="15.75" customHeight="1" x14ac:dyDescent="0.2">
      <c r="C25" s="55"/>
      <c r="D25" s="56"/>
      <c r="E25" s="56"/>
      <c r="F25" s="56"/>
      <c r="H25" s="1" t="s">
        <v>105</v>
      </c>
      <c r="I25" s="18">
        <f>DEGREES(I24)</f>
        <v>-23.52896396710992</v>
      </c>
      <c r="K25" s="30" t="s">
        <v>74</v>
      </c>
      <c r="L25" s="49">
        <f>SUM(L16:L24)</f>
        <v>-1.7855357265160968E-2</v>
      </c>
      <c r="M25" s="31" t="s">
        <v>73</v>
      </c>
      <c r="N25" s="51">
        <f>SUM(N16:N24)</f>
        <v>-0.41134162988626144</v>
      </c>
    </row>
    <row r="26" spans="1:14" ht="15.75" customHeight="1" x14ac:dyDescent="0.2">
      <c r="F26" s="56"/>
    </row>
    <row r="27" spans="1:14" ht="15.75" customHeight="1" x14ac:dyDescent="0.2">
      <c r="F27" s="56"/>
      <c r="H27" s="119" t="s">
        <v>86</v>
      </c>
      <c r="I27" s="119"/>
      <c r="K27" s="120" t="s">
        <v>92</v>
      </c>
      <c r="L27" s="121"/>
      <c r="M27" s="121"/>
      <c r="N27" s="122"/>
    </row>
    <row r="28" spans="1:14" ht="15.75" customHeight="1" x14ac:dyDescent="0.2">
      <c r="F28" s="56"/>
      <c r="H28" s="1" t="s">
        <v>24</v>
      </c>
      <c r="I28" s="8">
        <f>F16-RADIANS(C7)</f>
        <v>-1.9451462559219035E-2</v>
      </c>
      <c r="K28" s="37"/>
      <c r="L28" s="15" t="s">
        <v>14</v>
      </c>
      <c r="M28" s="13"/>
      <c r="N28" s="38" t="s">
        <v>15</v>
      </c>
    </row>
    <row r="29" spans="1:14" ht="15.75" customHeight="1" x14ac:dyDescent="0.2">
      <c r="A29" s="4"/>
      <c r="K29" s="39"/>
      <c r="L29" s="13">
        <v>0</v>
      </c>
      <c r="M29" s="13"/>
      <c r="N29" s="14">
        <v>1</v>
      </c>
    </row>
    <row r="30" spans="1:14" ht="15.75" customHeight="1" x14ac:dyDescent="0.2">
      <c r="H30" s="119" t="s">
        <v>9</v>
      </c>
      <c r="I30" s="119"/>
      <c r="K30" s="39"/>
      <c r="L30" s="20">
        <f>2*L5*SIN(2*$I$35)*SINH(2*$I$36)</f>
        <v>4.3764578645769277E-5</v>
      </c>
      <c r="M30" s="20"/>
      <c r="N30" s="17">
        <f>2*L5*COS(2*$I$35)*COSH(2*$I$36)</f>
        <v>1.1419802260117752E-3</v>
      </c>
    </row>
    <row r="31" spans="1:14" ht="15.75" customHeight="1" x14ac:dyDescent="0.2">
      <c r="H31" s="1" t="s">
        <v>10</v>
      </c>
      <c r="I31" s="7">
        <f>C4*ATAN(I23/COS(I28))</f>
        <v>-2619673.9906154033</v>
      </c>
      <c r="K31" s="39"/>
      <c r="L31" s="20">
        <f>4*L6*SIN(4*$I$35)*SINH(4*$I$36)</f>
        <v>2.1673643863623084E-7</v>
      </c>
      <c r="M31" s="19"/>
      <c r="N31" s="17">
        <f>4*L6*COS(4*$I$35)*COSH(4*$I$36)</f>
        <v>-2.1983528473705737E-7</v>
      </c>
    </row>
    <row r="32" spans="1:14" ht="15.75" customHeight="1" x14ac:dyDescent="0.2">
      <c r="B32" s="54"/>
      <c r="H32" s="1" t="s">
        <v>11</v>
      </c>
      <c r="I32" s="7">
        <f>C4*ASINH(SIN(I28)/SQRT(I23^2+(COS(I28))^2))</f>
        <v>-113754.09057113522</v>
      </c>
      <c r="K32" s="39"/>
      <c r="L32" s="20">
        <f>6*L7*SIN(6*$I$35)*SINH(6*$I$36)</f>
        <v>4.8277887764852863E-10</v>
      </c>
      <c r="M32" s="19"/>
      <c r="N32" s="17">
        <f>6*L7*COS(6*$I$35)*COSH(6*$I$36)</f>
        <v>-5.6321284332380394E-9</v>
      </c>
    </row>
    <row r="33" spans="2:14" ht="15.75" customHeight="1" x14ac:dyDescent="0.2">
      <c r="B33" s="54"/>
      <c r="K33" s="39"/>
      <c r="L33" s="20">
        <f>8*L8*SIN(8*$I$35)*SINH(8*$I$36)</f>
        <v>-3.9986749211975662E-13</v>
      </c>
      <c r="M33" s="19"/>
      <c r="N33" s="17">
        <f>8*L8*COS(8*$I$35)*COSH(8*$I$36)</f>
        <v>-1.94276889094263E-11</v>
      </c>
    </row>
    <row r="34" spans="2:14" ht="15.75" customHeight="1" x14ac:dyDescent="0.2">
      <c r="H34" s="119" t="s">
        <v>72</v>
      </c>
      <c r="I34" s="119"/>
      <c r="K34" s="39"/>
      <c r="L34" s="20">
        <f>10*L9*SIN(10*$I$35)*SINH(10*$I$36)</f>
        <v>-8.4226595054936537E-15</v>
      </c>
      <c r="M34" s="19"/>
      <c r="N34" s="17">
        <f>10*L9*COS(10*$I$35)*COSH(10*$I$36)</f>
        <v>-3.3010318389329586E-14</v>
      </c>
    </row>
    <row r="35" spans="2:14" ht="15.75" customHeight="1" x14ac:dyDescent="0.2">
      <c r="H35" s="1" t="s">
        <v>90</v>
      </c>
      <c r="I35" s="8">
        <f>I31/C4</f>
        <v>-0.41072714346139055</v>
      </c>
      <c r="K35" s="39"/>
      <c r="L35" s="20">
        <f>12*L10*SIN(12*$I$35)*SINH(12*$I$36)</f>
        <v>-3.7407964652769866E-17</v>
      </c>
      <c r="M35" s="19"/>
      <c r="N35" s="17">
        <f>12*L10*COS(12*$I$35)*COSH(12*$I$36)</f>
        <v>3.8998783355229674E-17</v>
      </c>
    </row>
    <row r="36" spans="2:14" ht="15.75" customHeight="1" x14ac:dyDescent="0.2">
      <c r="H36" s="1" t="s">
        <v>91</v>
      </c>
      <c r="I36" s="8">
        <f>I32/C4</f>
        <v>-1.7835002692970569E-2</v>
      </c>
      <c r="K36" s="39"/>
      <c r="L36" s="20">
        <f>14*L11*SIN(14*$I$35)*SINH(14*$I$36)</f>
        <v>-7.3721312259617845E-20</v>
      </c>
      <c r="M36" s="19"/>
      <c r="N36" s="17">
        <f>14*L11*COS(14*$I$35)*COSH(14*$I$36)</f>
        <v>5.1081632191967101E-19</v>
      </c>
    </row>
    <row r="37" spans="2:14" ht="15.75" customHeight="1" x14ac:dyDescent="0.2">
      <c r="K37" s="39"/>
      <c r="L37" s="20">
        <f>16*L12*SIN(16*$I$35)*SINH(16*$I$36)</f>
        <v>1.5939996592101041E-22</v>
      </c>
      <c r="M37" s="19"/>
      <c r="N37" s="17">
        <f>16*L12*COS(16*$I$35)*COSH(16*$I$36)</f>
        <v>1.933352395043754E-21</v>
      </c>
    </row>
    <row r="38" spans="2:14" ht="15.75" customHeight="1" x14ac:dyDescent="0.2">
      <c r="H38" s="119" t="s">
        <v>93</v>
      </c>
      <c r="I38" s="119"/>
      <c r="K38" s="30" t="s">
        <v>16</v>
      </c>
      <c r="L38" s="32">
        <f>L29-SUM(L30:L37)</f>
        <v>-4.3981797454955523E-5</v>
      </c>
      <c r="M38" s="31" t="s">
        <v>17</v>
      </c>
      <c r="N38" s="33">
        <f>N29+SUM(N30:N37)</f>
        <v>1.0011417547391379</v>
      </c>
    </row>
    <row r="39" spans="2:14" ht="15.75" customHeight="1" x14ac:dyDescent="0.2">
      <c r="H39" s="1" t="s">
        <v>75</v>
      </c>
      <c r="I39" s="7">
        <f>I17*L25</f>
        <v>-113693.07936548609</v>
      </c>
    </row>
    <row r="40" spans="2:14" ht="15.75" customHeight="1" x14ac:dyDescent="0.2">
      <c r="H40" s="1" t="s">
        <v>76</v>
      </c>
      <c r="I40" s="7">
        <f>I17*N25</f>
        <v>-2619196.9098393461</v>
      </c>
    </row>
    <row r="41" spans="2:14" ht="15.75" customHeight="1" x14ac:dyDescent="0.3">
      <c r="H41" s="1" t="s">
        <v>57</v>
      </c>
      <c r="I41" s="9">
        <f>C8*I39+C9</f>
        <v>386352.39786626009</v>
      </c>
    </row>
    <row r="42" spans="2:14" ht="15.75" customHeight="1" x14ac:dyDescent="0.3">
      <c r="H42" s="1" t="s">
        <v>58</v>
      </c>
      <c r="I42" s="9">
        <f>C8*I40+C10</f>
        <v>7381850.7689245902</v>
      </c>
    </row>
    <row r="43" spans="2:14" ht="15.75" customHeight="1" x14ac:dyDescent="0.2"/>
    <row r="44" spans="2:14" ht="15.75" customHeight="1" x14ac:dyDescent="0.2">
      <c r="H44" s="119" t="s">
        <v>20</v>
      </c>
      <c r="I44" s="119"/>
    </row>
    <row r="45" spans="2:14" ht="15.75" customHeight="1" x14ac:dyDescent="0.2">
      <c r="H45" s="1" t="s">
        <v>21</v>
      </c>
      <c r="I45" s="10">
        <f>C8*I17/C4*SQRT(N38^2+L38^2)*(SQRT(1+I21^2)*SQRT(1-I6*SIN(F15)^2)/SQRT(I23^2+COS(I28)^2))</f>
        <v>0.99975953924742456</v>
      </c>
    </row>
    <row r="46" spans="2:14" ht="15.75" customHeight="1" x14ac:dyDescent="0.2"/>
    <row r="47" spans="2:14" ht="15.75" customHeight="1" x14ac:dyDescent="0.2">
      <c r="H47" s="119" t="s">
        <v>22</v>
      </c>
      <c r="I47" s="119"/>
      <c r="L47" s="91" t="s">
        <v>125</v>
      </c>
      <c r="M47" s="91" t="s">
        <v>126</v>
      </c>
    </row>
    <row r="48" spans="2:14" ht="15.75" customHeight="1" x14ac:dyDescent="0.2">
      <c r="H48" s="1" t="s">
        <v>40</v>
      </c>
      <c r="I48" s="11">
        <f>ATAN(ABS(L38/N38))+ATAN(ABS(I23*TAN(I28))/SQRT(1+I23^2))</f>
        <v>7.8100240858666988E-3</v>
      </c>
      <c r="L48" s="3">
        <f>IF(C7-C16&lt;0,1,-1)</f>
        <v>-1</v>
      </c>
      <c r="M48" s="3">
        <f>IF(C15&lt;0,-1,1)</f>
        <v>-1</v>
      </c>
    </row>
    <row r="49" spans="8:12" x14ac:dyDescent="0.2">
      <c r="H49" s="1" t="s">
        <v>59</v>
      </c>
      <c r="I49" s="11">
        <f>DEGREES(I48)*L51</f>
        <v>-0.4474814180156807</v>
      </c>
    </row>
    <row r="50" spans="8:12" x14ac:dyDescent="0.2">
      <c r="L50" s="91" t="s">
        <v>127</v>
      </c>
    </row>
    <row r="51" spans="8:12" x14ac:dyDescent="0.2">
      <c r="L51" s="3">
        <f>IF(AND(L48=-1,M48=-1),-1,IF(AND(L48=1,M48=-1),1,IF(AND(L48=1,M48=-1),1,IF(AND(L48=1,M48=1),-1,1))))</f>
        <v>-1</v>
      </c>
    </row>
  </sheetData>
  <mergeCells count="12">
    <mergeCell ref="H47:I47"/>
    <mergeCell ref="K27:N27"/>
    <mergeCell ref="K4:L4"/>
    <mergeCell ref="K14:N14"/>
    <mergeCell ref="H34:I34"/>
    <mergeCell ref="H38:I38"/>
    <mergeCell ref="H4:I4"/>
    <mergeCell ref="H19:I19"/>
    <mergeCell ref="H27:I27"/>
    <mergeCell ref="H30:I30"/>
    <mergeCell ref="H16:I16"/>
    <mergeCell ref="H44:I4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0" orientation="landscape"/>
  <headerFooter scaleWithDoc="0" alignWithMargins="0">
    <oddHeader>&amp;A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8"/>
  <sheetViews>
    <sheetView zoomScaleNormal="100" workbookViewId="0">
      <selection activeCell="C35" sqref="C35"/>
    </sheetView>
  </sheetViews>
  <sheetFormatPr defaultColWidth="9.140625" defaultRowHeight="15.75" customHeight="1" x14ac:dyDescent="0.2"/>
  <cols>
    <col min="1" max="1" width="14.28515625" style="3" customWidth="1"/>
    <col min="2" max="2" width="34.28515625" style="3" bestFit="1" customWidth="1"/>
    <col min="3" max="3" width="23.85546875" style="3" customWidth="1"/>
    <col min="4" max="4" width="5.42578125" style="3" customWidth="1"/>
    <col min="5" max="5" width="14.7109375" style="3" customWidth="1"/>
    <col min="6" max="6" width="2.42578125" style="3" hidden="1" customWidth="1"/>
    <col min="7" max="7" width="21.7109375" style="3" hidden="1" customWidth="1"/>
    <col min="8" max="8" width="20.85546875" style="3" hidden="1" customWidth="1"/>
    <col min="9" max="9" width="2.7109375" style="3" hidden="1" customWidth="1"/>
    <col min="10" max="10" width="8" style="3" hidden="1" customWidth="1"/>
    <col min="11" max="11" width="17.28515625" style="3" hidden="1" customWidth="1"/>
    <col min="12" max="12" width="15.140625" style="3" hidden="1" customWidth="1"/>
    <col min="13" max="13" width="17.28515625" style="3" hidden="1" customWidth="1"/>
    <col min="14" max="14" width="17.7109375" style="3" hidden="1" customWidth="1"/>
    <col min="15" max="15" width="17" style="3" customWidth="1"/>
    <col min="16" max="16" width="3.85546875" style="3" customWidth="1"/>
    <col min="17" max="20" width="17.28515625" style="3" bestFit="1" customWidth="1"/>
    <col min="21" max="21" width="16.42578125" style="3" bestFit="1" customWidth="1"/>
    <col min="22" max="16384" width="9.140625" style="3"/>
  </cols>
  <sheetData>
    <row r="1" spans="1:21" ht="23.25" x14ac:dyDescent="0.35">
      <c r="A1" s="57" t="s">
        <v>124</v>
      </c>
      <c r="B1" s="88"/>
      <c r="C1" s="88"/>
      <c r="E1" s="61" t="s">
        <v>106</v>
      </c>
    </row>
    <row r="2" spans="1:21" ht="15.75" customHeight="1" x14ac:dyDescent="0.2">
      <c r="A2" s="64"/>
      <c r="B2" s="64"/>
      <c r="C2" s="64"/>
      <c r="D2" s="64"/>
      <c r="E2" s="62" t="s">
        <v>107</v>
      </c>
    </row>
    <row r="3" spans="1:21" ht="15.75" customHeight="1" x14ac:dyDescent="0.25">
      <c r="A3" s="65" t="s">
        <v>0</v>
      </c>
      <c r="B3" s="66" t="s">
        <v>3</v>
      </c>
      <c r="C3" s="67">
        <v>6378137</v>
      </c>
      <c r="D3" s="68"/>
      <c r="E3" s="63" t="s">
        <v>108</v>
      </c>
      <c r="G3" s="119" t="s">
        <v>4</v>
      </c>
      <c r="H3" s="119"/>
      <c r="J3" s="120" t="s">
        <v>89</v>
      </c>
      <c r="K3" s="126"/>
      <c r="L3" s="120" t="s">
        <v>94</v>
      </c>
      <c r="M3" s="122"/>
    </row>
    <row r="4" spans="1:21" ht="15.75" customHeight="1" x14ac:dyDescent="0.3">
      <c r="A4" s="66"/>
      <c r="B4" s="66" t="s">
        <v>1</v>
      </c>
      <c r="C4" s="69">
        <v>298.25722210100002</v>
      </c>
      <c r="D4" s="70"/>
      <c r="E4" s="70"/>
      <c r="G4" s="5" t="s">
        <v>5</v>
      </c>
      <c r="H4" s="6">
        <f>1/C4</f>
        <v>3.3528106811823188E-3</v>
      </c>
      <c r="J4" s="24" t="s">
        <v>49</v>
      </c>
      <c r="K4" s="17">
        <f>1/2*$H$6-2/3*$H$7+5/16*$H$8+41/180*$H$9-127/288*$H$10+7891/37800*$H$11+72161/387072*$H$12-18975107/50803200*$H$13</f>
        <v>8.3773182472855127E-4</v>
      </c>
      <c r="L4" s="24" t="s">
        <v>62</v>
      </c>
      <c r="M4" s="17">
        <f>-1/2*$H$6+2/3*$H$7-37/96*$H$8+1/360*$H$9+81/512*$H$10-96199/604800*$H$11+5406467/38707200*$H$12-7944359/67737600*$H$13</f>
        <v>-8.3773216816203529E-4</v>
      </c>
      <c r="N4" s="1"/>
    </row>
    <row r="5" spans="1:21" ht="15.75" customHeight="1" x14ac:dyDescent="0.3">
      <c r="A5" s="65"/>
      <c r="B5" s="64"/>
      <c r="C5" s="78"/>
      <c r="D5" s="64"/>
      <c r="E5" s="64"/>
      <c r="G5" s="5" t="s">
        <v>41</v>
      </c>
      <c r="H5" s="6">
        <f>H4*(2-H4)</f>
        <v>6.6943800229007869E-3</v>
      </c>
      <c r="J5" s="24" t="s">
        <v>50</v>
      </c>
      <c r="K5" s="17">
        <f>13/48*$H$7-3/5*$H$8+557/1440*$H$9+281/630*$H$10-1983433/1935360*$H$11+13769/28800*$H$12+148003883/174182400*$H$13</f>
        <v>7.6085278481496568E-7</v>
      </c>
      <c r="L5" s="24" t="s">
        <v>63</v>
      </c>
      <c r="M5" s="17">
        <f>-1/48*$H$7-1/15*$H$8+437/1440*$H$9-46/105*$H$10+1118711/3870720*$H$11-51841/1209600*$H$12-24749483/348364800*$H$13</f>
        <v>-5.9058702103691223E-8</v>
      </c>
      <c r="N5" s="7"/>
    </row>
    <row r="6" spans="1:21" ht="15.75" customHeight="1" x14ac:dyDescent="0.35">
      <c r="A6" s="65" t="s">
        <v>2</v>
      </c>
      <c r="B6" s="66" t="s">
        <v>109</v>
      </c>
      <c r="C6" s="71">
        <v>135</v>
      </c>
      <c r="D6" s="64"/>
      <c r="E6" s="64"/>
      <c r="G6" s="5" t="s">
        <v>25</v>
      </c>
      <c r="H6" s="6">
        <f>H4/(2-H4)</f>
        <v>1.6792203946287448E-3</v>
      </c>
      <c r="J6" s="24" t="s">
        <v>51</v>
      </c>
      <c r="K6" s="17">
        <f>61/240*$H$8-103/140*$H$9+15061/26880*$H$10+167603/181440*$H$11-67102379/29030400*$H$12+79682431/79833600*$H$13</f>
        <v>1.1976455208553066E-9</v>
      </c>
      <c r="L6" s="24" t="s">
        <v>64</v>
      </c>
      <c r="M6" s="17">
        <f>-17/480*$H$8+37/840*$H$9+209/4480*$H$10-5569/90720*$H$11-9261899/58060800*$H$12+6457463/17740800*$H$13</f>
        <v>-1.6734826899771701E-10</v>
      </c>
      <c r="N6" s="8"/>
    </row>
    <row r="7" spans="1:21" ht="15.75" customHeight="1" x14ac:dyDescent="0.35">
      <c r="B7" s="66" t="s">
        <v>110</v>
      </c>
      <c r="C7" s="73">
        <v>0.99960000000000004</v>
      </c>
      <c r="D7" s="72"/>
      <c r="E7" s="72"/>
      <c r="G7" s="5" t="s">
        <v>42</v>
      </c>
      <c r="H7" s="6">
        <f>H6*$H$6</f>
        <v>2.8197811337371174E-6</v>
      </c>
      <c r="J7" s="24" t="s">
        <v>52</v>
      </c>
      <c r="K7" s="17">
        <f>49561/161280*$H$9-179/168*$H$10+6601661/7257600*$H$11+97445/49896*$H$12-40176129013/7664025600*$H$13</f>
        <v>2.4291707280367475E-12</v>
      </c>
      <c r="L7" s="24" t="s">
        <v>65</v>
      </c>
      <c r="M7" s="17">
        <f>-4397/161280*$H$9+11/504*$H$10+830251/7257600*$H$11-466511/2494800*$H$12-324154477/7664025600*$H$13</f>
        <v>-2.1647981529930687E-13</v>
      </c>
      <c r="N7" s="8"/>
    </row>
    <row r="8" spans="1:21" ht="15.75" customHeight="1" x14ac:dyDescent="0.35">
      <c r="A8" s="66"/>
      <c r="B8" s="66" t="s">
        <v>111</v>
      </c>
      <c r="C8" s="75">
        <v>500000</v>
      </c>
      <c r="D8" s="74"/>
      <c r="E8" s="74"/>
      <c r="G8" s="5" t="s">
        <v>43</v>
      </c>
      <c r="H8" s="6">
        <f t="shared" ref="H8:H13" si="0">H7*$H$6</f>
        <v>4.7350339881607318E-9</v>
      </c>
      <c r="J8" s="24" t="s">
        <v>53</v>
      </c>
      <c r="K8" s="17">
        <f>34729/80640*$H$10-3418889/1995840*$H$11+14644087/9123840*$H$12+2605413599/622702080*$H$13</f>
        <v>5.7118185104663368E-15</v>
      </c>
      <c r="L8" s="24" t="s">
        <v>66</v>
      </c>
      <c r="M8" s="17">
        <f>-4583/161280*$H$10+108847/3991680*$H$11+8005831/63866880*$H$12-22894433/124540416*$H$13</f>
        <v>-3.7879310615900127E-16</v>
      </c>
      <c r="N8" s="8"/>
    </row>
    <row r="9" spans="1:21" ht="15.75" customHeight="1" x14ac:dyDescent="0.35">
      <c r="A9" s="66"/>
      <c r="B9" s="66" t="s">
        <v>112</v>
      </c>
      <c r="C9" s="75">
        <v>10000000</v>
      </c>
      <c r="D9" s="76"/>
      <c r="E9" s="76"/>
      <c r="G9" s="5" t="s">
        <v>44</v>
      </c>
      <c r="H9" s="6">
        <f t="shared" si="0"/>
        <v>7.9511656421797826E-12</v>
      </c>
      <c r="J9" s="24" t="s">
        <v>54</v>
      </c>
      <c r="K9" s="17">
        <f>212378941/319334400*$H$11-30705481/10378368*$H$12+175214326799/58118860800*$H$13</f>
        <v>1.4799979749262575E-17</v>
      </c>
      <c r="L9" s="24" t="s">
        <v>67</v>
      </c>
      <c r="M9" s="17">
        <f>-20648693/638668800*$H$11+16363163/518918400*$H$12+2204645983/12915302400*$H$13</f>
        <v>-7.2367692349532466E-19</v>
      </c>
      <c r="N9" s="8"/>
    </row>
    <row r="10" spans="1:21" ht="15.75" customHeight="1" x14ac:dyDescent="0.3">
      <c r="A10" s="66"/>
      <c r="D10" s="76"/>
      <c r="E10" s="76"/>
      <c r="G10" s="5" t="s">
        <v>45</v>
      </c>
      <c r="H10" s="6">
        <f t="shared" si="0"/>
        <v>1.3351759507419652E-14</v>
      </c>
      <c r="J10" s="24" t="s">
        <v>55</v>
      </c>
      <c r="K10" s="17">
        <f>1522256789/1383782400*$H$12-16759934899/3113510400*$H$13</f>
        <v>4.1076242503838289E-20</v>
      </c>
      <c r="L10" s="24" t="s">
        <v>68</v>
      </c>
      <c r="M10" s="17">
        <f>-219941297/5535129600*$H$12+497323811/12454041600*$H$13</f>
        <v>-1.4934798760970368E-21</v>
      </c>
      <c r="N10" s="8"/>
    </row>
    <row r="11" spans="1:21" ht="15.75" customHeight="1" x14ac:dyDescent="0.3">
      <c r="A11" s="66"/>
      <c r="B11" s="64"/>
      <c r="C11" s="78"/>
      <c r="D11" s="64"/>
      <c r="E11" s="64"/>
      <c r="G11" s="5" t="s">
        <v>46</v>
      </c>
      <c r="H11" s="6">
        <f t="shared" si="0"/>
        <v>2.2420546869037323E-17</v>
      </c>
      <c r="J11" s="27" t="s">
        <v>56</v>
      </c>
      <c r="K11" s="28">
        <f>1424729850961/743921418240*$H$13</f>
        <v>1.2107850864826076E-22</v>
      </c>
      <c r="L11" s="27" t="s">
        <v>69</v>
      </c>
      <c r="M11" s="28">
        <f>-191773887257/3719607091200*$H$13</f>
        <v>-3.2595226738732615E-24</v>
      </c>
      <c r="N11" s="8"/>
    </row>
    <row r="12" spans="1:21" ht="15.75" customHeight="1" x14ac:dyDescent="0.25">
      <c r="A12" s="65" t="s">
        <v>114</v>
      </c>
      <c r="B12" s="64"/>
      <c r="C12" s="80" t="s">
        <v>115</v>
      </c>
      <c r="D12" s="64"/>
      <c r="E12" s="64"/>
      <c r="G12" s="5" t="s">
        <v>47</v>
      </c>
      <c r="H12" s="6">
        <f t="shared" si="0"/>
        <v>3.7649039561217119E-20</v>
      </c>
      <c r="J12" s="1"/>
      <c r="K12" s="6"/>
      <c r="L12" s="6"/>
      <c r="M12" s="7"/>
      <c r="N12" s="8"/>
    </row>
    <row r="13" spans="1:21" ht="15.75" customHeight="1" x14ac:dyDescent="0.2">
      <c r="A13" s="66"/>
      <c r="B13" s="64"/>
      <c r="C13" s="78"/>
      <c r="D13" s="64"/>
      <c r="E13" s="64"/>
      <c r="G13" s="5" t="s">
        <v>48</v>
      </c>
      <c r="H13" s="6">
        <f t="shared" si="0"/>
        <v>6.3221035069380237E-23</v>
      </c>
      <c r="I13" s="6"/>
      <c r="J13" s="127" t="s">
        <v>95</v>
      </c>
      <c r="K13" s="128"/>
      <c r="L13" s="128"/>
      <c r="M13" s="129"/>
      <c r="N13" s="8"/>
    </row>
    <row r="14" spans="1:21" ht="15.75" customHeight="1" x14ac:dyDescent="0.25">
      <c r="A14" s="65" t="s">
        <v>117</v>
      </c>
      <c r="B14" s="66" t="s">
        <v>18</v>
      </c>
      <c r="C14" s="90">
        <v>386352.39786626003</v>
      </c>
      <c r="D14" s="64"/>
      <c r="E14" s="64"/>
      <c r="J14" s="40"/>
      <c r="K14" s="41" t="s">
        <v>96</v>
      </c>
      <c r="L14" s="13"/>
      <c r="M14" s="38" t="s">
        <v>97</v>
      </c>
      <c r="N14" s="7"/>
    </row>
    <row r="15" spans="1:21" ht="15.75" customHeight="1" x14ac:dyDescent="0.2">
      <c r="A15" s="64"/>
      <c r="B15" s="66" t="s">
        <v>19</v>
      </c>
      <c r="C15" s="90">
        <v>7381850.7689244999</v>
      </c>
      <c r="D15" s="64"/>
      <c r="E15" s="64"/>
      <c r="F15" s="2"/>
      <c r="G15" s="125" t="s">
        <v>70</v>
      </c>
      <c r="H15" s="125"/>
      <c r="J15" s="24" t="s">
        <v>73</v>
      </c>
      <c r="K15" s="17">
        <f>H23</f>
        <v>-0.41134162988627554</v>
      </c>
      <c r="L15" s="53" t="s">
        <v>74</v>
      </c>
      <c r="M15" s="17">
        <f>H24</f>
        <v>-1.7855357265160982E-2</v>
      </c>
    </row>
    <row r="16" spans="1:21" ht="15.75" customHeight="1" x14ac:dyDescent="0.2">
      <c r="A16" s="64"/>
      <c r="B16" s="66" t="s">
        <v>128</v>
      </c>
      <c r="C16" s="64"/>
      <c r="D16" s="64"/>
      <c r="E16" s="64"/>
      <c r="F16" s="8"/>
      <c r="G16" s="1" t="s">
        <v>71</v>
      </c>
      <c r="H16" s="7">
        <f>C3/(1+H6)*(1+1/4*H7+1/64*H9+1/256*H11+25/16384*H13)</f>
        <v>6367449.145771048</v>
      </c>
      <c r="J16" s="37"/>
      <c r="K16" s="17">
        <f>M4*SIN(2*$H$23)*COSH(2*$H$24)</f>
        <v>6.1442727507014718E-4</v>
      </c>
      <c r="L16" s="19"/>
      <c r="M16" s="17">
        <f>M4*COS(2*$H$23)*SINH(2*$H$24)</f>
        <v>2.0354900778180669E-5</v>
      </c>
      <c r="U16" s="23"/>
    </row>
    <row r="17" spans="1:21" ht="15.75" customHeight="1" x14ac:dyDescent="0.25">
      <c r="A17" s="64"/>
      <c r="B17" s="65"/>
      <c r="C17" s="64"/>
      <c r="D17" s="64"/>
      <c r="E17" s="64"/>
      <c r="F17" s="8"/>
      <c r="J17" s="37"/>
      <c r="K17" s="17">
        <f>M5*SIN(4*$H$23)*COSH(4*$H$24)</f>
        <v>5.9044848993983676E-8</v>
      </c>
      <c r="L17" s="19"/>
      <c r="M17" s="17">
        <f>M5*COS(4*$H$23)*SINH(4*$H$24)</f>
        <v>-3.1451711894333173E-10</v>
      </c>
    </row>
    <row r="18" spans="1:21" ht="15.75" customHeight="1" x14ac:dyDescent="0.2">
      <c r="A18" s="64"/>
      <c r="B18" s="64"/>
      <c r="C18" s="66" t="s">
        <v>26</v>
      </c>
      <c r="D18" s="77" t="s">
        <v>27</v>
      </c>
      <c r="E18" s="77" t="s">
        <v>28</v>
      </c>
      <c r="G18" s="119" t="s">
        <v>93</v>
      </c>
      <c r="H18" s="119"/>
      <c r="J18" s="37"/>
      <c r="K18" s="17">
        <f>M6*SIN(6*$H$23)*COSH(6*$H$24)</f>
        <v>1.0498460182737936E-10</v>
      </c>
      <c r="L18" s="19"/>
      <c r="M18" s="17">
        <f>M6*COS(6*$H$23)*SINH(6*$H$24)</f>
        <v>-1.4039940671918665E-11</v>
      </c>
    </row>
    <row r="19" spans="1:21" ht="15.75" customHeight="1" x14ac:dyDescent="0.2">
      <c r="A19" s="64"/>
      <c r="B19" s="66" t="s">
        <v>119</v>
      </c>
      <c r="C19" s="84">
        <f>TRUNC(H42)</f>
        <v>-23</v>
      </c>
      <c r="D19" s="84">
        <f>TRUNC((H42-C19)*60)</f>
        <v>-40</v>
      </c>
      <c r="E19" s="83">
        <f>(H42-C19-(D19/60))*3600</f>
        <v>-12.446018762895639</v>
      </c>
      <c r="G19" s="1" t="s">
        <v>12</v>
      </c>
      <c r="H19" s="7">
        <f>(C14-C8)/C7</f>
        <v>-113693.07936548616</v>
      </c>
      <c r="J19" s="37"/>
      <c r="K19" s="17">
        <f>M7*SIN(8*$H$23)*COSH(8*$H$24)</f>
        <v>-3.2495048343387828E-14</v>
      </c>
      <c r="L19" s="19"/>
      <c r="M19" s="17">
        <f>M7*COS(8*$H$23)*SINH(8*$H$24)</f>
        <v>-3.0683425788723584E-14</v>
      </c>
    </row>
    <row r="20" spans="1:21" ht="15.75" customHeight="1" x14ac:dyDescent="0.2">
      <c r="A20" s="64"/>
      <c r="B20" s="66" t="s">
        <v>118</v>
      </c>
      <c r="C20" s="84">
        <f>TRUNC(H49)</f>
        <v>133</v>
      </c>
      <c r="D20" s="84">
        <f>TRUNC((H49-C20)*60)</f>
        <v>53</v>
      </c>
      <c r="E20" s="83">
        <f>(H49-C20-(D20/60))*3600</f>
        <v>7.8478440000209204</v>
      </c>
      <c r="G20" s="1" t="s">
        <v>13</v>
      </c>
      <c r="H20" s="7">
        <f>(C15-C9)/C7</f>
        <v>-2619196.9098394359</v>
      </c>
      <c r="J20" s="37"/>
      <c r="K20" s="17">
        <f>M8*SIN(10*$H$23)*COSH(10*$H$24)</f>
        <v>-3.1785132599922934E-16</v>
      </c>
      <c r="L20" s="19"/>
      <c r="M20" s="17">
        <f>M8*COS(10*$H$23)*SINH(10*$H$24)</f>
        <v>-3.8335090245202474E-17</v>
      </c>
    </row>
    <row r="21" spans="1:21" ht="15.75" customHeight="1" x14ac:dyDescent="0.2">
      <c r="A21" s="64"/>
      <c r="B21" s="66" t="s">
        <v>120</v>
      </c>
      <c r="C21" s="85">
        <f>H52</f>
        <v>0.99975953924742433</v>
      </c>
      <c r="D21" s="84"/>
      <c r="E21" s="83"/>
      <c r="J21" s="37"/>
      <c r="K21" s="17">
        <f>M9*SIN(12*$H$23)*COSH(12*$H$24)</f>
        <v>-7.219034249752854E-19</v>
      </c>
      <c r="L21" s="19"/>
      <c r="M21" s="17">
        <f>M9*COS(12*$H$23)*SINH(12*$H$24)</f>
        <v>3.4663342538679728E-20</v>
      </c>
    </row>
    <row r="22" spans="1:21" ht="15.75" customHeight="1" x14ac:dyDescent="0.2">
      <c r="A22" s="64"/>
      <c r="B22" s="66" t="s">
        <v>121</v>
      </c>
      <c r="C22" s="84">
        <f>TRUNC(H56)</f>
        <v>0</v>
      </c>
      <c r="D22" s="84">
        <f>TRUNC((H56-C22)*60)</f>
        <v>-26</v>
      </c>
      <c r="E22" s="83">
        <f>(H56-C22-(D22/60))*3600</f>
        <v>-50.933104856516209</v>
      </c>
      <c r="G22" s="125" t="s">
        <v>77</v>
      </c>
      <c r="H22" s="125"/>
      <c r="J22" s="37"/>
      <c r="K22" s="17">
        <f>M10*SIN(14*$H$23)*COSH(14*$H$24)</f>
        <v>-7.7126455375392613E-22</v>
      </c>
      <c r="L22" s="19"/>
      <c r="M22" s="17">
        <f>M10*COS(14*$H$23)*SINH(14*$H$24)</f>
        <v>3.2654157941039459E-22</v>
      </c>
      <c r="U22" s="19"/>
    </row>
    <row r="23" spans="1:21" ht="15.75" customHeight="1" x14ac:dyDescent="0.2">
      <c r="A23" s="64"/>
      <c r="B23" s="66"/>
      <c r="C23" s="89"/>
      <c r="D23" s="64"/>
      <c r="E23" s="64"/>
      <c r="G23" s="1" t="s">
        <v>78</v>
      </c>
      <c r="H23" s="12">
        <f>H20/H16</f>
        <v>-0.41134162988627554</v>
      </c>
      <c r="J23" s="37"/>
      <c r="K23" s="17">
        <f>M11*SIN(16*$H$23)*COSH(16*$H$24)</f>
        <v>9.9725653913705899E-25</v>
      </c>
      <c r="L23" s="19"/>
      <c r="M23" s="17">
        <f>M11*COS(16*$H$23)*SINH(16*$H$24)</f>
        <v>9.0223726467714885E-25</v>
      </c>
    </row>
    <row r="24" spans="1:21" ht="15.75" customHeight="1" x14ac:dyDescent="0.2">
      <c r="A24" s="64"/>
      <c r="B24" s="64"/>
      <c r="C24" s="64"/>
      <c r="D24" s="64"/>
      <c r="E24" s="64"/>
      <c r="G24" s="1" t="s">
        <v>79</v>
      </c>
      <c r="H24" s="12">
        <f>H19/H16</f>
        <v>-1.7855357265160982E-2</v>
      </c>
      <c r="J24" s="30" t="s">
        <v>98</v>
      </c>
      <c r="K24" s="33">
        <f>SUM(K15:K23)</f>
        <v>-0.4107271434614046</v>
      </c>
      <c r="L24" s="31" t="s">
        <v>99</v>
      </c>
      <c r="M24" s="33">
        <f>SUM(M15:M23)</f>
        <v>-1.7835002692970579E-2</v>
      </c>
    </row>
    <row r="25" spans="1:21" ht="15.75" customHeight="1" x14ac:dyDescent="0.2">
      <c r="A25" s="64"/>
      <c r="B25" s="64"/>
      <c r="C25" s="64"/>
      <c r="D25" s="64"/>
      <c r="E25" s="64"/>
      <c r="G25" s="1"/>
      <c r="H25" s="11"/>
      <c r="J25" s="15"/>
      <c r="K25" s="20"/>
      <c r="L25" s="15"/>
      <c r="M25" s="20"/>
    </row>
    <row r="26" spans="1:21" ht="15.75" customHeight="1" x14ac:dyDescent="0.2">
      <c r="A26" s="64"/>
      <c r="B26" s="64"/>
      <c r="C26" s="64"/>
      <c r="D26" s="64"/>
      <c r="E26" s="64"/>
      <c r="G26" s="119" t="s">
        <v>72</v>
      </c>
      <c r="H26" s="119"/>
      <c r="J26" s="120" t="s">
        <v>29</v>
      </c>
      <c r="K26" s="121"/>
      <c r="L26" s="121"/>
      <c r="M26" s="121"/>
      <c r="N26" s="122"/>
    </row>
    <row r="27" spans="1:21" ht="15.75" customHeight="1" x14ac:dyDescent="0.2">
      <c r="A27" s="64"/>
      <c r="B27" s="64"/>
      <c r="C27" s="64"/>
      <c r="D27" s="64"/>
      <c r="E27" s="64"/>
      <c r="G27" s="1" t="s">
        <v>82</v>
      </c>
      <c r="H27" s="18">
        <f>K24</f>
        <v>-0.4107271434614046</v>
      </c>
      <c r="J27" s="42" t="s">
        <v>100</v>
      </c>
      <c r="K27" s="21" t="s">
        <v>61</v>
      </c>
      <c r="L27" s="21" t="s">
        <v>31</v>
      </c>
      <c r="M27" s="21" t="s">
        <v>30</v>
      </c>
      <c r="N27" s="22" t="s">
        <v>32</v>
      </c>
    </row>
    <row r="28" spans="1:21" ht="15.75" customHeight="1" x14ac:dyDescent="0.2">
      <c r="A28" s="64"/>
      <c r="B28" s="64"/>
      <c r="C28" s="64"/>
      <c r="D28" s="64"/>
      <c r="E28" s="64"/>
      <c r="G28" s="1" t="s">
        <v>83</v>
      </c>
      <c r="H28" s="18">
        <f>M24</f>
        <v>-1.7835002692970579E-2</v>
      </c>
      <c r="J28" s="29">
        <v>1</v>
      </c>
      <c r="K28" s="43">
        <f>H35</f>
        <v>-0.43541359763159038</v>
      </c>
      <c r="L28" s="34">
        <f>SINH($H$36*ATANH($H$36*K28/SQRT(1+K28^2)))</f>
        <v>-2.6734351075720945E-3</v>
      </c>
      <c r="M28" s="16">
        <f>K28*SQRT(1+L28^2)-L28*SQRT(1+K28^2)-$H$35</f>
        <v>2.9143088208720136E-3</v>
      </c>
      <c r="N28" s="44">
        <f>(SQRT(1+L28^2)*SQRT(1+K28^2)-L28*K28)*(1-H5)*SQRT(1+K28^2)/(1+(1-H5)*K28^2)</f>
        <v>0.99330879468120814</v>
      </c>
    </row>
    <row r="29" spans="1:21" ht="15.75" customHeight="1" x14ac:dyDescent="0.2">
      <c r="A29" s="64"/>
      <c r="B29" s="64"/>
      <c r="C29" s="64"/>
      <c r="D29" s="64"/>
      <c r="E29" s="64"/>
      <c r="J29" s="29">
        <v>2</v>
      </c>
      <c r="K29" s="43">
        <f>K28-M28/N28</f>
        <v>-0.43834753805019638</v>
      </c>
      <c r="L29" s="34">
        <f>SINH($H$36*ATANH($H$36*K29/SQRT(1+K29^2)))</f>
        <v>-2.6885649971894656E-3</v>
      </c>
      <c r="M29" s="16">
        <f>K29*SQRT(1+L29^2)-L29*SQRT(1+K29^2)-$H$35</f>
        <v>-4.6550541199508189E-11</v>
      </c>
      <c r="N29" s="44">
        <f>(SQRT(1+L29^2)*SQRT(1+K29^2)-L29*K29)*(1-H6)*SQRT(1+K29^2)/(1+(1-H6)*K29^2)</f>
        <v>0.99751680326265313</v>
      </c>
    </row>
    <row r="30" spans="1:21" ht="15.75" customHeight="1" x14ac:dyDescent="0.2">
      <c r="A30" s="64"/>
      <c r="B30" s="64"/>
      <c r="C30" s="64"/>
      <c r="D30" s="64"/>
      <c r="E30" s="64"/>
      <c r="G30" s="119" t="s">
        <v>9</v>
      </c>
      <c r="H30" s="119"/>
      <c r="J30" s="29">
        <v>3</v>
      </c>
      <c r="K30" s="43">
        <f>K29-M29/N29</f>
        <v>-0.43834753800352994</v>
      </c>
      <c r="L30" s="34">
        <f>SINH($H$36*ATANH($H$36*K30/SQRT(1+K30^2)))</f>
        <v>-2.6885649969492012E-3</v>
      </c>
      <c r="M30" s="16">
        <f>K30*SQRT(1+L30^2)-L30*SQRT(1+K30^2)-$H$35</f>
        <v>-1.9628743075372768E-13</v>
      </c>
      <c r="N30" s="44">
        <f>(SQRT(1+L30^2)*SQRT(1+K30^2)-L30*K30)*(1-H7)*SQRT(1+K30^2)/(1+(1-H7)*K30^2)</f>
        <v>0.99892187254006015</v>
      </c>
    </row>
    <row r="31" spans="1:21" ht="15.75" customHeight="1" x14ac:dyDescent="0.2">
      <c r="A31" s="64"/>
      <c r="B31" s="64"/>
      <c r="C31" s="64"/>
      <c r="D31" s="64"/>
      <c r="E31" s="64"/>
      <c r="G31" s="1" t="s">
        <v>10</v>
      </c>
      <c r="H31" s="7">
        <f>H27*C3</f>
        <v>-2619673.9906154927</v>
      </c>
      <c r="J31" s="29">
        <v>4</v>
      </c>
      <c r="K31" s="43">
        <f>K30-M30/N30</f>
        <v>-0.43834753800333343</v>
      </c>
      <c r="L31" s="34">
        <f>SINH($H$36*ATANH($H$36*K31/SQRT(1+K31^2)))</f>
        <v>-2.6885649969481964E-3</v>
      </c>
      <c r="M31" s="16">
        <f>K31*SQRT(1+L31^2)-L31*SQRT(1+K31^2)-$H$35</f>
        <v>-1.0547118733938987E-15</v>
      </c>
      <c r="N31" s="44">
        <f>(SQRT(1+L31^2)*SQRT(1+K31^2)-L31*K31)*(1-H8)*SQRT(1+K31^2)/(1+(1-H8)*K31^2)</f>
        <v>0.99892423132246255</v>
      </c>
    </row>
    <row r="32" spans="1:21" ht="15.75" customHeight="1" x14ac:dyDescent="0.2">
      <c r="G32" s="1" t="s">
        <v>11</v>
      </c>
      <c r="H32" s="7">
        <f>H28*C3</f>
        <v>-113754.0905711353</v>
      </c>
      <c r="J32" s="35">
        <v>5</v>
      </c>
      <c r="K32" s="45">
        <f>K31-M31/N31</f>
        <v>-0.43834753800333237</v>
      </c>
      <c r="L32" s="46"/>
      <c r="M32" s="46"/>
      <c r="N32" s="47"/>
    </row>
    <row r="33" spans="7:13" ht="15.75" customHeight="1" x14ac:dyDescent="0.2">
      <c r="G33" s="1"/>
      <c r="H33" s="11"/>
      <c r="J33" s="15"/>
      <c r="K33" s="20"/>
      <c r="L33" s="15"/>
      <c r="M33" s="20"/>
    </row>
    <row r="34" spans="7:13" ht="15.75" customHeight="1" x14ac:dyDescent="0.2">
      <c r="G34" s="119" t="s">
        <v>85</v>
      </c>
      <c r="H34" s="119"/>
      <c r="J34" s="15"/>
      <c r="K34" s="20"/>
      <c r="L34" s="15"/>
      <c r="M34" s="20"/>
    </row>
    <row r="35" spans="7:13" ht="15.75" customHeight="1" x14ac:dyDescent="0.2">
      <c r="G35" s="1" t="s">
        <v>39</v>
      </c>
      <c r="H35" s="18">
        <f>SIN(K24)/SQRT(SINH(M24)^2+COS(K24)^2)</f>
        <v>-0.43541359763159038</v>
      </c>
      <c r="J35" s="15"/>
      <c r="K35" s="20"/>
      <c r="L35" s="15"/>
      <c r="M35" s="20"/>
    </row>
    <row r="36" spans="7:13" ht="15.75" customHeight="1" x14ac:dyDescent="0.2">
      <c r="G36" s="1" t="s">
        <v>8</v>
      </c>
      <c r="H36" s="18">
        <f>SQRT(H5)</f>
        <v>8.1819191042815792E-2</v>
      </c>
      <c r="J36" s="120" t="s">
        <v>92</v>
      </c>
      <c r="K36" s="121"/>
      <c r="L36" s="121"/>
      <c r="M36" s="122"/>
    </row>
    <row r="37" spans="7:13" ht="15.75" customHeight="1" x14ac:dyDescent="0.2">
      <c r="G37" s="1" t="s">
        <v>104</v>
      </c>
      <c r="H37" s="18">
        <f>ATAN(H35)</f>
        <v>-0.41065789080918885</v>
      </c>
      <c r="J37" s="37"/>
      <c r="K37" s="15" t="s">
        <v>14</v>
      </c>
      <c r="L37" s="13"/>
      <c r="M37" s="38" t="s">
        <v>15</v>
      </c>
    </row>
    <row r="38" spans="7:13" ht="15.75" customHeight="1" x14ac:dyDescent="0.2">
      <c r="G38" s="1" t="s">
        <v>105</v>
      </c>
      <c r="H38" s="18">
        <f>DEGREES(H37)</f>
        <v>-23.52896396711072</v>
      </c>
      <c r="J38" s="39"/>
      <c r="K38" s="13">
        <v>0</v>
      </c>
      <c r="L38" s="13"/>
      <c r="M38" s="14">
        <v>1</v>
      </c>
    </row>
    <row r="39" spans="7:13" ht="15.75" customHeight="1" x14ac:dyDescent="0.2">
      <c r="G39" s="1"/>
      <c r="H39" s="11"/>
      <c r="J39" s="39"/>
      <c r="K39" s="20">
        <f>2*K4*SIN(2*$K$24)*SINH(2*$M$24)</f>
        <v>4.3764578645770456E-5</v>
      </c>
      <c r="L39" s="20"/>
      <c r="M39" s="17">
        <f>2*K4*COS(2*$K$24)*COSH(2*$M$24)</f>
        <v>1.1419802260117407E-3</v>
      </c>
    </row>
    <row r="40" spans="7:13" ht="15.75" customHeight="1" x14ac:dyDescent="0.2">
      <c r="G40" s="119" t="s">
        <v>87</v>
      </c>
      <c r="H40" s="119"/>
      <c r="J40" s="39"/>
      <c r="K40" s="20">
        <f>4*K5*SIN(4*$K$24)*SINH(4*$M$24)</f>
        <v>2.167364386362301E-7</v>
      </c>
      <c r="L40" s="19"/>
      <c r="M40" s="17">
        <f>4*K5*COS(4*$K$24)*COSH(4*$M$24)</f>
        <v>-2.1983528473722839E-7</v>
      </c>
    </row>
    <row r="41" spans="7:13" ht="15.75" customHeight="1" x14ac:dyDescent="0.2">
      <c r="G41" s="1" t="s">
        <v>33</v>
      </c>
      <c r="H41" s="18">
        <f>ATAN(K32)</f>
        <v>-0.41312159630704065</v>
      </c>
      <c r="J41" s="39"/>
      <c r="K41" s="20">
        <f>6*K6*SIN(6*$K$24)*SINH(6*$M$24)</f>
        <v>4.8277887764847827E-10</v>
      </c>
      <c r="L41" s="19"/>
      <c r="M41" s="17">
        <f>6*K6*COS(6*$K$24)*COSH(6*$M$24)</f>
        <v>-5.6321284332384215E-9</v>
      </c>
    </row>
    <row r="42" spans="7:13" ht="15.75" customHeight="1" x14ac:dyDescent="0.2">
      <c r="G42" s="1" t="s">
        <v>34</v>
      </c>
      <c r="H42" s="18">
        <f>DEGREES(H41)</f>
        <v>-23.670123894100804</v>
      </c>
      <c r="J42" s="39"/>
      <c r="K42" s="20">
        <f>8*K7*SIN(8*$K$24)*SINH(8*$M$24)</f>
        <v>-3.9986749212006621E-13</v>
      </c>
      <c r="L42" s="19"/>
      <c r="M42" s="17">
        <f>8*K7*COS(8*$K$24)*COSH(8*$M$24)</f>
        <v>-1.9427688909425983E-11</v>
      </c>
    </row>
    <row r="43" spans="7:13" ht="15.75" customHeight="1" x14ac:dyDescent="0.2">
      <c r="J43" s="39"/>
      <c r="K43" s="20">
        <f>10*K8*SIN(10*$K$24)*SINH(10*$M$24)</f>
        <v>-8.4226595054944773E-15</v>
      </c>
      <c r="L43" s="19"/>
      <c r="M43" s="17">
        <f>10*K8*COS(10*$K$24)*COSH(10*$M$24)</f>
        <v>-3.3010318389322883E-14</v>
      </c>
    </row>
    <row r="44" spans="7:13" ht="15.75" customHeight="1" x14ac:dyDescent="0.2">
      <c r="G44" s="119" t="s">
        <v>86</v>
      </c>
      <c r="H44" s="119"/>
      <c r="J44" s="39"/>
      <c r="K44" s="20">
        <f>12*K9*SIN(12*$K$24)*SINH(12*$M$24)</f>
        <v>-3.7407964652768504E-17</v>
      </c>
      <c r="L44" s="19"/>
      <c r="M44" s="17">
        <f>12*K9*COS(12*$K$24)*COSH(12*$M$24)</f>
        <v>3.899878335525962E-17</v>
      </c>
    </row>
    <row r="45" spans="7:13" ht="15.75" customHeight="1" x14ac:dyDescent="0.2">
      <c r="G45" s="1" t="s">
        <v>24</v>
      </c>
      <c r="H45" s="18">
        <f>ATAN(SINH(M24)/COS(K24))</f>
        <v>-1.9451462559219205E-2</v>
      </c>
      <c r="J45" s="39"/>
      <c r="K45" s="20">
        <f>14*K10*SIN(14*$K$24)*SINH(14*$M$24)</f>
        <v>-7.3721312259593338E-20</v>
      </c>
      <c r="L45" s="19"/>
      <c r="M45" s="17">
        <f>14*K10*COS(14*$K$24)*COSH(14*$M$24)</f>
        <v>5.1081632191973023E-19</v>
      </c>
    </row>
    <row r="46" spans="7:13" ht="15.75" customHeight="1" x14ac:dyDescent="0.2">
      <c r="G46" s="1" t="s">
        <v>35</v>
      </c>
      <c r="H46" s="18">
        <f>DEGREES(H45)</f>
        <v>-1.1144867099999995</v>
      </c>
      <c r="J46" s="39"/>
      <c r="K46" s="20">
        <f>16*K11*SIN(16*$K$24)*SINH(16*$M$24)</f>
        <v>1.5939996592113121E-22</v>
      </c>
      <c r="L46" s="19"/>
      <c r="M46" s="17">
        <f>16*K11*COS(16*$K$24)*COSH(16*$M$24)</f>
        <v>1.9333523950436257E-21</v>
      </c>
    </row>
    <row r="47" spans="7:13" ht="15.75" customHeight="1" x14ac:dyDescent="0.2">
      <c r="J47" s="30" t="s">
        <v>16</v>
      </c>
      <c r="K47" s="32">
        <f>K38-SUM(K39:K46)</f>
        <v>-4.3981797454956702E-5</v>
      </c>
      <c r="L47" s="31" t="s">
        <v>17</v>
      </c>
      <c r="M47" s="33">
        <f>M38+SUM(M39:M46)</f>
        <v>1.0011417547391379</v>
      </c>
    </row>
    <row r="48" spans="7:13" ht="15.75" customHeight="1" x14ac:dyDescent="0.2">
      <c r="G48" s="119" t="s">
        <v>88</v>
      </c>
      <c r="H48" s="119"/>
    </row>
    <row r="49" spans="3:12" ht="15.75" customHeight="1" x14ac:dyDescent="0.2">
      <c r="G49" s="1" t="s">
        <v>36</v>
      </c>
      <c r="H49" s="18">
        <f>C6+H46</f>
        <v>133.88551329000001</v>
      </c>
    </row>
    <row r="51" spans="3:12" ht="15.75" customHeight="1" x14ac:dyDescent="0.2">
      <c r="G51" s="119" t="s">
        <v>20</v>
      </c>
      <c r="H51" s="119"/>
    </row>
    <row r="52" spans="3:12" ht="15.75" customHeight="1" x14ac:dyDescent="0.2">
      <c r="G52" s="1" t="s">
        <v>21</v>
      </c>
      <c r="H52" s="10">
        <f>C7*H16/C3*SQRT(M47^2+K47^2)*(SQRT(1+K32^2)*SQRT(1-H5*SIN(H41)^2)/SQRT(H35^2+COS(H45)^2))</f>
        <v>0.99975953924742433</v>
      </c>
    </row>
    <row r="54" spans="3:12" ht="15.75" customHeight="1" x14ac:dyDescent="0.2">
      <c r="G54" s="119" t="s">
        <v>22</v>
      </c>
      <c r="H54" s="119"/>
      <c r="K54" s="91" t="s">
        <v>125</v>
      </c>
      <c r="L54" s="91" t="s">
        <v>126</v>
      </c>
    </row>
    <row r="55" spans="3:12" ht="15.75" customHeight="1" x14ac:dyDescent="0.2">
      <c r="G55" s="1" t="s">
        <v>40</v>
      </c>
      <c r="H55" s="10">
        <f>ATAN(ABS(K47/M47))+ATAN(ABS(H35*TAN(H45))/SQRT(1+H35^2))</f>
        <v>7.810024085867018E-3</v>
      </c>
      <c r="K55" s="3">
        <f>IF(C6-C20&lt;0,1,-1)</f>
        <v>-1</v>
      </c>
      <c r="L55" s="3">
        <f>IF(C19&lt;0,-1,1)</f>
        <v>-1</v>
      </c>
    </row>
    <row r="56" spans="3:12" ht="15.75" customHeight="1" x14ac:dyDescent="0.2">
      <c r="G56" s="1" t="s">
        <v>59</v>
      </c>
      <c r="H56" s="10">
        <f>DEGREES(H55)*K58</f>
        <v>-0.44748141801569896</v>
      </c>
    </row>
    <row r="57" spans="3:12" ht="15.75" customHeight="1" x14ac:dyDescent="0.2">
      <c r="C57" s="25"/>
      <c r="D57" s="25"/>
      <c r="E57" s="7"/>
      <c r="G57" s="1"/>
      <c r="K57" s="91" t="s">
        <v>127</v>
      </c>
    </row>
    <row r="58" spans="3:12" ht="15.75" customHeight="1" x14ac:dyDescent="0.2">
      <c r="K58" s="3">
        <f>IF(AND(K55=-1,L55=-1),-1,IF(AND(K55=1,L55=-1),1,IF(AND(K55=1,L55=-1),1,IF(AND(K55=1,L55=1),-1,1))))</f>
        <v>-1</v>
      </c>
    </row>
  </sheetData>
  <mergeCells count="17">
    <mergeCell ref="J26:N26"/>
    <mergeCell ref="G3:H3"/>
    <mergeCell ref="G40:H40"/>
    <mergeCell ref="G51:H51"/>
    <mergeCell ref="J3:K3"/>
    <mergeCell ref="L3:M3"/>
    <mergeCell ref="J13:M13"/>
    <mergeCell ref="J36:M36"/>
    <mergeCell ref="G15:H15"/>
    <mergeCell ref="G54:H54"/>
    <mergeCell ref="G44:H44"/>
    <mergeCell ref="G48:H48"/>
    <mergeCell ref="G26:H26"/>
    <mergeCell ref="G18:H18"/>
    <mergeCell ref="G30:H30"/>
    <mergeCell ref="G22:H22"/>
    <mergeCell ref="G34:H34"/>
  </mergeCells>
  <phoneticPr fontId="5" type="noConversion"/>
  <pageMargins left="0.74803149606299213" right="0.74803149606299213" top="0.98425196850393704" bottom="0.98425196850393704" header="0.51181102362204722" footer="0.51181102362204722"/>
  <pageSetup paperSize="9" scale="64" orientation="landscape"/>
  <headerFooter scaleWithDoc="0" alignWithMargins="0">
    <oddHeader>&amp;A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 &amp; Parameters</vt:lpstr>
      <vt:lpstr>Geographic to Grid</vt:lpstr>
      <vt:lpstr>Grid to Geographic</vt:lpstr>
    </vt:vector>
  </TitlesOfParts>
  <Company>RMIT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Deakin</dc:creator>
  <cp:lastModifiedBy>Nicholas Brown</cp:lastModifiedBy>
  <cp:lastPrinted>2014-11-26T03:11:28Z</cp:lastPrinted>
  <dcterms:created xsi:type="dcterms:W3CDTF">2004-11-07T22:49:04Z</dcterms:created>
  <dcterms:modified xsi:type="dcterms:W3CDTF">2017-03-20T03:11:37Z</dcterms:modified>
</cp:coreProperties>
</file>