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5" windowWidth="19200" windowHeight="11865" tabRatio="777"/>
  </bookViews>
  <sheets>
    <sheet name="Constants and Parameters" sheetId="1" r:id="rId1"/>
    <sheet name="Direct Solution" sheetId="2" r:id="rId2"/>
    <sheet name="Inverse Solution" sheetId="3" r:id="rId3"/>
    <sheet name="Test Data" sheetId="4" r:id="rId4"/>
  </sheets>
  <definedNames>
    <definedName name="ellipsoidList">#REF!</definedName>
    <definedName name="_xlnm.Print_Area" localSheetId="1">'Direct Solution'!$A$1:$I$59</definedName>
    <definedName name="_xlnm.Print_Area" localSheetId="2">'Inverse Solution'!$A$1:$I$62</definedName>
    <definedName name="solver_adj" localSheetId="2" hidden="1">'Inverse Solution'!$G$4:$I$5,'Inverse Solution'!$C$4:$E$5</definedName>
    <definedName name="solver_cvg" localSheetId="2" hidden="1">0.0000001</definedName>
    <definedName name="solver_drv" localSheetId="2" hidden="1">1</definedName>
    <definedName name="solver_est" localSheetId="2" hidden="1">1</definedName>
    <definedName name="solver_itr" localSheetId="2" hidden="1">300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'Inverse Solution'!$C$53</definedName>
    <definedName name="solver_pre" localSheetId="2" hidden="1">0.000000001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2</definedName>
    <definedName name="solver_val" localSheetId="2" hidden="1">0</definedName>
  </definedNames>
  <calcPr calcId="145621" iterate="1"/>
</workbook>
</file>

<file path=xl/calcChain.xml><?xml version="1.0" encoding="utf-8"?>
<calcChain xmlns="http://schemas.openxmlformats.org/spreadsheetml/2006/main">
  <c r="G13" i="1" l="1"/>
  <c r="G12" i="1"/>
  <c r="G14" i="1"/>
  <c r="H11" i="1" l="1"/>
  <c r="C1" i="2" s="1"/>
  <c r="F12" i="2" l="1"/>
  <c r="G12" i="2"/>
  <c r="F13" i="2"/>
  <c r="G13" i="2" s="1"/>
  <c r="F14" i="2"/>
  <c r="G14" i="2"/>
  <c r="H12" i="1"/>
  <c r="H14" i="1"/>
  <c r="C11" i="2" s="1"/>
  <c r="B7" i="1"/>
  <c r="H13" i="1" s="1"/>
  <c r="C7" i="1"/>
  <c r="D7" i="1"/>
  <c r="C13" i="2" s="1"/>
  <c r="E7" i="1"/>
  <c r="F7" i="1"/>
  <c r="G7" i="1"/>
  <c r="H7" i="1"/>
  <c r="C11" i="3"/>
  <c r="E11" i="3" s="1"/>
  <c r="J64" i="3" s="1"/>
  <c r="C12" i="3"/>
  <c r="E12" i="3"/>
  <c r="C13" i="3"/>
  <c r="E13" i="3" s="1"/>
  <c r="C14" i="3"/>
  <c r="B71" i="3" s="1"/>
  <c r="E14" i="3"/>
  <c r="C19" i="3" s="1"/>
  <c r="C30" i="3" s="1"/>
  <c r="B70" i="3"/>
  <c r="B72" i="3" l="1"/>
  <c r="I64" i="3"/>
  <c r="C1" i="3"/>
  <c r="C12" i="2"/>
  <c r="C14" i="2" s="1"/>
  <c r="C18" i="2"/>
  <c r="C18" i="3"/>
  <c r="C16" i="3"/>
  <c r="C17" i="3" l="1"/>
  <c r="F19" i="3"/>
  <c r="F20" i="3"/>
  <c r="F16" i="3"/>
  <c r="F17" i="3" s="1"/>
  <c r="F18" i="3"/>
  <c r="C21" i="3"/>
  <c r="C22" i="3" s="1"/>
  <c r="C25" i="3"/>
  <c r="C26" i="3" s="1"/>
  <c r="C19" i="2"/>
  <c r="C21" i="2"/>
  <c r="C22" i="2"/>
  <c r="F29" i="2" l="1"/>
  <c r="C27" i="3"/>
  <c r="C28" i="3"/>
  <c r="C23" i="2"/>
  <c r="C23" i="3"/>
  <c r="C24" i="3"/>
  <c r="C16" i="2" l="1"/>
  <c r="C51" i="2"/>
  <c r="C32" i="3"/>
  <c r="C34" i="3"/>
  <c r="C36" i="3" l="1"/>
  <c r="C37" i="3" s="1"/>
  <c r="C39" i="3"/>
  <c r="C25" i="2"/>
  <c r="C27" i="2"/>
  <c r="C41" i="3" l="1"/>
  <c r="C42" i="3"/>
  <c r="C51" i="3"/>
  <c r="F40" i="2"/>
  <c r="C53" i="3" l="1"/>
  <c r="E59" i="3" s="1"/>
  <c r="F64" i="3" s="1"/>
  <c r="J65" i="3" s="1"/>
  <c r="C44" i="3"/>
  <c r="C46" i="3"/>
  <c r="C48" i="3" s="1"/>
  <c r="F65" i="3" l="1"/>
  <c r="F66" i="3" s="1"/>
  <c r="F67" i="3" s="1"/>
  <c r="C55" i="3"/>
  <c r="C6" i="2" l="1"/>
  <c r="D6" i="2"/>
  <c r="E6" i="2"/>
  <c r="C7" i="2"/>
  <c r="D7" i="2"/>
  <c r="E7" i="2"/>
  <c r="G7" i="2"/>
  <c r="H7" i="2"/>
  <c r="I7" i="2"/>
  <c r="C8" i="2"/>
  <c r="D8" i="2"/>
  <c r="E8" i="2"/>
  <c r="C29" i="2"/>
  <c r="F30" i="2"/>
  <c r="F31" i="2"/>
  <c r="F32" i="2"/>
  <c r="F34" i="2"/>
  <c r="F35" i="2"/>
  <c r="C38" i="2"/>
  <c r="F38" i="2"/>
  <c r="C40" i="2"/>
  <c r="C42" i="2"/>
  <c r="C43" i="2"/>
  <c r="C44" i="2"/>
  <c r="F44" i="2"/>
  <c r="C45" i="2"/>
  <c r="C46" i="2"/>
  <c r="F46" i="2"/>
  <c r="C48" i="2"/>
  <c r="C49" i="2"/>
  <c r="C53" i="2"/>
  <c r="C54" i="2"/>
  <c r="C55" i="2"/>
  <c r="F55" i="2"/>
  <c r="F56" i="2"/>
  <c r="C57" i="2"/>
  <c r="C58" i="2"/>
  <c r="F58" i="2"/>
  <c r="C59" i="2"/>
  <c r="F59" i="2"/>
  <c r="C6" i="3"/>
  <c r="C7" i="3"/>
  <c r="D7" i="3"/>
  <c r="E7" i="3"/>
  <c r="C8" i="3"/>
  <c r="D8" i="3"/>
  <c r="E8" i="3"/>
  <c r="E30" i="3"/>
  <c r="E32" i="3"/>
  <c r="E34" i="3"/>
  <c r="E36" i="3"/>
  <c r="E37" i="3"/>
  <c r="E39" i="3"/>
  <c r="E41" i="3"/>
  <c r="E42" i="3"/>
  <c r="E44" i="3"/>
  <c r="E46" i="3"/>
  <c r="E48" i="3"/>
  <c r="E51" i="3"/>
  <c r="E53" i="3"/>
  <c r="E55" i="3"/>
  <c r="E57" i="3"/>
  <c r="C64" i="3"/>
  <c r="C65" i="3"/>
  <c r="I65" i="3"/>
  <c r="C66" i="3"/>
  <c r="I66" i="3"/>
  <c r="J66" i="3"/>
  <c r="C67" i="3"/>
  <c r="I67" i="3"/>
  <c r="J67" i="3"/>
</calcChain>
</file>

<file path=xl/comments1.xml><?xml version="1.0" encoding="utf-8"?>
<comments xmlns="http://schemas.openxmlformats.org/spreadsheetml/2006/main">
  <authors>
    <author>A satisfied Microsoft Office user</author>
  </authors>
  <commentList>
    <comment ref="B5" authorId="0">
      <text>
        <r>
          <rPr>
            <sz val="9"/>
            <color indexed="81"/>
            <rFont val="Tahoma"/>
            <family val="2"/>
          </rPr>
          <t>GRS80 is the ellipsoid used with GDA2020 GDA94 and ITRF.</t>
        </r>
      </text>
    </comment>
    <comment ref="C5" authorId="0">
      <text>
        <r>
          <rPr>
            <sz val="9"/>
            <color indexed="81"/>
            <rFont val="Tahoma"/>
            <family val="2"/>
          </rPr>
          <t>WGS84 is the ellipsoid used with the GPS sysyem. It is for all practical purposes, the same as GRS80.</t>
        </r>
      </text>
    </comment>
    <comment ref="D5" authorId="0">
      <text>
        <r>
          <rPr>
            <sz val="9"/>
            <color indexed="81"/>
            <rFont val="Tahoma"/>
            <family val="2"/>
          </rPr>
          <t>ANS is the ellipsoid used with both AGD66 and AGD84</t>
        </r>
      </text>
    </comment>
    <comment ref="E5" authorId="0">
      <text>
        <r>
          <rPr>
            <sz val="9"/>
            <color indexed="81"/>
            <rFont val="Tahoma"/>
            <family val="2"/>
          </rPr>
          <t>WGS72 is the ellipsoid used with GPS prior to 27 January 1987, and with the Transit Doppler Broadcast ephemeris, prior to 27 January 1989.</t>
        </r>
      </text>
    </comment>
    <comment ref="F5" authorId="0">
      <text>
        <r>
          <rPr>
            <sz val="9"/>
            <color indexed="81"/>
            <rFont val="Tahoma"/>
            <family val="2"/>
          </rPr>
          <t>The Clarke 1858 ellipsoid was widely used in Australia prior to the introduction of the AGD in 1966.</t>
        </r>
      </text>
    </comment>
    <comment ref="G5" authorId="0">
      <text>
        <r>
          <rPr>
            <sz val="9"/>
            <color indexed="81"/>
            <rFont val="Tahoma"/>
            <family val="2"/>
          </rPr>
          <t>To use a sphere, enter the required radius in the semi-major axis field, and leave the inverse flattening as a very large number.</t>
        </r>
      </text>
    </comment>
    <comment ref="H5" authorId="0">
      <text>
        <r>
          <rPr>
            <sz val="9"/>
            <color indexed="81"/>
            <rFont val="Tahoma"/>
            <family val="2"/>
          </rPr>
          <t>Enter the value of the semi-major axis (a) and the inverse flattening (1/f) to define your own ellipsoid. The values of f and b will be calculated automatically.</t>
        </r>
      </text>
    </comment>
  </commentList>
</comments>
</file>

<file path=xl/comments2.xml><?xml version="1.0" encoding="utf-8"?>
<comments xmlns="http://schemas.openxmlformats.org/spreadsheetml/2006/main">
  <authors>
    <author>A satisfied Microsoft Office user</author>
  </authors>
  <commentList>
    <comment ref="G1" authorId="0">
      <text>
        <r>
          <rPr>
            <sz val="9"/>
            <color indexed="81"/>
            <rFont val="Tahoma"/>
            <family val="2"/>
          </rPr>
          <t>This spreadsheet modified 17 May 2002 to give consistent sign convention for lines crossing the equator and 180 east/west</t>
        </r>
      </text>
    </comment>
  </commentList>
</comments>
</file>

<file path=xl/sharedStrings.xml><?xml version="1.0" encoding="utf-8"?>
<sst xmlns="http://schemas.openxmlformats.org/spreadsheetml/2006/main" count="180" uniqueCount="137">
  <si>
    <t>GRS80</t>
  </si>
  <si>
    <t>WGS84</t>
  </si>
  <si>
    <t>ANS</t>
  </si>
  <si>
    <t>WGS72</t>
  </si>
  <si>
    <t>Clarke 1858</t>
  </si>
  <si>
    <t>Sphere</t>
  </si>
  <si>
    <t>User</t>
  </si>
  <si>
    <t>f</t>
  </si>
  <si>
    <t>a</t>
  </si>
  <si>
    <t>Ellipsoid</t>
  </si>
  <si>
    <t>Station 1</t>
  </si>
  <si>
    <t>Flinders Peak</t>
  </si>
  <si>
    <t>Station 2</t>
  </si>
  <si>
    <t>Buninyong</t>
  </si>
  <si>
    <t>User input</t>
  </si>
  <si>
    <t>Result</t>
  </si>
  <si>
    <t>Dec Deg</t>
  </si>
  <si>
    <t>Radians</t>
  </si>
  <si>
    <t>b</t>
  </si>
  <si>
    <t>formula1</t>
  </si>
  <si>
    <t>TanU1</t>
  </si>
  <si>
    <r>
      <t xml:space="preserve">tan </t>
    </r>
    <r>
      <rPr>
        <sz val="11"/>
        <rFont val="Symbol"/>
        <family val="1"/>
        <charset val="2"/>
      </rPr>
      <t>s</t>
    </r>
    <r>
      <rPr>
        <vertAlign val="subscript"/>
        <sz val="11"/>
        <rFont val="Arial"/>
        <family val="2"/>
      </rPr>
      <t>1</t>
    </r>
  </si>
  <si>
    <t>formula2</t>
  </si>
  <si>
    <t>sinU1</t>
  </si>
  <si>
    <t>cosU1</t>
  </si>
  <si>
    <t>formula3</t>
  </si>
  <si>
    <t>A</t>
  </si>
  <si>
    <t>formula4</t>
  </si>
  <si>
    <t>B</t>
  </si>
  <si>
    <t>formula5</t>
  </si>
  <si>
    <t>formula6</t>
  </si>
  <si>
    <t>bracket1</t>
  </si>
  <si>
    <t>bracket2</t>
  </si>
  <si>
    <t>D s</t>
  </si>
  <si>
    <t>formula7</t>
  </si>
  <si>
    <t>s</t>
  </si>
  <si>
    <t>s/bA</t>
  </si>
  <si>
    <t>formula8</t>
  </si>
  <si>
    <t>top term</t>
  </si>
  <si>
    <t>bott term</t>
  </si>
  <si>
    <t>formula9</t>
  </si>
  <si>
    <t>formula10</t>
  </si>
  <si>
    <t>C</t>
  </si>
  <si>
    <t>formula11</t>
  </si>
  <si>
    <t>L</t>
  </si>
  <si>
    <t>formula12</t>
  </si>
  <si>
    <t>Spheroidal Dist. (S)</t>
  </si>
  <si>
    <t>Dec Degrees</t>
  </si>
  <si>
    <t>Semi major axis (a)</t>
  </si>
  <si>
    <t>f+f*f</t>
  </si>
  <si>
    <t>Semi minor axis (b)</t>
  </si>
  <si>
    <t>(f+f*f)/2</t>
  </si>
  <si>
    <t>Flattening (f)</t>
  </si>
  <si>
    <t>(f*f)/2</t>
  </si>
  <si>
    <t>(f*f)/8</t>
  </si>
  <si>
    <t>(f*f)/16</t>
  </si>
  <si>
    <t>tanU1</t>
  </si>
  <si>
    <t>U1</t>
  </si>
  <si>
    <t>tanU2</t>
  </si>
  <si>
    <t>U2</t>
  </si>
  <si>
    <t>sinU2</t>
  </si>
  <si>
    <t>cosU2</t>
  </si>
  <si>
    <t>formula13</t>
  </si>
  <si>
    <t>l</t>
  </si>
  <si>
    <t>formula14</t>
  </si>
  <si>
    <t>formula15</t>
  </si>
  <si>
    <t>formula16</t>
  </si>
  <si>
    <t>formula17</t>
  </si>
  <si>
    <t>formula18</t>
  </si>
  <si>
    <r>
      <t>u</t>
    </r>
    <r>
      <rPr>
        <vertAlign val="superscript"/>
        <sz val="11"/>
        <rFont val="Arial"/>
        <family val="2"/>
      </rPr>
      <t>2</t>
    </r>
  </si>
  <si>
    <t>formula11modified</t>
  </si>
  <si>
    <t>formula19</t>
  </si>
  <si>
    <t>formula20</t>
  </si>
  <si>
    <t>formula21</t>
  </si>
  <si>
    <t>Forward azimuth</t>
  </si>
  <si>
    <t>Reverse Azimuth</t>
  </si>
  <si>
    <t>Critical case tests</t>
  </si>
  <si>
    <t>Same Point</t>
  </si>
  <si>
    <t>North south meridian</t>
  </si>
  <si>
    <t>South North meridian</t>
  </si>
  <si>
    <t>semi-major axis (a)</t>
  </si>
  <si>
    <t>Inverse flattening (1/f)</t>
  </si>
  <si>
    <t>flattening</t>
  </si>
  <si>
    <t>Vincenty's Constants and Parameters</t>
  </si>
  <si>
    <t>ellipsoid / spheroid</t>
  </si>
  <si>
    <t>KEY</t>
  </si>
  <si>
    <t>User Input</t>
  </si>
  <si>
    <t>ID Number</t>
  </si>
  <si>
    <r>
      <t>Azimuth</t>
    </r>
    <r>
      <rPr>
        <sz val="11"/>
        <rFont val="Arial"/>
        <family val="2"/>
      </rPr>
      <t xml:space="preserve"> (</t>
    </r>
    <r>
      <rPr>
        <sz val="11"/>
        <rFont val="Symbol"/>
        <family val="1"/>
        <charset val="2"/>
      </rPr>
      <t>a</t>
    </r>
    <r>
      <rPr>
        <vertAlign val="subscript"/>
        <sz val="11"/>
        <rFont val="Arial"/>
        <family val="2"/>
      </rPr>
      <t>12</t>
    </r>
    <r>
      <rPr>
        <sz val="11"/>
        <rFont val="Arial"/>
        <family val="2"/>
      </rPr>
      <t>)</t>
    </r>
  </si>
  <si>
    <r>
      <t xml:space="preserve">Ellipsoidal Dist </t>
    </r>
    <r>
      <rPr>
        <sz val="11"/>
        <rFont val="Arial"/>
        <family val="2"/>
      </rPr>
      <t>(s)</t>
    </r>
  </si>
  <si>
    <r>
      <t>Reverse Azimuth  (</t>
    </r>
    <r>
      <rPr>
        <sz val="11"/>
        <rFont val="Symbol"/>
        <family val="1"/>
        <charset val="2"/>
      </rPr>
      <t>a</t>
    </r>
    <r>
      <rPr>
        <vertAlign val="subscript"/>
        <sz val="11"/>
        <rFont val="Arial"/>
        <family val="2"/>
      </rPr>
      <t>21</t>
    </r>
    <r>
      <rPr>
        <sz val="11"/>
        <rFont val="Arial"/>
        <family val="2"/>
      </rPr>
      <t>)</t>
    </r>
  </si>
  <si>
    <r>
      <t xml:space="preserve">Latitude </t>
    </r>
    <r>
      <rPr>
        <sz val="11"/>
        <rFont val="Arial"/>
        <family val="2"/>
      </rPr>
      <t>(</t>
    </r>
    <r>
      <rPr>
        <sz val="11"/>
        <rFont val="Symbol"/>
        <family val="1"/>
        <charset val="2"/>
      </rPr>
      <t>j</t>
    </r>
    <r>
      <rPr>
        <vertAlign val="subscript"/>
        <sz val="11"/>
        <rFont val="Arial"/>
        <family val="2"/>
      </rPr>
      <t>1</t>
    </r>
    <r>
      <rPr>
        <sz val="11"/>
        <rFont val="Arial"/>
        <family val="2"/>
      </rPr>
      <t>)</t>
    </r>
  </si>
  <si>
    <r>
      <t>Longitude</t>
    </r>
    <r>
      <rPr>
        <sz val="11"/>
        <rFont val="Arial"/>
        <family val="2"/>
      </rPr>
      <t xml:space="preserve"> (</t>
    </r>
    <r>
      <rPr>
        <sz val="11"/>
        <rFont val="Symbol"/>
        <family val="1"/>
        <charset val="2"/>
      </rPr>
      <t>l</t>
    </r>
    <r>
      <rPr>
        <vertAlign val="subscript"/>
        <sz val="11"/>
        <rFont val="Arial"/>
        <family val="2"/>
      </rPr>
      <t>1</t>
    </r>
    <r>
      <rPr>
        <sz val="11"/>
        <rFont val="Arial"/>
        <family val="2"/>
      </rPr>
      <t>)</t>
    </r>
  </si>
  <si>
    <r>
      <t>Latitude (</t>
    </r>
    <r>
      <rPr>
        <sz val="11"/>
        <rFont val="Symbol"/>
        <family val="1"/>
        <charset val="2"/>
      </rPr>
      <t>j</t>
    </r>
    <r>
      <rPr>
        <vertAlign val="subscript"/>
        <sz val="11"/>
        <rFont val="Arial"/>
        <family val="2"/>
      </rPr>
      <t>2</t>
    </r>
    <r>
      <rPr>
        <sz val="11"/>
        <rFont val="Arial"/>
        <family val="2"/>
      </rPr>
      <t>)</t>
    </r>
  </si>
  <si>
    <r>
      <t>Longitude (</t>
    </r>
    <r>
      <rPr>
        <sz val="11"/>
        <rFont val="Symbol"/>
        <family val="1"/>
        <charset val="2"/>
      </rPr>
      <t>l</t>
    </r>
    <r>
      <rPr>
        <vertAlign val="subscript"/>
        <sz val="11"/>
        <rFont val="Arial"/>
        <family val="2"/>
      </rPr>
      <t>2</t>
    </r>
    <r>
      <rPr>
        <sz val="11"/>
        <rFont val="Arial"/>
        <family val="2"/>
      </rPr>
      <t>)</t>
    </r>
  </si>
  <si>
    <r>
      <t>j</t>
    </r>
    <r>
      <rPr>
        <vertAlign val="subscript"/>
        <sz val="11"/>
        <color indexed="8"/>
        <rFont val="Arial"/>
        <family val="2"/>
      </rPr>
      <t>1</t>
    </r>
  </si>
  <si>
    <r>
      <t>l</t>
    </r>
    <r>
      <rPr>
        <vertAlign val="subscript"/>
        <sz val="11"/>
        <rFont val="Arial"/>
        <family val="2"/>
      </rPr>
      <t>1</t>
    </r>
  </si>
  <si>
    <r>
      <t>e'</t>
    </r>
    <r>
      <rPr>
        <vertAlign val="superscript"/>
        <sz val="11"/>
        <rFont val="Arial"/>
        <family val="2"/>
      </rPr>
      <t>2</t>
    </r>
  </si>
  <si>
    <r>
      <t>a</t>
    </r>
    <r>
      <rPr>
        <vertAlign val="subscript"/>
        <sz val="11"/>
        <color indexed="16"/>
        <rFont val="Arial"/>
        <family val="2"/>
      </rPr>
      <t>12</t>
    </r>
  </si>
  <si>
    <r>
      <t xml:space="preserve">sin </t>
    </r>
    <r>
      <rPr>
        <sz val="11"/>
        <rFont val="Symbol"/>
        <family val="1"/>
        <charset val="2"/>
      </rPr>
      <t>a</t>
    </r>
  </si>
  <si>
    <r>
      <t>2</t>
    </r>
    <r>
      <rPr>
        <sz val="11"/>
        <rFont val="Symbol"/>
        <family val="1"/>
        <charset val="2"/>
      </rPr>
      <t>s</t>
    </r>
    <r>
      <rPr>
        <vertAlign val="subscript"/>
        <sz val="11"/>
        <rFont val="Arial"/>
        <family val="2"/>
      </rPr>
      <t>m</t>
    </r>
  </si>
  <si>
    <r>
      <t>2</t>
    </r>
    <r>
      <rPr>
        <sz val="11"/>
        <rFont val="Symbol"/>
        <family val="1"/>
        <charset val="2"/>
      </rPr>
      <t>s</t>
    </r>
    <r>
      <rPr>
        <vertAlign val="subscript"/>
        <sz val="11"/>
        <rFont val="Arial"/>
        <family val="2"/>
      </rPr>
      <t>1</t>
    </r>
  </si>
  <si>
    <r>
      <t xml:space="preserve">Bsin </t>
    </r>
    <r>
      <rPr>
        <sz val="11"/>
        <rFont val="Symbol"/>
        <family val="1"/>
        <charset val="2"/>
      </rPr>
      <t>s</t>
    </r>
  </si>
  <si>
    <r>
      <t>cos 2</t>
    </r>
    <r>
      <rPr>
        <sz val="11"/>
        <rFont val="Symbol"/>
        <family val="1"/>
        <charset val="2"/>
      </rPr>
      <t>s</t>
    </r>
    <r>
      <rPr>
        <vertAlign val="subscript"/>
        <sz val="11"/>
        <rFont val="Arial"/>
        <family val="2"/>
      </rPr>
      <t>m</t>
    </r>
  </si>
  <si>
    <r>
      <t xml:space="preserve">cos </t>
    </r>
    <r>
      <rPr>
        <sz val="11"/>
        <rFont val="Symbol"/>
        <family val="1"/>
        <charset val="2"/>
      </rPr>
      <t>s</t>
    </r>
    <r>
      <rPr>
        <sz val="11"/>
        <rFont val="Arial"/>
        <family val="2"/>
      </rPr>
      <t xml:space="preserve"> etc</t>
    </r>
  </si>
  <si>
    <r>
      <t xml:space="preserve">tan </t>
    </r>
    <r>
      <rPr>
        <sz val="11"/>
        <rFont val="Symbol"/>
        <family val="1"/>
        <charset val="2"/>
      </rPr>
      <t>f</t>
    </r>
    <r>
      <rPr>
        <vertAlign val="subscript"/>
        <sz val="11"/>
        <rFont val="Arial"/>
        <family val="2"/>
      </rPr>
      <t>2</t>
    </r>
  </si>
  <si>
    <r>
      <t xml:space="preserve">atan2 </t>
    </r>
    <r>
      <rPr>
        <sz val="11"/>
        <rFont val="Symbol"/>
        <family val="1"/>
        <charset val="2"/>
      </rPr>
      <t>f</t>
    </r>
    <r>
      <rPr>
        <vertAlign val="subscript"/>
        <sz val="11"/>
        <rFont val="Arial"/>
        <family val="2"/>
      </rPr>
      <t>2</t>
    </r>
  </si>
  <si>
    <r>
      <t>f</t>
    </r>
    <r>
      <rPr>
        <vertAlign val="subscript"/>
        <sz val="11"/>
        <rFont val="Arial"/>
        <family val="2"/>
      </rPr>
      <t>2</t>
    </r>
    <r>
      <rPr>
        <sz val="11"/>
        <rFont val="Arial"/>
        <family val="2"/>
      </rPr>
      <t>(rad)</t>
    </r>
  </si>
  <si>
    <r>
      <t>f</t>
    </r>
    <r>
      <rPr>
        <vertAlign val="subscript"/>
        <sz val="11"/>
        <rFont val="Arial"/>
        <family val="2"/>
      </rPr>
      <t>2</t>
    </r>
    <r>
      <rPr>
        <sz val="11"/>
        <rFont val="Arial"/>
        <family val="2"/>
      </rPr>
      <t>(deg)</t>
    </r>
  </si>
  <si>
    <r>
      <t xml:space="preserve">tan </t>
    </r>
    <r>
      <rPr>
        <sz val="11"/>
        <rFont val="Symbol"/>
        <family val="1"/>
        <charset val="2"/>
      </rPr>
      <t>l</t>
    </r>
  </si>
  <si>
    <r>
      <t>l</t>
    </r>
    <r>
      <rPr>
        <sz val="11"/>
        <rFont val="Arial"/>
        <family val="2"/>
      </rPr>
      <t xml:space="preserve"> (tan2)</t>
    </r>
  </si>
  <si>
    <r>
      <t>l</t>
    </r>
    <r>
      <rPr>
        <vertAlign val="subscript"/>
        <sz val="11"/>
        <rFont val="Arial"/>
        <family val="2"/>
      </rPr>
      <t>2</t>
    </r>
    <r>
      <rPr>
        <sz val="11"/>
        <rFont val="Arial"/>
        <family val="2"/>
      </rPr>
      <t>(rad)</t>
    </r>
  </si>
  <si>
    <r>
      <t>l</t>
    </r>
    <r>
      <rPr>
        <vertAlign val="subscript"/>
        <sz val="11"/>
        <rFont val="Arial"/>
        <family val="2"/>
      </rPr>
      <t>2</t>
    </r>
    <r>
      <rPr>
        <sz val="11"/>
        <rFont val="Arial"/>
        <family val="2"/>
      </rPr>
      <t>(deg)</t>
    </r>
  </si>
  <si>
    <r>
      <t xml:space="preserve">tan </t>
    </r>
    <r>
      <rPr>
        <sz val="11"/>
        <rFont val="Symbol"/>
        <family val="1"/>
        <charset val="2"/>
      </rPr>
      <t>a</t>
    </r>
    <r>
      <rPr>
        <vertAlign val="subscript"/>
        <sz val="11"/>
        <rFont val="Arial"/>
        <family val="2"/>
      </rPr>
      <t>2</t>
    </r>
  </si>
  <si>
    <r>
      <t>a</t>
    </r>
    <r>
      <rPr>
        <vertAlign val="subscript"/>
        <sz val="11"/>
        <rFont val="Arial"/>
        <family val="2"/>
      </rPr>
      <t>2</t>
    </r>
    <r>
      <rPr>
        <sz val="11"/>
        <rFont val="Arial"/>
        <family val="2"/>
      </rPr>
      <t xml:space="preserve"> (rad)</t>
    </r>
  </si>
  <si>
    <r>
      <t>a</t>
    </r>
    <r>
      <rPr>
        <vertAlign val="subscript"/>
        <sz val="11"/>
        <rFont val="Arial"/>
        <family val="2"/>
      </rPr>
      <t>2</t>
    </r>
    <r>
      <rPr>
        <sz val="11"/>
        <rFont val="Arial"/>
        <family val="2"/>
      </rPr>
      <t xml:space="preserve"> (deg)</t>
    </r>
  </si>
  <si>
    <t>Ellipsoid:</t>
  </si>
  <si>
    <t>Station 1:</t>
  </si>
  <si>
    <t>Station 2:</t>
  </si>
  <si>
    <r>
      <t>Latitude</t>
    </r>
    <r>
      <rPr>
        <sz val="11"/>
        <rFont val="Arial"/>
        <family val="2"/>
      </rPr>
      <t xml:space="preserve"> (</t>
    </r>
    <r>
      <rPr>
        <sz val="11"/>
        <rFont val="Symbol"/>
        <family val="1"/>
        <charset val="2"/>
      </rPr>
      <t>j</t>
    </r>
    <r>
      <rPr>
        <vertAlign val="subscript"/>
        <sz val="11"/>
        <rFont val="Arial"/>
        <family val="2"/>
      </rPr>
      <t>1</t>
    </r>
    <r>
      <rPr>
        <sz val="11"/>
        <rFont val="Arial"/>
        <family val="2"/>
      </rPr>
      <t>)</t>
    </r>
  </si>
  <si>
    <r>
      <t>Latitude</t>
    </r>
    <r>
      <rPr>
        <sz val="11"/>
        <rFont val="Arial"/>
        <family val="2"/>
      </rPr>
      <t xml:space="preserve"> (</t>
    </r>
    <r>
      <rPr>
        <sz val="11"/>
        <rFont val="Symbol"/>
        <family val="1"/>
        <charset val="2"/>
      </rPr>
      <t>j</t>
    </r>
    <r>
      <rPr>
        <vertAlign val="subscript"/>
        <sz val="11"/>
        <rFont val="Arial"/>
        <family val="2"/>
      </rPr>
      <t>2</t>
    </r>
    <r>
      <rPr>
        <sz val="11"/>
        <rFont val="Arial"/>
        <family val="2"/>
      </rPr>
      <t>)</t>
    </r>
  </si>
  <si>
    <r>
      <t>Longitude</t>
    </r>
    <r>
      <rPr>
        <sz val="11"/>
        <rFont val="Arial"/>
        <family val="2"/>
      </rPr>
      <t xml:space="preserve"> (</t>
    </r>
    <r>
      <rPr>
        <sz val="11"/>
        <rFont val="Symbol"/>
        <family val="1"/>
        <charset val="2"/>
      </rPr>
      <t>l</t>
    </r>
    <r>
      <rPr>
        <vertAlign val="subscript"/>
        <sz val="11"/>
        <rFont val="Arial"/>
        <family val="2"/>
      </rPr>
      <t>2</t>
    </r>
    <r>
      <rPr>
        <sz val="11"/>
        <rFont val="Arial"/>
        <family val="2"/>
      </rPr>
      <t>)</t>
    </r>
  </si>
  <si>
    <r>
      <t>Latitude (</t>
    </r>
    <r>
      <rPr>
        <sz val="11"/>
        <rFont val="Symbol"/>
        <family val="1"/>
        <charset val="2"/>
      </rPr>
      <t>j</t>
    </r>
    <r>
      <rPr>
        <vertAlign val="subscript"/>
        <sz val="11"/>
        <rFont val="Arial"/>
        <family val="2"/>
      </rPr>
      <t>1</t>
    </r>
    <r>
      <rPr>
        <sz val="11"/>
        <rFont val="Arial"/>
        <family val="2"/>
      </rPr>
      <t>)</t>
    </r>
  </si>
  <si>
    <r>
      <t>Longitude (</t>
    </r>
    <r>
      <rPr>
        <sz val="11"/>
        <rFont val="Symbol"/>
        <family val="1"/>
        <charset val="2"/>
      </rPr>
      <t>l</t>
    </r>
    <r>
      <rPr>
        <vertAlign val="subscript"/>
        <sz val="11"/>
        <rFont val="Arial"/>
        <family val="2"/>
      </rPr>
      <t>1</t>
    </r>
    <r>
      <rPr>
        <sz val="11"/>
        <rFont val="Arial"/>
        <family val="2"/>
      </rPr>
      <t>)</t>
    </r>
  </si>
  <si>
    <r>
      <t>Diff longitude (</t>
    </r>
    <r>
      <rPr>
        <sz val="11"/>
        <rFont val="Symbol"/>
        <family val="1"/>
        <charset val="2"/>
      </rPr>
      <t>w</t>
    </r>
    <r>
      <rPr>
        <sz val="11"/>
        <rFont val="Arial"/>
        <family val="2"/>
      </rPr>
      <t>)</t>
    </r>
  </si>
  <si>
    <r>
      <t>sin</t>
    </r>
    <r>
      <rPr>
        <vertAlign val="superscript"/>
        <sz val="11"/>
        <rFont val="Arial"/>
        <family val="2"/>
      </rPr>
      <t>2</t>
    </r>
    <r>
      <rPr>
        <sz val="11"/>
        <rFont val="Symbol"/>
        <family val="1"/>
        <charset val="2"/>
      </rPr>
      <t xml:space="preserve"> s</t>
    </r>
  </si>
  <si>
    <r>
      <t xml:space="preserve">cos </t>
    </r>
    <r>
      <rPr>
        <sz val="11"/>
        <rFont val="Symbol"/>
        <family val="1"/>
        <charset val="2"/>
      </rPr>
      <t>s</t>
    </r>
  </si>
  <si>
    <r>
      <t xml:space="preserve">tan </t>
    </r>
    <r>
      <rPr>
        <sz val="11"/>
        <rFont val="Symbol"/>
        <family val="1"/>
        <charset val="2"/>
      </rPr>
      <t>s</t>
    </r>
  </si>
  <si>
    <r>
      <t xml:space="preserve">cos 2 </t>
    </r>
    <r>
      <rPr>
        <sz val="11"/>
        <rFont val="Symbol"/>
        <family val="1"/>
        <charset val="2"/>
      </rPr>
      <t>s</t>
    </r>
    <r>
      <rPr>
        <sz val="11"/>
        <rFont val="Arial"/>
        <family val="2"/>
      </rPr>
      <t xml:space="preserve"> </t>
    </r>
    <r>
      <rPr>
        <vertAlign val="subscript"/>
        <sz val="11"/>
        <rFont val="Arial"/>
        <family val="2"/>
      </rPr>
      <t>m</t>
    </r>
  </si>
  <si>
    <r>
      <t xml:space="preserve">tan </t>
    </r>
    <r>
      <rPr>
        <sz val="11"/>
        <rFont val="Symbol"/>
        <family val="1"/>
        <charset val="2"/>
      </rPr>
      <t>a</t>
    </r>
    <r>
      <rPr>
        <vertAlign val="subscript"/>
        <sz val="11"/>
        <rFont val="Arial"/>
        <family val="2"/>
      </rPr>
      <t>1</t>
    </r>
  </si>
  <si>
    <r>
      <t xml:space="preserve">tan </t>
    </r>
    <r>
      <rPr>
        <sz val="11"/>
        <rFont val="Symbol"/>
        <family val="1"/>
        <charset val="2"/>
      </rPr>
      <t>a</t>
    </r>
    <r>
      <rPr>
        <vertAlign val="subscript"/>
        <sz val="11"/>
        <rFont val="Symbol"/>
        <family val="1"/>
        <charset val="2"/>
      </rPr>
      <t>2</t>
    </r>
  </si>
  <si>
    <r>
      <t>a</t>
    </r>
    <r>
      <rPr>
        <vertAlign val="subscript"/>
        <sz val="11"/>
        <rFont val="Arial"/>
        <family val="2"/>
      </rPr>
      <t xml:space="preserve">12 </t>
    </r>
    <r>
      <rPr>
        <sz val="11"/>
        <rFont val="Arial"/>
        <family val="2"/>
      </rPr>
      <t>(radians)</t>
    </r>
  </si>
  <si>
    <r>
      <t>a</t>
    </r>
    <r>
      <rPr>
        <vertAlign val="subscript"/>
        <sz val="11"/>
        <rFont val="Arial"/>
        <family val="2"/>
      </rPr>
      <t xml:space="preserve">21 </t>
    </r>
    <r>
      <rPr>
        <sz val="11"/>
        <rFont val="Arial"/>
        <family val="2"/>
      </rPr>
      <t>(radians)</t>
    </r>
  </si>
  <si>
    <r>
      <t>a</t>
    </r>
    <r>
      <rPr>
        <vertAlign val="subscript"/>
        <sz val="11"/>
        <rFont val="Arial"/>
        <family val="2"/>
      </rPr>
      <t xml:space="preserve">12 </t>
    </r>
    <r>
      <rPr>
        <sz val="11"/>
        <rFont val="Arial"/>
        <family val="2"/>
      </rPr>
      <t>(degrees)</t>
    </r>
  </si>
  <si>
    <r>
      <t>a</t>
    </r>
    <r>
      <rPr>
        <vertAlign val="subscript"/>
        <sz val="11"/>
        <rFont val="Arial"/>
        <family val="2"/>
      </rPr>
      <t>21</t>
    </r>
    <r>
      <rPr>
        <sz val="11"/>
        <rFont val="Arial"/>
        <family val="2"/>
      </rPr>
      <t xml:space="preserve"> (degrees)</t>
    </r>
  </si>
  <si>
    <r>
      <t>Azimuth 1-2 (</t>
    </r>
    <r>
      <rPr>
        <sz val="11"/>
        <rFont val="Symbol"/>
        <family val="1"/>
        <charset val="2"/>
      </rPr>
      <t>a</t>
    </r>
    <r>
      <rPr>
        <vertAlign val="subscript"/>
        <sz val="11"/>
        <rFont val="Arial"/>
        <family val="2"/>
      </rPr>
      <t>12</t>
    </r>
    <r>
      <rPr>
        <sz val="11"/>
        <rFont val="Arial"/>
        <family val="2"/>
      </rPr>
      <t>)</t>
    </r>
  </si>
  <si>
    <r>
      <t>Azimuth 2-1(</t>
    </r>
    <r>
      <rPr>
        <sz val="11"/>
        <rFont val="Symbol"/>
        <family val="1"/>
        <charset val="2"/>
      </rPr>
      <t>a</t>
    </r>
    <r>
      <rPr>
        <vertAlign val="subscript"/>
        <sz val="11"/>
        <rFont val="Arial"/>
        <family val="2"/>
      </rPr>
      <t>21</t>
    </r>
    <r>
      <rPr>
        <sz val="1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</si>
</sst>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164" formatCode="0.000000000000"/>
    <numFmt numFmtId="165" formatCode="0.000"/>
    <numFmt numFmtId="166" formatCode="0.000000000"/>
    <numFmt numFmtId="167" formatCode="0,000,000.000"/>
    <numFmt numFmtId="168" formatCode="0.000\ 000\ 000\ 000"/>
    <numFmt numFmtId="169" formatCode="000,000.000"/>
    <numFmt numFmtId="170" formatCode="00,000.000"/>
    <numFmt numFmtId="171" formatCode="00.000"/>
    <numFmt numFmtId="172" formatCode="0\°"/>
    <numFmt numFmtId="173" formatCode="00\'"/>
    <numFmt numFmtId="174" formatCode="00.000\&quot;"/>
    <numFmt numFmtId="175" formatCode="0.000\ 000\ 000\°"/>
    <numFmt numFmtId="176" formatCode="00\°"/>
    <numFmt numFmtId="177" formatCode="00.000\ 00\&quot;"/>
    <numFmt numFmtId="178" formatCode="0.000\ 000\ 0000"/>
    <numFmt numFmtId="179" formatCode="0.00000000000"/>
    <numFmt numFmtId="180" formatCode="0.0000000000"/>
    <numFmt numFmtId="181" formatCode="00.0000\&quot;"/>
    <numFmt numFmtId="182" formatCode="000,000.00"/>
    <numFmt numFmtId="183" formatCode="00.00\ 000\ \&quot;"/>
    <numFmt numFmtId="184" formatCode="0.0000000000000"/>
    <numFmt numFmtId="185" formatCode="0.000\ 000\ 000\ 0"/>
    <numFmt numFmtId="186" formatCode="0,000,000.0000"/>
    <numFmt numFmtId="187" formatCode="000\°"/>
    <numFmt numFmtId="188" formatCode="00.0000\ \&quot;"/>
  </numFmts>
  <fonts count="22" x14ac:knownFonts="1">
    <font>
      <sz val="10"/>
      <name val="Arial"/>
    </font>
    <font>
      <b/>
      <sz val="10"/>
      <name val="Arial"/>
      <family val="2"/>
    </font>
    <font>
      <sz val="10"/>
      <name val="Arial"/>
      <family val="2"/>
    </font>
    <font>
      <sz val="10"/>
      <color indexed="12"/>
      <name val="Arial"/>
      <family val="2"/>
    </font>
    <font>
      <sz val="10"/>
      <color indexed="48"/>
      <name val="Arial"/>
      <family val="2"/>
    </font>
    <font>
      <vertAlign val="subscript"/>
      <sz val="11"/>
      <name val="Arial"/>
      <family val="2"/>
    </font>
    <font>
      <vertAlign val="superscript"/>
      <sz val="11"/>
      <name val="Arial"/>
      <family val="2"/>
    </font>
    <font>
      <vertAlign val="subscript"/>
      <sz val="11"/>
      <name val="Symbol"/>
      <family val="1"/>
      <charset val="2"/>
    </font>
    <font>
      <sz val="11"/>
      <name val="Symbol"/>
      <family val="1"/>
      <charset val="2"/>
    </font>
    <font>
      <sz val="9"/>
      <color indexed="81"/>
      <name val="Tahoma"/>
      <family val="2"/>
    </font>
    <font>
      <b/>
      <sz val="18"/>
      <color theme="0"/>
      <name val="Arial"/>
      <family val="2"/>
    </font>
    <font>
      <sz val="11"/>
      <name val="Arial"/>
      <family val="2"/>
    </font>
    <font>
      <b/>
      <sz val="11"/>
      <name val="Arial"/>
      <family val="2"/>
    </font>
    <font>
      <sz val="11"/>
      <color indexed="16"/>
      <name val="Arial"/>
      <family val="2"/>
    </font>
    <font>
      <b/>
      <sz val="11"/>
      <color theme="0"/>
      <name val="Arial"/>
      <family val="2"/>
    </font>
    <font>
      <b/>
      <sz val="11"/>
      <color indexed="8"/>
      <name val="Arial"/>
      <family val="2"/>
    </font>
    <font>
      <vertAlign val="subscript"/>
      <sz val="11"/>
      <color indexed="8"/>
      <name val="Arial"/>
      <family val="2"/>
    </font>
    <font>
      <vertAlign val="subscript"/>
      <sz val="11"/>
      <color indexed="16"/>
      <name val="Arial"/>
      <family val="2"/>
    </font>
    <font>
      <b/>
      <sz val="11"/>
      <name val="Symbol"/>
      <family val="1"/>
      <charset val="2"/>
    </font>
    <font>
      <sz val="11"/>
      <color indexed="48"/>
      <name val="Arial"/>
      <family val="2"/>
    </font>
    <font>
      <sz val="11"/>
      <color indexed="12"/>
      <name val="Arial"/>
      <family val="2"/>
    </font>
    <font>
      <sz val="11"/>
      <name val="MS Sans Serif"/>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150">
    <xf numFmtId="0" fontId="0" fillId="0" borderId="0" xfId="0"/>
    <xf numFmtId="0" fontId="1" fillId="0" borderId="0" xfId="0" applyFont="1"/>
    <xf numFmtId="0" fontId="0" fillId="0" borderId="0" xfId="0" applyBorder="1"/>
    <xf numFmtId="0" fontId="0" fillId="0" borderId="3" xfId="0" applyBorder="1"/>
    <xf numFmtId="0" fontId="0" fillId="0" borderId="0" xfId="0" applyAlignment="1">
      <alignment horizontal="center"/>
    </xf>
    <xf numFmtId="173" fontId="0" fillId="0" borderId="0" xfId="0" applyNumberFormat="1" applyBorder="1"/>
    <xf numFmtId="169" fontId="0" fillId="0" borderId="0" xfId="0" applyNumberFormat="1" applyBorder="1"/>
    <xf numFmtId="175" fontId="0" fillId="0" borderId="0" xfId="0" applyNumberFormat="1" applyBorder="1"/>
    <xf numFmtId="177" fontId="0" fillId="0" borderId="0" xfId="0" applyNumberFormat="1" applyBorder="1"/>
    <xf numFmtId="176" fontId="0" fillId="0" borderId="0" xfId="0" applyNumberFormat="1" applyBorder="1"/>
    <xf numFmtId="178" fontId="0" fillId="0" borderId="0" xfId="0" applyNumberFormat="1" applyBorder="1"/>
    <xf numFmtId="0" fontId="2" fillId="0" borderId="0" xfId="0" applyFont="1" applyBorder="1"/>
    <xf numFmtId="0" fontId="2" fillId="0" borderId="0" xfId="0" applyNumberFormat="1" applyFont="1" applyFill="1" applyBorder="1" applyAlignment="1" applyProtection="1"/>
    <xf numFmtId="164" fontId="2" fillId="0" borderId="0" xfId="0" applyNumberFormat="1" applyFont="1" applyFill="1" applyBorder="1" applyAlignment="1" applyProtection="1"/>
    <xf numFmtId="164" fontId="3" fillId="0" borderId="0" xfId="0" applyNumberFormat="1" applyFont="1" applyFill="1" applyBorder="1" applyAlignment="1" applyProtection="1"/>
    <xf numFmtId="0" fontId="4" fillId="0" borderId="0" xfId="0" applyNumberFormat="1" applyFont="1" applyFill="1" applyBorder="1" applyAlignment="1" applyProtection="1"/>
    <xf numFmtId="0" fontId="1" fillId="0" borderId="0" xfId="0" applyFont="1" applyAlignment="1">
      <alignment horizontal="centerContinuous"/>
    </xf>
    <xf numFmtId="170" fontId="1" fillId="0" borderId="0" xfId="0" applyNumberFormat="1" applyFont="1"/>
    <xf numFmtId="170" fontId="0" fillId="0" borderId="0" xfId="0" applyNumberFormat="1"/>
    <xf numFmtId="0" fontId="0" fillId="0" borderId="0" xfId="0" applyBorder="1" applyAlignment="1">
      <alignment horizontal="center"/>
    </xf>
    <xf numFmtId="0" fontId="0" fillId="4" borderId="0" xfId="0" applyFill="1"/>
    <xf numFmtId="0" fontId="10" fillId="4" borderId="0" xfId="0" applyFont="1" applyFill="1"/>
    <xf numFmtId="0" fontId="11" fillId="0" borderId="0" xfId="0" applyFont="1"/>
    <xf numFmtId="0" fontId="12" fillId="0" borderId="11" xfId="0" applyFont="1" applyBorder="1" applyAlignment="1" applyProtection="1">
      <alignment horizontal="center"/>
    </xf>
    <xf numFmtId="0" fontId="12" fillId="0" borderId="0" xfId="0" applyFont="1"/>
    <xf numFmtId="0" fontId="11" fillId="0" borderId="11" xfId="0" applyFont="1" applyBorder="1" applyAlignment="1" applyProtection="1">
      <alignment horizontal="right"/>
    </xf>
    <xf numFmtId="186" fontId="11" fillId="0" borderId="11" xfId="0" applyNumberFormat="1" applyFont="1" applyBorder="1" applyAlignment="1" applyProtection="1">
      <alignment horizontal="right"/>
    </xf>
    <xf numFmtId="185" fontId="11" fillId="0" borderId="11" xfId="0" applyNumberFormat="1" applyFont="1" applyBorder="1" applyAlignment="1" applyProtection="1">
      <alignment horizontal="right"/>
    </xf>
    <xf numFmtId="0" fontId="12" fillId="0" borderId="0" xfId="0" applyFont="1" applyFill="1" applyBorder="1"/>
    <xf numFmtId="0" fontId="11" fillId="0" borderId="0" xfId="0" applyFont="1" applyAlignment="1">
      <alignment wrapText="1"/>
    </xf>
    <xf numFmtId="0" fontId="10" fillId="5" borderId="0" xfId="0" applyFont="1" applyFill="1"/>
    <xf numFmtId="0" fontId="0" fillId="5" borderId="0" xfId="0" applyFill="1"/>
    <xf numFmtId="0" fontId="14" fillId="4" borderId="11" xfId="0" applyFont="1" applyFill="1" applyBorder="1" applyAlignment="1">
      <alignment horizontal="center"/>
    </xf>
    <xf numFmtId="0" fontId="11" fillId="6" borderId="11" xfId="0" applyFont="1" applyFill="1" applyBorder="1" applyAlignment="1">
      <alignment horizontal="center"/>
    </xf>
    <xf numFmtId="0" fontId="14" fillId="4" borderId="11" xfId="0" applyFont="1" applyFill="1" applyBorder="1" applyAlignment="1" applyProtection="1">
      <alignment horizontal="center"/>
    </xf>
    <xf numFmtId="1" fontId="11" fillId="2" borderId="10" xfId="0" applyNumberFormat="1" applyFont="1" applyFill="1" applyBorder="1" applyAlignment="1">
      <alignment horizontal="center"/>
    </xf>
    <xf numFmtId="0" fontId="15" fillId="0" borderId="0" xfId="0" applyFont="1" applyBorder="1"/>
    <xf numFmtId="0" fontId="11" fillId="2" borderId="1" xfId="0" applyFont="1" applyFill="1" applyBorder="1"/>
    <xf numFmtId="0" fontId="12" fillId="0" borderId="1" xfId="0" applyFont="1" applyBorder="1" applyAlignment="1">
      <alignment horizontal="right"/>
    </xf>
    <xf numFmtId="0" fontId="11" fillId="2" borderId="7" xfId="0" applyFont="1" applyFill="1" applyBorder="1"/>
    <xf numFmtId="176" fontId="11" fillId="2" borderId="0" xfId="0" applyNumberFormat="1" applyFont="1" applyFill="1" applyBorder="1"/>
    <xf numFmtId="173" fontId="11" fillId="2" borderId="0" xfId="0" applyNumberFormat="1" applyFont="1" applyFill="1" applyBorder="1"/>
    <xf numFmtId="181" fontId="11" fillId="2" borderId="0" xfId="0" applyNumberFormat="1" applyFont="1" applyFill="1" applyBorder="1" applyAlignment="1">
      <alignment horizontal="left"/>
    </xf>
    <xf numFmtId="0" fontId="12" fillId="0" borderId="0" xfId="0" applyFont="1" applyBorder="1" applyAlignment="1">
      <alignment horizontal="right"/>
    </xf>
    <xf numFmtId="187" fontId="11" fillId="2" borderId="0" xfId="0" applyNumberFormat="1" applyFont="1" applyFill="1" applyBorder="1"/>
    <xf numFmtId="174" fontId="11" fillId="2" borderId="3" xfId="0" applyNumberFormat="1" applyFont="1" applyFill="1" applyBorder="1" applyAlignment="1">
      <alignment horizontal="left"/>
    </xf>
    <xf numFmtId="170" fontId="11" fillId="2" borderId="0" xfId="0" applyNumberFormat="1" applyFont="1" applyFill="1" applyBorder="1"/>
    <xf numFmtId="0" fontId="11" fillId="2" borderId="0" xfId="0" applyFont="1" applyFill="1" applyBorder="1"/>
    <xf numFmtId="169" fontId="11" fillId="2" borderId="3" xfId="0" applyNumberFormat="1" applyFont="1" applyFill="1" applyBorder="1" applyAlignment="1">
      <alignment horizontal="right"/>
    </xf>
    <xf numFmtId="1" fontId="11" fillId="0" borderId="0" xfId="0" applyNumberFormat="1" applyFont="1" applyFill="1" applyBorder="1"/>
    <xf numFmtId="183" fontId="11" fillId="0" borderId="0" xfId="0" applyNumberFormat="1" applyFont="1" applyFill="1" applyBorder="1" applyAlignment="1">
      <alignment horizontal="left"/>
    </xf>
    <xf numFmtId="0" fontId="11" fillId="0" borderId="0" xfId="0" applyFont="1" applyBorder="1" applyAlignment="1">
      <alignment horizontal="right"/>
    </xf>
    <xf numFmtId="180" fontId="11" fillId="0" borderId="0" xfId="0" applyNumberFormat="1" applyFont="1"/>
    <xf numFmtId="166" fontId="11" fillId="3" borderId="11" xfId="0" applyNumberFormat="1" applyFont="1" applyFill="1" applyBorder="1" applyAlignment="1" applyProtection="1">
      <alignment horizontal="right"/>
    </xf>
    <xf numFmtId="166" fontId="11" fillId="0" borderId="11" xfId="0" applyNumberFormat="1" applyFont="1" applyBorder="1" applyAlignment="1" applyProtection="1">
      <alignment horizontal="right"/>
    </xf>
    <xf numFmtId="0" fontId="12" fillId="0" borderId="4" xfId="0" applyFont="1" applyBorder="1" applyAlignment="1">
      <alignment horizontal="right"/>
    </xf>
    <xf numFmtId="0" fontId="12" fillId="3" borderId="2" xfId="0" applyFont="1" applyFill="1" applyBorder="1" applyAlignment="1">
      <alignment horizontal="right"/>
    </xf>
    <xf numFmtId="0" fontId="11" fillId="0" borderId="0" xfId="0" applyFont="1" applyFill="1" applyBorder="1"/>
    <xf numFmtId="0" fontId="11" fillId="0" borderId="0" xfId="0" applyNumberFormat="1" applyFont="1" applyFill="1" applyBorder="1" applyAlignment="1" applyProtection="1"/>
    <xf numFmtId="166" fontId="11" fillId="0" borderId="0" xfId="0" applyNumberFormat="1" applyFont="1" applyFill="1" applyBorder="1" applyAlignment="1" applyProtection="1"/>
    <xf numFmtId="1" fontId="13" fillId="0" borderId="0" xfId="0" applyNumberFormat="1" applyFont="1" applyFill="1" applyBorder="1"/>
    <xf numFmtId="1" fontId="11" fillId="0" borderId="0" xfId="0" applyNumberFormat="1" applyFont="1" applyFill="1" applyBorder="1" applyAlignment="1" applyProtection="1"/>
    <xf numFmtId="0" fontId="11" fillId="0" borderId="0" xfId="0" applyNumberFormat="1" applyFont="1" applyFill="1" applyBorder="1" applyAlignment="1" applyProtection="1">
      <alignment horizontal="center"/>
    </xf>
    <xf numFmtId="164" fontId="11" fillId="0" borderId="0" xfId="0" applyNumberFormat="1" applyFont="1" applyFill="1" applyBorder="1" applyAlignment="1" applyProtection="1"/>
    <xf numFmtId="1" fontId="8" fillId="0" borderId="0" xfId="0" applyNumberFormat="1" applyFont="1" applyFill="1" applyBorder="1" applyAlignment="1" applyProtection="1"/>
    <xf numFmtId="180" fontId="11" fillId="0" borderId="0" xfId="0" applyNumberFormat="1" applyFont="1" applyFill="1" applyBorder="1" applyAlignment="1" applyProtection="1"/>
    <xf numFmtId="0" fontId="8" fillId="0" borderId="0" xfId="0" applyNumberFormat="1" applyFont="1" applyFill="1" applyBorder="1" applyAlignment="1" applyProtection="1"/>
    <xf numFmtId="0" fontId="11" fillId="0" borderId="0" xfId="0" applyFont="1" applyBorder="1"/>
    <xf numFmtId="49" fontId="12" fillId="0" borderId="0" xfId="0" quotePrefix="1" applyNumberFormat="1" applyFont="1" applyFill="1" applyBorder="1" applyAlignment="1" applyProtection="1">
      <alignment horizontal="left"/>
    </xf>
    <xf numFmtId="0" fontId="18" fillId="0" borderId="0" xfId="0" applyNumberFormat="1" applyFont="1" applyFill="1" applyBorder="1" applyAlignment="1" applyProtection="1">
      <alignment horizontal="centerContinuous"/>
    </xf>
    <xf numFmtId="164" fontId="8" fillId="0" borderId="0" xfId="0" applyNumberFormat="1" applyFont="1" applyFill="1" applyBorder="1" applyAlignment="1" applyProtection="1"/>
    <xf numFmtId="164" fontId="12" fillId="0" borderId="0" xfId="0" applyNumberFormat="1" applyFont="1" applyFill="1" applyBorder="1" applyAlignment="1" applyProtection="1"/>
    <xf numFmtId="0" fontId="12" fillId="0" borderId="0" xfId="0" applyFont="1" applyAlignment="1">
      <alignment horizontal="centerContinuous"/>
    </xf>
    <xf numFmtId="0" fontId="12" fillId="0" borderId="0" xfId="0" applyNumberFormat="1" applyFont="1" applyFill="1" applyBorder="1" applyAlignment="1" applyProtection="1"/>
    <xf numFmtId="0" fontId="8" fillId="0" borderId="0" xfId="0" applyFont="1"/>
    <xf numFmtId="184" fontId="11" fillId="0" borderId="0" xfId="0" applyNumberFormat="1" applyFont="1" applyFill="1" applyBorder="1" applyAlignment="1" applyProtection="1"/>
    <xf numFmtId="179" fontId="11" fillId="0" borderId="0" xfId="0" applyNumberFormat="1" applyFont="1" applyAlignment="1">
      <alignment horizontal="centerContinuous"/>
    </xf>
    <xf numFmtId="179" fontId="19" fillId="0" borderId="0" xfId="0" applyNumberFormat="1" applyFont="1" applyFill="1" applyBorder="1" applyAlignment="1" applyProtection="1">
      <alignment horizontal="centerContinuous"/>
    </xf>
    <xf numFmtId="1" fontId="20" fillId="0" borderId="0" xfId="0" applyNumberFormat="1" applyFont="1" applyFill="1" applyBorder="1" applyAlignment="1" applyProtection="1"/>
    <xf numFmtId="0" fontId="11" fillId="0" borderId="0" xfId="0" applyFont="1" applyAlignment="1">
      <alignment horizontal="left"/>
    </xf>
    <xf numFmtId="2" fontId="11" fillId="0" borderId="0" xfId="0" applyNumberFormat="1" applyFont="1" applyBorder="1"/>
    <xf numFmtId="184" fontId="11" fillId="0" borderId="0" xfId="0" applyNumberFormat="1" applyFont="1"/>
    <xf numFmtId="164" fontId="21" fillId="0" borderId="0" xfId="0" applyNumberFormat="1" applyFont="1" applyFill="1" applyBorder="1" applyAlignment="1" applyProtection="1"/>
    <xf numFmtId="0" fontId="20" fillId="0" borderId="0" xfId="0" applyNumberFormat="1" applyFont="1" applyFill="1" applyBorder="1" applyAlignment="1" applyProtection="1"/>
    <xf numFmtId="0" fontId="15" fillId="0" borderId="0" xfId="0" applyFont="1" applyBorder="1" applyAlignment="1">
      <alignment horizontal="right"/>
    </xf>
    <xf numFmtId="176" fontId="11" fillId="7" borderId="2" xfId="0" applyNumberFormat="1" applyFont="1" applyFill="1" applyBorder="1" applyAlignment="1">
      <alignment horizontal="right"/>
    </xf>
    <xf numFmtId="176" fontId="11" fillId="7" borderId="0" xfId="0" applyNumberFormat="1" applyFont="1" applyFill="1" applyBorder="1"/>
    <xf numFmtId="173" fontId="11" fillId="7" borderId="0" xfId="0" applyNumberFormat="1" applyFont="1" applyFill="1" applyBorder="1"/>
    <xf numFmtId="188" fontId="11" fillId="7" borderId="0" xfId="0" applyNumberFormat="1" applyFont="1" applyFill="1" applyBorder="1" applyAlignment="1">
      <alignment horizontal="left"/>
    </xf>
    <xf numFmtId="176" fontId="11" fillId="7" borderId="9" xfId="0" applyNumberFormat="1" applyFont="1" applyFill="1" applyBorder="1" applyAlignment="1">
      <alignment horizontal="right"/>
    </xf>
    <xf numFmtId="176" fontId="11" fillId="7" borderId="8" xfId="0" applyNumberFormat="1" applyFont="1" applyFill="1" applyBorder="1"/>
    <xf numFmtId="173" fontId="11" fillId="7" borderId="8" xfId="0" applyNumberFormat="1" applyFont="1" applyFill="1" applyBorder="1"/>
    <xf numFmtId="188" fontId="11" fillId="7" borderId="12" xfId="0" applyNumberFormat="1" applyFont="1" applyFill="1" applyBorder="1" applyAlignment="1">
      <alignment horizontal="left"/>
    </xf>
    <xf numFmtId="0" fontId="11" fillId="7" borderId="8" xfId="0" applyFont="1" applyFill="1" applyBorder="1" applyAlignment="1">
      <alignment horizontal="right"/>
    </xf>
    <xf numFmtId="174" fontId="11" fillId="7" borderId="12" xfId="0" applyNumberFormat="1" applyFont="1" applyFill="1" applyBorder="1" applyAlignment="1">
      <alignment horizontal="left"/>
    </xf>
    <xf numFmtId="0" fontId="11" fillId="7" borderId="6" xfId="0" applyFont="1" applyFill="1" applyBorder="1"/>
    <xf numFmtId="0" fontId="11" fillId="0" borderId="0" xfId="0" applyFont="1" applyAlignment="1">
      <alignment horizontal="right"/>
    </xf>
    <xf numFmtId="0" fontId="12" fillId="0" borderId="2" xfId="0" applyNumberFormat="1" applyFont="1" applyFill="1" applyBorder="1" applyAlignment="1" applyProtection="1">
      <alignment horizontal="right"/>
    </xf>
    <xf numFmtId="0" fontId="12" fillId="0" borderId="0" xfId="0" applyNumberFormat="1" applyFont="1" applyFill="1" applyBorder="1" applyAlignment="1" applyProtection="1">
      <alignment horizontal="right"/>
    </xf>
    <xf numFmtId="0" fontId="11" fillId="0" borderId="4" xfId="0" applyFont="1" applyBorder="1"/>
    <xf numFmtId="0" fontId="11" fillId="0" borderId="1" xfId="0" applyFont="1" applyBorder="1"/>
    <xf numFmtId="0" fontId="11" fillId="0" borderId="2" xfId="0" applyFont="1" applyBorder="1"/>
    <xf numFmtId="172" fontId="11" fillId="0" borderId="0" xfId="0" applyNumberFormat="1" applyFont="1" applyBorder="1"/>
    <xf numFmtId="173" fontId="11" fillId="0" borderId="0" xfId="0" applyNumberFormat="1" applyFont="1" applyBorder="1"/>
    <xf numFmtId="175" fontId="11" fillId="0" borderId="0" xfId="0" applyNumberFormat="1" applyFont="1"/>
    <xf numFmtId="0" fontId="11" fillId="0" borderId="0" xfId="0" applyFont="1" applyBorder="1" applyAlignment="1">
      <alignment horizontal="center"/>
    </xf>
    <xf numFmtId="180" fontId="11" fillId="0" borderId="0" xfId="0" applyNumberFormat="1" applyFont="1" applyBorder="1"/>
    <xf numFmtId="179" fontId="11" fillId="0" borderId="0" xfId="0" applyNumberFormat="1" applyFont="1" applyBorder="1"/>
    <xf numFmtId="0" fontId="12" fillId="0" borderId="0" xfId="0" applyNumberFormat="1" applyFont="1" applyFill="1" applyBorder="1" applyAlignment="1" applyProtection="1">
      <alignment horizontal="left"/>
    </xf>
    <xf numFmtId="168" fontId="11" fillId="0" borderId="0" xfId="0" applyNumberFormat="1" applyFont="1" applyBorder="1" applyAlignment="1">
      <alignment horizontal="left"/>
    </xf>
    <xf numFmtId="0" fontId="12" fillId="0" borderId="0" xfId="0" applyFont="1" applyBorder="1"/>
    <xf numFmtId="0" fontId="12" fillId="0" borderId="0" xfId="0" applyFont="1" applyBorder="1" applyAlignment="1">
      <alignment horizontal="center"/>
    </xf>
    <xf numFmtId="179" fontId="11" fillId="0" borderId="0" xfId="0" applyNumberFormat="1" applyFont="1" applyFill="1" applyBorder="1" applyAlignment="1" applyProtection="1"/>
    <xf numFmtId="164" fontId="12" fillId="0" borderId="0" xfId="0" applyNumberFormat="1" applyFont="1" applyFill="1" applyBorder="1" applyAlignment="1" applyProtection="1">
      <alignment horizontal="left"/>
    </xf>
    <xf numFmtId="168" fontId="11" fillId="0" borderId="0" xfId="0" applyNumberFormat="1" applyFont="1" applyBorder="1"/>
    <xf numFmtId="165" fontId="11" fillId="0" borderId="0" xfId="0" applyNumberFormat="1" applyFont="1" applyFill="1" applyBorder="1" applyAlignment="1" applyProtection="1"/>
    <xf numFmtId="0" fontId="12" fillId="0" borderId="0" xfId="0" applyNumberFormat="1" applyFont="1" applyFill="1" applyBorder="1" applyAlignment="1" applyProtection="1">
      <alignment horizontal="centerContinuous"/>
    </xf>
    <xf numFmtId="0" fontId="8" fillId="0" borderId="0" xfId="0" applyNumberFormat="1" applyFont="1" applyFill="1" applyBorder="1" applyAlignment="1" applyProtection="1">
      <alignment horizontal="left"/>
    </xf>
    <xf numFmtId="0" fontId="12" fillId="0" borderId="0" xfId="0" applyFont="1" applyBorder="1" applyAlignment="1">
      <alignment horizontal="centerContinuous"/>
    </xf>
    <xf numFmtId="172" fontId="11" fillId="2" borderId="0" xfId="0" applyNumberFormat="1" applyFont="1" applyFill="1" applyBorder="1" applyAlignment="1">
      <alignment horizontal="right"/>
    </xf>
    <xf numFmtId="181" fontId="11" fillId="2" borderId="3" xfId="0" applyNumberFormat="1" applyFont="1" applyFill="1" applyBorder="1" applyAlignment="1">
      <alignment horizontal="left"/>
    </xf>
    <xf numFmtId="0" fontId="11" fillId="7" borderId="2" xfId="0" applyFont="1" applyFill="1" applyBorder="1" applyAlignment="1">
      <alignment horizontal="right"/>
    </xf>
    <xf numFmtId="165" fontId="11" fillId="7" borderId="0" xfId="0" applyNumberFormat="1" applyFont="1" applyFill="1" applyBorder="1" applyAlignment="1">
      <alignment horizontal="right"/>
    </xf>
    <xf numFmtId="0" fontId="11" fillId="7" borderId="0" xfId="0" applyFont="1" applyFill="1" applyBorder="1"/>
    <xf numFmtId="172" fontId="11" fillId="7" borderId="0" xfId="0" applyNumberFormat="1" applyFont="1" applyFill="1" applyBorder="1"/>
    <xf numFmtId="174" fontId="11" fillId="7" borderId="3" xfId="0" applyNumberFormat="1" applyFont="1" applyFill="1" applyBorder="1" applyAlignment="1">
      <alignment horizontal="left"/>
    </xf>
    <xf numFmtId="0" fontId="11" fillId="7" borderId="9" xfId="0" applyFont="1" applyFill="1" applyBorder="1" applyAlignment="1">
      <alignment horizontal="right"/>
    </xf>
    <xf numFmtId="172" fontId="11" fillId="7" borderId="8" xfId="0" applyNumberFormat="1" applyFont="1" applyFill="1" applyBorder="1"/>
    <xf numFmtId="167" fontId="11" fillId="2" borderId="10" xfId="0" applyNumberFormat="1" applyFont="1" applyFill="1" applyBorder="1"/>
    <xf numFmtId="181" fontId="11" fillId="2" borderId="12" xfId="0" applyNumberFormat="1" applyFont="1" applyFill="1" applyBorder="1" applyAlignment="1">
      <alignment horizontal="left"/>
    </xf>
    <xf numFmtId="0" fontId="12" fillId="0" borderId="4" xfId="0" applyFont="1" applyBorder="1"/>
    <xf numFmtId="0" fontId="12" fillId="0" borderId="1" xfId="0" applyFont="1" applyBorder="1"/>
    <xf numFmtId="170" fontId="11" fillId="0" borderId="1" xfId="0" applyNumberFormat="1" applyFont="1" applyBorder="1"/>
    <xf numFmtId="0" fontId="11" fillId="0" borderId="7" xfId="0" applyFont="1" applyBorder="1"/>
    <xf numFmtId="0" fontId="11" fillId="0" borderId="3" xfId="0" applyFont="1" applyBorder="1"/>
    <xf numFmtId="170" fontId="11" fillId="0" borderId="0" xfId="0" applyNumberFormat="1" applyFont="1" applyBorder="1"/>
    <xf numFmtId="0" fontId="11" fillId="0" borderId="8" xfId="0" applyFont="1" applyBorder="1"/>
    <xf numFmtId="170" fontId="11" fillId="0" borderId="8" xfId="0" applyNumberFormat="1" applyFont="1" applyBorder="1"/>
    <xf numFmtId="0" fontId="11" fillId="0" borderId="12" xfId="0" applyFont="1" applyBorder="1"/>
    <xf numFmtId="0" fontId="11" fillId="0" borderId="9" xfId="0" applyFont="1" applyBorder="1"/>
    <xf numFmtId="171" fontId="11" fillId="2" borderId="0" xfId="0" applyNumberFormat="1" applyFont="1" applyFill="1" applyBorder="1" applyAlignment="1">
      <alignment horizontal="right"/>
    </xf>
    <xf numFmtId="174" fontId="11" fillId="2" borderId="0" xfId="0" applyNumberFormat="1" applyFont="1" applyFill="1" applyBorder="1" applyAlignment="1">
      <alignment horizontal="left"/>
    </xf>
    <xf numFmtId="172" fontId="11" fillId="2" borderId="8" xfId="0" applyNumberFormat="1" applyFont="1" applyFill="1" applyBorder="1" applyAlignment="1">
      <alignment horizontal="right"/>
    </xf>
    <xf numFmtId="173" fontId="11" fillId="2" borderId="8" xfId="0" applyNumberFormat="1" applyFont="1" applyFill="1" applyBorder="1"/>
    <xf numFmtId="174" fontId="11" fillId="2" borderId="8" xfId="0" applyNumberFormat="1" applyFont="1" applyFill="1" applyBorder="1" applyAlignment="1">
      <alignment horizontal="left"/>
    </xf>
    <xf numFmtId="166" fontId="11" fillId="5" borderId="10" xfId="0" applyNumberFormat="1" applyFont="1" applyFill="1" applyBorder="1" applyAlignment="1">
      <alignment horizontal="center"/>
    </xf>
    <xf numFmtId="166" fontId="11" fillId="5" borderId="5" xfId="0" applyNumberFormat="1" applyFont="1" applyFill="1" applyBorder="1"/>
    <xf numFmtId="0" fontId="11" fillId="5" borderId="5" xfId="0" applyFont="1" applyFill="1" applyBorder="1"/>
    <xf numFmtId="182" fontId="11" fillId="5" borderId="6" xfId="0" applyNumberFormat="1" applyFont="1" applyFill="1" applyBorder="1"/>
    <xf numFmtId="168" fontId="11" fillId="0" borderId="0" xfId="0" applyNumberFormat="1" applyFo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57151</xdr:colOff>
      <xdr:row>9</xdr:row>
      <xdr:rowOff>9524</xdr:rowOff>
    </xdr:from>
    <xdr:to>
      <xdr:col>5</xdr:col>
      <xdr:colOff>962025</xdr:colOff>
      <xdr:row>13</xdr:row>
      <xdr:rowOff>104775</xdr:rowOff>
    </xdr:to>
    <xdr:sp macro="" textlink="">
      <xdr:nvSpPr>
        <xdr:cNvPr id="1042" name="Text 1"/>
        <xdr:cNvSpPr txBox="1">
          <a:spLocks noChangeArrowheads="1"/>
        </xdr:cNvSpPr>
      </xdr:nvSpPr>
      <xdr:spPr bwMode="auto">
        <a:xfrm>
          <a:off x="57151" y="1800224"/>
          <a:ext cx="6753224" cy="819151"/>
        </a:xfrm>
        <a:prstGeom prst="rect">
          <a:avLst/>
        </a:prstGeom>
        <a:solidFill>
          <a:schemeClr val="accent3">
            <a:lumMod val="40000"/>
            <a:lumOff val="60000"/>
          </a:schemeClr>
        </a:solidFill>
        <a:ln w="9525">
          <a:solidFill>
            <a:srgbClr xmlns:mc="http://schemas.openxmlformats.org/markup-compatibility/2006" xmlns:a14="http://schemas.microsoft.com/office/drawing/2010/main" val="000000" mc:Ignorable="a14" a14:legacySpreadsheetColorIndex="64"/>
          </a:solidFill>
          <a:prstDash val="solid"/>
          <a:miter lim="800000"/>
          <a:headEnd/>
          <a:tailEnd/>
        </a:ln>
      </xdr:spPr>
      <xdr:txBody>
        <a:bodyPr vertOverflow="clip" wrap="square" lIns="108000" tIns="108000" rIns="108000" bIns="108000" anchor="t" upright="1"/>
        <a:lstStyle/>
        <a:p>
          <a:pPr algn="l" rtl="0">
            <a:defRPr sz="1000"/>
          </a:pPr>
          <a:r>
            <a:rPr lang="en-AU" sz="1000" b="1" i="0" u="none" strike="noStrike" baseline="0">
              <a:solidFill>
                <a:srgbClr val="000000"/>
              </a:solidFill>
              <a:latin typeface="Arial" panose="020B0604020202020204" pitchFamily="34" charset="0"/>
              <a:cs typeface="Arial" panose="020B0604020202020204" pitchFamily="34" charset="0"/>
            </a:rPr>
            <a:t>INSTRUCTIONS</a:t>
          </a:r>
          <a:endParaRPr lang="en-AU"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AU" sz="1000" b="0" i="0" u="none" strike="noStrike" baseline="0">
              <a:solidFill>
                <a:srgbClr val="000000"/>
              </a:solidFill>
              <a:latin typeface="Arial" panose="020B0604020202020204" pitchFamily="34" charset="0"/>
              <a:cs typeface="Arial" panose="020B0604020202020204" pitchFamily="34" charset="0"/>
            </a:rPr>
            <a:t>(1) Enable Iterative Calculations by clicking File | Options | Formulas, then tick "</a:t>
          </a:r>
          <a:r>
            <a:rPr lang="en-AU" sz="1000" b="0" i="0" u="none" strike="noStrike" baseline="0">
              <a:solidFill>
                <a:sysClr val="windowText" lastClr="000000"/>
              </a:solidFill>
              <a:effectLst/>
              <a:latin typeface="Arial" panose="020B0604020202020204" pitchFamily="34" charset="0"/>
              <a:ea typeface="+mn-ea"/>
              <a:cs typeface="Arial" panose="020B0604020202020204" pitchFamily="34" charset="0"/>
            </a:rPr>
            <a:t>E</a:t>
          </a:r>
          <a:r>
            <a:rPr lang="en-AU" sz="1000" b="0" i="0" baseline="0">
              <a:effectLst/>
              <a:latin typeface="Arial" panose="020B0604020202020204" pitchFamily="34" charset="0"/>
              <a:ea typeface="+mn-ea"/>
              <a:cs typeface="Arial" panose="020B0604020202020204" pitchFamily="34" charset="0"/>
            </a:rPr>
            <a:t>nable Iterative Calculations"</a:t>
          </a:r>
          <a:endParaRPr lang="en-AU"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AU" sz="1000" b="0" i="0" u="none" strike="noStrike" baseline="0">
              <a:solidFill>
                <a:srgbClr val="000000"/>
              </a:solidFill>
              <a:latin typeface="Arial" panose="020B0604020202020204" pitchFamily="34" charset="0"/>
              <a:cs typeface="Arial" panose="020B0604020202020204" pitchFamily="34" charset="0"/>
            </a:rPr>
            <a:t>(2) Enter the ellipsoid / spheroid ID Number (i.e. 1,2,3 ...) in cell G10.</a:t>
          </a:r>
          <a:endParaRPr lang="en-AU" sz="1000" b="0" i="0" u="none" strike="noStrike" baseline="0">
            <a:solidFill>
              <a:srgbClr val="000000"/>
            </a:solidFill>
            <a:latin typeface="Arial"/>
            <a:cs typeface="Arial"/>
          </a:endParaRPr>
        </a:p>
        <a:p>
          <a:pPr algn="l" rtl="0">
            <a:defRPr sz="1000"/>
          </a:pPr>
          <a:r>
            <a:rPr lang="en-AU" sz="1000" b="0" i="0" u="none" strike="noStrike" baseline="0">
              <a:solidFill>
                <a:srgbClr val="000000"/>
              </a:solidFill>
              <a:latin typeface="Arial"/>
              <a:cs typeface="Arial"/>
            </a:rPr>
            <a:t>(3) Proceed to the Inverse Case or Direct Case worksheet.</a:t>
          </a:r>
        </a:p>
        <a:p>
          <a:pPr algn="l" rtl="0">
            <a:defRPr sz="1000"/>
          </a:pPr>
          <a:r>
            <a:rPr lang="en-AU" sz="1000" b="0" i="0" u="none" strike="noStrike" baseline="0">
              <a:solidFill>
                <a:srgbClr val="000000"/>
              </a:solidFill>
              <a:latin typeface="Arial"/>
              <a:cs typeface="Arial"/>
            </a:rPr>
            <a:t>     </a:t>
          </a:r>
        </a:p>
        <a:p>
          <a:pPr algn="r" rtl="0">
            <a:defRPr sz="1000"/>
          </a:pPr>
          <a:r>
            <a:rPr lang="en-AU" sz="1000" b="0" i="0" u="none" strike="noStrike" baseline="0">
              <a:solidFill>
                <a:srgbClr val="000000"/>
              </a:solidFill>
              <a:latin typeface="Arial"/>
              <a:cs typeface="Aria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59</xdr:row>
      <xdr:rowOff>66675</xdr:rowOff>
    </xdr:from>
    <xdr:to>
      <xdr:col>9</xdr:col>
      <xdr:colOff>19050</xdr:colOff>
      <xdr:row>74</xdr:row>
      <xdr:rowOff>28575</xdr:rowOff>
    </xdr:to>
    <xdr:sp macro="" textlink="">
      <xdr:nvSpPr>
        <xdr:cNvPr id="2123" name="Text 1"/>
        <xdr:cNvSpPr txBox="1">
          <a:spLocks noChangeArrowheads="1"/>
        </xdr:cNvSpPr>
      </xdr:nvSpPr>
      <xdr:spPr bwMode="auto">
        <a:xfrm>
          <a:off x="209550" y="1676400"/>
          <a:ext cx="6915150" cy="2390775"/>
        </a:xfrm>
        <a:prstGeom prst="rect">
          <a:avLst/>
        </a:prstGeom>
        <a:solidFill>
          <a:schemeClr val="accent3">
            <a:lumMod val="40000"/>
            <a:lumOff val="60000"/>
          </a:schemeClr>
        </a:solidFill>
        <a:ln w="9525">
          <a:solidFill>
            <a:srgbClr xmlns:mc="http://schemas.openxmlformats.org/markup-compatibility/2006" xmlns:a14="http://schemas.microsoft.com/office/drawing/2010/main" val="000000" mc:Ignorable="a14" a14:legacySpreadsheetColorIndex="64"/>
          </a:solidFill>
          <a:prstDash val="solid"/>
          <a:miter lim="800000"/>
          <a:headEnd/>
          <a:tailEnd/>
        </a:ln>
      </xdr:spPr>
      <xdr:txBody>
        <a:bodyPr vertOverflow="clip" wrap="square" lIns="108000" tIns="108000" rIns="108000" bIns="108000" anchor="t" upright="1"/>
        <a:lstStyle/>
        <a:p>
          <a:pPr algn="l" rtl="0">
            <a:defRPr sz="1000"/>
          </a:pPr>
          <a:r>
            <a:rPr lang="en-AU" sz="1100" b="1" i="0" u="none" strike="noStrike" baseline="0">
              <a:solidFill>
                <a:srgbClr val="000000"/>
              </a:solidFill>
              <a:latin typeface="Arial"/>
              <a:cs typeface="Arial"/>
            </a:rPr>
            <a:t>INSTRUCTIONS</a:t>
          </a:r>
          <a:endParaRPr lang="en-AU" sz="1100" b="0" i="0" u="none" strike="noStrike" baseline="0">
            <a:solidFill>
              <a:srgbClr val="000000"/>
            </a:solidFill>
            <a:latin typeface="Arial"/>
            <a:cs typeface="Arial"/>
          </a:endParaRPr>
        </a:p>
        <a:p>
          <a:pPr algn="l" rtl="0">
            <a:defRPr sz="1000"/>
          </a:pPr>
          <a:r>
            <a:rPr lang="en-AU" sz="1100" b="0" i="0" u="none" strike="noStrike" baseline="0">
              <a:solidFill>
                <a:srgbClr val="000000"/>
              </a:solidFill>
              <a:latin typeface="Arial"/>
              <a:cs typeface="Arial"/>
            </a:rPr>
            <a:t>(1) Choose the appropriate ellipsoid parameters on the "Constants and Parameters" worksheet.</a:t>
          </a:r>
        </a:p>
        <a:p>
          <a:pPr algn="l" rtl="0">
            <a:defRPr sz="1000"/>
          </a:pPr>
          <a:r>
            <a:rPr lang="en-AU" sz="1100" b="0" i="0" u="none" strike="noStrike" baseline="0">
              <a:solidFill>
                <a:srgbClr val="000000"/>
              </a:solidFill>
              <a:latin typeface="Arial"/>
              <a:cs typeface="Arial"/>
            </a:rPr>
            <a:t>(2) Enter the station names in cells C3,G3 (documentation only).</a:t>
          </a:r>
        </a:p>
        <a:p>
          <a:pPr algn="l" rtl="0">
            <a:defRPr sz="1000"/>
          </a:pPr>
          <a:r>
            <a:rPr lang="en-AU" sz="1100" b="0" i="0" u="none" strike="noStrike" baseline="0">
              <a:solidFill>
                <a:srgbClr val="000000"/>
              </a:solidFill>
              <a:latin typeface="Arial"/>
              <a:cs typeface="Arial"/>
            </a:rPr>
            <a:t>(3) Enter the Latitude of Station 1 in cells C4:E4, Longitude in cells C5:E5.</a:t>
          </a:r>
        </a:p>
        <a:p>
          <a:pPr algn="l" rtl="0">
            <a:defRPr sz="1000"/>
          </a:pPr>
          <a:r>
            <a:rPr lang="en-AU" sz="1100" b="0" i="0" u="none" strike="noStrike" baseline="0">
              <a:solidFill>
                <a:srgbClr val="000000"/>
              </a:solidFill>
              <a:latin typeface="Arial"/>
              <a:cs typeface="Arial"/>
            </a:rPr>
            <a:t>Remember that south latitude and west longitude should be entered as negative values.</a:t>
          </a:r>
        </a:p>
        <a:p>
          <a:pPr algn="l" rtl="0">
            <a:defRPr sz="1000"/>
          </a:pPr>
          <a:r>
            <a:rPr lang="en-AU" sz="1100" b="0" i="0" u="none" strike="noStrike" baseline="0">
              <a:solidFill>
                <a:srgbClr val="000000"/>
              </a:solidFill>
              <a:latin typeface="Arial"/>
              <a:cs typeface="Arial"/>
            </a:rPr>
            <a:t>(4) Enter the azimuth 1-2, in cells G4:I4.</a:t>
          </a:r>
        </a:p>
        <a:p>
          <a:pPr algn="l" rtl="0">
            <a:defRPr sz="1000"/>
          </a:pPr>
          <a:r>
            <a:rPr lang="en-AU" sz="1100" b="0" i="0" u="none" strike="noStrike" baseline="0">
              <a:solidFill>
                <a:srgbClr val="000000"/>
              </a:solidFill>
              <a:latin typeface="Arial"/>
              <a:cs typeface="Arial"/>
            </a:rPr>
            <a:t>(5) Enter the ellipsoidal distance (s) in cell G5.</a:t>
          </a:r>
        </a:p>
        <a:p>
          <a:pPr algn="l" rtl="0">
            <a:defRPr sz="1000"/>
          </a:pPr>
          <a:endParaRPr lang="en-AU" sz="1100" b="0" i="0" u="none" strike="noStrike" baseline="0">
            <a:solidFill>
              <a:srgbClr val="000000"/>
            </a:solidFill>
            <a:latin typeface="Arial"/>
            <a:cs typeface="Arial"/>
          </a:endParaRPr>
        </a:p>
        <a:p>
          <a:pPr algn="l" rtl="0">
            <a:defRPr sz="1000"/>
          </a:pPr>
          <a:r>
            <a:rPr lang="en-AU" sz="1100" b="0" i="0" u="none" strike="noStrike" baseline="0">
              <a:solidFill>
                <a:srgbClr val="000000"/>
              </a:solidFill>
              <a:latin typeface="Arial"/>
              <a:cs typeface="Arial"/>
            </a:rPr>
            <a:t>To see the intermediate steps, use the Excel "outlining" features:</a:t>
          </a:r>
        </a:p>
        <a:p>
          <a:pPr algn="l" rtl="0">
            <a:defRPr sz="1000"/>
          </a:pPr>
          <a:r>
            <a:rPr lang="en-AU" sz="1100" b="0" i="0" u="none" strike="noStrike" baseline="0">
              <a:solidFill>
                <a:srgbClr val="000000"/>
              </a:solidFill>
              <a:latin typeface="Arial"/>
              <a:cs typeface="Arial"/>
            </a:rPr>
            <a:t>(i) SHOW the outline symbols, and then</a:t>
          </a:r>
        </a:p>
        <a:p>
          <a:pPr algn="l" rtl="0">
            <a:defRPr sz="1000"/>
          </a:pPr>
          <a:r>
            <a:rPr lang="en-AU" sz="1100" b="0" i="0" u="none" strike="noStrike" baseline="0">
              <a:solidFill>
                <a:srgbClr val="000000"/>
              </a:solidFill>
              <a:latin typeface="Arial"/>
              <a:cs typeface="Arial"/>
            </a:rPr>
            <a:t>(ii) UNGROUP the hidden rows and columns as required.</a:t>
          </a:r>
        </a:p>
        <a:p>
          <a:pPr algn="l" rtl="0">
            <a:defRPr sz="1000"/>
          </a:pPr>
          <a:endParaRPr lang="en-AU" sz="1100" b="0" i="0" u="none" strike="noStrike" baseline="0">
            <a:solidFill>
              <a:srgbClr val="000000"/>
            </a:solidFill>
            <a:latin typeface="Arial"/>
            <a:cs typeface="Arial"/>
          </a:endParaRPr>
        </a:p>
        <a:p>
          <a:pPr algn="l" rtl="0">
            <a:defRPr sz="1000"/>
          </a:pPr>
          <a:r>
            <a:rPr lang="en-AU" sz="1100" b="0" i="0" u="none" strike="noStrike" baseline="0">
              <a:solidFill>
                <a:srgbClr val="000000"/>
              </a:solidFill>
              <a:latin typeface="Arial"/>
              <a:cs typeface="Arial"/>
            </a:rPr>
            <a:t>This spreadsheet has been tested for use within the Australian region. While some testing has been done in other parts of the world, the spreadsheet has not been exhaustively tested world-wide. </a:t>
          </a:r>
        </a:p>
      </xdr:txBody>
    </xdr:sp>
    <xdr:clientData/>
  </xdr:twoCellAnchor>
  <mc:AlternateContent xmlns:mc="http://schemas.openxmlformats.org/markup-compatibility/2006">
    <mc:Choice xmlns:a14="http://schemas.microsoft.com/office/drawing/2010/main" Requires="a14">
      <xdr:twoCellAnchor>
        <xdr:from>
          <xdr:col>4</xdr:col>
          <xdr:colOff>28575</xdr:colOff>
          <xdr:row>10</xdr:row>
          <xdr:rowOff>0</xdr:rowOff>
        </xdr:from>
        <xdr:to>
          <xdr:col>6</xdr:col>
          <xdr:colOff>9525</xdr:colOff>
          <xdr:row>10</xdr:row>
          <xdr:rowOff>0</xdr:rowOff>
        </xdr:to>
        <xdr:sp macro="" textlink="">
          <xdr:nvSpPr>
            <xdr:cNvPr id="2064" name="Picture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314325</xdr:colOff>
          <xdr:row>72</xdr:row>
          <xdr:rowOff>0</xdr:rowOff>
        </xdr:from>
        <xdr:to>
          <xdr:col>2</xdr:col>
          <xdr:colOff>352425</xdr:colOff>
          <xdr:row>72</xdr:row>
          <xdr:rowOff>0</xdr:rowOff>
        </xdr:to>
        <xdr:sp macro="" textlink="">
          <xdr:nvSpPr>
            <xdr:cNvPr id="2067" name="Picture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209550</xdr:colOff>
      <xdr:row>72</xdr:row>
      <xdr:rowOff>152400</xdr:rowOff>
    </xdr:from>
    <xdr:to>
      <xdr:col>8</xdr:col>
      <xdr:colOff>209550</xdr:colOff>
      <xdr:row>85</xdr:row>
      <xdr:rowOff>76200</xdr:rowOff>
    </xdr:to>
    <xdr:sp macro="" textlink="">
      <xdr:nvSpPr>
        <xdr:cNvPr id="3121" name="Text 1"/>
        <xdr:cNvSpPr txBox="1">
          <a:spLocks noChangeArrowheads="1"/>
        </xdr:cNvSpPr>
      </xdr:nvSpPr>
      <xdr:spPr bwMode="auto">
        <a:xfrm>
          <a:off x="352425" y="1743075"/>
          <a:ext cx="6010275" cy="2028825"/>
        </a:xfrm>
        <a:prstGeom prst="rect">
          <a:avLst/>
        </a:prstGeom>
        <a:solidFill>
          <a:schemeClr val="accent3">
            <a:lumMod val="40000"/>
            <a:lumOff val="60000"/>
          </a:schemeClr>
        </a:solidFill>
        <a:ln w="9525">
          <a:solidFill>
            <a:srgbClr xmlns:mc="http://schemas.openxmlformats.org/markup-compatibility/2006" xmlns:a14="http://schemas.microsoft.com/office/drawing/2010/main" val="000000" mc:Ignorable="a14" a14:legacySpreadsheetColorIndex="64"/>
          </a:solidFill>
          <a:prstDash val="solid"/>
          <a:miter lim="800000"/>
          <a:headEnd/>
          <a:tailEnd/>
        </a:ln>
      </xdr:spPr>
      <xdr:txBody>
        <a:bodyPr vertOverflow="clip" wrap="square" lIns="108000" tIns="108000" rIns="108000" bIns="108000" anchor="t" upright="1"/>
        <a:lstStyle/>
        <a:p>
          <a:pPr algn="l" rtl="0">
            <a:defRPr sz="1000"/>
          </a:pPr>
          <a:r>
            <a:rPr lang="en-AU" sz="1050" b="1" i="0" u="none" strike="noStrike" baseline="0">
              <a:solidFill>
                <a:srgbClr val="000000"/>
              </a:solidFill>
              <a:latin typeface="Arial"/>
              <a:cs typeface="Arial"/>
            </a:rPr>
            <a:t>INSTRUCTIONS</a:t>
          </a:r>
          <a:endParaRPr lang="en-AU" sz="1050" b="0" i="0" u="none" strike="noStrike" baseline="0">
            <a:solidFill>
              <a:srgbClr val="000000"/>
            </a:solidFill>
            <a:latin typeface="Arial"/>
            <a:cs typeface="Arial"/>
          </a:endParaRPr>
        </a:p>
        <a:p>
          <a:pPr algn="l" rtl="0">
            <a:defRPr sz="1000"/>
          </a:pPr>
          <a:r>
            <a:rPr lang="en-AU" sz="1050" b="0" i="0" u="none" strike="noStrike" baseline="0">
              <a:solidFill>
                <a:srgbClr val="000000"/>
              </a:solidFill>
              <a:latin typeface="Arial"/>
              <a:cs typeface="Arial"/>
            </a:rPr>
            <a:t>(1) Choose the appropriate ellipsoid  on the "Constants and Parameters" worksheet.</a:t>
          </a:r>
        </a:p>
        <a:p>
          <a:pPr algn="l" rtl="0">
            <a:defRPr sz="1000"/>
          </a:pPr>
          <a:r>
            <a:rPr lang="en-AU" sz="1050" b="0" i="0" u="none" strike="noStrike" baseline="0">
              <a:solidFill>
                <a:srgbClr val="000000"/>
              </a:solidFill>
              <a:latin typeface="Arial"/>
              <a:cs typeface="Arial"/>
            </a:rPr>
            <a:t>(2) Enter the station names in cells C3,G3 (documentation only).</a:t>
          </a:r>
        </a:p>
        <a:p>
          <a:pPr algn="l" rtl="0">
            <a:defRPr sz="1000"/>
          </a:pPr>
          <a:r>
            <a:rPr lang="en-AU" sz="1050" b="0" i="0" u="none" strike="noStrike" baseline="0">
              <a:solidFill>
                <a:srgbClr val="000000"/>
              </a:solidFill>
              <a:latin typeface="Arial"/>
              <a:cs typeface="Arial"/>
            </a:rPr>
            <a:t>(3) Enter the latitudes in cells (C4:E4 and G4:I4). Remember that south latitude is negative.</a:t>
          </a:r>
        </a:p>
        <a:p>
          <a:pPr algn="l" rtl="0">
            <a:defRPr sz="1000"/>
          </a:pPr>
          <a:r>
            <a:rPr lang="en-AU" sz="1050" b="0" i="0" u="none" strike="noStrike" baseline="0">
              <a:solidFill>
                <a:srgbClr val="000000"/>
              </a:solidFill>
              <a:latin typeface="Arial"/>
              <a:cs typeface="Arial"/>
            </a:rPr>
            <a:t>(4) Enter the longitude in cells (C5:E5 and G5:I5). Remember that west longitude is negative</a:t>
          </a:r>
        </a:p>
        <a:p>
          <a:pPr algn="l" rtl="0">
            <a:defRPr sz="1000"/>
          </a:pPr>
          <a:endParaRPr lang="en-AU" sz="1050" b="0" i="0" u="none" strike="noStrike" baseline="0">
            <a:solidFill>
              <a:srgbClr val="000000"/>
            </a:solidFill>
            <a:latin typeface="Arial"/>
            <a:cs typeface="Arial"/>
          </a:endParaRPr>
        </a:p>
        <a:p>
          <a:pPr algn="l" rtl="0">
            <a:defRPr sz="1000"/>
          </a:pPr>
          <a:r>
            <a:rPr lang="en-AU" sz="1050" b="0" i="0" u="none" strike="noStrike" baseline="0">
              <a:solidFill>
                <a:srgbClr val="000000"/>
              </a:solidFill>
              <a:latin typeface="Arial"/>
              <a:cs typeface="Arial"/>
            </a:rPr>
            <a:t>To see the intermediate values, use the Excel "outlining" features:</a:t>
          </a:r>
        </a:p>
        <a:p>
          <a:pPr algn="l" rtl="0">
            <a:defRPr sz="1000"/>
          </a:pPr>
          <a:r>
            <a:rPr lang="en-AU" sz="1050" b="0" i="0" u="none" strike="noStrike" baseline="0">
              <a:solidFill>
                <a:srgbClr val="000000"/>
              </a:solidFill>
              <a:latin typeface="Arial"/>
              <a:cs typeface="Arial"/>
            </a:rPr>
            <a:t>(i) SHOW the outline symbols, and then</a:t>
          </a:r>
        </a:p>
        <a:p>
          <a:pPr algn="l" rtl="0">
            <a:defRPr sz="1000"/>
          </a:pPr>
          <a:r>
            <a:rPr lang="en-AU" sz="1050" b="0" i="0" u="none" strike="noStrike" baseline="0">
              <a:solidFill>
                <a:srgbClr val="000000"/>
              </a:solidFill>
              <a:latin typeface="Arial"/>
              <a:cs typeface="Arial"/>
            </a:rPr>
            <a:t>(ii) UNGROUP the hidden rows and columns as required.</a:t>
          </a:r>
        </a:p>
        <a:p>
          <a:pPr algn="l" rtl="0">
            <a:defRPr sz="1000"/>
          </a:pPr>
          <a:endParaRPr lang="en-AU" sz="1050" b="0" i="0" u="none" strike="noStrike" baseline="0">
            <a:solidFill>
              <a:srgbClr val="000000"/>
            </a:solidFill>
            <a:latin typeface="Arial"/>
            <a:cs typeface="Arial"/>
          </a:endParaRPr>
        </a:p>
        <a:p>
          <a:pPr algn="l" rtl="0">
            <a:defRPr sz="1000"/>
          </a:pPr>
          <a:r>
            <a:rPr lang="en-AU" sz="1050" b="0" i="0" u="none" strike="noStrike" baseline="0">
              <a:solidFill>
                <a:srgbClr val="000000"/>
              </a:solidFill>
              <a:latin typeface="Arial"/>
              <a:cs typeface="Arial"/>
            </a:rPr>
            <a:t>This spreadsheet has been tested for use within the Australian region. While some testing has been done in other parts of the world, the spreadsheet has not been exhaustively tested world-wide. </a:t>
          </a:r>
        </a:p>
      </xdr:txBody>
    </xdr:sp>
    <xdr:clientData/>
  </xdr:twoCellAnchor>
  <mc:AlternateContent xmlns:mc="http://schemas.openxmlformats.org/markup-compatibility/2006">
    <mc:Choice xmlns:a14="http://schemas.microsoft.com/office/drawing/2010/main" Requires="a14">
      <xdr:twoCellAnchor>
        <xdr:from>
          <xdr:col>1</xdr:col>
          <xdr:colOff>66675</xdr:colOff>
          <xdr:row>111</xdr:row>
          <xdr:rowOff>0</xdr:rowOff>
        </xdr:from>
        <xdr:to>
          <xdr:col>4</xdr:col>
          <xdr:colOff>685800</xdr:colOff>
          <xdr:row>111</xdr:row>
          <xdr:rowOff>0</xdr:rowOff>
        </xdr:to>
        <xdr:sp macro="" textlink="">
          <xdr:nvSpPr>
            <xdr:cNvPr id="3077" name="Picture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180975</xdr:colOff>
          <xdr:row>9</xdr:row>
          <xdr:rowOff>0</xdr:rowOff>
        </xdr:from>
        <xdr:to>
          <xdr:col>2</xdr:col>
          <xdr:colOff>0</xdr:colOff>
          <xdr:row>9</xdr:row>
          <xdr:rowOff>9525</xdr:rowOff>
        </xdr:to>
        <xdr:sp macro="" textlink="">
          <xdr:nvSpPr>
            <xdr:cNvPr id="3078" name="Picture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showGridLines="0" tabSelected="1" showOutlineSymbols="0" zoomScaleNormal="100" workbookViewId="0">
      <selection activeCell="C16" sqref="C16"/>
    </sheetView>
  </sheetViews>
  <sheetFormatPr defaultRowHeight="12.75" x14ac:dyDescent="0.2"/>
  <cols>
    <col min="1" max="1" width="23.7109375" customWidth="1"/>
    <col min="2" max="6" width="16" bestFit="1" customWidth="1"/>
    <col min="7" max="7" width="22" bestFit="1" customWidth="1"/>
    <col min="8" max="8" width="16" bestFit="1" customWidth="1"/>
    <col min="9" max="9" width="17.7109375" customWidth="1"/>
  </cols>
  <sheetData>
    <row r="1" spans="1:8" ht="23.25" x14ac:dyDescent="0.35">
      <c r="A1" s="21" t="s">
        <v>83</v>
      </c>
      <c r="B1" s="20"/>
      <c r="C1" s="20"/>
      <c r="D1" s="20"/>
      <c r="F1" s="32" t="s">
        <v>85</v>
      </c>
    </row>
    <row r="2" spans="1:8" ht="14.25" customHeight="1" x14ac:dyDescent="0.35">
      <c r="A2" s="30"/>
      <c r="B2" s="31"/>
      <c r="C2" s="31"/>
      <c r="D2" s="31"/>
      <c r="F2" s="33" t="s">
        <v>86</v>
      </c>
    </row>
    <row r="3" spans="1:8" ht="14.25" x14ac:dyDescent="0.2">
      <c r="A3" s="22"/>
      <c r="B3" s="22"/>
      <c r="C3" s="22"/>
      <c r="D3" s="22"/>
      <c r="E3" s="22"/>
      <c r="F3" s="22"/>
      <c r="G3" s="22"/>
      <c r="H3" s="22"/>
    </row>
    <row r="4" spans="1:8" ht="15" x14ac:dyDescent="0.25">
      <c r="A4" s="24" t="s">
        <v>87</v>
      </c>
      <c r="B4" s="34">
        <v>1</v>
      </c>
      <c r="C4" s="34">
        <v>2</v>
      </c>
      <c r="D4" s="34">
        <v>3</v>
      </c>
      <c r="E4" s="34">
        <v>4</v>
      </c>
      <c r="F4" s="34">
        <v>5</v>
      </c>
      <c r="G4" s="34">
        <v>6</v>
      </c>
      <c r="H4" s="34">
        <v>7</v>
      </c>
    </row>
    <row r="5" spans="1:8" ht="15" x14ac:dyDescent="0.25">
      <c r="A5" s="24" t="s">
        <v>84</v>
      </c>
      <c r="B5" s="23" t="s">
        <v>0</v>
      </c>
      <c r="C5" s="23" t="s">
        <v>1</v>
      </c>
      <c r="D5" s="23" t="s">
        <v>2</v>
      </c>
      <c r="E5" s="23" t="s">
        <v>3</v>
      </c>
      <c r="F5" s="23" t="s">
        <v>4</v>
      </c>
      <c r="G5" s="23" t="s">
        <v>5</v>
      </c>
      <c r="H5" s="23" t="s">
        <v>6</v>
      </c>
    </row>
    <row r="6" spans="1:8" ht="15" x14ac:dyDescent="0.25">
      <c r="A6" s="24" t="s">
        <v>81</v>
      </c>
      <c r="B6" s="53">
        <v>298.25722210088003</v>
      </c>
      <c r="C6" s="54">
        <v>298.25722356300003</v>
      </c>
      <c r="D6" s="25">
        <v>298.25</v>
      </c>
      <c r="E6" s="25">
        <v>298.26</v>
      </c>
      <c r="F6" s="25">
        <v>294.26</v>
      </c>
      <c r="G6" s="26">
        <v>999999999999.99902</v>
      </c>
      <c r="H6" s="25">
        <v>298.25</v>
      </c>
    </row>
    <row r="7" spans="1:8" ht="15" x14ac:dyDescent="0.25">
      <c r="A7" s="24" t="s">
        <v>82</v>
      </c>
      <c r="B7" s="27">
        <f>1/$B$6</f>
        <v>3.3528106811836675E-3</v>
      </c>
      <c r="C7" s="27">
        <f>1/$C$6</f>
        <v>3.3528106647474805E-3</v>
      </c>
      <c r="D7" s="27">
        <f>1/$D$6</f>
        <v>3.3528918692372171E-3</v>
      </c>
      <c r="E7" s="27">
        <f>1/$E$6</f>
        <v>3.352779454167505E-3</v>
      </c>
      <c r="F7" s="27">
        <f>1/$F$6</f>
        <v>3.3983551960850948E-3</v>
      </c>
      <c r="G7" s="27">
        <f>1/$G$6</f>
        <v>1.000000000000001E-12</v>
      </c>
      <c r="H7" s="27">
        <f>1/$H$6</f>
        <v>3.3528918692372171E-3</v>
      </c>
    </row>
    <row r="8" spans="1:8" ht="15" x14ac:dyDescent="0.25">
      <c r="A8" s="28" t="s">
        <v>80</v>
      </c>
      <c r="B8" s="25">
        <v>6378137</v>
      </c>
      <c r="C8" s="25">
        <v>6378137</v>
      </c>
      <c r="D8" s="25">
        <v>6378160</v>
      </c>
      <c r="E8" s="25">
        <v>6378135</v>
      </c>
      <c r="F8" s="25">
        <v>6378293.6449999996</v>
      </c>
      <c r="G8" s="25">
        <v>6371000</v>
      </c>
      <c r="H8" s="25">
        <v>6378160</v>
      </c>
    </row>
    <row r="9" spans="1:8" ht="14.25" x14ac:dyDescent="0.2">
      <c r="A9" s="22"/>
      <c r="B9" s="22"/>
      <c r="C9" s="22"/>
      <c r="D9" s="22"/>
      <c r="E9" s="22"/>
      <c r="F9" s="22"/>
      <c r="G9" s="22"/>
      <c r="H9" s="22"/>
    </row>
    <row r="10" spans="1:8" ht="14.25" x14ac:dyDescent="0.2">
      <c r="A10" s="22"/>
      <c r="B10" s="22"/>
      <c r="C10" s="22"/>
      <c r="D10" s="22"/>
      <c r="E10" s="22"/>
      <c r="F10" s="22"/>
      <c r="H10" s="35">
        <v>1</v>
      </c>
    </row>
    <row r="11" spans="1:8" ht="14.25" x14ac:dyDescent="0.2">
      <c r="A11" s="22"/>
      <c r="B11" s="22"/>
      <c r="C11" s="22"/>
      <c r="D11" s="22"/>
      <c r="E11" s="22"/>
      <c r="F11" s="22"/>
      <c r="H11" s="145" t="str">
        <f>HLOOKUP(H10,B4:H8,2)</f>
        <v>GRS80</v>
      </c>
    </row>
    <row r="12" spans="1:8" ht="14.25" x14ac:dyDescent="0.2">
      <c r="A12" s="22"/>
      <c r="B12" s="22"/>
      <c r="C12" s="22"/>
      <c r="D12" s="22"/>
      <c r="E12" s="22"/>
      <c r="F12" s="22"/>
      <c r="G12" t="str">
        <f>A6</f>
        <v>Inverse flattening (1/f)</v>
      </c>
      <c r="H12" s="146">
        <f>HLOOKUP(H10,B4:H8,3)</f>
        <v>298.25722210088003</v>
      </c>
    </row>
    <row r="13" spans="1:8" ht="14.25" x14ac:dyDescent="0.2">
      <c r="A13" s="22"/>
      <c r="B13" s="29"/>
      <c r="C13" s="22"/>
      <c r="D13" s="22"/>
      <c r="E13" s="22"/>
      <c r="F13" s="22"/>
      <c r="G13" t="str">
        <f>A7</f>
        <v>flattening</v>
      </c>
      <c r="H13" s="147">
        <f>HLOOKUP(H10,B4:H8,4)</f>
        <v>3.3528106811836675E-3</v>
      </c>
    </row>
    <row r="14" spans="1:8" ht="14.25" x14ac:dyDescent="0.2">
      <c r="A14" s="22"/>
      <c r="B14" s="22"/>
      <c r="C14" s="22"/>
      <c r="D14" s="22"/>
      <c r="E14" s="22"/>
      <c r="F14" s="22"/>
      <c r="G14" t="str">
        <f>A8</f>
        <v>semi-major axis (a)</v>
      </c>
      <c r="H14" s="148">
        <f>HLOOKUP(H10,B4:H8,5)</f>
        <v>6378137</v>
      </c>
    </row>
    <row r="15" spans="1:8" ht="14.25" x14ac:dyDescent="0.2">
      <c r="A15" s="22"/>
      <c r="B15" s="22"/>
      <c r="C15" s="22"/>
      <c r="D15" s="22"/>
      <c r="E15" s="22"/>
      <c r="F15" s="22"/>
      <c r="G15" s="22"/>
      <c r="H15" s="22"/>
    </row>
    <row r="16" spans="1:8" ht="14.25" x14ac:dyDescent="0.2">
      <c r="A16" s="22"/>
      <c r="B16" s="22"/>
      <c r="C16" s="22"/>
      <c r="D16" s="22"/>
      <c r="E16" s="22"/>
      <c r="F16" s="22"/>
      <c r="G16" s="22"/>
      <c r="H16" s="22"/>
    </row>
    <row r="17" spans="1:8" ht="14.25" x14ac:dyDescent="0.2">
      <c r="A17" s="22"/>
      <c r="B17" s="22"/>
      <c r="C17" s="22"/>
      <c r="D17" s="22"/>
      <c r="E17" s="22"/>
      <c r="F17" s="22"/>
      <c r="G17" s="22"/>
      <c r="H17" s="22"/>
    </row>
    <row r="18" spans="1:8" ht="14.25" x14ac:dyDescent="0.2">
      <c r="A18" s="22"/>
      <c r="B18" s="22"/>
      <c r="C18" s="22"/>
      <c r="D18" s="22"/>
      <c r="E18" s="22"/>
      <c r="F18" s="22"/>
      <c r="G18" s="22"/>
      <c r="H18" s="22"/>
    </row>
    <row r="19" spans="1:8" ht="14.25" x14ac:dyDescent="0.2">
      <c r="A19" s="22"/>
      <c r="B19" s="22"/>
      <c r="C19" s="22"/>
      <c r="D19" s="22"/>
      <c r="E19" s="22"/>
      <c r="F19" s="22"/>
      <c r="G19" s="22"/>
      <c r="H19" s="22"/>
    </row>
    <row r="20" spans="1:8" ht="14.25" x14ac:dyDescent="0.2">
      <c r="A20" s="22"/>
      <c r="C20" s="22"/>
      <c r="D20" s="22"/>
      <c r="E20" s="22"/>
      <c r="F20" s="22"/>
      <c r="G20" s="22"/>
      <c r="H20" s="22"/>
    </row>
    <row r="21" spans="1:8" ht="14.25" x14ac:dyDescent="0.2">
      <c r="A21" s="22"/>
      <c r="C21" s="22"/>
      <c r="D21" s="22"/>
      <c r="E21" s="22"/>
      <c r="F21" s="22"/>
      <c r="G21" s="22"/>
      <c r="H21" s="22"/>
    </row>
    <row r="22" spans="1:8" ht="14.25" x14ac:dyDescent="0.2">
      <c r="A22" s="22"/>
      <c r="C22" s="22"/>
      <c r="D22" s="22"/>
      <c r="E22" s="22"/>
      <c r="F22" s="22"/>
      <c r="G22" s="22"/>
      <c r="H22" s="22"/>
    </row>
    <row r="23" spans="1:8" ht="14.25" x14ac:dyDescent="0.2">
      <c r="A23" s="22"/>
      <c r="C23" s="22"/>
      <c r="D23" s="22"/>
      <c r="E23" s="22"/>
      <c r="F23" s="22"/>
      <c r="G23" s="22"/>
      <c r="H23" s="22"/>
    </row>
    <row r="24" spans="1:8" ht="14.25" x14ac:dyDescent="0.2">
      <c r="A24" s="22"/>
      <c r="C24" s="22"/>
      <c r="D24" s="22"/>
      <c r="E24" s="22"/>
      <c r="F24" s="22"/>
      <c r="G24" s="22"/>
      <c r="H24" s="22"/>
    </row>
    <row r="25" spans="1:8" ht="14.25" x14ac:dyDescent="0.2">
      <c r="A25" s="22"/>
      <c r="B25" s="22"/>
      <c r="C25" s="22"/>
      <c r="D25" s="22"/>
      <c r="E25" s="22"/>
      <c r="F25" s="22"/>
      <c r="G25" s="22"/>
      <c r="H25" s="22"/>
    </row>
    <row r="36" spans="2:3" x14ac:dyDescent="0.2">
      <c r="C36" s="13"/>
    </row>
    <row r="37" spans="2:3" x14ac:dyDescent="0.2">
      <c r="C37" s="13"/>
    </row>
    <row r="38" spans="2:3" x14ac:dyDescent="0.2">
      <c r="B38" s="13"/>
      <c r="C38" s="13"/>
    </row>
    <row r="39" spans="2:3" x14ac:dyDescent="0.2">
      <c r="B39" s="13"/>
    </row>
    <row r="40" spans="2:3" x14ac:dyDescent="0.2">
      <c r="B40" s="13"/>
    </row>
  </sheetData>
  <printOptions gridLinesSet="0"/>
  <pageMargins left="0.75" right="0.75" top="1" bottom="1" header="0.5" footer="0.5"/>
  <pageSetup paperSize="9" orientation="portrait" horizontalDpi="180" verticalDpi="180" r:id="rId1"/>
  <headerFooter alignWithMargins="0">
    <oddHeader>&amp;C&amp;F&amp;REllipsoids</oddHeader>
    <oddFooter>&amp;L&amp;D&amp;CGDA Technical Manual</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5"/>
  <sheetViews>
    <sheetView showOutlineSymbols="0" zoomScale="90" workbookViewId="0">
      <selection activeCell="B1" sqref="B1:I10"/>
    </sheetView>
  </sheetViews>
  <sheetFormatPr defaultRowHeight="12.75" outlineLevelRow="1" x14ac:dyDescent="0.2"/>
  <cols>
    <col min="1" max="1" width="2.5703125" customWidth="1"/>
    <col min="2" max="2" width="15" customWidth="1"/>
    <col min="3" max="3" width="19.28515625" customWidth="1"/>
    <col min="4" max="4" width="5.7109375" bestFit="1" customWidth="1"/>
    <col min="5" max="5" width="11.7109375" customWidth="1"/>
    <col min="6" max="6" width="23.140625" bestFit="1" customWidth="1"/>
    <col min="7" max="7" width="16.28515625" customWidth="1"/>
    <col min="8" max="8" width="5.5703125" customWidth="1"/>
    <col min="9" max="9" width="11.28515625" customWidth="1"/>
    <col min="10" max="10" width="13.42578125" customWidth="1"/>
    <col min="11" max="11" width="17.7109375" customWidth="1"/>
    <col min="12" max="12" width="15.5703125" customWidth="1"/>
    <col min="13" max="13" width="3.5703125" customWidth="1"/>
    <col min="14" max="14" width="10.42578125" customWidth="1"/>
    <col min="15" max="15" width="5.28515625" customWidth="1"/>
    <col min="16" max="16" width="4.140625" customWidth="1"/>
    <col min="17" max="17" width="13.42578125" customWidth="1"/>
    <col min="18" max="18" width="15.7109375" customWidth="1"/>
    <col min="19" max="19" width="14.5703125" customWidth="1"/>
  </cols>
  <sheetData>
    <row r="1" spans="2:18" ht="20.25" customHeight="1" x14ac:dyDescent="0.25">
      <c r="B1" s="84" t="s">
        <v>116</v>
      </c>
      <c r="C1" s="36" t="str">
        <f>'Constants and Parameters'!H11</f>
        <v>GRS80</v>
      </c>
      <c r="D1" s="22"/>
      <c r="E1" s="22"/>
      <c r="F1" s="22"/>
      <c r="G1" s="22"/>
      <c r="H1" s="22"/>
      <c r="I1" s="22"/>
    </row>
    <row r="2" spans="2:18" ht="12" customHeight="1" x14ac:dyDescent="0.25">
      <c r="B2" s="84"/>
      <c r="C2" s="36"/>
      <c r="D2" s="22"/>
      <c r="E2" s="22"/>
      <c r="F2" s="22"/>
      <c r="G2" s="22"/>
      <c r="H2" s="22"/>
      <c r="I2" s="22"/>
    </row>
    <row r="3" spans="2:18" ht="15" x14ac:dyDescent="0.25">
      <c r="B3" s="55" t="s">
        <v>117</v>
      </c>
      <c r="C3" s="37" t="s">
        <v>11</v>
      </c>
      <c r="D3" s="37"/>
      <c r="E3" s="37"/>
      <c r="F3" s="38" t="s">
        <v>118</v>
      </c>
      <c r="G3" s="37" t="s">
        <v>13</v>
      </c>
      <c r="H3" s="37"/>
      <c r="I3" s="39"/>
    </row>
    <row r="4" spans="2:18" ht="18.75" x14ac:dyDescent="0.35">
      <c r="B4" s="56" t="s">
        <v>91</v>
      </c>
      <c r="C4" s="40">
        <v>-37</v>
      </c>
      <c r="D4" s="41">
        <v>57</v>
      </c>
      <c r="E4" s="42">
        <v>3.7202999999999999</v>
      </c>
      <c r="F4" s="43" t="s">
        <v>88</v>
      </c>
      <c r="G4" s="44">
        <v>306</v>
      </c>
      <c r="H4" s="41">
        <v>52</v>
      </c>
      <c r="I4" s="45">
        <v>5.3730000000000002</v>
      </c>
    </row>
    <row r="5" spans="2:18" ht="18.75" x14ac:dyDescent="0.35">
      <c r="B5" s="56" t="s">
        <v>92</v>
      </c>
      <c r="C5" s="40">
        <v>144</v>
      </c>
      <c r="D5" s="41">
        <v>25</v>
      </c>
      <c r="E5" s="42">
        <v>29.5244</v>
      </c>
      <c r="F5" s="43" t="s">
        <v>89</v>
      </c>
      <c r="G5" s="46">
        <v>54972.271000000001</v>
      </c>
      <c r="H5" s="47"/>
      <c r="I5" s="48"/>
    </row>
    <row r="6" spans="2:18" ht="15" hidden="1" outlineLevel="1" x14ac:dyDescent="0.25">
      <c r="B6" s="56"/>
      <c r="C6" s="52">
        <f ca="1">TRUNC(F46)</f>
        <v>-37</v>
      </c>
      <c r="D6" s="22">
        <f ca="1">TRUNC((F46-C6)*60)</f>
        <v>-39</v>
      </c>
      <c r="E6" s="22">
        <f ca="1">((F46-C6)-D6/60)*3600</f>
        <v>-10.156104000001198</v>
      </c>
      <c r="F6" s="43"/>
      <c r="G6" s="46"/>
      <c r="H6" s="47"/>
      <c r="I6" s="48"/>
    </row>
    <row r="7" spans="2:18" ht="18.75" collapsed="1" x14ac:dyDescent="0.35">
      <c r="B7" s="85" t="s">
        <v>93</v>
      </c>
      <c r="C7" s="86">
        <f ca="1">C6</f>
        <v>-37</v>
      </c>
      <c r="D7" s="87">
        <f ca="1">IF(C6=0,D6,ABS(D6))</f>
        <v>39</v>
      </c>
      <c r="E7" s="88">
        <f ca="1">IF(C7=0,E6,ABS(E6))</f>
        <v>10.156104000001198</v>
      </c>
      <c r="F7" s="93" t="s">
        <v>90</v>
      </c>
      <c r="G7" s="90">
        <f ca="1">TRUNC(F59)</f>
        <v>127</v>
      </c>
      <c r="H7" s="91">
        <f ca="1">TRUNC((F59-G7)*60)</f>
        <v>10</v>
      </c>
      <c r="I7" s="94">
        <f ca="1">(F59-G7-H7/60)*3600</f>
        <v>25.070131866482402</v>
      </c>
    </row>
    <row r="8" spans="2:18" ht="18.75" x14ac:dyDescent="0.35">
      <c r="B8" s="89" t="s">
        <v>94</v>
      </c>
      <c r="C8" s="90">
        <f ca="1">TRUNC(F56)</f>
        <v>143</v>
      </c>
      <c r="D8" s="91">
        <f ca="1">TRUNC((F56-C8)*60)</f>
        <v>55</v>
      </c>
      <c r="E8" s="92">
        <f ca="1">(F56-C8-D8/60)*3600</f>
        <v>35.383908000039945</v>
      </c>
      <c r="F8" s="22"/>
      <c r="G8" s="22"/>
      <c r="H8" s="22"/>
      <c r="I8" s="111" t="s">
        <v>85</v>
      </c>
    </row>
    <row r="9" spans="2:18" ht="14.25" x14ac:dyDescent="0.2">
      <c r="B9" s="22"/>
      <c r="C9" s="22"/>
      <c r="D9" s="22"/>
      <c r="E9" s="22"/>
      <c r="F9" s="22"/>
      <c r="G9" s="22"/>
      <c r="H9" s="22"/>
      <c r="I9" s="128" t="s">
        <v>14</v>
      </c>
      <c r="M9" s="11"/>
      <c r="O9" s="2"/>
      <c r="P9" s="2"/>
      <c r="Q9" s="3"/>
    </row>
    <row r="10" spans="2:18" ht="14.25" x14ac:dyDescent="0.2">
      <c r="B10" s="57"/>
      <c r="C10" s="49"/>
      <c r="D10" s="49"/>
      <c r="E10" s="50"/>
      <c r="F10" s="51"/>
      <c r="G10" s="51"/>
      <c r="H10" s="22"/>
      <c r="I10" s="95" t="s">
        <v>15</v>
      </c>
      <c r="M10" s="11"/>
      <c r="O10" s="2"/>
      <c r="P10" s="2"/>
      <c r="Q10" s="2"/>
      <c r="R10" s="2"/>
    </row>
    <row r="11" spans="2:18" ht="14.25" hidden="1" outlineLevel="1" x14ac:dyDescent="0.2">
      <c r="B11" s="58" t="s">
        <v>8</v>
      </c>
      <c r="C11" s="59">
        <f>'Constants and Parameters'!H14</f>
        <v>6378137</v>
      </c>
      <c r="D11" s="60"/>
      <c r="E11" s="61"/>
      <c r="F11" s="62" t="s">
        <v>16</v>
      </c>
      <c r="G11" s="62" t="s">
        <v>17</v>
      </c>
      <c r="H11" s="58"/>
      <c r="I11" s="58"/>
      <c r="M11" s="11"/>
      <c r="O11" s="2"/>
      <c r="P11" s="2"/>
      <c r="Q11" s="2"/>
      <c r="R11" s="2"/>
    </row>
    <row r="12" spans="2:18" ht="18.75" hidden="1" outlineLevel="1" x14ac:dyDescent="0.35">
      <c r="B12" s="63" t="s">
        <v>18</v>
      </c>
      <c r="C12" s="59">
        <f>C11*(1-C13)</f>
        <v>6356752.3141403478</v>
      </c>
      <c r="D12" s="61"/>
      <c r="E12" s="64" t="s">
        <v>95</v>
      </c>
      <c r="F12" s="65">
        <f>IF(C4&lt;0,-(ABS(C4)+D4/60+E4/3600),C4+D4/60+E4/3600)</f>
        <v>-37.951033416666668</v>
      </c>
      <c r="G12" s="65">
        <f>F12*PI()/180</f>
        <v>-0.66237048765522644</v>
      </c>
      <c r="H12" s="58"/>
      <c r="I12" s="58"/>
      <c r="K12" s="2"/>
      <c r="M12" s="11"/>
      <c r="N12" s="6"/>
      <c r="O12" s="2"/>
      <c r="P12" s="2"/>
      <c r="Q12" s="2"/>
      <c r="R12" s="2"/>
    </row>
    <row r="13" spans="2:18" ht="18.75" hidden="1" outlineLevel="1" x14ac:dyDescent="0.35">
      <c r="B13" s="63" t="s">
        <v>7</v>
      </c>
      <c r="C13" s="65">
        <f>'Constants and Parameters'!H13</f>
        <v>3.3528106811836675E-3</v>
      </c>
      <c r="D13" s="61"/>
      <c r="E13" s="64" t="s">
        <v>96</v>
      </c>
      <c r="F13" s="65">
        <f>IF(C5&lt;0,-(ABS(C5)+D5/60+E5/3600),C5+D5/60+E5/3600)</f>
        <v>144.42486788888888</v>
      </c>
      <c r="G13" s="65">
        <f>F13*PI()/180</f>
        <v>2.520689466418943</v>
      </c>
      <c r="H13" s="58"/>
      <c r="I13" s="58"/>
      <c r="J13" s="2"/>
      <c r="K13" s="2"/>
      <c r="L13" s="2"/>
      <c r="M13" s="11"/>
      <c r="N13" s="6"/>
      <c r="O13" s="2"/>
      <c r="P13" s="2"/>
      <c r="Q13" s="2"/>
      <c r="R13" s="2"/>
    </row>
    <row r="14" spans="2:18" ht="18.75" hidden="1" outlineLevel="1" x14ac:dyDescent="0.35">
      <c r="B14" s="63" t="s">
        <v>97</v>
      </c>
      <c r="C14" s="65">
        <f>(C11*C11-C12*C12)/(C12*C12)</f>
        <v>6.7394967754815802E-3</v>
      </c>
      <c r="D14" s="61"/>
      <c r="E14" s="66" t="s">
        <v>98</v>
      </c>
      <c r="F14" s="65">
        <f>ABS(G4)+H4/60+I4/3600</f>
        <v>306.86815916666666</v>
      </c>
      <c r="G14" s="65">
        <f>F14*PI()/180</f>
        <v>5.3558597469923512</v>
      </c>
      <c r="H14" s="58"/>
      <c r="I14" s="58"/>
      <c r="J14" s="2"/>
      <c r="K14" s="2"/>
      <c r="L14" s="2"/>
      <c r="M14" s="11"/>
      <c r="N14" s="6"/>
      <c r="O14" s="2"/>
      <c r="P14" s="2"/>
      <c r="Q14" s="2"/>
      <c r="R14" s="2"/>
    </row>
    <row r="15" spans="2:18" ht="14.25" hidden="1" outlineLevel="1" x14ac:dyDescent="0.2">
      <c r="B15" s="22"/>
      <c r="C15" s="22"/>
      <c r="D15" s="22"/>
      <c r="E15" s="22"/>
      <c r="F15" s="22"/>
      <c r="G15" s="22"/>
      <c r="H15" s="67"/>
      <c r="I15" s="67"/>
      <c r="J15" s="2"/>
      <c r="K15" s="2"/>
      <c r="L15" s="2"/>
      <c r="M15" s="11"/>
      <c r="N15" s="2"/>
      <c r="O15" s="2"/>
      <c r="P15" s="2"/>
      <c r="Q15" s="2"/>
      <c r="R15" s="2"/>
    </row>
    <row r="16" spans="2:18" ht="16.5" hidden="1" outlineLevel="1" x14ac:dyDescent="0.2">
      <c r="B16" s="58" t="s">
        <v>69</v>
      </c>
      <c r="C16" s="65">
        <f>COS(ASIN(C23))*COS(ASIN(C23))*((C11*C11)-(C12*C12))/(C12*C12)</f>
        <v>4.0506136361470029E-3</v>
      </c>
      <c r="D16" s="22"/>
      <c r="E16" s="63"/>
      <c r="F16" s="65"/>
      <c r="G16" s="22"/>
      <c r="H16" s="58"/>
      <c r="I16" s="58"/>
      <c r="J16" s="12"/>
      <c r="K16" s="12"/>
      <c r="L16" s="12"/>
      <c r="M16" s="2"/>
      <c r="N16" s="2"/>
      <c r="O16" s="2"/>
      <c r="P16" s="2"/>
      <c r="Q16" s="2"/>
      <c r="R16" s="2"/>
    </row>
    <row r="17" spans="2:18" ht="15" hidden="1" outlineLevel="1" x14ac:dyDescent="0.25">
      <c r="B17" s="68" t="s">
        <v>19</v>
      </c>
      <c r="C17" s="69"/>
      <c r="D17" s="22"/>
      <c r="E17" s="22"/>
      <c r="F17" s="22"/>
      <c r="G17" s="22"/>
      <c r="H17" s="63"/>
      <c r="I17" s="63"/>
      <c r="J17" s="12"/>
      <c r="K17" s="12"/>
      <c r="L17" s="12"/>
      <c r="M17" s="2"/>
      <c r="N17" s="2"/>
      <c r="O17" s="2"/>
      <c r="P17" s="2"/>
      <c r="Q17" s="2"/>
      <c r="R17" s="2"/>
    </row>
    <row r="18" spans="2:18" ht="14.25" hidden="1" outlineLevel="1" x14ac:dyDescent="0.2">
      <c r="B18" s="63" t="s">
        <v>20</v>
      </c>
      <c r="C18" s="65">
        <f>(1-C13)*TAN(G12)</f>
        <v>-0.77729535384961135</v>
      </c>
      <c r="D18" s="22"/>
      <c r="E18" s="22"/>
      <c r="F18" s="22"/>
      <c r="G18" s="22"/>
      <c r="H18" s="58"/>
      <c r="I18" s="58"/>
      <c r="J18" s="12"/>
      <c r="K18" s="12"/>
      <c r="L18" s="12"/>
      <c r="M18" s="2"/>
      <c r="N18" s="2"/>
      <c r="O18" s="2"/>
      <c r="P18" s="2"/>
      <c r="Q18" s="2"/>
      <c r="R18" s="2"/>
    </row>
    <row r="19" spans="2:18" ht="18.75" hidden="1" outlineLevel="1" x14ac:dyDescent="0.35">
      <c r="B19" s="63" t="s">
        <v>21</v>
      </c>
      <c r="C19" s="65">
        <f>C18/COS(G14)</f>
        <v>-1.2955446698881903</v>
      </c>
      <c r="D19" s="22"/>
      <c r="E19" s="58"/>
      <c r="F19" s="65"/>
      <c r="G19" s="22"/>
      <c r="H19" s="70"/>
      <c r="I19" s="63"/>
      <c r="J19" s="12"/>
      <c r="K19" s="12"/>
      <c r="L19" s="12"/>
      <c r="M19" s="2"/>
      <c r="N19" s="2"/>
      <c r="O19" s="2"/>
      <c r="P19" s="2"/>
      <c r="Q19" s="2"/>
      <c r="R19" s="2"/>
    </row>
    <row r="20" spans="2:18" ht="15" hidden="1" outlineLevel="1" x14ac:dyDescent="0.25">
      <c r="B20" s="71" t="s">
        <v>22</v>
      </c>
      <c r="C20" s="65"/>
      <c r="D20" s="22"/>
      <c r="E20" s="58"/>
      <c r="F20" s="65"/>
      <c r="G20" s="22"/>
      <c r="H20" s="70"/>
      <c r="I20" s="63"/>
      <c r="J20" s="12"/>
      <c r="K20" s="12"/>
      <c r="L20" s="12"/>
      <c r="M20" s="2"/>
      <c r="N20" s="2"/>
      <c r="O20" s="2"/>
      <c r="P20" s="2"/>
      <c r="Q20" s="2"/>
      <c r="R20" s="2"/>
    </row>
    <row r="21" spans="2:18" ht="15" hidden="1" outlineLevel="1" x14ac:dyDescent="0.25">
      <c r="B21" s="63" t="s">
        <v>23</v>
      </c>
      <c r="C21" s="65">
        <f>SIN(ATAN(C18))</f>
        <v>-0.61370326110685824</v>
      </c>
      <c r="D21" s="22"/>
      <c r="E21" s="58"/>
      <c r="F21" s="65"/>
      <c r="G21" s="22"/>
      <c r="H21" s="70"/>
      <c r="I21" s="63"/>
      <c r="J21" s="12"/>
      <c r="K21" s="12"/>
      <c r="L21" s="12"/>
      <c r="M21" s="2"/>
      <c r="N21" s="2"/>
      <c r="O21" s="2"/>
      <c r="P21" s="2"/>
      <c r="Q21" s="2"/>
      <c r="R21" s="2"/>
    </row>
    <row r="22" spans="2:18" ht="15" hidden="1" outlineLevel="1" x14ac:dyDescent="0.25">
      <c r="B22" s="22" t="s">
        <v>24</v>
      </c>
      <c r="C22" s="65">
        <f>COS(ATAN(C18))</f>
        <v>0.78953676754588653</v>
      </c>
      <c r="D22" s="22"/>
      <c r="E22" s="58"/>
      <c r="F22" s="65"/>
      <c r="G22" s="22"/>
      <c r="H22" s="70"/>
      <c r="I22" s="63"/>
      <c r="J22" s="12"/>
      <c r="K22" s="12"/>
      <c r="L22" s="12"/>
      <c r="M22" s="2"/>
      <c r="N22" s="2"/>
      <c r="O22" s="2"/>
      <c r="P22" s="2"/>
      <c r="Q22" s="2"/>
      <c r="R22" s="2"/>
    </row>
    <row r="23" spans="2:18" ht="15" hidden="1" outlineLevel="1" x14ac:dyDescent="0.25">
      <c r="B23" s="63" t="s">
        <v>99</v>
      </c>
      <c r="C23" s="65">
        <f>C22*SIN(G14)</f>
        <v>-0.63164378750864703</v>
      </c>
      <c r="D23" s="22"/>
      <c r="E23" s="66"/>
      <c r="F23" s="65"/>
      <c r="G23" s="22"/>
      <c r="H23" s="70"/>
      <c r="I23" s="63"/>
      <c r="J23" s="12"/>
      <c r="K23" s="12"/>
      <c r="L23" s="12"/>
      <c r="M23" s="2"/>
      <c r="N23" s="2"/>
      <c r="O23" s="2"/>
      <c r="P23" s="2"/>
      <c r="Q23" s="2"/>
      <c r="R23" s="2"/>
    </row>
    <row r="24" spans="2:18" ht="15" hidden="1" outlineLevel="1" x14ac:dyDescent="0.25">
      <c r="B24" s="71" t="s">
        <v>25</v>
      </c>
      <c r="C24" s="65"/>
      <c r="D24" s="22"/>
      <c r="E24" s="66"/>
      <c r="F24" s="65"/>
      <c r="G24" s="22"/>
      <c r="H24" s="70"/>
      <c r="I24" s="63"/>
      <c r="J24" s="12"/>
      <c r="K24" s="12"/>
      <c r="L24" s="12"/>
      <c r="M24" s="2"/>
      <c r="N24" s="2"/>
      <c r="O24" s="2"/>
      <c r="P24" s="2"/>
      <c r="Q24" s="2"/>
      <c r="R24" s="2"/>
    </row>
    <row r="25" spans="2:18" ht="14.25" hidden="1" outlineLevel="1" x14ac:dyDescent="0.2">
      <c r="B25" s="63" t="s">
        <v>26</v>
      </c>
      <c r="C25" s="65">
        <f>1+C16/16384*(4096+C16*(-768+C16*(320-175*C16)))</f>
        <v>1.0010118856040193</v>
      </c>
      <c r="D25" s="22"/>
      <c r="E25" s="22"/>
      <c r="F25" s="22"/>
      <c r="G25" s="22"/>
      <c r="H25" s="22"/>
      <c r="I25" s="63"/>
      <c r="J25" s="12"/>
      <c r="K25" s="12"/>
      <c r="L25" s="12"/>
      <c r="M25" s="2"/>
      <c r="N25" s="2"/>
      <c r="O25" s="2"/>
      <c r="P25" s="2"/>
      <c r="Q25" s="2"/>
      <c r="R25" s="2"/>
    </row>
    <row r="26" spans="2:18" ht="15" hidden="1" outlineLevel="1" x14ac:dyDescent="0.25">
      <c r="B26" s="71" t="s">
        <v>27</v>
      </c>
      <c r="C26" s="65"/>
      <c r="D26" s="22"/>
      <c r="E26" s="22"/>
      <c r="F26" s="22"/>
      <c r="G26" s="22"/>
      <c r="H26" s="22"/>
      <c r="I26" s="63"/>
      <c r="J26" s="12"/>
      <c r="K26" s="12"/>
      <c r="L26" s="12"/>
      <c r="M26" s="2"/>
      <c r="N26" s="2"/>
      <c r="O26" s="2"/>
      <c r="P26" s="2"/>
      <c r="Q26" s="2"/>
      <c r="R26" s="2"/>
    </row>
    <row r="27" spans="2:18" ht="15" hidden="1" outlineLevel="1" x14ac:dyDescent="0.25">
      <c r="B27" s="66" t="s">
        <v>28</v>
      </c>
      <c r="C27" s="65">
        <f>C16/1024*(256+C16*(-128+C16*(74-47*C16)))</f>
        <v>1.0106072656239191E-3</v>
      </c>
      <c r="D27" s="22"/>
      <c r="E27" s="72"/>
      <c r="F27" s="72"/>
      <c r="G27" s="22"/>
      <c r="H27" s="22"/>
      <c r="I27" s="63"/>
      <c r="J27" s="12"/>
      <c r="K27" s="12"/>
      <c r="L27" s="12"/>
      <c r="M27" s="2"/>
      <c r="N27" s="2"/>
      <c r="O27" s="2"/>
      <c r="P27" s="2"/>
      <c r="Q27" s="2"/>
      <c r="R27" s="2"/>
    </row>
    <row r="28" spans="2:18" ht="15" hidden="1" outlineLevel="1" x14ac:dyDescent="0.25">
      <c r="B28" s="73" t="s">
        <v>29</v>
      </c>
      <c r="C28" s="65"/>
      <c r="D28" s="22"/>
      <c r="E28" s="74"/>
      <c r="F28" s="65"/>
      <c r="G28" s="22"/>
      <c r="H28" s="22"/>
      <c r="I28" s="63"/>
      <c r="J28" s="12"/>
      <c r="K28" s="12"/>
      <c r="L28" s="12"/>
      <c r="M28" s="2"/>
      <c r="N28" s="2"/>
      <c r="O28" s="2"/>
      <c r="P28" s="2"/>
      <c r="Q28" s="2"/>
      <c r="R28" s="2"/>
    </row>
    <row r="29" spans="2:18" ht="18.75" hidden="1" outlineLevel="1" x14ac:dyDescent="0.35">
      <c r="B29" s="58" t="s">
        <v>100</v>
      </c>
      <c r="C29" s="65">
        <f ca="1">2*ATAN(C19)+C40</f>
        <v>-1.8182447701985296</v>
      </c>
      <c r="D29" s="22"/>
      <c r="E29" s="22" t="s">
        <v>101</v>
      </c>
      <c r="F29" s="22">
        <f>2*ATAN(C19)</f>
        <v>-1.8268817433881857</v>
      </c>
      <c r="G29" s="22"/>
      <c r="H29" s="22"/>
      <c r="I29" s="63"/>
      <c r="J29" s="12"/>
      <c r="K29" s="12"/>
      <c r="L29" s="12"/>
      <c r="M29" s="2"/>
      <c r="N29" s="2"/>
      <c r="O29" s="2"/>
      <c r="P29" s="2"/>
      <c r="Q29" s="2"/>
      <c r="R29" s="2"/>
    </row>
    <row r="30" spans="2:18" ht="15" hidden="1" outlineLevel="1" x14ac:dyDescent="0.25">
      <c r="B30" s="73" t="s">
        <v>30</v>
      </c>
      <c r="C30" s="75"/>
      <c r="D30" s="22"/>
      <c r="E30" s="22" t="s">
        <v>102</v>
      </c>
      <c r="F30" s="22">
        <f ca="1">C27*SIN(C40)</f>
        <v>8.7284793373470161E-6</v>
      </c>
      <c r="G30" s="22"/>
      <c r="H30" s="22"/>
      <c r="I30" s="63"/>
      <c r="J30" s="12"/>
      <c r="K30" s="12"/>
      <c r="L30" s="12"/>
      <c r="M30" s="2"/>
      <c r="N30" s="2"/>
      <c r="O30" s="2"/>
      <c r="P30" s="2"/>
      <c r="Q30" s="2"/>
      <c r="R30" s="2"/>
    </row>
    <row r="31" spans="2:18" ht="18.75" hidden="1" outlineLevel="1" x14ac:dyDescent="0.35">
      <c r="B31" s="73"/>
      <c r="C31" s="75"/>
      <c r="D31" s="22"/>
      <c r="E31" s="22" t="s">
        <v>103</v>
      </c>
      <c r="F31" s="22">
        <f ca="1">COS(C29)</f>
        <v>-0.24493092170214992</v>
      </c>
      <c r="G31" s="22"/>
      <c r="H31" s="22"/>
      <c r="I31" s="63"/>
      <c r="J31" s="12"/>
      <c r="K31" s="12"/>
      <c r="L31" s="12"/>
      <c r="M31" s="2"/>
      <c r="N31" s="2"/>
      <c r="O31" s="2"/>
      <c r="P31" s="2"/>
      <c r="Q31" s="2"/>
      <c r="R31" s="2"/>
    </row>
    <row r="32" spans="2:18" ht="15" hidden="1" outlineLevel="1" x14ac:dyDescent="0.25">
      <c r="B32" s="73"/>
      <c r="C32" s="75"/>
      <c r="D32" s="22"/>
      <c r="E32" s="22" t="s">
        <v>104</v>
      </c>
      <c r="F32" s="22">
        <f ca="1">COS(C40)*(-1+2*F31*F31)</f>
        <v>-0.87998486391802033</v>
      </c>
      <c r="G32" s="22"/>
      <c r="H32" s="22"/>
      <c r="I32" s="63"/>
      <c r="J32" s="12"/>
      <c r="K32" s="12"/>
      <c r="L32" s="12"/>
      <c r="M32" s="2"/>
      <c r="N32" s="2"/>
      <c r="O32" s="2"/>
      <c r="P32" s="2"/>
      <c r="Q32" s="2"/>
      <c r="R32" s="2"/>
    </row>
    <row r="33" spans="2:18" ht="15" hidden="1" outlineLevel="1" x14ac:dyDescent="0.25">
      <c r="B33" s="73"/>
      <c r="C33" s="75"/>
      <c r="D33" s="22"/>
      <c r="E33" s="22"/>
      <c r="F33" s="22"/>
      <c r="G33" s="22"/>
      <c r="H33" s="22"/>
      <c r="I33" s="63"/>
      <c r="J33" s="12"/>
      <c r="K33" s="12"/>
      <c r="L33" s="12"/>
      <c r="M33" s="2"/>
      <c r="N33" s="2"/>
      <c r="O33" s="2"/>
      <c r="P33" s="2"/>
      <c r="Q33" s="2"/>
      <c r="R33" s="2"/>
    </row>
    <row r="34" spans="2:18" ht="15" hidden="1" outlineLevel="1" x14ac:dyDescent="0.25">
      <c r="B34" s="73"/>
      <c r="C34" s="75"/>
      <c r="D34" s="22"/>
      <c r="E34" s="22" t="s">
        <v>31</v>
      </c>
      <c r="F34" s="22">
        <f ca="1">-3+4*SIN(C40)*SIN(C40)</f>
        <v>-2.999701618196088</v>
      </c>
      <c r="G34" s="22"/>
      <c r="H34" s="22"/>
      <c r="I34" s="63"/>
      <c r="J34" s="12"/>
      <c r="K34" s="12"/>
      <c r="L34" s="12"/>
      <c r="M34" s="2"/>
      <c r="N34" s="2"/>
      <c r="O34" s="2"/>
      <c r="P34" s="2"/>
      <c r="Q34" s="2"/>
      <c r="R34" s="2"/>
    </row>
    <row r="35" spans="2:18" ht="15" hidden="1" outlineLevel="1" x14ac:dyDescent="0.25">
      <c r="B35" s="73"/>
      <c r="C35" s="75"/>
      <c r="D35" s="22"/>
      <c r="E35" s="22" t="s">
        <v>32</v>
      </c>
      <c r="F35" s="22">
        <f ca="1">-3+4*F31*F31</f>
        <v>-2.7600353743765411</v>
      </c>
      <c r="G35" s="22"/>
      <c r="H35" s="22"/>
      <c r="I35" s="63"/>
      <c r="J35" s="12"/>
      <c r="K35" s="12"/>
      <c r="L35" s="12"/>
      <c r="M35" s="2"/>
      <c r="N35" s="2"/>
      <c r="O35" s="2"/>
      <c r="P35" s="2"/>
      <c r="Q35" s="2"/>
      <c r="R35" s="2"/>
    </row>
    <row r="36" spans="2:18" ht="15" hidden="1" outlineLevel="1" x14ac:dyDescent="0.25">
      <c r="B36" s="73"/>
      <c r="C36" s="75"/>
      <c r="D36" s="22"/>
      <c r="E36" s="22"/>
      <c r="F36" s="22"/>
      <c r="G36" s="22"/>
      <c r="H36" s="22"/>
      <c r="I36" s="63"/>
      <c r="J36" s="12"/>
      <c r="K36" s="12"/>
      <c r="L36" s="12"/>
      <c r="M36" s="2"/>
      <c r="N36" s="2"/>
      <c r="O36" s="2"/>
      <c r="P36" s="2"/>
      <c r="Q36" s="2"/>
      <c r="R36" s="2"/>
    </row>
    <row r="37" spans="2:18" ht="15" hidden="1" outlineLevel="1" x14ac:dyDescent="0.25">
      <c r="B37" s="73"/>
      <c r="C37" s="75"/>
      <c r="D37" s="22"/>
      <c r="E37" s="22"/>
      <c r="F37" s="22"/>
      <c r="G37" s="22"/>
      <c r="H37" s="22"/>
      <c r="I37" s="63"/>
      <c r="J37" s="12"/>
      <c r="K37" s="12"/>
      <c r="L37" s="12"/>
      <c r="M37" s="2"/>
      <c r="N37" s="2"/>
      <c r="O37" s="2"/>
      <c r="P37" s="2"/>
      <c r="Q37" s="2"/>
      <c r="R37" s="2"/>
    </row>
    <row r="38" spans="2:18" ht="15" hidden="1" outlineLevel="1" x14ac:dyDescent="0.25">
      <c r="B38" s="66" t="s">
        <v>33</v>
      </c>
      <c r="C38" s="76">
        <f ca="1">C27*SIN(C40)*(COS(C29)+(1/4)*C27*(COS(C40)*(-1+2*COS(C29)*COS(C29))-(1/6)*C27*COS(C29)*(-3+4*SIN(C40)*SIN(C40))*(-3+4*COS(C29)*COS(C29))))</f>
        <v>-2.139814336763896E-6</v>
      </c>
      <c r="D38" s="22"/>
      <c r="E38" s="66" t="s">
        <v>33</v>
      </c>
      <c r="F38" s="77">
        <f ca="1">F30*(F31+C27/4*(F32-C27/6*F31*F34*F35))</f>
        <v>-2.139814336763896E-6</v>
      </c>
      <c r="G38" s="22"/>
      <c r="H38" s="22"/>
      <c r="I38" s="63"/>
      <c r="J38" s="12"/>
      <c r="K38" s="12"/>
      <c r="L38" s="12"/>
      <c r="M38" s="2"/>
      <c r="N38" s="2"/>
      <c r="O38" s="2"/>
      <c r="P38" s="2"/>
      <c r="Q38" s="2"/>
      <c r="R38" s="2"/>
    </row>
    <row r="39" spans="2:18" ht="15" hidden="1" outlineLevel="1" x14ac:dyDescent="0.25">
      <c r="B39" s="71" t="s">
        <v>34</v>
      </c>
      <c r="C39" s="65"/>
      <c r="D39" s="22"/>
      <c r="E39" s="58"/>
      <c r="F39" s="65"/>
      <c r="G39" s="22"/>
      <c r="H39" s="78"/>
      <c r="I39" s="63"/>
      <c r="J39" s="12"/>
      <c r="K39" s="12"/>
      <c r="L39" s="12"/>
      <c r="M39" s="2"/>
      <c r="N39" s="2"/>
      <c r="O39" s="2"/>
      <c r="P39" s="2"/>
      <c r="Q39" s="2"/>
      <c r="R39" s="2"/>
    </row>
    <row r="40" spans="2:18" ht="15" hidden="1" outlineLevel="1" x14ac:dyDescent="0.25">
      <c r="B40" s="70" t="s">
        <v>35</v>
      </c>
      <c r="C40" s="65">
        <f ca="1">G5/(C12*C25)+F38</f>
        <v>8.6369731896559585E-3</v>
      </c>
      <c r="D40" s="22"/>
      <c r="E40" s="22" t="s">
        <v>36</v>
      </c>
      <c r="F40" s="65">
        <f>G5/(C12*C25)</f>
        <v>8.6391130039927232E-3</v>
      </c>
      <c r="G40" s="78"/>
      <c r="H40" s="78"/>
      <c r="I40" s="63"/>
      <c r="J40" s="12"/>
      <c r="K40" s="12"/>
      <c r="L40" s="12"/>
      <c r="M40" s="2"/>
      <c r="N40" s="2"/>
      <c r="O40" s="2"/>
      <c r="P40" s="2"/>
      <c r="Q40" s="2"/>
      <c r="R40" s="2"/>
    </row>
    <row r="41" spans="2:18" ht="15" hidden="1" outlineLevel="1" x14ac:dyDescent="0.25">
      <c r="B41" s="71" t="s">
        <v>37</v>
      </c>
      <c r="C41" s="65"/>
      <c r="D41" s="22"/>
      <c r="E41" s="58"/>
      <c r="F41" s="65"/>
      <c r="G41" s="22"/>
      <c r="H41" s="22"/>
      <c r="I41" s="22"/>
      <c r="J41" s="12"/>
      <c r="K41" s="12"/>
      <c r="L41" s="12"/>
      <c r="M41" s="2"/>
      <c r="N41" s="2"/>
      <c r="O41" s="2"/>
      <c r="P41" s="2"/>
      <c r="Q41" s="2"/>
      <c r="R41" s="2"/>
    </row>
    <row r="42" spans="2:18" ht="14.25" hidden="1" outlineLevel="1" x14ac:dyDescent="0.2">
      <c r="B42" s="79" t="s">
        <v>38</v>
      </c>
      <c r="C42" s="65">
        <f ca="1">SIN(ATAN(C18))*COS(C40)+COS(ATAN(C18))*SIN(C40)*COS(G14)</f>
        <v>-0.60958906260491219</v>
      </c>
      <c r="D42" s="22"/>
      <c r="E42" s="58"/>
      <c r="F42" s="65"/>
      <c r="G42" s="22"/>
      <c r="H42" s="22"/>
      <c r="I42" s="22"/>
      <c r="J42" s="12"/>
      <c r="K42" s="12"/>
      <c r="L42" s="12"/>
      <c r="M42" s="2"/>
      <c r="N42" s="2"/>
      <c r="O42" s="2"/>
      <c r="P42" s="2"/>
      <c r="Q42" s="2"/>
      <c r="R42" s="2"/>
    </row>
    <row r="43" spans="2:18" ht="15" hidden="1" outlineLevel="1" x14ac:dyDescent="0.25">
      <c r="B43" s="22" t="s">
        <v>39</v>
      </c>
      <c r="C43" s="65">
        <f ca="1">(1-C13)*SQRT(C23*C23+(SIN(ATAN(C18))*SIN(C40)-COS(ATAN(C18))*COS(C40)*COS(G14))*(SIN(ATAN(C18))*SIN(C40)-COS(ATAN(C18))*COS(C40)*COS(G14)))</f>
        <v>0.79005975627279768</v>
      </c>
      <c r="D43" s="22"/>
      <c r="E43" s="66"/>
      <c r="F43" s="65"/>
      <c r="G43" s="22"/>
      <c r="H43" s="22"/>
      <c r="I43" s="22"/>
      <c r="J43" s="12"/>
      <c r="K43" s="12"/>
      <c r="L43" s="12"/>
      <c r="M43" s="2"/>
      <c r="N43" s="2"/>
      <c r="O43" s="2"/>
      <c r="P43" s="2"/>
      <c r="Q43" s="2"/>
      <c r="R43" s="2"/>
    </row>
    <row r="44" spans="2:18" ht="18.75" hidden="1" outlineLevel="1" x14ac:dyDescent="0.35">
      <c r="B44" s="22" t="s">
        <v>105</v>
      </c>
      <c r="C44" s="65">
        <f ca="1">C42/C43</f>
        <v>-0.77157336235011165</v>
      </c>
      <c r="D44" s="22"/>
      <c r="E44" s="58" t="s">
        <v>106</v>
      </c>
      <c r="F44" s="65">
        <f ca="1">ATAN2(C43,C42)</f>
        <v>-0.65716570155563681</v>
      </c>
      <c r="G44" s="22"/>
      <c r="H44" s="22"/>
      <c r="I44" s="22"/>
      <c r="J44" s="12"/>
      <c r="K44" s="12"/>
      <c r="L44" s="12"/>
      <c r="M44" s="2"/>
      <c r="N44" s="2"/>
      <c r="O44" s="2"/>
      <c r="P44" s="2"/>
      <c r="Q44" s="2"/>
      <c r="R44" s="2"/>
    </row>
    <row r="45" spans="2:18" ht="18.75" hidden="1" outlineLevel="1" x14ac:dyDescent="0.35">
      <c r="B45" s="74" t="s">
        <v>107</v>
      </c>
      <c r="C45" s="22">
        <f ca="1">ATAN(C44)</f>
        <v>-0.65716570155563681</v>
      </c>
      <c r="D45" s="22"/>
      <c r="E45" s="80"/>
      <c r="F45" s="81"/>
      <c r="G45" s="22"/>
      <c r="H45" s="22"/>
      <c r="I45" s="22"/>
      <c r="J45" s="12"/>
      <c r="K45" s="12"/>
      <c r="L45" s="12"/>
      <c r="M45" s="10"/>
      <c r="N45" s="2"/>
      <c r="O45" s="2"/>
      <c r="P45" s="2"/>
      <c r="Q45" s="2"/>
      <c r="R45" s="2"/>
    </row>
    <row r="46" spans="2:18" ht="18.75" hidden="1" outlineLevel="1" x14ac:dyDescent="0.35">
      <c r="B46" s="74" t="s">
        <v>108</v>
      </c>
      <c r="C46" s="52">
        <f ca="1">C45*180/PI()</f>
        <v>-37.652821139891827</v>
      </c>
      <c r="D46" s="22"/>
      <c r="E46" s="80"/>
      <c r="F46" s="52">
        <f ca="1">ROUND(F44*180/PI(),8)</f>
        <v>-37.65282114</v>
      </c>
      <c r="G46" s="22"/>
      <c r="H46" s="22"/>
      <c r="I46" s="22"/>
      <c r="J46" s="12"/>
      <c r="K46" s="12"/>
      <c r="L46" s="12"/>
      <c r="M46" s="10"/>
      <c r="N46" s="2"/>
      <c r="O46" s="2"/>
      <c r="P46" s="2"/>
      <c r="Q46" s="2"/>
      <c r="R46" s="2"/>
    </row>
    <row r="47" spans="2:18" ht="15" hidden="1" outlineLevel="1" x14ac:dyDescent="0.25">
      <c r="B47" s="24" t="s">
        <v>40</v>
      </c>
      <c r="C47" s="52"/>
      <c r="D47" s="22"/>
      <c r="E47" s="80"/>
      <c r="F47" s="81"/>
      <c r="G47" s="22"/>
      <c r="H47" s="22"/>
      <c r="I47" s="22"/>
      <c r="J47" s="12"/>
      <c r="K47" s="12"/>
      <c r="L47" s="12"/>
      <c r="M47" s="10"/>
      <c r="N47" s="2"/>
      <c r="O47" s="2"/>
      <c r="P47" s="2"/>
      <c r="Q47" s="2"/>
      <c r="R47" s="2"/>
    </row>
    <row r="48" spans="2:18" ht="15" hidden="1" outlineLevel="1" x14ac:dyDescent="0.25">
      <c r="B48" s="22" t="s">
        <v>109</v>
      </c>
      <c r="C48" s="22">
        <f ca="1">SIN(C40)*SIN(G14)/(C22*COS(C40)-SIN(ATAN(C18))*SIN(C40)*COS(G14))</f>
        <v>-8.7167390756642833E-3</v>
      </c>
      <c r="D48" s="22"/>
      <c r="E48" s="80"/>
      <c r="F48" s="81"/>
      <c r="G48" s="22"/>
      <c r="H48" s="22"/>
      <c r="I48" s="22"/>
      <c r="J48" s="12"/>
      <c r="K48" s="12"/>
      <c r="L48" s="12"/>
      <c r="M48" s="10"/>
      <c r="N48" s="2"/>
      <c r="O48" s="2"/>
      <c r="P48" s="2"/>
      <c r="Q48" s="2"/>
      <c r="R48" s="2"/>
    </row>
    <row r="49" spans="2:18" ht="15" hidden="1" outlineLevel="1" x14ac:dyDescent="0.25">
      <c r="B49" s="74" t="s">
        <v>110</v>
      </c>
      <c r="C49" s="22">
        <f ca="1">ATAN2((C22*COS(C40)-SIN(ATAN(C18))*SIN(C40)*COS(G14)),SIN(C40)*SIN(G14))</f>
        <v>-8.7165183153085114E-3</v>
      </c>
      <c r="D49" s="22"/>
      <c r="E49" s="80"/>
      <c r="F49" s="81"/>
      <c r="G49" s="22"/>
      <c r="H49" s="22"/>
      <c r="I49" s="22"/>
      <c r="J49" s="12"/>
      <c r="K49" s="12"/>
      <c r="L49" s="12"/>
      <c r="M49" s="10"/>
      <c r="N49" s="2"/>
      <c r="O49" s="2"/>
      <c r="P49" s="2"/>
      <c r="Q49" s="2"/>
      <c r="R49" s="2"/>
    </row>
    <row r="50" spans="2:18" ht="15" hidden="1" outlineLevel="1" x14ac:dyDescent="0.25">
      <c r="B50" s="24" t="s">
        <v>41</v>
      </c>
      <c r="C50" s="52"/>
      <c r="D50" s="22"/>
      <c r="E50" s="80"/>
      <c r="F50" s="81"/>
      <c r="G50" s="22"/>
      <c r="H50" s="22"/>
      <c r="I50" s="22"/>
      <c r="J50" s="12"/>
      <c r="K50" s="12"/>
      <c r="L50" s="12"/>
      <c r="M50" s="10"/>
      <c r="N50" s="2"/>
      <c r="O50" s="2"/>
      <c r="P50" s="2"/>
      <c r="Q50" s="2"/>
      <c r="R50" s="2"/>
    </row>
    <row r="51" spans="2:18" ht="14.25" hidden="1" outlineLevel="1" x14ac:dyDescent="0.2">
      <c r="B51" s="22" t="s">
        <v>42</v>
      </c>
      <c r="C51" s="52">
        <f>C13/16*COS(ASIN(C23))*COS(ASIN(C23))*(4+C13*(4-3*COS(ASIN(C23))*COS(ASIN(C23))))</f>
        <v>5.0470940014292964E-4</v>
      </c>
      <c r="D51" s="22"/>
      <c r="E51" s="80"/>
      <c r="F51" s="81"/>
      <c r="G51" s="22"/>
      <c r="H51" s="22"/>
      <c r="I51" s="22"/>
      <c r="J51" s="12"/>
      <c r="K51" s="12"/>
      <c r="L51" s="12"/>
      <c r="M51" s="10"/>
      <c r="N51" s="2"/>
      <c r="O51" s="2"/>
      <c r="P51" s="2"/>
      <c r="Q51" s="2"/>
      <c r="R51" s="2"/>
    </row>
    <row r="52" spans="2:18" ht="15" hidden="1" outlineLevel="1" x14ac:dyDescent="0.25">
      <c r="B52" s="24" t="s">
        <v>43</v>
      </c>
      <c r="C52" s="52"/>
      <c r="D52" s="22"/>
      <c r="E52" s="80"/>
      <c r="F52" s="81"/>
      <c r="G52" s="22"/>
      <c r="H52" s="22"/>
      <c r="I52" s="22"/>
      <c r="J52" s="12"/>
      <c r="K52" s="12"/>
      <c r="L52" s="12"/>
      <c r="M52" s="10"/>
      <c r="N52" s="2"/>
      <c r="O52" s="2"/>
      <c r="P52" s="2"/>
      <c r="Q52" s="2"/>
      <c r="R52" s="2"/>
    </row>
    <row r="53" spans="2:18" ht="14.25" hidden="1" outlineLevel="1" x14ac:dyDescent="0.2">
      <c r="B53" s="22" t="s">
        <v>44</v>
      </c>
      <c r="C53" s="52">
        <f ca="1">C49-(1-C51)*C13*C23*(C40+C51*SIN(C40)*(COS(C29)+C51*COS(C40)*(-1+2*COS(C29)*COS(C29))))</f>
        <v>-8.6982385844542095E-3</v>
      </c>
      <c r="D53" s="22"/>
      <c r="E53" s="80"/>
      <c r="F53" s="81"/>
      <c r="G53" s="22"/>
      <c r="H53" s="22"/>
      <c r="I53" s="22"/>
      <c r="J53" s="12"/>
      <c r="K53" s="12"/>
      <c r="L53" s="12"/>
      <c r="M53" s="10"/>
      <c r="N53" s="2"/>
      <c r="O53" s="2"/>
      <c r="P53" s="2"/>
      <c r="Q53" s="2"/>
      <c r="R53" s="2"/>
    </row>
    <row r="54" spans="2:18" ht="18.75" hidden="1" outlineLevel="1" x14ac:dyDescent="0.35">
      <c r="B54" s="74" t="s">
        <v>111</v>
      </c>
      <c r="C54" s="52">
        <f ca="1">G13+C53</f>
        <v>2.5119912278344887</v>
      </c>
      <c r="D54" s="22"/>
      <c r="E54" s="80"/>
      <c r="F54" s="81"/>
      <c r="G54" s="22"/>
      <c r="H54" s="22"/>
      <c r="I54" s="22"/>
      <c r="J54" s="12"/>
      <c r="K54" s="12"/>
      <c r="L54" s="12"/>
      <c r="M54" s="10"/>
      <c r="N54" s="2"/>
      <c r="O54" s="2"/>
      <c r="P54" s="2"/>
      <c r="Q54" s="2"/>
      <c r="R54" s="2"/>
    </row>
    <row r="55" spans="2:18" ht="18.75" hidden="1" outlineLevel="1" x14ac:dyDescent="0.35">
      <c r="B55" s="74" t="s">
        <v>112</v>
      </c>
      <c r="C55" s="52">
        <f ca="1">IF(C54&lt;0,C54*180/PI()+180,C54*180/PI())</f>
        <v>143.92649552880181</v>
      </c>
      <c r="D55" s="22"/>
      <c r="E55" s="80"/>
      <c r="F55" s="81">
        <f ca="1">ROUND(C54*180/PI(),8)</f>
        <v>143.92649553000001</v>
      </c>
      <c r="G55" s="22"/>
      <c r="H55" s="22"/>
      <c r="I55" s="22"/>
      <c r="J55" s="12"/>
      <c r="K55" s="12"/>
      <c r="L55" s="12"/>
      <c r="M55" s="10"/>
      <c r="N55" s="2"/>
      <c r="O55" s="2"/>
      <c r="P55" s="2"/>
      <c r="Q55" s="2"/>
      <c r="R55" s="2"/>
    </row>
    <row r="56" spans="2:18" ht="15" hidden="1" outlineLevel="1" x14ac:dyDescent="0.25">
      <c r="B56" s="24" t="s">
        <v>45</v>
      </c>
      <c r="C56" s="52"/>
      <c r="D56" s="22"/>
      <c r="E56" s="80"/>
      <c r="F56" s="81">
        <f ca="1">IF(F55&lt;-179.999999999,360+F55,IF(F55&gt;179.999999999,-360+F55,F55))</f>
        <v>143.92649553000001</v>
      </c>
      <c r="G56" s="22"/>
      <c r="H56" s="22"/>
      <c r="I56" s="22"/>
      <c r="J56" s="12"/>
      <c r="K56" s="12"/>
      <c r="L56" s="12"/>
      <c r="M56" s="10"/>
      <c r="N56" s="2"/>
      <c r="O56" s="2"/>
      <c r="P56" s="2"/>
      <c r="Q56" s="2"/>
      <c r="R56" s="2"/>
    </row>
    <row r="57" spans="2:18" ht="18.75" hidden="1" outlineLevel="1" x14ac:dyDescent="0.35">
      <c r="B57" s="22" t="s">
        <v>113</v>
      </c>
      <c r="C57" s="52">
        <f ca="1">C23/(-SIN(ATAN(C18))*SIN(C40)+C22*COS(C40)*COS(G14))</f>
        <v>-1.3187111598338963</v>
      </c>
      <c r="D57" s="22"/>
      <c r="E57" s="80"/>
      <c r="F57" s="22"/>
      <c r="G57" s="22"/>
      <c r="H57" s="22"/>
      <c r="I57" s="22"/>
      <c r="J57" s="12"/>
      <c r="K57" s="12"/>
      <c r="L57" s="12"/>
      <c r="M57" s="10"/>
      <c r="N57" s="2"/>
      <c r="O57" s="2"/>
      <c r="P57" s="2"/>
      <c r="Q57" s="2"/>
      <c r="R57" s="2"/>
    </row>
    <row r="58" spans="2:18" ht="18.75" hidden="1" outlineLevel="1" x14ac:dyDescent="0.35">
      <c r="B58" s="74" t="s">
        <v>114</v>
      </c>
      <c r="C58" s="52">
        <f ca="1">ATAN(C57)</f>
        <v>-0.92199407804117639</v>
      </c>
      <c r="D58" s="22"/>
      <c r="E58" s="80"/>
      <c r="F58" s="81">
        <f ca="1">ATAN2((-C21*SIN(C40)+C22*COS(C40)*COS(G14)),C23)</f>
        <v>-0.92199407804117639</v>
      </c>
      <c r="G58" s="22"/>
      <c r="H58" s="22"/>
      <c r="I58" s="22"/>
      <c r="J58" s="12"/>
      <c r="K58" s="12"/>
      <c r="L58" s="12"/>
      <c r="M58" s="10"/>
      <c r="N58" s="2"/>
      <c r="O58" s="2"/>
      <c r="P58" s="2"/>
      <c r="Q58" s="2"/>
      <c r="R58" s="2"/>
    </row>
    <row r="59" spans="2:18" ht="18.75" hidden="1" outlineLevel="1" x14ac:dyDescent="0.35">
      <c r="B59" s="74" t="s">
        <v>115</v>
      </c>
      <c r="C59" s="52">
        <f ca="1">C58*180/PI()+180</f>
        <v>127.17363059218513</v>
      </c>
      <c r="D59" s="22"/>
      <c r="E59" s="80"/>
      <c r="F59" s="81">
        <f ca="1">F58*180/PI()+180</f>
        <v>127.17363059218513</v>
      </c>
      <c r="G59" s="22"/>
      <c r="H59" s="22"/>
      <c r="I59" s="22"/>
      <c r="J59" s="12"/>
      <c r="K59" s="12"/>
      <c r="L59" s="12"/>
      <c r="M59" s="10"/>
      <c r="N59" s="2"/>
      <c r="O59" s="2"/>
      <c r="P59" s="2"/>
      <c r="Q59" s="2"/>
      <c r="R59" s="2"/>
    </row>
    <row r="60" spans="2:18" ht="14.25" collapsed="1" x14ac:dyDescent="0.2">
      <c r="B60" s="22"/>
      <c r="C60" s="52"/>
      <c r="D60" s="22"/>
      <c r="E60" s="80"/>
      <c r="F60" s="81"/>
      <c r="G60" s="22"/>
      <c r="H60" s="22"/>
      <c r="I60" s="22"/>
      <c r="J60" s="12"/>
      <c r="K60" s="12"/>
      <c r="L60" s="12"/>
      <c r="M60" s="10"/>
      <c r="N60" s="2"/>
      <c r="O60" s="2"/>
      <c r="P60" s="2"/>
      <c r="Q60" s="2"/>
      <c r="R60" s="2"/>
    </row>
    <row r="61" spans="2:18" ht="14.25" x14ac:dyDescent="0.2">
      <c r="B61" s="22"/>
      <c r="C61" s="52"/>
      <c r="D61" s="22"/>
      <c r="E61" s="80"/>
      <c r="F61" s="81"/>
      <c r="G61" s="22"/>
      <c r="H61" s="22"/>
      <c r="I61" s="22"/>
      <c r="J61" s="12"/>
      <c r="K61" s="12"/>
      <c r="L61" s="12"/>
      <c r="M61" s="10"/>
      <c r="N61" s="2"/>
      <c r="O61" s="2"/>
      <c r="P61" s="2"/>
      <c r="Q61" s="2"/>
      <c r="R61" s="2"/>
    </row>
    <row r="62" spans="2:18" ht="14.25" x14ac:dyDescent="0.2">
      <c r="B62" s="22"/>
      <c r="C62" s="22"/>
      <c r="D62" s="22"/>
      <c r="E62" s="80"/>
      <c r="F62" s="81"/>
      <c r="G62" s="22"/>
      <c r="H62" s="22"/>
      <c r="I62" s="22"/>
      <c r="J62" s="12"/>
      <c r="K62" s="12"/>
      <c r="L62" s="12"/>
      <c r="M62" s="10"/>
      <c r="N62" s="2"/>
      <c r="O62" s="2"/>
      <c r="P62" s="2"/>
      <c r="Q62" s="2"/>
      <c r="R62" s="2"/>
    </row>
    <row r="63" spans="2:18" ht="14.25" x14ac:dyDescent="0.2">
      <c r="B63" s="22"/>
      <c r="C63" s="22"/>
      <c r="D63" s="22"/>
      <c r="E63" s="80"/>
      <c r="F63" s="81"/>
      <c r="G63" s="22"/>
      <c r="H63" s="22"/>
      <c r="I63" s="22"/>
      <c r="J63" s="12"/>
      <c r="K63" s="12"/>
      <c r="L63" s="12"/>
      <c r="M63" s="10"/>
      <c r="N63" s="2"/>
      <c r="O63" s="2"/>
      <c r="P63" s="2"/>
      <c r="Q63" s="2"/>
      <c r="R63" s="2"/>
    </row>
    <row r="64" spans="2:18" ht="14.25" x14ac:dyDescent="0.2">
      <c r="B64" s="22"/>
      <c r="C64" s="22"/>
      <c r="D64" s="22"/>
      <c r="E64" s="22"/>
      <c r="F64" s="22"/>
      <c r="G64" s="22"/>
      <c r="H64" s="22"/>
      <c r="I64" s="22"/>
      <c r="J64" s="12"/>
      <c r="K64" s="12"/>
      <c r="L64" s="12"/>
      <c r="M64" s="10"/>
      <c r="N64" s="2"/>
      <c r="O64" s="2"/>
      <c r="P64" s="2"/>
      <c r="Q64" s="2"/>
      <c r="R64" s="2"/>
    </row>
    <row r="65" spans="1:19" ht="14.25" x14ac:dyDescent="0.2">
      <c r="B65" s="22"/>
      <c r="C65" s="22"/>
      <c r="D65" s="22"/>
      <c r="E65" s="22"/>
      <c r="F65" s="22"/>
      <c r="G65" s="22"/>
      <c r="H65" s="22"/>
      <c r="I65" s="22"/>
      <c r="J65" s="12"/>
      <c r="K65" s="12"/>
      <c r="L65" s="12"/>
      <c r="M65" s="10"/>
      <c r="N65" s="2"/>
      <c r="O65" s="2"/>
      <c r="P65" s="2"/>
      <c r="Q65" s="2"/>
      <c r="R65" s="2"/>
    </row>
    <row r="66" spans="1:19" ht="14.25" x14ac:dyDescent="0.2">
      <c r="B66" s="22"/>
      <c r="C66" s="22"/>
      <c r="D66" s="22"/>
      <c r="E66" s="22"/>
      <c r="F66" s="22"/>
      <c r="G66" s="22"/>
      <c r="H66" s="22"/>
      <c r="I66" s="22"/>
      <c r="J66" s="12"/>
      <c r="K66" s="12"/>
      <c r="L66" s="12"/>
      <c r="M66" s="2"/>
      <c r="N66" s="2"/>
      <c r="O66" s="2"/>
      <c r="P66" s="2"/>
      <c r="Q66" s="2"/>
      <c r="R66" s="2"/>
    </row>
    <row r="67" spans="1:19" ht="14.25" x14ac:dyDescent="0.2">
      <c r="B67" s="22"/>
      <c r="C67" s="22"/>
      <c r="D67" s="22"/>
      <c r="E67" s="22"/>
      <c r="F67" s="22"/>
      <c r="G67" s="22"/>
      <c r="H67" s="22"/>
      <c r="I67" s="22"/>
      <c r="J67" s="12"/>
      <c r="K67" s="12"/>
      <c r="L67" s="12"/>
      <c r="M67" s="2"/>
      <c r="N67" s="2"/>
      <c r="O67" s="2"/>
      <c r="P67" s="2"/>
      <c r="Q67" s="2"/>
      <c r="R67" s="2"/>
    </row>
    <row r="68" spans="1:19" ht="14.25" x14ac:dyDescent="0.2">
      <c r="B68" s="22"/>
      <c r="C68" s="22"/>
      <c r="D68" s="22"/>
      <c r="E68" s="22"/>
      <c r="F68" s="22"/>
      <c r="G68" s="22"/>
      <c r="H68" s="22"/>
      <c r="I68" s="22"/>
      <c r="J68" s="12"/>
      <c r="K68" s="12"/>
      <c r="L68" s="12"/>
      <c r="M68" s="2"/>
      <c r="N68" s="2"/>
      <c r="O68" s="2"/>
      <c r="P68" s="2"/>
      <c r="Q68" s="19"/>
      <c r="R68" s="19"/>
      <c r="S68" s="4"/>
    </row>
    <row r="69" spans="1:19" ht="14.25" x14ac:dyDescent="0.2">
      <c r="B69" s="22"/>
      <c r="C69" s="22"/>
      <c r="D69" s="22"/>
      <c r="E69" s="22"/>
      <c r="F69" s="22"/>
      <c r="G69" s="22"/>
      <c r="H69" s="22"/>
      <c r="I69" s="22"/>
      <c r="J69" s="12"/>
      <c r="K69" s="12"/>
      <c r="L69" s="12"/>
      <c r="M69" s="2"/>
      <c r="N69" s="2"/>
      <c r="O69" s="9"/>
      <c r="P69" s="5"/>
      <c r="Q69" s="8"/>
      <c r="R69" s="7"/>
      <c r="S69" s="10"/>
    </row>
    <row r="70" spans="1:19" ht="14.25" x14ac:dyDescent="0.2">
      <c r="B70" s="22"/>
      <c r="C70" s="22"/>
      <c r="D70" s="22"/>
      <c r="E70" s="22"/>
      <c r="F70" s="22"/>
      <c r="G70" s="22"/>
      <c r="H70" s="22"/>
      <c r="I70" s="22"/>
      <c r="J70" s="12"/>
      <c r="K70" s="12"/>
      <c r="L70" s="12"/>
      <c r="M70" s="2"/>
      <c r="N70" s="2"/>
      <c r="O70" s="9"/>
      <c r="P70" s="5"/>
      <c r="Q70" s="8"/>
      <c r="R70" s="7"/>
      <c r="S70" s="10"/>
    </row>
    <row r="71" spans="1:19" ht="14.25" x14ac:dyDescent="0.2">
      <c r="B71" s="22"/>
      <c r="C71" s="22"/>
      <c r="D71" s="22"/>
      <c r="E71" s="22"/>
      <c r="F71" s="22"/>
      <c r="G71" s="22"/>
      <c r="H71" s="22"/>
      <c r="I71" s="22"/>
      <c r="J71" s="12"/>
      <c r="K71" s="12"/>
      <c r="L71" s="12"/>
      <c r="M71" s="2"/>
      <c r="N71" s="2"/>
      <c r="O71" s="9"/>
      <c r="P71" s="5"/>
      <c r="Q71" s="8"/>
      <c r="R71" s="7"/>
      <c r="S71" s="10"/>
    </row>
    <row r="72" spans="1:19" ht="14.25" x14ac:dyDescent="0.2">
      <c r="B72" s="22"/>
      <c r="C72" s="22"/>
      <c r="D72" s="22"/>
      <c r="E72" s="22"/>
      <c r="F72" s="22"/>
      <c r="G72" s="22"/>
      <c r="H72" s="22"/>
      <c r="I72" s="22"/>
      <c r="J72" s="12"/>
      <c r="K72" s="12"/>
      <c r="L72" s="12"/>
      <c r="M72" s="2"/>
      <c r="N72" s="2"/>
      <c r="O72" s="9"/>
      <c r="P72" s="5"/>
      <c r="Q72" s="8"/>
      <c r="R72" s="7"/>
      <c r="S72" s="10"/>
    </row>
    <row r="73" spans="1:19" ht="14.25" x14ac:dyDescent="0.2">
      <c r="B73" s="58"/>
      <c r="C73" s="63"/>
      <c r="D73" s="22"/>
      <c r="E73" s="63"/>
      <c r="F73" s="63"/>
      <c r="G73" s="22"/>
      <c r="H73" s="22"/>
      <c r="I73" s="22"/>
      <c r="Q73" s="2"/>
      <c r="R73" s="2"/>
    </row>
    <row r="74" spans="1:19" ht="14.25" x14ac:dyDescent="0.2">
      <c r="B74" s="58"/>
      <c r="C74" s="63"/>
      <c r="D74" s="22"/>
      <c r="E74" s="82"/>
      <c r="F74" s="59"/>
      <c r="G74" s="22"/>
      <c r="H74" s="22"/>
      <c r="I74" s="22"/>
      <c r="Q74" s="2"/>
      <c r="R74" s="2"/>
    </row>
    <row r="75" spans="1:19" ht="14.25" x14ac:dyDescent="0.2">
      <c r="B75" s="83"/>
      <c r="C75" s="78"/>
      <c r="D75" s="22"/>
      <c r="E75" s="78"/>
      <c r="F75" s="22"/>
      <c r="G75" s="22"/>
      <c r="H75" s="22"/>
      <c r="I75" s="22"/>
      <c r="Q75" s="2"/>
      <c r="R75" s="2"/>
    </row>
    <row r="76" spans="1:19" ht="14.25" x14ac:dyDescent="0.2">
      <c r="B76" s="22"/>
      <c r="C76" s="22"/>
      <c r="D76" s="22"/>
      <c r="E76" s="22"/>
      <c r="F76" s="22"/>
      <c r="G76" s="22"/>
      <c r="H76" s="22"/>
      <c r="I76" s="22"/>
      <c r="Q76" s="2"/>
      <c r="R76" s="2"/>
    </row>
    <row r="77" spans="1:19" x14ac:dyDescent="0.2">
      <c r="Q77" s="2"/>
      <c r="R77" s="2"/>
    </row>
    <row r="78" spans="1:19" x14ac:dyDescent="0.2">
      <c r="A78" s="2"/>
      <c r="B78" s="15"/>
      <c r="C78" s="2"/>
      <c r="D78" s="2"/>
      <c r="E78" s="14"/>
      <c r="F78" s="2"/>
      <c r="G78" s="2"/>
      <c r="H78" s="2"/>
      <c r="I78" s="2"/>
      <c r="J78" s="2"/>
      <c r="Q78" s="2"/>
      <c r="R78" s="2"/>
    </row>
    <row r="79" spans="1:19" x14ac:dyDescent="0.2">
      <c r="A79" s="2"/>
      <c r="B79" s="2"/>
      <c r="C79" s="2"/>
      <c r="D79" s="2"/>
      <c r="E79" s="2"/>
      <c r="F79" s="2"/>
      <c r="G79" s="2"/>
      <c r="H79" s="2"/>
      <c r="I79" s="2"/>
      <c r="J79" s="2"/>
      <c r="Q79" s="2"/>
      <c r="R79" s="2"/>
    </row>
    <row r="80" spans="1:19" x14ac:dyDescent="0.2">
      <c r="Q80" s="2"/>
      <c r="R80" s="2"/>
    </row>
    <row r="81" spans="17:18" x14ac:dyDescent="0.2">
      <c r="Q81" s="2"/>
      <c r="R81" s="2"/>
    </row>
    <row r="82" spans="17:18" x14ac:dyDescent="0.2">
      <c r="Q82" s="2"/>
      <c r="R82" s="2"/>
    </row>
    <row r="83" spans="17:18" x14ac:dyDescent="0.2">
      <c r="Q83" s="2"/>
      <c r="R83" s="2"/>
    </row>
    <row r="84" spans="17:18" x14ac:dyDescent="0.2">
      <c r="Q84" s="2"/>
      <c r="R84" s="2"/>
    </row>
    <row r="85" spans="17:18" x14ac:dyDescent="0.2">
      <c r="Q85" s="2"/>
      <c r="R85" s="2"/>
    </row>
    <row r="86" spans="17:18" x14ac:dyDescent="0.2">
      <c r="Q86" s="2"/>
      <c r="R86" s="2"/>
    </row>
    <row r="87" spans="17:18" x14ac:dyDescent="0.2">
      <c r="Q87" s="2"/>
      <c r="R87" s="2"/>
    </row>
    <row r="88" spans="17:18" x14ac:dyDescent="0.2">
      <c r="Q88" s="2"/>
      <c r="R88" s="2"/>
    </row>
    <row r="89" spans="17:18" x14ac:dyDescent="0.2">
      <c r="Q89" s="2"/>
      <c r="R89" s="2"/>
    </row>
    <row r="90" spans="17:18" x14ac:dyDescent="0.2">
      <c r="Q90" s="2"/>
      <c r="R90" s="2"/>
    </row>
    <row r="91" spans="17:18" x14ac:dyDescent="0.2">
      <c r="Q91" s="2"/>
      <c r="R91" s="2"/>
    </row>
    <row r="92" spans="17:18" x14ac:dyDescent="0.2">
      <c r="Q92" s="2"/>
      <c r="R92" s="2"/>
    </row>
    <row r="93" spans="17:18" x14ac:dyDescent="0.2">
      <c r="Q93" s="2"/>
      <c r="R93" s="2"/>
    </row>
    <row r="94" spans="17:18" x14ac:dyDescent="0.2">
      <c r="Q94" s="2"/>
      <c r="R94" s="2"/>
    </row>
    <row r="95" spans="17:18" x14ac:dyDescent="0.2">
      <c r="Q95" s="2"/>
      <c r="R95" s="2"/>
    </row>
  </sheetData>
  <printOptions gridLines="1" gridLinesSet="0"/>
  <pageMargins left="0.75" right="0.75" top="1" bottom="1" header="0.5" footer="0.5"/>
  <pageSetup paperSize="9" scale="70" orientation="portrait" horizontalDpi="180" verticalDpi="180" r:id="rId1"/>
  <headerFooter alignWithMargins="0">
    <oddHeader>&amp;C&amp;F&amp;RDirect Solution</oddHeader>
    <oddFooter>&amp;L&amp;D&amp;CGDA Technical Manual</oddFooter>
  </headerFooter>
  <drawing r:id="rId2"/>
  <legacyDrawing r:id="rId3"/>
  <oleObjects>
    <mc:AlternateContent xmlns:mc="http://schemas.openxmlformats.org/markup-compatibility/2006">
      <mc:Choice Requires="x14">
        <oleObject progId="Equation.3" shapeId="2064" r:id="rId4">
          <objectPr defaultSize="0" autoFill="0" autoLine="0" autoPict="0" r:id="rId5">
            <anchor moveWithCells="1" sizeWithCells="1">
              <from>
                <xdr:col>4</xdr:col>
                <xdr:colOff>28575</xdr:colOff>
                <xdr:row>10</xdr:row>
                <xdr:rowOff>0</xdr:rowOff>
              </from>
              <to>
                <xdr:col>6</xdr:col>
                <xdr:colOff>9525</xdr:colOff>
                <xdr:row>10</xdr:row>
                <xdr:rowOff>0</xdr:rowOff>
              </to>
            </anchor>
          </objectPr>
        </oleObject>
      </mc:Choice>
      <mc:Fallback>
        <oleObject progId="Equation.3" shapeId="2064" r:id="rId4"/>
      </mc:Fallback>
    </mc:AlternateContent>
    <mc:AlternateContent xmlns:mc="http://schemas.openxmlformats.org/markup-compatibility/2006">
      <mc:Choice Requires="x14">
        <oleObject progId="Equation.3" shapeId="2067" r:id="rId6">
          <objectPr defaultSize="0" autoFill="0" autoLine="0" autoPict="0" r:id="rId7">
            <anchor moveWithCells="1" sizeWithCells="1">
              <from>
                <xdr:col>1</xdr:col>
                <xdr:colOff>314325</xdr:colOff>
                <xdr:row>72</xdr:row>
                <xdr:rowOff>0</xdr:rowOff>
              </from>
              <to>
                <xdr:col>2</xdr:col>
                <xdr:colOff>352425</xdr:colOff>
                <xdr:row>72</xdr:row>
                <xdr:rowOff>0</xdr:rowOff>
              </to>
            </anchor>
          </objectPr>
        </oleObject>
      </mc:Choice>
      <mc:Fallback>
        <oleObject progId="Equation.3" shapeId="2067" r:id="rId6"/>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3"/>
  <sheetViews>
    <sheetView showOutlineSymbols="0" zoomScale="90" workbookViewId="0">
      <selection activeCell="E90" sqref="E90"/>
    </sheetView>
  </sheetViews>
  <sheetFormatPr defaultRowHeight="14.25" outlineLevelRow="1" x14ac:dyDescent="0.2"/>
  <cols>
    <col min="1" max="1" width="2.140625" style="67" customWidth="1"/>
    <col min="2" max="2" width="19" style="67" customWidth="1"/>
    <col min="3" max="3" width="19.7109375" style="67" customWidth="1"/>
    <col min="4" max="4" width="4.42578125" style="67" customWidth="1"/>
    <col min="5" max="5" width="19.5703125" style="67" customWidth="1"/>
    <col min="6" max="6" width="17.5703125" style="67" customWidth="1"/>
    <col min="7" max="7" width="6.28515625" style="67" customWidth="1"/>
    <col min="8" max="8" width="3.5703125" style="67" customWidth="1"/>
    <col min="9" max="9" width="18.28515625" style="67" customWidth="1"/>
    <col min="10" max="10" width="19.42578125" style="22" customWidth="1"/>
    <col min="11" max="11" width="17.85546875" style="22" customWidth="1"/>
    <col min="12" max="12" width="9.140625" style="22"/>
    <col min="13" max="13" width="16.28515625" style="22" customWidth="1"/>
    <col min="14" max="16384" width="9.140625" style="22"/>
  </cols>
  <sheetData>
    <row r="1" spans="2:11" ht="18.75" customHeight="1" x14ac:dyDescent="0.25">
      <c r="B1" s="84" t="s">
        <v>116</v>
      </c>
      <c r="C1" s="36" t="str">
        <f>'Constants and Parameters'!H11</f>
        <v>GRS80</v>
      </c>
    </row>
    <row r="2" spans="2:11" ht="13.5" customHeight="1" x14ac:dyDescent="0.25">
      <c r="B2" s="36"/>
      <c r="C2" s="36"/>
    </row>
    <row r="3" spans="2:11" ht="15" x14ac:dyDescent="0.25">
      <c r="B3" s="55" t="s">
        <v>117</v>
      </c>
      <c r="C3" s="37" t="s">
        <v>11</v>
      </c>
      <c r="D3" s="37"/>
      <c r="E3" s="37"/>
      <c r="F3" s="38" t="s">
        <v>118</v>
      </c>
      <c r="G3" s="37" t="s">
        <v>13</v>
      </c>
      <c r="H3" s="37"/>
      <c r="I3" s="39"/>
      <c r="J3" s="96"/>
      <c r="K3" s="96"/>
    </row>
    <row r="4" spans="2:11" ht="18.75" x14ac:dyDescent="0.35">
      <c r="B4" s="97" t="s">
        <v>119</v>
      </c>
      <c r="C4" s="119">
        <v>-37</v>
      </c>
      <c r="D4" s="41">
        <v>57</v>
      </c>
      <c r="E4" s="42">
        <v>3.7202999999999999</v>
      </c>
      <c r="F4" s="98" t="s">
        <v>120</v>
      </c>
      <c r="G4" s="119">
        <v>-37</v>
      </c>
      <c r="H4" s="41">
        <v>39</v>
      </c>
      <c r="I4" s="120">
        <v>10.1561</v>
      </c>
      <c r="J4" s="58"/>
      <c r="K4" s="149"/>
    </row>
    <row r="5" spans="2:11" ht="18.75" x14ac:dyDescent="0.35">
      <c r="B5" s="97" t="s">
        <v>92</v>
      </c>
      <c r="C5" s="119">
        <v>144</v>
      </c>
      <c r="D5" s="41">
        <v>25</v>
      </c>
      <c r="E5" s="42">
        <v>29.5244</v>
      </c>
      <c r="F5" s="98" t="s">
        <v>121</v>
      </c>
      <c r="G5" s="119">
        <v>143</v>
      </c>
      <c r="H5" s="41">
        <v>55</v>
      </c>
      <c r="I5" s="129">
        <v>35.383899999999997</v>
      </c>
    </row>
    <row r="6" spans="2:11" ht="15" x14ac:dyDescent="0.25">
      <c r="B6" s="121" t="s">
        <v>46</v>
      </c>
      <c r="C6" s="122">
        <f ca="1">E55</f>
        <v>54972.271139265664</v>
      </c>
      <c r="D6" s="123"/>
      <c r="E6" s="123"/>
      <c r="F6" s="99"/>
      <c r="G6" s="100"/>
      <c r="H6" s="100"/>
      <c r="I6" s="111" t="s">
        <v>85</v>
      </c>
      <c r="J6" s="67"/>
    </row>
    <row r="7" spans="2:11" ht="18.75" x14ac:dyDescent="0.35">
      <c r="B7" s="121" t="s">
        <v>135</v>
      </c>
      <c r="C7" s="124">
        <f ca="1">TRUNC(I67)</f>
        <v>306</v>
      </c>
      <c r="D7" s="87">
        <f ca="1">TRUNC((I67-C7)*60)</f>
        <v>52</v>
      </c>
      <c r="E7" s="125">
        <f ca="1">(I67-C7-D7/60)*3600</f>
        <v>5.3731279326528991</v>
      </c>
      <c r="F7" s="101"/>
      <c r="G7" s="102"/>
      <c r="H7" s="103"/>
      <c r="I7" s="128" t="s">
        <v>14</v>
      </c>
      <c r="J7" s="104"/>
      <c r="K7" s="149"/>
    </row>
    <row r="8" spans="2:11" ht="18.75" x14ac:dyDescent="0.35">
      <c r="B8" s="126" t="s">
        <v>136</v>
      </c>
      <c r="C8" s="127">
        <f ca="1">TRUNC(J67)</f>
        <v>127</v>
      </c>
      <c r="D8" s="91">
        <f ca="1">TRUNC((J67-C8)*60)</f>
        <v>10</v>
      </c>
      <c r="E8" s="94">
        <f ca="1">(J67-C8-D8/60)*3600</f>
        <v>25.070262045869672</v>
      </c>
      <c r="F8" s="101"/>
      <c r="I8" s="95" t="s">
        <v>15</v>
      </c>
    </row>
    <row r="9" spans="2:11" ht="13.5" customHeight="1" x14ac:dyDescent="0.2">
      <c r="B9" s="58"/>
      <c r="C9" s="59"/>
      <c r="D9" s="63"/>
      <c r="E9" s="63"/>
      <c r="G9" s="58"/>
      <c r="H9" s="58"/>
    </row>
    <row r="10" spans="2:11" hidden="1" outlineLevel="1" x14ac:dyDescent="0.2">
      <c r="C10" s="62" t="s">
        <v>47</v>
      </c>
      <c r="D10" s="105"/>
      <c r="E10" s="62" t="s">
        <v>17</v>
      </c>
      <c r="G10" s="58"/>
      <c r="H10" s="58"/>
    </row>
    <row r="11" spans="2:11" ht="18.75" hidden="1" outlineLevel="1" x14ac:dyDescent="0.35">
      <c r="B11" s="58" t="s">
        <v>122</v>
      </c>
      <c r="C11" s="65">
        <f>IF(C4&lt;0,-(ABS(C4)+D4/60+E4/3600),C4+D4/60+E4/3600)</f>
        <v>-37.951033416666668</v>
      </c>
      <c r="E11" s="65">
        <f>C11*PI()/180</f>
        <v>-0.66237048765522644</v>
      </c>
      <c r="G11" s="58"/>
      <c r="H11" s="58"/>
    </row>
    <row r="12" spans="2:11" ht="18.75" hidden="1" outlineLevel="1" x14ac:dyDescent="0.35">
      <c r="B12" s="58" t="s">
        <v>123</v>
      </c>
      <c r="C12" s="65">
        <f>IF(C5&lt;0,-(ABS(C5)+D5/60+E5/3600),C5+D5/60+E5/3600)</f>
        <v>144.42486788888888</v>
      </c>
      <c r="E12" s="65">
        <f>C12*PI()/180</f>
        <v>2.520689466418943</v>
      </c>
      <c r="G12" s="58"/>
      <c r="H12" s="65"/>
    </row>
    <row r="13" spans="2:11" ht="18.75" hidden="1" outlineLevel="1" x14ac:dyDescent="0.35">
      <c r="B13" s="58" t="s">
        <v>93</v>
      </c>
      <c r="C13" s="65">
        <f>IF(G4&lt;0,-(ABS(G4)+H4/60+I4/3600),G4+H4/60+I4/3600)</f>
        <v>-37.652821138888889</v>
      </c>
      <c r="E13" s="65">
        <f>C13*PI()/180</f>
        <v>-0.65716570153813225</v>
      </c>
      <c r="G13" s="58"/>
      <c r="H13" s="58"/>
    </row>
    <row r="14" spans="2:11" ht="18.75" hidden="1" outlineLevel="1" x14ac:dyDescent="0.35">
      <c r="B14" s="58" t="s">
        <v>94</v>
      </c>
      <c r="C14" s="65">
        <f>IF(G5&lt;0,-(ABS(G5)+H5/60+I5/3600),G5+H5/60+I5/3600)</f>
        <v>143.92649552777777</v>
      </c>
      <c r="E14" s="65">
        <f>C14*PI()/180</f>
        <v>2.5119912278166159</v>
      </c>
      <c r="G14" s="58"/>
      <c r="H14" s="65"/>
    </row>
    <row r="15" spans="2:11" hidden="1" outlineLevel="1" x14ac:dyDescent="0.2">
      <c r="B15" s="65"/>
      <c r="C15" s="65"/>
      <c r="D15" s="65"/>
      <c r="E15" s="65"/>
      <c r="G15" s="58"/>
      <c r="H15" s="65"/>
    </row>
    <row r="16" spans="2:11" hidden="1" outlineLevel="1" x14ac:dyDescent="0.2">
      <c r="B16" s="58" t="s">
        <v>48</v>
      </c>
      <c r="C16" s="59">
        <f>'Constants and Parameters'!H14</f>
        <v>6378137</v>
      </c>
      <c r="D16" s="61"/>
      <c r="E16" s="63" t="s">
        <v>49</v>
      </c>
      <c r="F16" s="65">
        <f>C18+C18*C18</f>
        <v>3.3640520206475268E-3</v>
      </c>
      <c r="G16" s="58"/>
      <c r="H16" s="58"/>
    </row>
    <row r="17" spans="2:8" hidden="1" outlineLevel="1" x14ac:dyDescent="0.2">
      <c r="B17" s="63" t="s">
        <v>50</v>
      </c>
      <c r="C17" s="59">
        <f>C16*(1-C18)</f>
        <v>6356752.3141403478</v>
      </c>
      <c r="D17" s="61"/>
      <c r="E17" s="63" t="s">
        <v>51</v>
      </c>
      <c r="F17" s="65">
        <f>F16/2</f>
        <v>1.6820260103237634E-3</v>
      </c>
      <c r="G17" s="58"/>
      <c r="H17" s="58"/>
    </row>
    <row r="18" spans="2:8" hidden="1" outlineLevel="1" x14ac:dyDescent="0.2">
      <c r="B18" s="63" t="s">
        <v>52</v>
      </c>
      <c r="C18" s="65">
        <f>'Constants and Parameters'!H13</f>
        <v>3.3528106811836675E-3</v>
      </c>
      <c r="D18" s="63"/>
      <c r="E18" s="63" t="s">
        <v>53</v>
      </c>
      <c r="F18" s="65">
        <f>C18*C18/2</f>
        <v>5.6206697319296447E-6</v>
      </c>
      <c r="G18" s="58"/>
      <c r="H18" s="58"/>
    </row>
    <row r="19" spans="2:8" ht="15" hidden="1" outlineLevel="1" x14ac:dyDescent="0.25">
      <c r="B19" s="58" t="s">
        <v>124</v>
      </c>
      <c r="C19" s="65">
        <f>E14-E12</f>
        <v>-8.6982386023271019E-3</v>
      </c>
      <c r="E19" s="67" t="s">
        <v>54</v>
      </c>
      <c r="F19" s="65">
        <f>C18*C18/8</f>
        <v>1.4051674329824112E-6</v>
      </c>
      <c r="G19" s="58"/>
      <c r="H19" s="58"/>
    </row>
    <row r="20" spans="2:8" hidden="1" outlineLevel="1" x14ac:dyDescent="0.2">
      <c r="E20" s="63" t="s">
        <v>55</v>
      </c>
      <c r="F20" s="65">
        <f>C18*C18/16</f>
        <v>7.0258371649120559E-7</v>
      </c>
      <c r="G20" s="58"/>
      <c r="H20" s="58"/>
    </row>
    <row r="21" spans="2:8" hidden="1" outlineLevel="1" x14ac:dyDescent="0.2">
      <c r="B21" s="67" t="s">
        <v>56</v>
      </c>
      <c r="C21" s="106">
        <f>(1-C18)*TAN(E11)</f>
        <v>-0.77729535384961135</v>
      </c>
      <c r="E21" s="63"/>
      <c r="F21" s="58"/>
      <c r="G21" s="58"/>
      <c r="H21" s="58"/>
    </row>
    <row r="22" spans="2:8" ht="15" hidden="1" outlineLevel="1" x14ac:dyDescent="0.25">
      <c r="B22" s="58" t="s">
        <v>57</v>
      </c>
      <c r="C22" s="65">
        <f>ATAN(C21)</f>
        <v>-0.66074251135222961</v>
      </c>
      <c r="D22" s="63"/>
      <c r="E22" s="66"/>
      <c r="F22" s="65"/>
      <c r="G22" s="58"/>
      <c r="H22" s="58"/>
    </row>
    <row r="23" spans="2:8" ht="15" hidden="1" outlineLevel="1" x14ac:dyDescent="0.25">
      <c r="B23" s="58" t="s">
        <v>23</v>
      </c>
      <c r="C23" s="65">
        <f>SIN(C22)</f>
        <v>-0.61370326110685824</v>
      </c>
      <c r="D23" s="63"/>
      <c r="E23" s="66"/>
      <c r="F23" s="65"/>
      <c r="G23" s="58"/>
      <c r="H23" s="58"/>
    </row>
    <row r="24" spans="2:8" hidden="1" outlineLevel="1" x14ac:dyDescent="0.2">
      <c r="B24" s="58" t="s">
        <v>24</v>
      </c>
      <c r="C24" s="65">
        <f>COS(C22)</f>
        <v>0.78953676754588653</v>
      </c>
      <c r="D24" s="63"/>
      <c r="E24" s="58"/>
      <c r="F24" s="65"/>
      <c r="G24" s="58"/>
      <c r="H24" s="58"/>
    </row>
    <row r="25" spans="2:8" hidden="1" outlineLevel="1" x14ac:dyDescent="0.2">
      <c r="B25" s="58" t="s">
        <v>58</v>
      </c>
      <c r="C25" s="107">
        <f>(1-C18)*TAN(E13)</f>
        <v>-0.76898642291167563</v>
      </c>
      <c r="D25" s="63"/>
      <c r="E25" s="58"/>
      <c r="F25" s="65"/>
      <c r="G25" s="58"/>
      <c r="H25" s="58"/>
    </row>
    <row r="26" spans="2:8" hidden="1" outlineLevel="1" x14ac:dyDescent="0.2">
      <c r="B26" s="58" t="s">
        <v>59</v>
      </c>
      <c r="C26" s="65">
        <f>ATAN(C25)</f>
        <v>-0.65554209685690212</v>
      </c>
      <c r="D26" s="63"/>
      <c r="E26" s="58"/>
      <c r="F26" s="65"/>
      <c r="G26" s="58"/>
      <c r="H26" s="58"/>
    </row>
    <row r="27" spans="2:8" hidden="1" outlineLevel="1" x14ac:dyDescent="0.2">
      <c r="B27" s="58" t="s">
        <v>60</v>
      </c>
      <c r="C27" s="65">
        <f>SIN(C26)</f>
        <v>-0.60958906259104795</v>
      </c>
      <c r="D27" s="63"/>
      <c r="E27" s="58"/>
      <c r="F27" s="65"/>
      <c r="G27" s="58"/>
      <c r="H27" s="58"/>
    </row>
    <row r="28" spans="2:8" hidden="1" outlineLevel="1" x14ac:dyDescent="0.2">
      <c r="B28" s="58" t="s">
        <v>61</v>
      </c>
      <c r="C28" s="65">
        <f>COS(C26)</f>
        <v>0.79271758828057259</v>
      </c>
      <c r="D28" s="63"/>
      <c r="E28" s="58"/>
      <c r="F28" s="65"/>
      <c r="G28" s="58"/>
      <c r="H28" s="58"/>
    </row>
    <row r="29" spans="2:8" ht="15" hidden="1" outlineLevel="1" x14ac:dyDescent="0.25">
      <c r="B29" s="73" t="s">
        <v>62</v>
      </c>
      <c r="C29" s="65"/>
      <c r="D29" s="63"/>
      <c r="E29" s="58"/>
      <c r="F29" s="65"/>
      <c r="G29" s="58"/>
      <c r="H29" s="58"/>
    </row>
    <row r="30" spans="2:8" ht="15" hidden="1" outlineLevel="1" x14ac:dyDescent="0.25">
      <c r="B30" s="66" t="s">
        <v>63</v>
      </c>
      <c r="C30" s="65">
        <f>C19</f>
        <v>-8.6982386023271019E-3</v>
      </c>
      <c r="D30" s="63"/>
      <c r="E30" s="65">
        <f ca="1">E53</f>
        <v>-8.7165183332192208E-3</v>
      </c>
      <c r="F30" s="65"/>
      <c r="G30" s="58"/>
      <c r="H30" s="58"/>
    </row>
    <row r="31" spans="2:8" ht="15" hidden="1" outlineLevel="1" x14ac:dyDescent="0.25">
      <c r="B31" s="73" t="s">
        <v>64</v>
      </c>
      <c r="C31" s="65"/>
      <c r="D31" s="63"/>
      <c r="E31" s="58"/>
      <c r="F31" s="65"/>
      <c r="G31" s="58"/>
      <c r="H31" s="58"/>
    </row>
    <row r="32" spans="2:8" ht="17.25" hidden="1" outlineLevel="1" x14ac:dyDescent="0.25">
      <c r="B32" s="58" t="s">
        <v>125</v>
      </c>
      <c r="C32" s="65">
        <f>(C28*SIN(C30)*C28*SIN(C30))+(C24*C27-C23*C28*COS(C30))*(C24*C27-C23*C28*COS(C30))</f>
        <v>7.4396220590493243E-5</v>
      </c>
      <c r="D32" s="63"/>
      <c r="E32" s="65">
        <f ca="1">(C28*SIN(E30)*C28*SIN(E30))+(C24*C27-C23*C28*COS(E30))*(C24*C27-C23*C28*COS(E30))</f>
        <v>7.4595451355889323E-5</v>
      </c>
      <c r="F32" s="65"/>
      <c r="G32" s="58"/>
      <c r="H32" s="58"/>
    </row>
    <row r="33" spans="2:13" ht="15" hidden="1" outlineLevel="1" x14ac:dyDescent="0.25">
      <c r="B33" s="71" t="s">
        <v>65</v>
      </c>
      <c r="C33" s="65"/>
      <c r="D33" s="63"/>
      <c r="E33" s="63"/>
      <c r="F33" s="65"/>
      <c r="G33" s="58"/>
      <c r="H33" s="58"/>
    </row>
    <row r="34" spans="2:13" ht="15" hidden="1" outlineLevel="1" x14ac:dyDescent="0.25">
      <c r="B34" s="67" t="s">
        <v>126</v>
      </c>
      <c r="C34" s="67">
        <f>(C23*C27)+(C24*C28*COS(C30))</f>
        <v>0.99996280119782921</v>
      </c>
      <c r="E34" s="67">
        <f ca="1">(C23*C27)+(C24*C28*COS(E30))</f>
        <v>0.9999627015787359</v>
      </c>
      <c r="G34" s="58"/>
      <c r="H34" s="58"/>
    </row>
    <row r="35" spans="2:13" ht="15" hidden="1" outlineLevel="1" x14ac:dyDescent="0.25">
      <c r="B35" s="108" t="s">
        <v>66</v>
      </c>
      <c r="C35" s="63"/>
      <c r="D35" s="63"/>
      <c r="E35" s="63"/>
      <c r="F35" s="58"/>
      <c r="G35" s="58"/>
      <c r="H35" s="58"/>
      <c r="L35" s="96"/>
      <c r="M35" s="149"/>
    </row>
    <row r="36" spans="2:13" ht="15" hidden="1" outlineLevel="1" x14ac:dyDescent="0.25">
      <c r="B36" s="58" t="s">
        <v>127</v>
      </c>
      <c r="C36" s="65">
        <f>SQRT(C32)/C34</f>
        <v>8.6256452396287469E-3</v>
      </c>
      <c r="D36" s="63"/>
      <c r="E36" s="65">
        <f ca="1">SQRT(E32)/E34</f>
        <v>8.6371879829240869E-3</v>
      </c>
      <c r="F36" s="65"/>
      <c r="I36" s="109"/>
      <c r="L36" s="96"/>
      <c r="M36" s="149"/>
    </row>
    <row r="37" spans="2:13" ht="15" hidden="1" outlineLevel="1" x14ac:dyDescent="0.25">
      <c r="B37" s="66" t="s">
        <v>35</v>
      </c>
      <c r="C37" s="65">
        <f>ATAN(C36)</f>
        <v>8.6254313281276546E-3</v>
      </c>
      <c r="D37" s="63"/>
      <c r="E37" s="65">
        <f ca="1">IF(ATAN(E36)&lt;0,ATAN(E36)+PI(),ATAN(E36))</f>
        <v>8.6369732115369399E-3</v>
      </c>
      <c r="F37" s="65"/>
      <c r="I37" s="109"/>
      <c r="L37" s="96"/>
      <c r="M37" s="149"/>
    </row>
    <row r="38" spans="2:13" ht="15" hidden="1" outlineLevel="1" x14ac:dyDescent="0.25">
      <c r="B38" s="73" t="s">
        <v>67</v>
      </c>
      <c r="C38" s="65"/>
      <c r="D38" s="63"/>
      <c r="E38" s="58"/>
      <c r="F38" s="65"/>
      <c r="I38" s="109"/>
      <c r="L38" s="96"/>
      <c r="M38" s="149"/>
    </row>
    <row r="39" spans="2:13" ht="15" hidden="1" outlineLevel="1" x14ac:dyDescent="0.25">
      <c r="B39" s="58" t="s">
        <v>99</v>
      </c>
      <c r="C39" s="65">
        <f>IF(C32=0,0,C24*C28*SIN(C30)/SQRT(C32))</f>
        <v>-0.63116260055158768</v>
      </c>
      <c r="D39" s="63"/>
      <c r="E39" s="65">
        <f ca="1">IF(E32=0,0,C24*C28*SIN(E30)/SQRT(E32))</f>
        <v>-0.63164378721483949</v>
      </c>
      <c r="F39" s="65"/>
      <c r="G39" s="58"/>
      <c r="H39" s="58"/>
      <c r="I39" s="109"/>
      <c r="L39" s="96"/>
      <c r="M39" s="149"/>
    </row>
    <row r="40" spans="2:13" ht="15" hidden="1" outlineLevel="1" x14ac:dyDescent="0.25">
      <c r="B40" s="73" t="s">
        <v>68</v>
      </c>
      <c r="C40" s="65"/>
      <c r="D40" s="63"/>
      <c r="E40" s="63"/>
      <c r="F40" s="65"/>
      <c r="G40" s="58"/>
      <c r="H40" s="58"/>
    </row>
    <row r="41" spans="2:13" ht="18.75" hidden="1" outlineLevel="1" x14ac:dyDescent="0.35">
      <c r="B41" s="67" t="s">
        <v>128</v>
      </c>
      <c r="C41" s="67">
        <f>IF((COS(ASIN(C39))*COS(ASIN(C39)))=0,0,C34-2*C23*C27/(COS(ASIN(C39))*COS(ASIN(C39))))</f>
        <v>-0.24367348807462452</v>
      </c>
      <c r="D41" s="63"/>
      <c r="E41" s="67">
        <f ca="1">E34-2*C23*C27/(COS(ASIN(E39))*COS(ASIN(E39)))</f>
        <v>-0.24493092090524204</v>
      </c>
      <c r="F41" s="58"/>
      <c r="G41" s="58"/>
      <c r="H41" s="58"/>
    </row>
    <row r="42" spans="2:13" ht="16.5" hidden="1" outlineLevel="1" x14ac:dyDescent="0.2">
      <c r="B42" s="67" t="s">
        <v>69</v>
      </c>
      <c r="C42" s="59">
        <f>COS(ASIN(C39))*COS(ASIN(C39))*(C16*C16-C17*C17)/(C17*C17)</f>
        <v>4.0547088641567988E-3</v>
      </c>
      <c r="D42" s="63"/>
      <c r="E42" s="59">
        <f ca="1">COS(ASIN(E39))*COS(ASIN(E39))*(C16*C16-C17*C17)/(C17*C17)</f>
        <v>4.0506136386484586E-3</v>
      </c>
      <c r="G42" s="58"/>
      <c r="H42" s="58"/>
    </row>
    <row r="43" spans="2:13" ht="15" hidden="1" outlineLevel="1" x14ac:dyDescent="0.25">
      <c r="B43" s="110" t="s">
        <v>25</v>
      </c>
      <c r="C43" s="65"/>
      <c r="D43" s="63"/>
      <c r="E43" s="58"/>
      <c r="F43" s="65"/>
      <c r="G43" s="58"/>
      <c r="H43" s="58"/>
    </row>
    <row r="44" spans="2:13" hidden="1" outlineLevel="1" x14ac:dyDescent="0.2">
      <c r="B44" s="58" t="s">
        <v>26</v>
      </c>
      <c r="C44" s="65">
        <f>1+C42/16384*(4096+C42*(-768+C42*(320-175*C42)))</f>
        <v>1.0010129078590226</v>
      </c>
      <c r="D44" s="63"/>
      <c r="E44" s="65">
        <f ca="1">1+E42/16384*(4096+E42*(-768+E42*(320-175*E42)))</f>
        <v>1.0010118856046439</v>
      </c>
      <c r="F44" s="65"/>
      <c r="G44" s="58"/>
      <c r="H44" s="58"/>
    </row>
    <row r="45" spans="2:13" ht="15" hidden="1" outlineLevel="1" x14ac:dyDescent="0.25">
      <c r="B45" s="73" t="s">
        <v>27</v>
      </c>
      <c r="C45" s="65"/>
      <c r="D45" s="63"/>
      <c r="E45" s="58"/>
      <c r="F45" s="65"/>
      <c r="G45" s="58"/>
      <c r="H45" s="58"/>
      <c r="I45" s="106"/>
    </row>
    <row r="46" spans="2:13" hidden="1" outlineLevel="1" x14ac:dyDescent="0.2">
      <c r="B46" s="58" t="s">
        <v>28</v>
      </c>
      <c r="C46" s="65">
        <f>C42/1024*(256+C42*(-128+C42*(74-47*C42)))</f>
        <v>1.0116269380151775E-3</v>
      </c>
      <c r="D46" s="63"/>
      <c r="E46" s="65">
        <f ca="1">E42/1024*(256+E42*(-128+E42*(74-47*E42)))</f>
        <v>1.0106072662467588E-3</v>
      </c>
      <c r="F46" s="65"/>
      <c r="G46" s="58"/>
      <c r="H46" s="58"/>
    </row>
    <row r="47" spans="2:13" ht="15" hidden="1" outlineLevel="1" x14ac:dyDescent="0.25">
      <c r="B47" s="73" t="s">
        <v>30</v>
      </c>
      <c r="C47" s="65"/>
      <c r="D47" s="63"/>
      <c r="E47" s="58"/>
      <c r="F47" s="65"/>
      <c r="G47" s="58"/>
      <c r="H47" s="58"/>
    </row>
    <row r="48" spans="2:13" ht="15" hidden="1" outlineLevel="1" x14ac:dyDescent="0.25">
      <c r="B48" s="66" t="s">
        <v>33</v>
      </c>
      <c r="C48" s="65">
        <f>C46*SQRT(C32)*(C41+C46/4*(C34*(-1+2*C41*C41)-C46/6*C41*(-3+4*C32)*(-3+4*C41*C41)))</f>
        <v>-2.1281438239389172E-6</v>
      </c>
      <c r="D48" s="63"/>
      <c r="E48" s="65">
        <f ca="1">E46*SQRT(E32)*(E41+E46/4*(E34*(-1+2*E41*E41)-E46/6*E41*(-3+4*E32)*(-3+4*E41*E41)))</f>
        <v>-2.1398143365506821E-6</v>
      </c>
      <c r="F48" s="65"/>
      <c r="G48" s="58"/>
      <c r="H48" s="58"/>
    </row>
    <row r="49" spans="2:13" hidden="1" outlineLevel="1" x14ac:dyDescent="0.2">
      <c r="B49" s="58"/>
      <c r="C49" s="65"/>
      <c r="D49" s="63"/>
      <c r="E49" s="58"/>
      <c r="F49" s="65"/>
      <c r="G49" s="58"/>
      <c r="H49" s="58"/>
    </row>
    <row r="50" spans="2:13" ht="15" hidden="1" outlineLevel="1" x14ac:dyDescent="0.25">
      <c r="B50" s="73" t="s">
        <v>41</v>
      </c>
      <c r="C50" s="65"/>
      <c r="D50" s="75"/>
      <c r="E50" s="58"/>
      <c r="F50" s="65"/>
      <c r="G50" s="58"/>
      <c r="H50" s="58"/>
      <c r="I50" s="111"/>
      <c r="M50" s="24"/>
    </row>
    <row r="51" spans="2:13" ht="15" hidden="1" outlineLevel="1" x14ac:dyDescent="0.25">
      <c r="B51" s="58" t="s">
        <v>42</v>
      </c>
      <c r="C51" s="65">
        <f>C18/16*COS(ASIN(C39))*COS(ASIN(C39))*(4+C18*(4-3*COS(ASIN(C39))*COS(ASIN(C39))))</f>
        <v>5.0521889797405632E-4</v>
      </c>
      <c r="D51" s="75"/>
      <c r="E51" s="65">
        <f ca="1">C18/16*COS(ASIN(E39))*COS(ASIN(E39))*(4+C18*(4-3*COS(ASIN(E39))*COS(ASIN(E39))))</f>
        <v>5.0470940045414261E-4</v>
      </c>
      <c r="F51" s="65"/>
      <c r="G51" s="58"/>
      <c r="H51" s="58"/>
      <c r="I51" s="111"/>
      <c r="M51" s="24"/>
    </row>
    <row r="52" spans="2:13" ht="15" hidden="1" outlineLevel="1" x14ac:dyDescent="0.25">
      <c r="B52" s="73" t="s">
        <v>70</v>
      </c>
      <c r="C52" s="65"/>
      <c r="D52" s="75"/>
      <c r="E52" s="58"/>
      <c r="F52" s="65"/>
      <c r="G52" s="58"/>
      <c r="H52" s="58"/>
      <c r="I52" s="111"/>
      <c r="M52" s="24"/>
    </row>
    <row r="53" spans="2:13" ht="15" hidden="1" outlineLevel="1" x14ac:dyDescent="0.25">
      <c r="B53" s="66" t="s">
        <v>63</v>
      </c>
      <c r="C53" s="65">
        <f>C19+(1-C51)*C18*C39*(ACOS(C34)+C51*SIN(ACOS(C34))*(C41+C51*C34*(-1+2*C41*C41)))</f>
        <v>-8.7164799984862963E-3</v>
      </c>
      <c r="D53" s="75"/>
      <c r="E53" s="112">
        <f ca="1">C19+(1-E51)*C18*E39*(ACOS(E34)+E51*SIN(ACOS(E34))*(E41+E51*E34*(-1+2*E41*E41)))</f>
        <v>-8.7165183332192208E-3</v>
      </c>
      <c r="F53" s="65"/>
      <c r="G53" s="58"/>
      <c r="H53" s="58"/>
      <c r="I53" s="111"/>
      <c r="M53" s="24"/>
    </row>
    <row r="54" spans="2:13" ht="15" hidden="1" outlineLevel="1" x14ac:dyDescent="0.25">
      <c r="B54" s="113" t="s">
        <v>71</v>
      </c>
      <c r="C54" s="65"/>
      <c r="D54" s="75"/>
      <c r="E54" s="66"/>
      <c r="F54" s="65"/>
      <c r="G54" s="58"/>
      <c r="H54" s="58"/>
      <c r="I54" s="114"/>
      <c r="M54" s="149"/>
    </row>
    <row r="55" spans="2:13" hidden="1" outlineLevel="1" x14ac:dyDescent="0.2">
      <c r="B55" s="58" t="s">
        <v>35</v>
      </c>
      <c r="C55" s="65">
        <f>IF(B70="samepoint",0,C17*C44*(ATAN(C36)-C48))</f>
        <v>54898.809806401332</v>
      </c>
      <c r="D55" s="75"/>
      <c r="E55" s="65">
        <f ca="1">IF(B70="samepoint",0,C17*E44*(E37-E48))</f>
        <v>54972.271139265664</v>
      </c>
      <c r="F55" s="58"/>
      <c r="G55" s="58"/>
      <c r="H55" s="58"/>
      <c r="I55" s="114"/>
      <c r="M55" s="149"/>
    </row>
    <row r="56" spans="2:13" ht="15" hidden="1" outlineLevel="1" x14ac:dyDescent="0.25">
      <c r="B56" s="73" t="s">
        <v>72</v>
      </c>
      <c r="C56" s="65"/>
      <c r="D56" s="75"/>
      <c r="E56" s="65"/>
      <c r="F56" s="58"/>
      <c r="G56" s="58"/>
      <c r="H56" s="58"/>
      <c r="I56" s="114"/>
      <c r="M56" s="149"/>
    </row>
    <row r="57" spans="2:13" ht="18.75" hidden="1" outlineLevel="1" x14ac:dyDescent="0.35">
      <c r="B57" s="58" t="s">
        <v>129</v>
      </c>
      <c r="C57" s="65"/>
      <c r="D57" s="75"/>
      <c r="E57" s="65">
        <f ca="1">C28*SIN(E53)/(C24*C27-C23*C28*COS(E53))</f>
        <v>-1.3334176188692408</v>
      </c>
      <c r="F57" s="58"/>
      <c r="G57" s="58"/>
      <c r="H57" s="58"/>
      <c r="I57" s="114"/>
      <c r="M57" s="149"/>
    </row>
    <row r="58" spans="2:13" ht="15" hidden="1" outlineLevel="1" x14ac:dyDescent="0.25">
      <c r="B58" s="73" t="s">
        <v>73</v>
      </c>
      <c r="C58" s="65"/>
      <c r="D58" s="75"/>
      <c r="E58" s="65"/>
      <c r="F58" s="58"/>
      <c r="G58" s="58"/>
      <c r="H58" s="58"/>
      <c r="I58" s="114"/>
      <c r="M58" s="149"/>
    </row>
    <row r="59" spans="2:13" ht="16.5" hidden="1" outlineLevel="1" x14ac:dyDescent="0.3">
      <c r="B59" s="58" t="s">
        <v>130</v>
      </c>
      <c r="C59" s="65"/>
      <c r="D59" s="75"/>
      <c r="E59" s="65">
        <f>C24*SIN(C53)/(-C23*C28+C24*C27*COS(C53))</f>
        <v>-1.3187053992757254</v>
      </c>
      <c r="F59" s="58"/>
      <c r="G59" s="58"/>
      <c r="H59" s="58"/>
      <c r="I59" s="114"/>
      <c r="M59" s="149"/>
    </row>
    <row r="60" spans="2:13" hidden="1" outlineLevel="1" x14ac:dyDescent="0.2">
      <c r="B60" s="58"/>
      <c r="C60" s="65"/>
      <c r="D60" s="75"/>
      <c r="E60" s="58"/>
      <c r="F60" s="65"/>
      <c r="G60" s="58"/>
      <c r="H60" s="58"/>
      <c r="I60" s="114"/>
      <c r="M60" s="149"/>
    </row>
    <row r="61" spans="2:13" hidden="1" outlineLevel="1" x14ac:dyDescent="0.2">
      <c r="B61" s="58"/>
      <c r="C61" s="115"/>
      <c r="E61" s="58"/>
      <c r="F61" s="65"/>
      <c r="G61" s="58"/>
      <c r="H61" s="58"/>
      <c r="I61" s="114"/>
      <c r="M61" s="149"/>
    </row>
    <row r="62" spans="2:13" hidden="1" outlineLevel="1" x14ac:dyDescent="0.2">
      <c r="B62" s="58"/>
      <c r="C62" s="58"/>
      <c r="E62" s="63"/>
      <c r="F62" s="75"/>
      <c r="G62" s="58"/>
      <c r="H62" s="58"/>
      <c r="I62" s="114"/>
      <c r="M62" s="149"/>
    </row>
    <row r="63" spans="2:13" ht="15" hidden="1" outlineLevel="1" x14ac:dyDescent="0.25">
      <c r="B63" s="116" t="s">
        <v>74</v>
      </c>
      <c r="C63" s="116"/>
      <c r="D63" s="63"/>
      <c r="E63" s="116" t="s">
        <v>75</v>
      </c>
      <c r="F63" s="116"/>
      <c r="G63" s="58"/>
      <c r="H63" s="58"/>
      <c r="I63" s="114"/>
      <c r="M63" s="149"/>
    </row>
    <row r="64" spans="2:13" ht="18.75" hidden="1" outlineLevel="1" x14ac:dyDescent="0.35">
      <c r="B64" s="117" t="s">
        <v>131</v>
      </c>
      <c r="C64" s="65">
        <f ca="1">ATAN(E57)</f>
        <v>-0.92732555956699914</v>
      </c>
      <c r="E64" s="117" t="s">
        <v>132</v>
      </c>
      <c r="F64" s="65">
        <f>ATAN(E59)</f>
        <v>-0.92199197487359985</v>
      </c>
      <c r="G64" s="58"/>
      <c r="H64" s="58"/>
      <c r="I64" s="114">
        <f>ATAN2(E13-E11,E14-E12)*180/PI()</f>
        <v>-59.104861261212349</v>
      </c>
      <c r="J64" s="114">
        <f>ATAN2(E11-E13,E12-E14)*180/PI()</f>
        <v>120.89513873878765</v>
      </c>
    </row>
    <row r="65" spans="2:10" ht="18.75" hidden="1" outlineLevel="1" x14ac:dyDescent="0.35">
      <c r="B65" s="117" t="s">
        <v>133</v>
      </c>
      <c r="C65" s="65">
        <f ca="1">(C64/PI())*180+360</f>
        <v>306.86815920220351</v>
      </c>
      <c r="E65" s="117" t="s">
        <v>134</v>
      </c>
      <c r="F65" s="65">
        <f>(F64/PI())*180+180</f>
        <v>127.17375109481088</v>
      </c>
      <c r="G65" s="58"/>
      <c r="H65" s="58"/>
      <c r="I65" s="114">
        <f ca="1">IF(I64&lt;0,C64*180/PI()+360,C64*180/PI())</f>
        <v>306.86815920220351</v>
      </c>
      <c r="J65" s="52">
        <f>IF(J64&gt;0,F64*180/PI()+180,F64*180/PI())</f>
        <v>127.17375109481088</v>
      </c>
    </row>
    <row r="66" spans="2:10" ht="18.75" hidden="1" outlineLevel="1" x14ac:dyDescent="0.35">
      <c r="B66" s="117" t="s">
        <v>133</v>
      </c>
      <c r="C66" s="65">
        <f ca="1">IF(C65&gt;=360,C65-360,C65)</f>
        <v>306.86815920220351</v>
      </c>
      <c r="E66" s="117" t="s">
        <v>134</v>
      </c>
      <c r="F66" s="65">
        <f>IF(F65&gt;=360,F65-360,F65)</f>
        <v>127.17375109481088</v>
      </c>
      <c r="G66" s="58"/>
      <c r="H66" s="58"/>
      <c r="I66" s="114">
        <f ca="1">ATAN2((C24*C27-C23*C28*COS(E53)),C28*SIN(E53))</f>
        <v>-0.92732555956699914</v>
      </c>
      <c r="J66" s="65">
        <f ca="1">ATAN2((-C23*C28+C24*C27*COS(E53)),C24*SIN(E53))</f>
        <v>-0.92199407741004891</v>
      </c>
    </row>
    <row r="67" spans="2:10" ht="18.75" hidden="1" outlineLevel="1" x14ac:dyDescent="0.35">
      <c r="B67" s="117" t="s">
        <v>133</v>
      </c>
      <c r="C67" s="65">
        <f ca="1">IF(B70="samepoint",0,IF(B71="northsouth",0,IF(B72="southnorth",180,C66)))</f>
        <v>306.86815920220351</v>
      </c>
      <c r="E67" s="117" t="s">
        <v>134</v>
      </c>
      <c r="F67" s="65">
        <f>IF(B70="samepoint",0,IF(B71="northsouth",180,IF(B72="southnorth",0,F66)))</f>
        <v>127.17375109481088</v>
      </c>
      <c r="I67" s="65">
        <f ca="1">IF(B70="samepoint",0,IF(B71="northsouth",0,IF(B72="southnorth",180,IF(I66&lt;0,I66*180/PI()+360,I66*180/PI()))))</f>
        <v>306.86815920220351</v>
      </c>
      <c r="J67" s="65">
        <f ca="1">IF(B70="samepoint",0,IF(B71="northsouth",180,IF(B72="southnorth",0,J66*180/PI()+180)))</f>
        <v>127.17363062834607</v>
      </c>
    </row>
    <row r="68" spans="2:10" ht="15" hidden="1" outlineLevel="1" x14ac:dyDescent="0.25">
      <c r="B68" s="117"/>
      <c r="E68" s="117"/>
    </row>
    <row r="69" spans="2:10" ht="15" hidden="1" outlineLevel="1" x14ac:dyDescent="0.25">
      <c r="B69" s="118" t="s">
        <v>76</v>
      </c>
      <c r="C69" s="118"/>
    </row>
    <row r="70" spans="2:10" hidden="1" outlineLevel="1" x14ac:dyDescent="0.2">
      <c r="B70" s="67" t="str">
        <f>IF(AND(C11=C13,C12=C14),"samepoint","N.A. " )</f>
        <v xml:space="preserve">N.A. </v>
      </c>
      <c r="C70" s="67" t="s">
        <v>77</v>
      </c>
    </row>
    <row r="71" spans="2:10" hidden="1" outlineLevel="1" x14ac:dyDescent="0.2">
      <c r="B71" s="67" t="str">
        <f>IF(AND(C12=C14,C13&gt;C11),"northsouth","N.A. ")</f>
        <v xml:space="preserve">N.A. </v>
      </c>
      <c r="C71" s="67" t="s">
        <v>78</v>
      </c>
    </row>
    <row r="72" spans="2:10" hidden="1" outlineLevel="1" x14ac:dyDescent="0.2">
      <c r="B72" s="67" t="str">
        <f>IF(AND(C12=C14,C11&gt;C13),"southnorth","N.A. ")</f>
        <v xml:space="preserve">N.A. </v>
      </c>
      <c r="C72" s="67" t="s">
        <v>79</v>
      </c>
    </row>
    <row r="73" spans="2:10" collapsed="1" x14ac:dyDescent="0.2"/>
  </sheetData>
  <printOptions gridLines="1" gridLinesSet="0"/>
  <pageMargins left="0.25" right="0.13" top="0.76" bottom="0.71" header="0.5" footer="0.5"/>
  <pageSetup paperSize="9" scale="80" orientation="portrait" horizontalDpi="180" verticalDpi="180" r:id="rId1"/>
  <headerFooter alignWithMargins="0">
    <oddHeader>&amp;C&amp;F&amp;RInverse Solution</oddHeader>
    <oddFooter>&amp;L&amp;D&amp;CGDA Technical Mmanual</oddFooter>
  </headerFooter>
  <drawing r:id="rId2"/>
  <legacyDrawing r:id="rId3"/>
  <oleObjects>
    <mc:AlternateContent xmlns:mc="http://schemas.openxmlformats.org/markup-compatibility/2006">
      <mc:Choice Requires="x14">
        <oleObject progId="Equation.3" shapeId="3077" r:id="rId4">
          <objectPr defaultSize="0" autoFill="0" autoLine="0" autoPict="0" r:id="rId5">
            <anchor moveWithCells="1" sizeWithCells="1">
              <from>
                <xdr:col>1</xdr:col>
                <xdr:colOff>66675</xdr:colOff>
                <xdr:row>111</xdr:row>
                <xdr:rowOff>0</xdr:rowOff>
              </from>
              <to>
                <xdr:col>4</xdr:col>
                <xdr:colOff>685800</xdr:colOff>
                <xdr:row>111</xdr:row>
                <xdr:rowOff>0</xdr:rowOff>
              </to>
            </anchor>
          </objectPr>
        </oleObject>
      </mc:Choice>
      <mc:Fallback>
        <oleObject progId="Equation.3" shapeId="3077" r:id="rId4"/>
      </mc:Fallback>
    </mc:AlternateContent>
    <mc:AlternateContent xmlns:mc="http://schemas.openxmlformats.org/markup-compatibility/2006">
      <mc:Choice Requires="x14">
        <oleObject progId="Equation.3" shapeId="3078" r:id="rId6">
          <objectPr defaultSize="0" autoFill="0" autoLine="0" autoPict="0" r:id="rId7">
            <anchor moveWithCells="1" sizeWithCells="1">
              <from>
                <xdr:col>1</xdr:col>
                <xdr:colOff>180975</xdr:colOff>
                <xdr:row>9</xdr:row>
                <xdr:rowOff>0</xdr:rowOff>
              </from>
              <to>
                <xdr:col>2</xdr:col>
                <xdr:colOff>0</xdr:colOff>
                <xdr:row>9</xdr:row>
                <xdr:rowOff>9525</xdr:rowOff>
              </to>
            </anchor>
          </objectPr>
        </oleObject>
      </mc:Choice>
      <mc:Fallback>
        <oleObject progId="Equation.3" shapeId="307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showGridLines="0" workbookViewId="0">
      <selection activeCell="F15" sqref="F15"/>
    </sheetView>
  </sheetViews>
  <sheetFormatPr defaultRowHeight="12.75" x14ac:dyDescent="0.2"/>
  <cols>
    <col min="1" max="1" width="5.140625" customWidth="1"/>
    <col min="2" max="2" width="20.85546875" bestFit="1" customWidth="1"/>
    <col min="3" max="3" width="16.85546875" customWidth="1"/>
    <col min="4" max="4" width="5.140625" customWidth="1"/>
    <col min="5" max="5" width="10.140625" customWidth="1"/>
    <col min="6" max="6" width="15.5703125" style="18" bestFit="1" customWidth="1"/>
    <col min="7" max="7" width="12.5703125" customWidth="1"/>
    <col min="8" max="8" width="4.85546875" customWidth="1"/>
  </cols>
  <sheetData>
    <row r="1" spans="1:9" x14ac:dyDescent="0.2">
      <c r="A1" s="16"/>
      <c r="B1" s="16"/>
      <c r="C1" s="16"/>
      <c r="D1" s="1"/>
      <c r="E1" s="1"/>
      <c r="F1" s="17"/>
    </row>
    <row r="2" spans="1:9" x14ac:dyDescent="0.2">
      <c r="A2" s="1"/>
      <c r="B2" s="1"/>
      <c r="C2" s="1"/>
      <c r="D2" s="1"/>
      <c r="E2" s="1"/>
      <c r="F2" s="17"/>
    </row>
    <row r="3" spans="1:9" ht="15" x14ac:dyDescent="0.25">
      <c r="B3" s="130" t="s">
        <v>9</v>
      </c>
      <c r="C3" s="131" t="s">
        <v>0</v>
      </c>
      <c r="D3" s="100"/>
      <c r="E3" s="100"/>
      <c r="F3" s="100"/>
      <c r="G3" s="132"/>
      <c r="H3" s="100"/>
      <c r="I3" s="133"/>
    </row>
    <row r="4" spans="1:9" ht="14.25" x14ac:dyDescent="0.2">
      <c r="B4" s="101" t="s">
        <v>10</v>
      </c>
      <c r="C4" s="47" t="s">
        <v>11</v>
      </c>
      <c r="D4" s="67"/>
      <c r="E4" s="67"/>
      <c r="F4" s="67" t="s">
        <v>12</v>
      </c>
      <c r="G4" s="47" t="s">
        <v>13</v>
      </c>
      <c r="H4" s="67"/>
      <c r="I4" s="134"/>
    </row>
    <row r="5" spans="1:9" ht="18.75" x14ac:dyDescent="0.35">
      <c r="B5" s="101" t="s">
        <v>122</v>
      </c>
      <c r="C5" s="119">
        <v>-37</v>
      </c>
      <c r="D5" s="41">
        <v>57</v>
      </c>
      <c r="E5" s="42">
        <v>3.7202999999999999</v>
      </c>
      <c r="F5" s="67" t="s">
        <v>93</v>
      </c>
      <c r="G5" s="119">
        <v>-37</v>
      </c>
      <c r="H5" s="41">
        <v>39</v>
      </c>
      <c r="I5" s="120">
        <v>10.1561</v>
      </c>
    </row>
    <row r="6" spans="1:9" ht="18.75" x14ac:dyDescent="0.35">
      <c r="B6" s="101" t="s">
        <v>123</v>
      </c>
      <c r="C6" s="119">
        <v>144</v>
      </c>
      <c r="D6" s="41">
        <v>25</v>
      </c>
      <c r="E6" s="42">
        <v>29.5244</v>
      </c>
      <c r="F6" s="67" t="s">
        <v>94</v>
      </c>
      <c r="G6" s="119">
        <v>143</v>
      </c>
      <c r="H6" s="41">
        <v>55</v>
      </c>
      <c r="I6" s="120">
        <v>35.383899999999997</v>
      </c>
    </row>
    <row r="7" spans="1:9" ht="14.25" x14ac:dyDescent="0.2">
      <c r="B7" s="101" t="s">
        <v>46</v>
      </c>
      <c r="C7" s="140">
        <v>54972.271000000001</v>
      </c>
      <c r="D7" s="42"/>
      <c r="E7" s="42"/>
      <c r="F7" s="67"/>
      <c r="G7" s="135"/>
      <c r="H7" s="67"/>
      <c r="I7" s="134"/>
    </row>
    <row r="8" spans="1:9" ht="18.75" x14ac:dyDescent="0.35">
      <c r="B8" s="101" t="s">
        <v>135</v>
      </c>
      <c r="C8" s="119">
        <v>306</v>
      </c>
      <c r="D8" s="41">
        <v>52</v>
      </c>
      <c r="E8" s="141">
        <v>5.3732220696518951</v>
      </c>
      <c r="F8" s="67"/>
      <c r="G8" s="135"/>
      <c r="H8" s="67"/>
      <c r="I8" s="134"/>
    </row>
    <row r="9" spans="1:9" ht="18.75" x14ac:dyDescent="0.35">
      <c r="B9" s="139" t="s">
        <v>136</v>
      </c>
      <c r="C9" s="142">
        <v>127</v>
      </c>
      <c r="D9" s="143">
        <v>10</v>
      </c>
      <c r="E9" s="144">
        <v>25.070355144237087</v>
      </c>
      <c r="F9" s="136"/>
      <c r="G9" s="137"/>
      <c r="H9" s="136"/>
      <c r="I9" s="138"/>
    </row>
  </sheetData>
  <sheetProtection sheet="1" objects="1" scenarios="1"/>
  <pageMargins left="0.75" right="0.75" top="1" bottom="1" header="0.5" footer="0.5"/>
  <pageSetup paperSize="9" scale="89" orientation="portrait" r:id="rId1"/>
  <headerFooter alignWithMargins="0">
    <oddHeader>&amp;C&amp;F&amp;RTest Data</oddHeader>
    <oddFooter>&amp;L&amp;D&amp;CGDA Technical Manual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Constants and Parameters</vt:lpstr>
      <vt:lpstr>Direct Solution</vt:lpstr>
      <vt:lpstr>Inverse Solution</vt:lpstr>
      <vt:lpstr>Test Data</vt:lpstr>
      <vt:lpstr>'Direct Solution'!Print_Area</vt:lpstr>
      <vt:lpstr>'Inverse Solution'!Print_Area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Nicholas Brown</cp:lastModifiedBy>
  <cp:lastPrinted>1999-11-15T21:51:43Z</cp:lastPrinted>
  <dcterms:created xsi:type="dcterms:W3CDTF">1998-12-04T21:58:19Z</dcterms:created>
  <dcterms:modified xsi:type="dcterms:W3CDTF">2017-03-20T04:38:13Z</dcterms:modified>
</cp:coreProperties>
</file>