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60" windowWidth="20475" windowHeight="10305"/>
  </bookViews>
  <sheets>
    <sheet name="累计预扣预缴个税对比及分析" sheetId="1" r:id="rId1"/>
  </sheets>
  <calcPr calcId="145621"/>
</workbook>
</file>

<file path=xl/calcChain.xml><?xml version="1.0" encoding="utf-8"?>
<calcChain xmlns="http://schemas.openxmlformats.org/spreadsheetml/2006/main">
  <c r="H39" i="1" l="1"/>
  <c r="G39" i="1"/>
  <c r="F39" i="1"/>
  <c r="E39" i="1"/>
  <c r="H38" i="1"/>
  <c r="G38" i="1"/>
  <c r="F38" i="1"/>
  <c r="E38" i="1"/>
  <c r="H37" i="1"/>
  <c r="G37" i="1"/>
  <c r="F37" i="1"/>
  <c r="E37" i="1"/>
  <c r="H36" i="1"/>
  <c r="G36" i="1"/>
  <c r="F36" i="1"/>
  <c r="E36" i="1"/>
  <c r="H35" i="1"/>
  <c r="G35" i="1"/>
  <c r="F35" i="1"/>
  <c r="E35" i="1"/>
  <c r="H34" i="1"/>
  <c r="G34" i="1"/>
  <c r="F34" i="1"/>
  <c r="E34" i="1"/>
  <c r="H33" i="1"/>
  <c r="G33" i="1"/>
  <c r="F33" i="1"/>
  <c r="E33" i="1"/>
  <c r="H32" i="1"/>
  <c r="G32" i="1"/>
  <c r="F32" i="1"/>
  <c r="E32" i="1"/>
  <c r="H31" i="1"/>
  <c r="G31" i="1"/>
  <c r="F31" i="1"/>
  <c r="E31" i="1"/>
  <c r="H30" i="1"/>
  <c r="G30" i="1"/>
  <c r="F30" i="1"/>
  <c r="E30" i="1"/>
  <c r="H29" i="1"/>
  <c r="G29" i="1"/>
  <c r="F29" i="1"/>
  <c r="E29" i="1"/>
  <c r="H28" i="1"/>
  <c r="G28" i="1"/>
  <c r="F28" i="1"/>
  <c r="E28" i="1"/>
  <c r="H27" i="1"/>
  <c r="G27" i="1"/>
  <c r="F27" i="1"/>
  <c r="E27" i="1"/>
  <c r="H26" i="1"/>
  <c r="G26" i="1"/>
  <c r="F26" i="1"/>
  <c r="E26" i="1"/>
  <c r="H25" i="1"/>
  <c r="G25" i="1"/>
  <c r="F25" i="1"/>
  <c r="E25" i="1"/>
  <c r="H24" i="1"/>
  <c r="G24" i="1"/>
  <c r="F24" i="1"/>
  <c r="E24" i="1"/>
  <c r="H23" i="1"/>
  <c r="G23" i="1"/>
  <c r="F23" i="1"/>
  <c r="E23" i="1"/>
  <c r="H22" i="1"/>
  <c r="G22" i="1"/>
  <c r="F22" i="1"/>
  <c r="E22" i="1"/>
  <c r="H21" i="1"/>
  <c r="G21" i="1"/>
  <c r="F21" i="1"/>
  <c r="E21" i="1"/>
  <c r="H20" i="1"/>
  <c r="G20" i="1"/>
  <c r="F20" i="1"/>
  <c r="E20" i="1"/>
  <c r="H19" i="1"/>
  <c r="G19" i="1"/>
  <c r="F19" i="1"/>
  <c r="E19" i="1"/>
  <c r="H18" i="1"/>
  <c r="G18" i="1"/>
  <c r="F18" i="1"/>
  <c r="E18" i="1"/>
  <c r="H17" i="1"/>
  <c r="G17" i="1"/>
  <c r="F17" i="1"/>
  <c r="E17" i="1"/>
  <c r="C17" i="1"/>
  <c r="H16" i="1"/>
  <c r="G16" i="1"/>
  <c r="F16" i="1"/>
  <c r="E16" i="1"/>
  <c r="H15" i="1"/>
  <c r="G15" i="1"/>
  <c r="F15" i="1"/>
  <c r="E15" i="1"/>
  <c r="H14" i="1"/>
  <c r="G14" i="1"/>
  <c r="F14" i="1"/>
  <c r="E14" i="1"/>
  <c r="H13" i="1"/>
  <c r="G13" i="1"/>
  <c r="F13" i="1"/>
  <c r="E13" i="1"/>
  <c r="H12" i="1"/>
  <c r="G12" i="1"/>
  <c r="F12" i="1"/>
  <c r="E12" i="1"/>
  <c r="H11" i="1"/>
  <c r="G11" i="1"/>
  <c r="F11" i="1"/>
  <c r="E11" i="1"/>
  <c r="H10" i="1"/>
  <c r="G10" i="1"/>
  <c r="F10" i="1"/>
  <c r="E10" i="1"/>
  <c r="H9" i="1"/>
  <c r="G9" i="1"/>
  <c r="F9" i="1"/>
  <c r="E9" i="1"/>
  <c r="H8" i="1"/>
  <c r="G8" i="1"/>
  <c r="F8" i="1"/>
  <c r="E8" i="1"/>
  <c r="H7" i="1"/>
  <c r="G7" i="1"/>
  <c r="F7" i="1"/>
  <c r="E7" i="1"/>
  <c r="H6" i="1"/>
  <c r="G6" i="1"/>
  <c r="F6" i="1"/>
  <c r="E6" i="1"/>
  <c r="H5" i="1"/>
  <c r="G5" i="1"/>
  <c r="F5" i="1"/>
  <c r="E5" i="1"/>
  <c r="H4" i="1"/>
  <c r="G4" i="1"/>
  <c r="F4" i="1"/>
  <c r="E4" i="1"/>
  <c r="J4" i="1" l="1"/>
  <c r="J5" i="1"/>
  <c r="J6" i="1"/>
  <c r="J7" i="1"/>
  <c r="J8" i="1"/>
  <c r="J9" i="1"/>
  <c r="J10" i="1"/>
  <c r="J11" i="1"/>
  <c r="J12" i="1"/>
  <c r="J13" i="1"/>
  <c r="J14" i="1"/>
  <c r="J15" i="1"/>
  <c r="J16" i="1"/>
  <c r="J17" i="1"/>
  <c r="K17" i="1" s="1"/>
  <c r="L17" i="1" s="1"/>
  <c r="C18" i="1"/>
  <c r="J18" i="1" s="1"/>
  <c r="K18" i="1" s="1"/>
  <c r="L18" i="1" s="1"/>
  <c r="J28" i="1"/>
  <c r="J29" i="1"/>
  <c r="J30" i="1"/>
  <c r="J31" i="1"/>
  <c r="J32" i="1"/>
  <c r="J33" i="1"/>
  <c r="J34" i="1"/>
  <c r="J35" i="1"/>
  <c r="J36" i="1"/>
  <c r="J37" i="1"/>
  <c r="K37" i="1" s="1"/>
  <c r="J38" i="1"/>
  <c r="K38" i="1" s="1"/>
  <c r="L38" i="1" s="1"/>
  <c r="J39" i="1"/>
  <c r="K16" i="1"/>
  <c r="L16" i="1" s="1"/>
  <c r="K4" i="1"/>
  <c r="L4" i="1" s="1"/>
  <c r="K39" i="1"/>
  <c r="L39" i="1" s="1"/>
  <c r="K32" i="1"/>
  <c r="L32" i="1" s="1"/>
  <c r="K30" i="1"/>
  <c r="L30" i="1" s="1"/>
  <c r="K28" i="1"/>
  <c r="L28" i="1" s="1"/>
  <c r="K36" i="1"/>
  <c r="L36" i="1" s="1"/>
  <c r="L37" i="1" l="1"/>
  <c r="M37" i="1"/>
  <c r="C19" i="1"/>
  <c r="K13" i="1"/>
  <c r="L13" i="1" s="1"/>
  <c r="M9" i="1"/>
  <c r="K9" i="1"/>
  <c r="L9" i="1" s="1"/>
  <c r="K5" i="1"/>
  <c r="L5" i="1" s="1"/>
  <c r="K29" i="1"/>
  <c r="L29" i="1" s="1"/>
  <c r="M12" i="1"/>
  <c r="K12" i="1"/>
  <c r="L12" i="1" s="1"/>
  <c r="K8" i="1"/>
  <c r="L8" i="1" s="1"/>
  <c r="M15" i="1"/>
  <c r="K15" i="1"/>
  <c r="L15" i="1" s="1"/>
  <c r="K11" i="1"/>
  <c r="L11" i="1" s="1"/>
  <c r="M7" i="1"/>
  <c r="K7" i="1"/>
  <c r="L7" i="1" s="1"/>
  <c r="K14" i="1"/>
  <c r="L14" i="1" s="1"/>
  <c r="K10" i="1"/>
  <c r="L10" i="1" s="1"/>
  <c r="K6" i="1"/>
  <c r="L6" i="1" s="1"/>
  <c r="M39" i="1"/>
  <c r="M36" i="1"/>
  <c r="K33" i="1"/>
  <c r="L33" i="1" s="1"/>
  <c r="M33" i="1" s="1"/>
  <c r="K34" i="1"/>
  <c r="L34" i="1" s="1"/>
  <c r="K35" i="1"/>
  <c r="L35" i="1" s="1"/>
  <c r="M30" i="1"/>
  <c r="M18" i="1"/>
  <c r="K31" i="1"/>
  <c r="L31" i="1" s="1"/>
  <c r="M28" i="1"/>
  <c r="O28" i="1" s="1"/>
  <c r="M38" i="1"/>
  <c r="M17" i="1"/>
  <c r="M32" i="1"/>
  <c r="M4" i="1"/>
  <c r="O4" i="1" s="1"/>
  <c r="M16" i="1"/>
  <c r="O16" i="1" s="1"/>
  <c r="M29" i="1" l="1"/>
  <c r="M14" i="1"/>
  <c r="M10" i="1"/>
  <c r="J19" i="1"/>
  <c r="C20" i="1"/>
  <c r="M6" i="1"/>
  <c r="M11" i="1"/>
  <c r="M8" i="1"/>
  <c r="M5" i="1"/>
  <c r="M13" i="1"/>
  <c r="M34" i="1"/>
  <c r="N29" i="1"/>
  <c r="O29" i="1" s="1"/>
  <c r="N17" i="1"/>
  <c r="O17" i="1" s="1"/>
  <c r="N18" i="1" s="1"/>
  <c r="O18" i="1" s="1"/>
  <c r="N5" i="1"/>
  <c r="O5" i="1" s="1"/>
  <c r="M31" i="1"/>
  <c r="M35" i="1"/>
  <c r="K19" i="1" l="1"/>
  <c r="L19" i="1" s="1"/>
  <c r="M19" i="1"/>
  <c r="J20" i="1"/>
  <c r="C21" i="1"/>
  <c r="N30" i="1"/>
  <c r="O30" i="1" s="1"/>
  <c r="N31" i="1" s="1"/>
  <c r="O31" i="1" s="1"/>
  <c r="N6" i="1"/>
  <c r="O6" i="1" s="1"/>
  <c r="N19" i="1"/>
  <c r="J21" i="1" l="1"/>
  <c r="K21" i="1" s="1"/>
  <c r="L21" i="1" s="1"/>
  <c r="C22" i="1"/>
  <c r="K20" i="1"/>
  <c r="L20" i="1" s="1"/>
  <c r="O19" i="1"/>
  <c r="M21" i="1"/>
  <c r="N20" i="1"/>
  <c r="N7" i="1"/>
  <c r="O7" i="1" s="1"/>
  <c r="N32" i="1"/>
  <c r="O32" i="1" s="1"/>
  <c r="M20" i="1" l="1"/>
  <c r="O20" i="1"/>
  <c r="N21" i="1" s="1"/>
  <c r="O21" i="1" s="1"/>
  <c r="N22" i="1" s="1"/>
  <c r="J22" i="1"/>
  <c r="C23" i="1"/>
  <c r="N33" i="1"/>
  <c r="O33" i="1" s="1"/>
  <c r="N8" i="1"/>
  <c r="O8" i="1" s="1"/>
  <c r="J23" i="1" l="1"/>
  <c r="K23" i="1" s="1"/>
  <c r="L23" i="1" s="1"/>
  <c r="M23" i="1" s="1"/>
  <c r="C24" i="1"/>
  <c r="K22" i="1"/>
  <c r="L22" i="1" s="1"/>
  <c r="N34" i="1"/>
  <c r="O34" i="1" s="1"/>
  <c r="N35" i="1" s="1"/>
  <c r="O35" i="1" s="1"/>
  <c r="N36" i="1" s="1"/>
  <c r="O36" i="1" s="1"/>
  <c r="N9" i="1"/>
  <c r="O9" i="1" s="1"/>
  <c r="J24" i="1" l="1"/>
  <c r="K24" i="1" s="1"/>
  <c r="L24" i="1" s="1"/>
  <c r="M24" i="1" s="1"/>
  <c r="C25" i="1"/>
  <c r="M22" i="1"/>
  <c r="O22" i="1" s="1"/>
  <c r="N23" i="1" s="1"/>
  <c r="O23" i="1" s="1"/>
  <c r="N37" i="1"/>
  <c r="O37" i="1" s="1"/>
  <c r="N38" i="1" s="1"/>
  <c r="O38" i="1" s="1"/>
  <c r="N24" i="1"/>
  <c r="O24" i="1" s="1"/>
  <c r="N10" i="1"/>
  <c r="O10" i="1" s="1"/>
  <c r="N11" i="1" s="1"/>
  <c r="O11" i="1" s="1"/>
  <c r="J25" i="1" l="1"/>
  <c r="K25" i="1" s="1"/>
  <c r="L25" i="1" s="1"/>
  <c r="C26" i="1"/>
  <c r="N39" i="1"/>
  <c r="O39" i="1" s="1"/>
  <c r="P28" i="1" s="1"/>
  <c r="N25" i="1"/>
  <c r="N12" i="1"/>
  <c r="O12" i="1" s="1"/>
  <c r="N13" i="1" s="1"/>
  <c r="O13" i="1" s="1"/>
  <c r="M25" i="1"/>
  <c r="J26" i="1" l="1"/>
  <c r="K26" i="1" s="1"/>
  <c r="L26" i="1" s="1"/>
  <c r="M26" i="1" s="1"/>
  <c r="C27" i="1"/>
  <c r="J27" i="1" s="1"/>
  <c r="K27" i="1" s="1"/>
  <c r="L27" i="1" s="1"/>
  <c r="O25" i="1"/>
  <c r="N14" i="1"/>
  <c r="O14" i="1" s="1"/>
  <c r="N15" i="1" s="1"/>
  <c r="O15" i="1" s="1"/>
  <c r="P4" i="1" s="1"/>
  <c r="N26" i="1"/>
  <c r="O26" i="1" s="1"/>
  <c r="M27" i="1" l="1"/>
  <c r="N27" i="1"/>
  <c r="O27" i="1" s="1"/>
  <c r="P16" i="1" s="1"/>
</calcChain>
</file>

<file path=xl/comments1.xml><?xml version="1.0" encoding="utf-8"?>
<comments xmlns="http://schemas.openxmlformats.org/spreadsheetml/2006/main">
  <authors>
    <author>作者</author>
  </authors>
  <commentList>
    <comment ref="A4" authorId="0">
      <text>
        <r>
          <rPr>
            <b/>
            <sz val="9"/>
            <color indexed="81"/>
            <rFont val="宋体"/>
            <family val="3"/>
            <charset val="134"/>
          </rPr>
          <t>假定每月税前收入10000元，无变动</t>
        </r>
      </text>
    </comment>
    <comment ref="A16" authorId="0">
      <text>
        <r>
          <rPr>
            <b/>
            <sz val="9"/>
            <color indexed="81"/>
            <rFont val="宋体"/>
            <family val="3"/>
            <charset val="134"/>
          </rPr>
          <t>假定他的收入从1月开始的10000元到12月的120000元，每月收入增加1万</t>
        </r>
      </text>
    </comment>
    <comment ref="A28" authorId="0">
      <text>
        <r>
          <rPr>
            <b/>
            <sz val="9"/>
            <color indexed="81"/>
            <rFont val="宋体"/>
            <family val="3"/>
            <charset val="134"/>
          </rPr>
          <t>假定他每个月收入不固定</t>
        </r>
      </text>
    </comment>
  </commentList>
</comments>
</file>

<file path=xl/sharedStrings.xml><?xml version="1.0" encoding="utf-8"?>
<sst xmlns="http://schemas.openxmlformats.org/spreadsheetml/2006/main" count="59" uniqueCount="35">
  <si>
    <t>采用累计预扣法，2019年12月应扣个税</t>
    <phoneticPr fontId="2" type="noConversion"/>
  </si>
  <si>
    <t>姓名</t>
    <phoneticPr fontId="2" type="noConversion"/>
  </si>
  <si>
    <t>收入月份</t>
    <phoneticPr fontId="2" type="noConversion"/>
  </si>
  <si>
    <t>累计工资收入</t>
    <phoneticPr fontId="2" type="noConversion"/>
  </si>
  <si>
    <t>累计免税收入</t>
    <phoneticPr fontId="2" type="noConversion"/>
  </si>
  <si>
    <t>累计专项扣除</t>
    <phoneticPr fontId="2" type="noConversion"/>
  </si>
  <si>
    <t>累计基本减除费用</t>
    <phoneticPr fontId="2" type="noConversion"/>
  </si>
  <si>
    <t>累计专项附加扣除</t>
    <phoneticPr fontId="2" type="noConversion"/>
  </si>
  <si>
    <t>累计依法确定的其他扣除</t>
    <phoneticPr fontId="2" type="noConversion"/>
  </si>
  <si>
    <t>本月累计预扣预缴应纳税所得额</t>
    <phoneticPr fontId="2" type="noConversion"/>
  </si>
  <si>
    <t>适用税率</t>
    <phoneticPr fontId="2" type="noConversion"/>
  </si>
  <si>
    <t>速算扣除数</t>
    <phoneticPr fontId="2" type="noConversion"/>
  </si>
  <si>
    <t>本期应预扣预缴税额</t>
    <phoneticPr fontId="2" type="noConversion"/>
  </si>
  <si>
    <t>已预扣预缴税额</t>
    <phoneticPr fontId="2" type="noConversion"/>
  </si>
  <si>
    <t>结论</t>
    <phoneticPr fontId="2" type="noConversion"/>
  </si>
  <si>
    <t>社保</t>
    <phoneticPr fontId="2" type="noConversion"/>
  </si>
  <si>
    <t>公积金</t>
    <phoneticPr fontId="2" type="noConversion"/>
  </si>
  <si>
    <t>李小二</t>
    <phoneticPr fontId="2" type="noConversion"/>
  </si>
  <si>
    <t>1月</t>
    <phoneticPr fontId="2" type="noConversion"/>
  </si>
  <si>
    <t>1.如果之前月份没有预扣预缴个税，在本年度结束后一次性缴清，这与按月预扣预缴，两种方式的扣税金额是一样的，所以对收入固定或者不固定的人来说，不必担心因专项扣除申请不及时或者社保公积金基数缴费变动而多缴或少缴个税;
2.对于所有的工薪阶层，从2019年开始，不但提高了个税起征点，还增加了专项附加扣除，都有利于增加税后收入。</t>
    <phoneticPr fontId="2" type="noConversion"/>
  </si>
  <si>
    <t>2月</t>
    <phoneticPr fontId="2" type="noConversion"/>
  </si>
  <si>
    <t>3月</t>
  </si>
  <si>
    <t>4月</t>
  </si>
  <si>
    <t>5月</t>
  </si>
  <si>
    <t>6月</t>
  </si>
  <si>
    <t>7月</t>
  </si>
  <si>
    <t>8月</t>
  </si>
  <si>
    <t>9月</t>
  </si>
  <si>
    <t>10月</t>
  </si>
  <si>
    <t>11月</t>
  </si>
  <si>
    <t>12月</t>
  </si>
  <si>
    <t>王小五</t>
    <phoneticPr fontId="2" type="noConversion"/>
  </si>
  <si>
    <t>刘小六</t>
    <phoneticPr fontId="2" type="noConversion"/>
  </si>
  <si>
    <t>本期实际应预扣预缴税额税额</t>
    <phoneticPr fontId="2" type="noConversion"/>
  </si>
  <si>
    <t>19年累计个税缴交额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</si>
</sst>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6"/>
      <color theme="1"/>
      <name val="黑体"/>
      <family val="3"/>
      <charset val="134"/>
    </font>
    <font>
      <sz val="9"/>
      <name val="宋体"/>
      <family val="3"/>
      <charset val="134"/>
      <scheme val="minor"/>
    </font>
    <font>
      <b/>
      <sz val="11"/>
      <color theme="1"/>
      <name val="宋体"/>
      <family val="3"/>
      <charset val="134"/>
      <scheme val="minor"/>
    </font>
    <font>
      <sz val="10"/>
      <color theme="1"/>
      <name val="宋体"/>
      <family val="3"/>
      <charset val="134"/>
      <scheme val="minor"/>
    </font>
    <font>
      <sz val="11"/>
      <color rgb="FFFF0000"/>
      <name val="宋体"/>
      <family val="3"/>
      <charset val="134"/>
      <scheme val="minor"/>
    </font>
    <font>
      <sz val="10"/>
      <color rgb="FFFF0000"/>
      <name val="宋体"/>
      <family val="3"/>
      <charset val="134"/>
      <scheme val="minor"/>
    </font>
    <font>
      <b/>
      <sz val="9"/>
      <color indexed="81"/>
      <name val="宋体"/>
      <family val="3"/>
      <charset val="134"/>
    </font>
  </fonts>
  <fills count="7">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9" fontId="4" fillId="5" borderId="1" xfId="0" applyNumberFormat="1" applyFont="1" applyFill="1" applyBorder="1" applyAlignment="1">
      <alignment horizontal="center" vertical="center" wrapText="1"/>
    </xf>
    <xf numFmtId="0" fontId="6" fillId="5" borderId="1" xfId="0"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6" borderId="0" xfId="0" applyFill="1"/>
    <xf numFmtId="0" fontId="0" fillId="5" borderId="0" xfId="0" applyFill="1"/>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4" borderId="1" xfId="0"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1" fillId="0" borderId="0"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Q39"/>
  <sheetViews>
    <sheetView tabSelected="1" zoomScale="115" zoomScaleNormal="115" workbookViewId="0">
      <selection activeCell="R9" sqref="R9"/>
    </sheetView>
  </sheetViews>
  <sheetFormatPr defaultRowHeight="13.5" x14ac:dyDescent="0.15"/>
  <cols>
    <col min="1" max="1" width="6.5" customWidth="1"/>
    <col min="2" max="2" width="5" customWidth="1"/>
    <col min="3" max="3" width="7.25" customWidth="1"/>
    <col min="4" max="4" width="6.75" customWidth="1"/>
    <col min="5" max="5" width="5.75" customWidth="1"/>
    <col min="6" max="6" width="6.75" customWidth="1"/>
    <col min="7" max="7" width="8.875" customWidth="1"/>
    <col min="9" max="9" width="8.125" customWidth="1"/>
    <col min="10" max="10" width="10.75" customWidth="1"/>
    <col min="11" max="11" width="5.25" customWidth="1"/>
    <col min="12" max="12" width="6.875" customWidth="1"/>
    <col min="14" max="14" width="7.5" customWidth="1"/>
    <col min="15" max="15" width="8.875" customWidth="1"/>
    <col min="17" max="17" width="14.25" customWidth="1"/>
  </cols>
  <sheetData>
    <row r="1" spans="1:17" ht="30.75" customHeight="1" x14ac:dyDescent="0.15">
      <c r="A1" s="22" t="s">
        <v>0</v>
      </c>
      <c r="B1" s="22"/>
      <c r="C1" s="22"/>
      <c r="D1" s="22"/>
      <c r="E1" s="22"/>
      <c r="F1" s="22"/>
      <c r="G1" s="22"/>
      <c r="H1" s="22"/>
      <c r="I1" s="22"/>
      <c r="J1" s="22"/>
      <c r="K1" s="22"/>
      <c r="L1" s="22"/>
      <c r="M1" s="22"/>
      <c r="N1" s="22"/>
      <c r="O1" s="22"/>
      <c r="P1" s="22"/>
    </row>
    <row r="2" spans="1:17" ht="16.5" customHeight="1" x14ac:dyDescent="0.15">
      <c r="A2" s="14" t="s">
        <v>1</v>
      </c>
      <c r="B2" s="14" t="s">
        <v>2</v>
      </c>
      <c r="C2" s="14" t="s">
        <v>3</v>
      </c>
      <c r="D2" s="14" t="s">
        <v>4</v>
      </c>
      <c r="E2" s="14" t="s">
        <v>5</v>
      </c>
      <c r="F2" s="14"/>
      <c r="G2" s="14" t="s">
        <v>6</v>
      </c>
      <c r="H2" s="14" t="s">
        <v>7</v>
      </c>
      <c r="I2" s="14" t="s">
        <v>8</v>
      </c>
      <c r="J2" s="14" t="s">
        <v>9</v>
      </c>
      <c r="K2" s="14" t="s">
        <v>10</v>
      </c>
      <c r="L2" s="14" t="s">
        <v>11</v>
      </c>
      <c r="M2" s="14" t="s">
        <v>12</v>
      </c>
      <c r="N2" s="14" t="s">
        <v>13</v>
      </c>
      <c r="O2" s="14" t="s">
        <v>33</v>
      </c>
      <c r="P2" s="14" t="s">
        <v>34</v>
      </c>
      <c r="Q2" s="14" t="s">
        <v>14</v>
      </c>
    </row>
    <row r="3" spans="1:17" ht="39" customHeight="1" x14ac:dyDescent="0.15">
      <c r="A3" s="14"/>
      <c r="B3" s="14"/>
      <c r="C3" s="14"/>
      <c r="D3" s="14"/>
      <c r="E3" s="1" t="s">
        <v>15</v>
      </c>
      <c r="F3" s="1" t="s">
        <v>16</v>
      </c>
      <c r="G3" s="14"/>
      <c r="H3" s="14"/>
      <c r="I3" s="14"/>
      <c r="J3" s="14"/>
      <c r="K3" s="14"/>
      <c r="L3" s="14"/>
      <c r="M3" s="14"/>
      <c r="N3" s="14"/>
      <c r="O3" s="14"/>
      <c r="P3" s="14"/>
      <c r="Q3" s="14"/>
    </row>
    <row r="4" spans="1:17" ht="18.75" customHeight="1" x14ac:dyDescent="0.15">
      <c r="A4" s="15" t="s">
        <v>17</v>
      </c>
      <c r="B4" s="2" t="s">
        <v>18</v>
      </c>
      <c r="C4" s="2">
        <v>10000</v>
      </c>
      <c r="D4" s="2">
        <v>0</v>
      </c>
      <c r="E4" s="2">
        <f>1000*1</f>
        <v>1000</v>
      </c>
      <c r="F4" s="2">
        <f>200*1</f>
        <v>200</v>
      </c>
      <c r="G4" s="2">
        <f>5000*1</f>
        <v>5000</v>
      </c>
      <c r="H4" s="2">
        <f>2500*1</f>
        <v>2500</v>
      </c>
      <c r="I4" s="2">
        <v>0</v>
      </c>
      <c r="J4" s="2">
        <f>C4+D4-E4-F4-G4-H4-I4</f>
        <v>1300</v>
      </c>
      <c r="K4" s="3">
        <f>IF(J4&lt;=0,0,IF(J4&lt;=36000,3%,IF(J4&lt;=144000,10%,IF(J4&lt;=300000,20%,IF(J4&lt;=420000,25%,IF(J4&lt;=660000,30%,IF(J4&lt;=960000,35%,45%)))))))</f>
        <v>0.03</v>
      </c>
      <c r="L4" s="2">
        <f>IF(K4&lt;=3%,0,IF(K4=10%,2520,IF(K4=20%,16920,IF(K4=25%,31920,IF(K4=30%,52920,IF(K4=35%,85920,181920))))))</f>
        <v>0</v>
      </c>
      <c r="M4" s="2">
        <f>J4*K4-L4</f>
        <v>39</v>
      </c>
      <c r="N4" s="2">
        <v>0</v>
      </c>
      <c r="O4" s="2">
        <f>IF((M4-N4)&gt;0,M4-N4,0)</f>
        <v>39</v>
      </c>
      <c r="P4" s="16">
        <f>O4+O5+O6+O7+O8+O9+O10+O11+O12+O13+O14+O15</f>
        <v>468</v>
      </c>
      <c r="Q4" s="17" t="s">
        <v>19</v>
      </c>
    </row>
    <row r="5" spans="1:17" ht="18.75" customHeight="1" x14ac:dyDescent="0.15">
      <c r="A5" s="15"/>
      <c r="B5" s="2" t="s">
        <v>20</v>
      </c>
      <c r="C5" s="2">
        <v>20000</v>
      </c>
      <c r="D5" s="2">
        <v>0</v>
      </c>
      <c r="E5" s="2">
        <f>1000*2</f>
        <v>2000</v>
      </c>
      <c r="F5" s="2">
        <f>200*2</f>
        <v>400</v>
      </c>
      <c r="G5" s="2">
        <f>5000*2</f>
        <v>10000</v>
      </c>
      <c r="H5" s="2">
        <f>2500*2</f>
        <v>5000</v>
      </c>
      <c r="I5" s="2">
        <v>0</v>
      </c>
      <c r="J5" s="9">
        <f t="shared" ref="J5:J39" si="0">C5+D5-E5-F5-G5-H5-I5</f>
        <v>2600</v>
      </c>
      <c r="K5" s="3">
        <f t="shared" ref="K5:K15" si="1">IF(J5&lt;=0,0,IF(J5&lt;=36000,3%,IF(J5&lt;=144000,10%,IF(J5&lt;=300000,20%,IF(J5&lt;=420000,25%,IF(J5&lt;=660000,30%,IF(J5&lt;=960000,35%,45%)))))))</f>
        <v>0.03</v>
      </c>
      <c r="L5" s="9">
        <f t="shared" ref="L5:L15" si="2">IF(K5&lt;=3%,0,IF(K5=10%,2520,IF(K5=20%,16920,IF(K5=25%,31920,IF(K5=30%,52920,IF(K5=35%,85920,181920))))))</f>
        <v>0</v>
      </c>
      <c r="M5" s="9">
        <f t="shared" ref="M5:M15" si="3">J5*K5-L5</f>
        <v>78</v>
      </c>
      <c r="N5" s="2">
        <f>O4</f>
        <v>39</v>
      </c>
      <c r="O5" s="2">
        <f t="shared" ref="O5:O39" si="4">IF((M5-N5)&gt;0,M5-N5,0)</f>
        <v>39</v>
      </c>
      <c r="P5" s="16"/>
      <c r="Q5" s="17"/>
    </row>
    <row r="6" spans="1:17" ht="18.75" customHeight="1" x14ac:dyDescent="0.15">
      <c r="A6" s="15"/>
      <c r="B6" s="2" t="s">
        <v>21</v>
      </c>
      <c r="C6" s="2">
        <v>30000</v>
      </c>
      <c r="D6" s="2">
        <v>0</v>
      </c>
      <c r="E6" s="2">
        <f>1000*3</f>
        <v>3000</v>
      </c>
      <c r="F6" s="2">
        <f>200*3</f>
        <v>600</v>
      </c>
      <c r="G6" s="2">
        <f>5000*3</f>
        <v>15000</v>
      </c>
      <c r="H6" s="2">
        <f>2500*3</f>
        <v>7500</v>
      </c>
      <c r="I6" s="2">
        <v>0</v>
      </c>
      <c r="J6" s="9">
        <f t="shared" si="0"/>
        <v>3900</v>
      </c>
      <c r="K6" s="3">
        <f t="shared" si="1"/>
        <v>0.03</v>
      </c>
      <c r="L6" s="9">
        <f t="shared" si="2"/>
        <v>0</v>
      </c>
      <c r="M6" s="9">
        <f t="shared" si="3"/>
        <v>117</v>
      </c>
      <c r="N6" s="2">
        <f>O4+O5</f>
        <v>78</v>
      </c>
      <c r="O6" s="2">
        <f t="shared" si="4"/>
        <v>39</v>
      </c>
      <c r="P6" s="16"/>
      <c r="Q6" s="17"/>
    </row>
    <row r="7" spans="1:17" ht="18.75" customHeight="1" x14ac:dyDescent="0.15">
      <c r="A7" s="15"/>
      <c r="B7" s="2" t="s">
        <v>22</v>
      </c>
      <c r="C7" s="2">
        <v>40000</v>
      </c>
      <c r="D7" s="2">
        <v>0</v>
      </c>
      <c r="E7" s="2">
        <f>1000*4</f>
        <v>4000</v>
      </c>
      <c r="F7" s="2">
        <f>200*4</f>
        <v>800</v>
      </c>
      <c r="G7" s="2">
        <f>5000*4</f>
        <v>20000</v>
      </c>
      <c r="H7" s="2">
        <f>2500*4</f>
        <v>10000</v>
      </c>
      <c r="I7" s="2">
        <v>0</v>
      </c>
      <c r="J7" s="9">
        <f t="shared" si="0"/>
        <v>5200</v>
      </c>
      <c r="K7" s="3">
        <f t="shared" si="1"/>
        <v>0.03</v>
      </c>
      <c r="L7" s="9">
        <f t="shared" si="2"/>
        <v>0</v>
      </c>
      <c r="M7" s="9">
        <f t="shared" si="3"/>
        <v>156</v>
      </c>
      <c r="N7" s="2">
        <f>O4+O5+O6</f>
        <v>117</v>
      </c>
      <c r="O7" s="2">
        <f t="shared" si="4"/>
        <v>39</v>
      </c>
      <c r="P7" s="16"/>
      <c r="Q7" s="17"/>
    </row>
    <row r="8" spans="1:17" ht="18.75" customHeight="1" x14ac:dyDescent="0.15">
      <c r="A8" s="15"/>
      <c r="B8" s="2" t="s">
        <v>23</v>
      </c>
      <c r="C8" s="2">
        <v>50000</v>
      </c>
      <c r="D8" s="2">
        <v>0</v>
      </c>
      <c r="E8" s="2">
        <f>1000*5</f>
        <v>5000</v>
      </c>
      <c r="F8" s="2">
        <f>200*5</f>
        <v>1000</v>
      </c>
      <c r="G8" s="2">
        <f>5000*5</f>
        <v>25000</v>
      </c>
      <c r="H8" s="2">
        <f>2500*5</f>
        <v>12500</v>
      </c>
      <c r="I8" s="2">
        <v>0</v>
      </c>
      <c r="J8" s="9">
        <f t="shared" si="0"/>
        <v>6500</v>
      </c>
      <c r="K8" s="3">
        <f t="shared" si="1"/>
        <v>0.03</v>
      </c>
      <c r="L8" s="9">
        <f t="shared" si="2"/>
        <v>0</v>
      </c>
      <c r="M8" s="9">
        <f t="shared" si="3"/>
        <v>195</v>
      </c>
      <c r="N8" s="2">
        <f>O4+O5+O6+O7</f>
        <v>156</v>
      </c>
      <c r="O8" s="2">
        <f t="shared" si="4"/>
        <v>39</v>
      </c>
      <c r="P8" s="16"/>
      <c r="Q8" s="17"/>
    </row>
    <row r="9" spans="1:17" ht="18.75" customHeight="1" x14ac:dyDescent="0.15">
      <c r="A9" s="15"/>
      <c r="B9" s="2" t="s">
        <v>24</v>
      </c>
      <c r="C9" s="2">
        <v>60000</v>
      </c>
      <c r="D9" s="2">
        <v>0</v>
      </c>
      <c r="E9" s="2">
        <f>1000*6</f>
        <v>6000</v>
      </c>
      <c r="F9" s="2">
        <f>200*6</f>
        <v>1200</v>
      </c>
      <c r="G9" s="2">
        <f>5000*6</f>
        <v>30000</v>
      </c>
      <c r="H9" s="2">
        <f>2500*6</f>
        <v>15000</v>
      </c>
      <c r="I9" s="2">
        <v>0</v>
      </c>
      <c r="J9" s="9">
        <f t="shared" si="0"/>
        <v>7800</v>
      </c>
      <c r="K9" s="3">
        <f t="shared" si="1"/>
        <v>0.03</v>
      </c>
      <c r="L9" s="9">
        <f t="shared" si="2"/>
        <v>0</v>
      </c>
      <c r="M9" s="9">
        <f t="shared" si="3"/>
        <v>234</v>
      </c>
      <c r="N9" s="2">
        <f>O4+O5+O6+O7+O8</f>
        <v>195</v>
      </c>
      <c r="O9" s="2">
        <f t="shared" si="4"/>
        <v>39</v>
      </c>
      <c r="P9" s="16"/>
      <c r="Q9" s="17"/>
    </row>
    <row r="10" spans="1:17" ht="18.75" customHeight="1" x14ac:dyDescent="0.15">
      <c r="A10" s="15"/>
      <c r="B10" s="2" t="s">
        <v>25</v>
      </c>
      <c r="C10" s="2">
        <v>70000</v>
      </c>
      <c r="D10" s="2">
        <v>0</v>
      </c>
      <c r="E10" s="2">
        <f>1000*7</f>
        <v>7000</v>
      </c>
      <c r="F10" s="2">
        <f>200*7</f>
        <v>1400</v>
      </c>
      <c r="G10" s="2">
        <f>5000*7</f>
        <v>35000</v>
      </c>
      <c r="H10" s="2">
        <f>2500*7</f>
        <v>17500</v>
      </c>
      <c r="I10" s="2">
        <v>0</v>
      </c>
      <c r="J10" s="9">
        <f t="shared" si="0"/>
        <v>9100</v>
      </c>
      <c r="K10" s="3">
        <f t="shared" si="1"/>
        <v>0.03</v>
      </c>
      <c r="L10" s="9">
        <f t="shared" si="2"/>
        <v>0</v>
      </c>
      <c r="M10" s="9">
        <f t="shared" si="3"/>
        <v>273</v>
      </c>
      <c r="N10" s="2">
        <f>O4+O5+O6+O7+O8+O9</f>
        <v>234</v>
      </c>
      <c r="O10" s="2">
        <f t="shared" si="4"/>
        <v>39</v>
      </c>
      <c r="P10" s="16"/>
      <c r="Q10" s="17"/>
    </row>
    <row r="11" spans="1:17" ht="18.75" customHeight="1" x14ac:dyDescent="0.15">
      <c r="A11" s="15"/>
      <c r="B11" s="2" t="s">
        <v>26</v>
      </c>
      <c r="C11" s="2">
        <v>80000</v>
      </c>
      <c r="D11" s="2">
        <v>0</v>
      </c>
      <c r="E11" s="2">
        <f>1000*8</f>
        <v>8000</v>
      </c>
      <c r="F11" s="2">
        <f>200*8</f>
        <v>1600</v>
      </c>
      <c r="G11" s="2">
        <f>5000*8</f>
        <v>40000</v>
      </c>
      <c r="H11" s="2">
        <f>2500*8</f>
        <v>20000</v>
      </c>
      <c r="I11" s="2">
        <v>0</v>
      </c>
      <c r="J11" s="9">
        <f t="shared" si="0"/>
        <v>10400</v>
      </c>
      <c r="K11" s="3">
        <f t="shared" si="1"/>
        <v>0.03</v>
      </c>
      <c r="L11" s="9">
        <f t="shared" si="2"/>
        <v>0</v>
      </c>
      <c r="M11" s="9">
        <f t="shared" si="3"/>
        <v>312</v>
      </c>
      <c r="N11" s="2">
        <f>O4+O5+O6+O7+O8+O9+O10</f>
        <v>273</v>
      </c>
      <c r="O11" s="2">
        <f t="shared" si="4"/>
        <v>39</v>
      </c>
      <c r="P11" s="16"/>
      <c r="Q11" s="17"/>
    </row>
    <row r="12" spans="1:17" ht="18.75" customHeight="1" x14ac:dyDescent="0.15">
      <c r="A12" s="15"/>
      <c r="B12" s="2" t="s">
        <v>27</v>
      </c>
      <c r="C12" s="2">
        <v>90000</v>
      </c>
      <c r="D12" s="2">
        <v>0</v>
      </c>
      <c r="E12" s="2">
        <f>1000*9</f>
        <v>9000</v>
      </c>
      <c r="F12" s="2">
        <f>200*9</f>
        <v>1800</v>
      </c>
      <c r="G12" s="2">
        <f>5000*9</f>
        <v>45000</v>
      </c>
      <c r="H12" s="2">
        <f>2500*9</f>
        <v>22500</v>
      </c>
      <c r="I12" s="2">
        <v>0</v>
      </c>
      <c r="J12" s="9">
        <f t="shared" si="0"/>
        <v>11700</v>
      </c>
      <c r="K12" s="3">
        <f t="shared" si="1"/>
        <v>0.03</v>
      </c>
      <c r="L12" s="9">
        <f t="shared" si="2"/>
        <v>0</v>
      </c>
      <c r="M12" s="9">
        <f t="shared" si="3"/>
        <v>351</v>
      </c>
      <c r="N12" s="2">
        <f>O4+O5+O6+O7+O8+O9+O10+O11</f>
        <v>312</v>
      </c>
      <c r="O12" s="2">
        <f t="shared" si="4"/>
        <v>39</v>
      </c>
      <c r="P12" s="16"/>
      <c r="Q12" s="17"/>
    </row>
    <row r="13" spans="1:17" ht="18.75" customHeight="1" x14ac:dyDescent="0.15">
      <c r="A13" s="15"/>
      <c r="B13" s="2" t="s">
        <v>28</v>
      </c>
      <c r="C13" s="2">
        <v>100000</v>
      </c>
      <c r="D13" s="2">
        <v>0</v>
      </c>
      <c r="E13" s="2">
        <f>1000*10</f>
        <v>10000</v>
      </c>
      <c r="F13" s="2">
        <f>200*10</f>
        <v>2000</v>
      </c>
      <c r="G13" s="2">
        <f>5000*10</f>
        <v>50000</v>
      </c>
      <c r="H13" s="2">
        <f>2500*10</f>
        <v>25000</v>
      </c>
      <c r="I13" s="2">
        <v>0</v>
      </c>
      <c r="J13" s="9">
        <f t="shared" si="0"/>
        <v>13000</v>
      </c>
      <c r="K13" s="3">
        <f t="shared" si="1"/>
        <v>0.03</v>
      </c>
      <c r="L13" s="9">
        <f t="shared" si="2"/>
        <v>0</v>
      </c>
      <c r="M13" s="9">
        <f t="shared" si="3"/>
        <v>390</v>
      </c>
      <c r="N13" s="2">
        <f>O4+O5+O6+O7+O8+O9+O10+O11+O12</f>
        <v>351</v>
      </c>
      <c r="O13" s="2">
        <f t="shared" si="4"/>
        <v>39</v>
      </c>
      <c r="P13" s="16"/>
      <c r="Q13" s="17"/>
    </row>
    <row r="14" spans="1:17" ht="18.75" customHeight="1" x14ac:dyDescent="0.15">
      <c r="A14" s="15"/>
      <c r="B14" s="2" t="s">
        <v>29</v>
      </c>
      <c r="C14" s="2">
        <v>110000</v>
      </c>
      <c r="D14" s="2">
        <v>0</v>
      </c>
      <c r="E14" s="2">
        <f>1000*11</f>
        <v>11000</v>
      </c>
      <c r="F14" s="2">
        <f>200*11</f>
        <v>2200</v>
      </c>
      <c r="G14" s="2">
        <f>5000*11</f>
        <v>55000</v>
      </c>
      <c r="H14" s="2">
        <f>2500*11</f>
        <v>27500</v>
      </c>
      <c r="I14" s="2">
        <v>0</v>
      </c>
      <c r="J14" s="9">
        <f t="shared" si="0"/>
        <v>14300</v>
      </c>
      <c r="K14" s="3">
        <f t="shared" si="1"/>
        <v>0.03</v>
      </c>
      <c r="L14" s="9">
        <f t="shared" si="2"/>
        <v>0</v>
      </c>
      <c r="M14" s="9">
        <f t="shared" si="3"/>
        <v>429</v>
      </c>
      <c r="N14" s="2">
        <f>O4+O5+O6+O7+O8+O9+O10+O11+O12+O13</f>
        <v>390</v>
      </c>
      <c r="O14" s="2">
        <f t="shared" si="4"/>
        <v>39</v>
      </c>
      <c r="P14" s="16"/>
      <c r="Q14" s="17"/>
    </row>
    <row r="15" spans="1:17" ht="18.75" customHeight="1" x14ac:dyDescent="0.15">
      <c r="A15" s="15"/>
      <c r="B15" s="2" t="s">
        <v>30</v>
      </c>
      <c r="C15" s="2">
        <v>120000</v>
      </c>
      <c r="D15" s="2">
        <v>0</v>
      </c>
      <c r="E15" s="2">
        <f>1000*12</f>
        <v>12000</v>
      </c>
      <c r="F15" s="2">
        <f>200*12</f>
        <v>2400</v>
      </c>
      <c r="G15" s="2">
        <f>5000*12</f>
        <v>60000</v>
      </c>
      <c r="H15" s="2">
        <f>2500*12</f>
        <v>30000</v>
      </c>
      <c r="I15" s="2">
        <v>0</v>
      </c>
      <c r="J15" s="9">
        <f t="shared" si="0"/>
        <v>15600</v>
      </c>
      <c r="K15" s="3">
        <f t="shared" si="1"/>
        <v>0.03</v>
      </c>
      <c r="L15" s="9">
        <f t="shared" si="2"/>
        <v>0</v>
      </c>
      <c r="M15" s="4">
        <f t="shared" si="3"/>
        <v>468</v>
      </c>
      <c r="N15" s="2">
        <f>O4+O5+O6+O7+O8+O9+O10+O11+O12+O13+O14</f>
        <v>429</v>
      </c>
      <c r="O15" s="2">
        <f t="shared" si="4"/>
        <v>39</v>
      </c>
      <c r="P15" s="16"/>
      <c r="Q15" s="17"/>
    </row>
    <row r="16" spans="1:17" s="13" customFormat="1" ht="18.75" customHeight="1" x14ac:dyDescent="0.15">
      <c r="A16" s="18" t="s">
        <v>31</v>
      </c>
      <c r="B16" s="10" t="s">
        <v>18</v>
      </c>
      <c r="C16" s="10">
        <v>10000</v>
      </c>
      <c r="D16" s="10">
        <v>0</v>
      </c>
      <c r="E16" s="10">
        <f>1000*1</f>
        <v>1000</v>
      </c>
      <c r="F16" s="10">
        <f>200*1</f>
        <v>200</v>
      </c>
      <c r="G16" s="10">
        <f>5000*1</f>
        <v>5000</v>
      </c>
      <c r="H16" s="10">
        <f>2500*1</f>
        <v>2500</v>
      </c>
      <c r="I16" s="10">
        <v>0</v>
      </c>
      <c r="J16" s="10">
        <f t="shared" si="0"/>
        <v>1300</v>
      </c>
      <c r="K16" s="5">
        <f t="shared" ref="K16:K39" si="5">IF(J16&lt;=0,0,IF(J16&lt;=36000,3%,IF(J16&lt;=144000,10%,IF(J16&lt;=300000,20%,IF(J16&lt;=420000,25%,IF(J16&lt;=660000,30%,IF(J16&lt;=960000,35%,45%)))))))</f>
        <v>0.03</v>
      </c>
      <c r="L16" s="10">
        <f t="shared" ref="L16:L39" si="6">IF(K16&lt;=3%,0,IF(K16=10%,2520,IF(K16=20%,16920,IF(K16=25%,31920,IF(K16=30%,52920,IF(K16=35%,85920,181920))))))</f>
        <v>0</v>
      </c>
      <c r="M16" s="10">
        <f t="shared" ref="M16:M39" si="7">J16*K16-L16</f>
        <v>39</v>
      </c>
      <c r="N16" s="10">
        <v>0</v>
      </c>
      <c r="O16" s="10">
        <f t="shared" si="4"/>
        <v>39</v>
      </c>
      <c r="P16" s="19">
        <f>O16+O17+O18+O19+O20+O21+O22+O23+O24+O25+O26+O27</f>
        <v>150539.99999999997</v>
      </c>
      <c r="Q16" s="17"/>
    </row>
    <row r="17" spans="1:17" s="13" customFormat="1" ht="18.75" customHeight="1" x14ac:dyDescent="0.15">
      <c r="A17" s="18"/>
      <c r="B17" s="10" t="s">
        <v>20</v>
      </c>
      <c r="C17" s="10">
        <f>20000+C16</f>
        <v>30000</v>
      </c>
      <c r="D17" s="10">
        <v>0</v>
      </c>
      <c r="E17" s="10">
        <f>1000*2</f>
        <v>2000</v>
      </c>
      <c r="F17" s="10">
        <f>200*2</f>
        <v>400</v>
      </c>
      <c r="G17" s="10">
        <f>5000*2</f>
        <v>10000</v>
      </c>
      <c r="H17" s="10">
        <f>2500*2</f>
        <v>5000</v>
      </c>
      <c r="I17" s="10">
        <v>0</v>
      </c>
      <c r="J17" s="10">
        <f t="shared" si="0"/>
        <v>12600</v>
      </c>
      <c r="K17" s="5">
        <f t="shared" si="5"/>
        <v>0.03</v>
      </c>
      <c r="L17" s="10">
        <f t="shared" si="6"/>
        <v>0</v>
      </c>
      <c r="M17" s="10">
        <f t="shared" si="7"/>
        <v>378</v>
      </c>
      <c r="N17" s="10">
        <f>O16</f>
        <v>39</v>
      </c>
      <c r="O17" s="10">
        <f t="shared" si="4"/>
        <v>339</v>
      </c>
      <c r="P17" s="19"/>
      <c r="Q17" s="17"/>
    </row>
    <row r="18" spans="1:17" s="13" customFormat="1" ht="18.75" customHeight="1" x14ac:dyDescent="0.15">
      <c r="A18" s="18"/>
      <c r="B18" s="10" t="s">
        <v>21</v>
      </c>
      <c r="C18" s="10">
        <f>30000+C17</f>
        <v>60000</v>
      </c>
      <c r="D18" s="10">
        <v>0</v>
      </c>
      <c r="E18" s="10">
        <f>1000*3</f>
        <v>3000</v>
      </c>
      <c r="F18" s="10">
        <f>200*3</f>
        <v>600</v>
      </c>
      <c r="G18" s="10">
        <f>5000*3</f>
        <v>15000</v>
      </c>
      <c r="H18" s="10">
        <f>2500*3</f>
        <v>7500</v>
      </c>
      <c r="I18" s="10">
        <v>0</v>
      </c>
      <c r="J18" s="10">
        <f t="shared" si="0"/>
        <v>33900</v>
      </c>
      <c r="K18" s="5">
        <f t="shared" si="5"/>
        <v>0.03</v>
      </c>
      <c r="L18" s="10">
        <f t="shared" si="6"/>
        <v>0</v>
      </c>
      <c r="M18" s="10">
        <f t="shared" si="7"/>
        <v>1017</v>
      </c>
      <c r="N18" s="10">
        <f>O16+O17</f>
        <v>378</v>
      </c>
      <c r="O18" s="10">
        <f t="shared" si="4"/>
        <v>639</v>
      </c>
      <c r="P18" s="19"/>
      <c r="Q18" s="17"/>
    </row>
    <row r="19" spans="1:17" s="13" customFormat="1" ht="18.75" customHeight="1" x14ac:dyDescent="0.15">
      <c r="A19" s="18"/>
      <c r="B19" s="10" t="s">
        <v>22</v>
      </c>
      <c r="C19" s="10">
        <f>40000+C18</f>
        <v>100000</v>
      </c>
      <c r="D19" s="10">
        <v>0</v>
      </c>
      <c r="E19" s="10">
        <f>1000*4</f>
        <v>4000</v>
      </c>
      <c r="F19" s="10">
        <f>200*4</f>
        <v>800</v>
      </c>
      <c r="G19" s="10">
        <f>5000*4</f>
        <v>20000</v>
      </c>
      <c r="H19" s="10">
        <f>2500*4</f>
        <v>10000</v>
      </c>
      <c r="I19" s="10">
        <v>0</v>
      </c>
      <c r="J19" s="10">
        <f t="shared" si="0"/>
        <v>65200</v>
      </c>
      <c r="K19" s="5">
        <f t="shared" si="5"/>
        <v>0.1</v>
      </c>
      <c r="L19" s="10">
        <f t="shared" si="6"/>
        <v>2520</v>
      </c>
      <c r="M19" s="10">
        <f t="shared" si="7"/>
        <v>4000</v>
      </c>
      <c r="N19" s="10">
        <f>O16+O17+O18</f>
        <v>1017</v>
      </c>
      <c r="O19" s="10">
        <f t="shared" si="4"/>
        <v>2983</v>
      </c>
      <c r="P19" s="19"/>
      <c r="Q19" s="17"/>
    </row>
    <row r="20" spans="1:17" s="13" customFormat="1" ht="18.75" customHeight="1" x14ac:dyDescent="0.15">
      <c r="A20" s="18"/>
      <c r="B20" s="10" t="s">
        <v>23</v>
      </c>
      <c r="C20" s="10">
        <f>50000+C19</f>
        <v>150000</v>
      </c>
      <c r="D20" s="10">
        <v>0</v>
      </c>
      <c r="E20" s="10">
        <f>1000*5</f>
        <v>5000</v>
      </c>
      <c r="F20" s="10">
        <f>200*5</f>
        <v>1000</v>
      </c>
      <c r="G20" s="10">
        <f>5000*5</f>
        <v>25000</v>
      </c>
      <c r="H20" s="10">
        <f>2500*5</f>
        <v>12500</v>
      </c>
      <c r="I20" s="10">
        <v>0</v>
      </c>
      <c r="J20" s="10">
        <f t="shared" si="0"/>
        <v>106500</v>
      </c>
      <c r="K20" s="5">
        <f t="shared" si="5"/>
        <v>0.1</v>
      </c>
      <c r="L20" s="10">
        <f t="shared" si="6"/>
        <v>2520</v>
      </c>
      <c r="M20" s="10">
        <f t="shared" si="7"/>
        <v>8130</v>
      </c>
      <c r="N20" s="10">
        <f>O16+O17+O18+O19</f>
        <v>4000</v>
      </c>
      <c r="O20" s="10">
        <f t="shared" si="4"/>
        <v>4130</v>
      </c>
      <c r="P20" s="19"/>
      <c r="Q20" s="17"/>
    </row>
    <row r="21" spans="1:17" s="13" customFormat="1" ht="18.75" customHeight="1" x14ac:dyDescent="0.15">
      <c r="A21" s="18"/>
      <c r="B21" s="10" t="s">
        <v>24</v>
      </c>
      <c r="C21" s="10">
        <f>60000+C20</f>
        <v>210000</v>
      </c>
      <c r="D21" s="10">
        <v>0</v>
      </c>
      <c r="E21" s="10">
        <f>1000*6</f>
        <v>6000</v>
      </c>
      <c r="F21" s="10">
        <f>200*6</f>
        <v>1200</v>
      </c>
      <c r="G21" s="10">
        <f>5000*6</f>
        <v>30000</v>
      </c>
      <c r="H21" s="10">
        <f>2500*6</f>
        <v>15000</v>
      </c>
      <c r="I21" s="10">
        <v>0</v>
      </c>
      <c r="J21" s="10">
        <f t="shared" si="0"/>
        <v>157800</v>
      </c>
      <c r="K21" s="5">
        <f t="shared" si="5"/>
        <v>0.2</v>
      </c>
      <c r="L21" s="10">
        <f t="shared" si="6"/>
        <v>16920</v>
      </c>
      <c r="M21" s="10">
        <f t="shared" si="7"/>
        <v>14640</v>
      </c>
      <c r="N21" s="10">
        <f>O16+O17+O18+O19+O20</f>
        <v>8130</v>
      </c>
      <c r="O21" s="10">
        <f t="shared" si="4"/>
        <v>6510</v>
      </c>
      <c r="P21" s="19"/>
      <c r="Q21" s="17"/>
    </row>
    <row r="22" spans="1:17" s="13" customFormat="1" ht="18.75" customHeight="1" x14ac:dyDescent="0.15">
      <c r="A22" s="18"/>
      <c r="B22" s="10" t="s">
        <v>25</v>
      </c>
      <c r="C22" s="10">
        <f>70000+C21</f>
        <v>280000</v>
      </c>
      <c r="D22" s="10">
        <v>0</v>
      </c>
      <c r="E22" s="10">
        <f>1000*7</f>
        <v>7000</v>
      </c>
      <c r="F22" s="10">
        <f>200*7</f>
        <v>1400</v>
      </c>
      <c r="G22" s="10">
        <f>5000*7</f>
        <v>35000</v>
      </c>
      <c r="H22" s="10">
        <f>2500*7</f>
        <v>17500</v>
      </c>
      <c r="I22" s="10">
        <v>0</v>
      </c>
      <c r="J22" s="10">
        <f t="shared" si="0"/>
        <v>219100</v>
      </c>
      <c r="K22" s="5">
        <f t="shared" si="5"/>
        <v>0.2</v>
      </c>
      <c r="L22" s="10">
        <f t="shared" si="6"/>
        <v>16920</v>
      </c>
      <c r="M22" s="10">
        <f t="shared" si="7"/>
        <v>26900</v>
      </c>
      <c r="N22" s="10">
        <f>O16+O17+O18+O19+O20+O21</f>
        <v>14640</v>
      </c>
      <c r="O22" s="10">
        <f t="shared" si="4"/>
        <v>12260</v>
      </c>
      <c r="P22" s="19"/>
      <c r="Q22" s="17"/>
    </row>
    <row r="23" spans="1:17" s="13" customFormat="1" ht="18.75" customHeight="1" x14ac:dyDescent="0.15">
      <c r="A23" s="18"/>
      <c r="B23" s="10" t="s">
        <v>26</v>
      </c>
      <c r="C23" s="10">
        <f>80000+C22</f>
        <v>360000</v>
      </c>
      <c r="D23" s="10">
        <v>0</v>
      </c>
      <c r="E23" s="10">
        <f>1000*8</f>
        <v>8000</v>
      </c>
      <c r="F23" s="10">
        <f>200*8</f>
        <v>1600</v>
      </c>
      <c r="G23" s="10">
        <f>5000*8</f>
        <v>40000</v>
      </c>
      <c r="H23" s="10">
        <f>2500*8</f>
        <v>20000</v>
      </c>
      <c r="I23" s="10">
        <v>0</v>
      </c>
      <c r="J23" s="10">
        <f t="shared" si="0"/>
        <v>290400</v>
      </c>
      <c r="K23" s="5">
        <f t="shared" si="5"/>
        <v>0.2</v>
      </c>
      <c r="L23" s="10">
        <f t="shared" si="6"/>
        <v>16920</v>
      </c>
      <c r="M23" s="10">
        <f t="shared" si="7"/>
        <v>41160</v>
      </c>
      <c r="N23" s="10">
        <f>O16+O17+O18+O19+O20+O21+O22</f>
        <v>26900</v>
      </c>
      <c r="O23" s="10">
        <f t="shared" si="4"/>
        <v>14260</v>
      </c>
      <c r="P23" s="19"/>
      <c r="Q23" s="17"/>
    </row>
    <row r="24" spans="1:17" s="13" customFormat="1" ht="18.75" customHeight="1" x14ac:dyDescent="0.15">
      <c r="A24" s="18"/>
      <c r="B24" s="10" t="s">
        <v>27</v>
      </c>
      <c r="C24" s="10">
        <f>90000+C23</f>
        <v>450000</v>
      </c>
      <c r="D24" s="10">
        <v>0</v>
      </c>
      <c r="E24" s="10">
        <f>1000*9</f>
        <v>9000</v>
      </c>
      <c r="F24" s="10">
        <f>200*9</f>
        <v>1800</v>
      </c>
      <c r="G24" s="10">
        <f>5000*9</f>
        <v>45000</v>
      </c>
      <c r="H24" s="10">
        <f>2500*9</f>
        <v>22500</v>
      </c>
      <c r="I24" s="10">
        <v>0</v>
      </c>
      <c r="J24" s="10">
        <f t="shared" si="0"/>
        <v>371700</v>
      </c>
      <c r="K24" s="5">
        <f t="shared" si="5"/>
        <v>0.25</v>
      </c>
      <c r="L24" s="10">
        <f t="shared" si="6"/>
        <v>31920</v>
      </c>
      <c r="M24" s="10">
        <f t="shared" si="7"/>
        <v>61005</v>
      </c>
      <c r="N24" s="10">
        <f>O16+O17+O18+O19+O20+O21+O22+O23</f>
        <v>41160</v>
      </c>
      <c r="O24" s="10">
        <f t="shared" si="4"/>
        <v>19845</v>
      </c>
      <c r="P24" s="19"/>
      <c r="Q24" s="17"/>
    </row>
    <row r="25" spans="1:17" s="13" customFormat="1" ht="18.75" customHeight="1" x14ac:dyDescent="0.15">
      <c r="A25" s="18"/>
      <c r="B25" s="10" t="s">
        <v>28</v>
      </c>
      <c r="C25" s="10">
        <f>100000+C24</f>
        <v>550000</v>
      </c>
      <c r="D25" s="10">
        <v>0</v>
      </c>
      <c r="E25" s="10">
        <f>1000*10</f>
        <v>10000</v>
      </c>
      <c r="F25" s="10">
        <f>200*10</f>
        <v>2000</v>
      </c>
      <c r="G25" s="10">
        <f>5000*10</f>
        <v>50000</v>
      </c>
      <c r="H25" s="10">
        <f>2500*10</f>
        <v>25000</v>
      </c>
      <c r="I25" s="10">
        <v>0</v>
      </c>
      <c r="J25" s="10">
        <f t="shared" si="0"/>
        <v>463000</v>
      </c>
      <c r="K25" s="5">
        <f t="shared" si="5"/>
        <v>0.3</v>
      </c>
      <c r="L25" s="10">
        <f t="shared" si="6"/>
        <v>52920</v>
      </c>
      <c r="M25" s="10">
        <f t="shared" si="7"/>
        <v>85980</v>
      </c>
      <c r="N25" s="10">
        <f>O16+O17+O18+O19+O20+O21+O22+O23+O24</f>
        <v>61005</v>
      </c>
      <c r="O25" s="10">
        <f t="shared" si="4"/>
        <v>24975</v>
      </c>
      <c r="P25" s="19"/>
      <c r="Q25" s="17"/>
    </row>
    <row r="26" spans="1:17" s="13" customFormat="1" ht="18.75" customHeight="1" x14ac:dyDescent="0.15">
      <c r="A26" s="18"/>
      <c r="B26" s="10" t="s">
        <v>29</v>
      </c>
      <c r="C26" s="10">
        <f>110000+C25</f>
        <v>660000</v>
      </c>
      <c r="D26" s="10">
        <v>0</v>
      </c>
      <c r="E26" s="10">
        <f>1000*11</f>
        <v>11000</v>
      </c>
      <c r="F26" s="10">
        <f>200*11</f>
        <v>2200</v>
      </c>
      <c r="G26" s="10">
        <f>5000*11</f>
        <v>55000</v>
      </c>
      <c r="H26" s="10">
        <f>2500*11</f>
        <v>27500</v>
      </c>
      <c r="I26" s="10">
        <v>0</v>
      </c>
      <c r="J26" s="10">
        <f t="shared" si="0"/>
        <v>564300</v>
      </c>
      <c r="K26" s="5">
        <f t="shared" si="5"/>
        <v>0.3</v>
      </c>
      <c r="L26" s="10">
        <f t="shared" si="6"/>
        <v>52920</v>
      </c>
      <c r="M26" s="10">
        <f t="shared" si="7"/>
        <v>116370</v>
      </c>
      <c r="N26" s="10">
        <f>O16+O17+O18+O19+O20+O21+O22+O23+O24+O25</f>
        <v>85980</v>
      </c>
      <c r="O26" s="10">
        <f t="shared" si="4"/>
        <v>30390</v>
      </c>
      <c r="P26" s="19"/>
      <c r="Q26" s="17"/>
    </row>
    <row r="27" spans="1:17" s="13" customFormat="1" ht="18.75" customHeight="1" x14ac:dyDescent="0.15">
      <c r="A27" s="18"/>
      <c r="B27" s="10" t="s">
        <v>30</v>
      </c>
      <c r="C27" s="10">
        <f>120000+C26</f>
        <v>780000</v>
      </c>
      <c r="D27" s="10">
        <v>0</v>
      </c>
      <c r="E27" s="10">
        <f>1000*12</f>
        <v>12000</v>
      </c>
      <c r="F27" s="10">
        <f>200*12</f>
        <v>2400</v>
      </c>
      <c r="G27" s="10">
        <f>5000*12</f>
        <v>60000</v>
      </c>
      <c r="H27" s="10">
        <f>2500*12</f>
        <v>30000</v>
      </c>
      <c r="I27" s="10">
        <v>0</v>
      </c>
      <c r="J27" s="10">
        <f t="shared" si="0"/>
        <v>675600</v>
      </c>
      <c r="K27" s="5">
        <f t="shared" si="5"/>
        <v>0.35</v>
      </c>
      <c r="L27" s="10">
        <f t="shared" si="6"/>
        <v>85920</v>
      </c>
      <c r="M27" s="6">
        <f t="shared" si="7"/>
        <v>150539.99999999997</v>
      </c>
      <c r="N27" s="10">
        <f>O16+O17+O18+O19+O20+O21+O22+O23+O24+O25+O26</f>
        <v>116370</v>
      </c>
      <c r="O27" s="10">
        <f t="shared" si="4"/>
        <v>34169.999999999971</v>
      </c>
      <c r="P27" s="19"/>
      <c r="Q27" s="17"/>
    </row>
    <row r="28" spans="1:17" s="12" customFormat="1" ht="18.75" customHeight="1" x14ac:dyDescent="0.15">
      <c r="A28" s="20" t="s">
        <v>32</v>
      </c>
      <c r="B28" s="11" t="s">
        <v>18</v>
      </c>
      <c r="C28" s="11">
        <v>10000</v>
      </c>
      <c r="D28" s="11">
        <v>0</v>
      </c>
      <c r="E28" s="11">
        <f>1000*1</f>
        <v>1000</v>
      </c>
      <c r="F28" s="11">
        <f>200*1</f>
        <v>200</v>
      </c>
      <c r="G28" s="11">
        <f>5000*1</f>
        <v>5000</v>
      </c>
      <c r="H28" s="11">
        <f>2500*1</f>
        <v>2500</v>
      </c>
      <c r="I28" s="11">
        <v>0</v>
      </c>
      <c r="J28" s="11">
        <f t="shared" si="0"/>
        <v>1300</v>
      </c>
      <c r="K28" s="7">
        <f t="shared" si="5"/>
        <v>0.03</v>
      </c>
      <c r="L28" s="11">
        <f t="shared" si="6"/>
        <v>0</v>
      </c>
      <c r="M28" s="11">
        <f t="shared" si="7"/>
        <v>39</v>
      </c>
      <c r="N28" s="11">
        <v>0</v>
      </c>
      <c r="O28" s="11">
        <f t="shared" si="4"/>
        <v>39</v>
      </c>
      <c r="P28" s="21">
        <f>O28+O29+O30+O31+O32+O33+O34+O35+O36+O37+O38+O39</f>
        <v>6040</v>
      </c>
      <c r="Q28" s="17"/>
    </row>
    <row r="29" spans="1:17" s="12" customFormat="1" ht="18.75" customHeight="1" x14ac:dyDescent="0.15">
      <c r="A29" s="20"/>
      <c r="B29" s="11" t="s">
        <v>20</v>
      </c>
      <c r="C29" s="11">
        <v>15000</v>
      </c>
      <c r="D29" s="11">
        <v>0</v>
      </c>
      <c r="E29" s="11">
        <f>1000*2</f>
        <v>2000</v>
      </c>
      <c r="F29" s="11">
        <f>200*2</f>
        <v>400</v>
      </c>
      <c r="G29" s="11">
        <f>5000*2</f>
        <v>10000</v>
      </c>
      <c r="H29" s="11">
        <f>2500*2</f>
        <v>5000</v>
      </c>
      <c r="I29" s="11">
        <v>0</v>
      </c>
      <c r="J29" s="11">
        <f t="shared" si="0"/>
        <v>-2400</v>
      </c>
      <c r="K29" s="7">
        <f t="shared" si="5"/>
        <v>0</v>
      </c>
      <c r="L29" s="11">
        <f t="shared" si="6"/>
        <v>0</v>
      </c>
      <c r="M29" s="11">
        <f t="shared" si="7"/>
        <v>0</v>
      </c>
      <c r="N29" s="11">
        <f>O28</f>
        <v>39</v>
      </c>
      <c r="O29" s="11">
        <f t="shared" si="4"/>
        <v>0</v>
      </c>
      <c r="P29" s="21"/>
      <c r="Q29" s="17"/>
    </row>
    <row r="30" spans="1:17" s="12" customFormat="1" ht="18.75" customHeight="1" x14ac:dyDescent="0.15">
      <c r="A30" s="20"/>
      <c r="B30" s="11" t="s">
        <v>21</v>
      </c>
      <c r="C30" s="11">
        <v>35000</v>
      </c>
      <c r="D30" s="11">
        <v>0</v>
      </c>
      <c r="E30" s="11">
        <f>1000*3</f>
        <v>3000</v>
      </c>
      <c r="F30" s="11">
        <f>200*3</f>
        <v>600</v>
      </c>
      <c r="G30" s="11">
        <f>5000*3</f>
        <v>15000</v>
      </c>
      <c r="H30" s="11">
        <f>2500*3</f>
        <v>7500</v>
      </c>
      <c r="I30" s="11">
        <v>0</v>
      </c>
      <c r="J30" s="11">
        <f t="shared" si="0"/>
        <v>8900</v>
      </c>
      <c r="K30" s="7">
        <f t="shared" si="5"/>
        <v>0.03</v>
      </c>
      <c r="L30" s="11">
        <f t="shared" si="6"/>
        <v>0</v>
      </c>
      <c r="M30" s="11">
        <f t="shared" si="7"/>
        <v>267</v>
      </c>
      <c r="N30" s="11">
        <f>O28+O29</f>
        <v>39</v>
      </c>
      <c r="O30" s="11">
        <f t="shared" si="4"/>
        <v>228</v>
      </c>
      <c r="P30" s="21"/>
      <c r="Q30" s="17"/>
    </row>
    <row r="31" spans="1:17" s="12" customFormat="1" ht="18.75" customHeight="1" x14ac:dyDescent="0.15">
      <c r="A31" s="20"/>
      <c r="B31" s="11" t="s">
        <v>22</v>
      </c>
      <c r="C31" s="11">
        <v>50000</v>
      </c>
      <c r="D31" s="11">
        <v>0</v>
      </c>
      <c r="E31" s="11">
        <f>1000*4</f>
        <v>4000</v>
      </c>
      <c r="F31" s="11">
        <f>200*4</f>
        <v>800</v>
      </c>
      <c r="G31" s="11">
        <f>5000*4</f>
        <v>20000</v>
      </c>
      <c r="H31" s="11">
        <f>2500*4</f>
        <v>10000</v>
      </c>
      <c r="I31" s="11">
        <v>0</v>
      </c>
      <c r="J31" s="11">
        <f t="shared" si="0"/>
        <v>15200</v>
      </c>
      <c r="K31" s="7">
        <f t="shared" si="5"/>
        <v>0.03</v>
      </c>
      <c r="L31" s="11">
        <f t="shared" si="6"/>
        <v>0</v>
      </c>
      <c r="M31" s="11">
        <f t="shared" si="7"/>
        <v>456</v>
      </c>
      <c r="N31" s="11">
        <f>O28+O29+O30</f>
        <v>267</v>
      </c>
      <c r="O31" s="11">
        <f t="shared" si="4"/>
        <v>189</v>
      </c>
      <c r="P31" s="21"/>
      <c r="Q31" s="17"/>
    </row>
    <row r="32" spans="1:17" s="12" customFormat="1" ht="18.75" customHeight="1" x14ac:dyDescent="0.15">
      <c r="A32" s="20"/>
      <c r="B32" s="11" t="s">
        <v>23</v>
      </c>
      <c r="C32" s="11">
        <v>70000</v>
      </c>
      <c r="D32" s="11">
        <v>0</v>
      </c>
      <c r="E32" s="11">
        <f>1000*5</f>
        <v>5000</v>
      </c>
      <c r="F32" s="11">
        <f>200*5</f>
        <v>1000</v>
      </c>
      <c r="G32" s="11">
        <f>5000*5</f>
        <v>25000</v>
      </c>
      <c r="H32" s="11">
        <f>2500*5</f>
        <v>12500</v>
      </c>
      <c r="I32" s="11">
        <v>0</v>
      </c>
      <c r="J32" s="11">
        <f t="shared" si="0"/>
        <v>26500</v>
      </c>
      <c r="K32" s="7">
        <f t="shared" si="5"/>
        <v>0.03</v>
      </c>
      <c r="L32" s="11">
        <f t="shared" si="6"/>
        <v>0</v>
      </c>
      <c r="M32" s="11">
        <f t="shared" si="7"/>
        <v>795</v>
      </c>
      <c r="N32" s="11">
        <f>O28+O29+O30+O31</f>
        <v>456</v>
      </c>
      <c r="O32" s="11">
        <f t="shared" si="4"/>
        <v>339</v>
      </c>
      <c r="P32" s="21"/>
      <c r="Q32" s="17"/>
    </row>
    <row r="33" spans="1:17" s="12" customFormat="1" ht="18.75" customHeight="1" x14ac:dyDescent="0.15">
      <c r="A33" s="20"/>
      <c r="B33" s="11" t="s">
        <v>24</v>
      </c>
      <c r="C33" s="11">
        <v>100000</v>
      </c>
      <c r="D33" s="11">
        <v>0</v>
      </c>
      <c r="E33" s="11">
        <f>1000*6</f>
        <v>6000</v>
      </c>
      <c r="F33" s="11">
        <f>200*6</f>
        <v>1200</v>
      </c>
      <c r="G33" s="11">
        <f>5000*6</f>
        <v>30000</v>
      </c>
      <c r="H33" s="11">
        <f>2500*6</f>
        <v>15000</v>
      </c>
      <c r="I33" s="11">
        <v>0</v>
      </c>
      <c r="J33" s="11">
        <f t="shared" si="0"/>
        <v>47800</v>
      </c>
      <c r="K33" s="7">
        <f t="shared" si="5"/>
        <v>0.1</v>
      </c>
      <c r="L33" s="11">
        <f t="shared" si="6"/>
        <v>2520</v>
      </c>
      <c r="M33" s="11">
        <f t="shared" si="7"/>
        <v>2260</v>
      </c>
      <c r="N33" s="11">
        <f>O28+O29+O30+O31+O32</f>
        <v>795</v>
      </c>
      <c r="O33" s="11">
        <f t="shared" si="4"/>
        <v>1465</v>
      </c>
      <c r="P33" s="21"/>
      <c r="Q33" s="17"/>
    </row>
    <row r="34" spans="1:17" s="12" customFormat="1" ht="18.75" customHeight="1" x14ac:dyDescent="0.15">
      <c r="A34" s="20"/>
      <c r="B34" s="11" t="s">
        <v>25</v>
      </c>
      <c r="C34" s="11">
        <v>110000</v>
      </c>
      <c r="D34" s="11">
        <v>0</v>
      </c>
      <c r="E34" s="11">
        <f>1000*7</f>
        <v>7000</v>
      </c>
      <c r="F34" s="11">
        <f>200*7</f>
        <v>1400</v>
      </c>
      <c r="G34" s="11">
        <f>5000*7</f>
        <v>35000</v>
      </c>
      <c r="H34" s="11">
        <f>2500*7</f>
        <v>17500</v>
      </c>
      <c r="I34" s="11">
        <v>0</v>
      </c>
      <c r="J34" s="11">
        <f t="shared" si="0"/>
        <v>49100</v>
      </c>
      <c r="K34" s="7">
        <f t="shared" si="5"/>
        <v>0.1</v>
      </c>
      <c r="L34" s="11">
        <f t="shared" si="6"/>
        <v>2520</v>
      </c>
      <c r="M34" s="11">
        <f t="shared" si="7"/>
        <v>2390</v>
      </c>
      <c r="N34" s="11">
        <f>O28+O29+O30+O31+O32+O33</f>
        <v>2260</v>
      </c>
      <c r="O34" s="11">
        <f t="shared" si="4"/>
        <v>130</v>
      </c>
      <c r="P34" s="21"/>
      <c r="Q34" s="17"/>
    </row>
    <row r="35" spans="1:17" s="12" customFormat="1" ht="18.75" customHeight="1" x14ac:dyDescent="0.15">
      <c r="A35" s="20"/>
      <c r="B35" s="11" t="s">
        <v>26</v>
      </c>
      <c r="C35" s="11">
        <v>120000</v>
      </c>
      <c r="D35" s="11">
        <v>0</v>
      </c>
      <c r="E35" s="11">
        <f>1000*8</f>
        <v>8000</v>
      </c>
      <c r="F35" s="11">
        <f>200*8</f>
        <v>1600</v>
      </c>
      <c r="G35" s="11">
        <f>5000*8</f>
        <v>40000</v>
      </c>
      <c r="H35" s="11">
        <f>2500*8</f>
        <v>20000</v>
      </c>
      <c r="I35" s="11">
        <v>0</v>
      </c>
      <c r="J35" s="11">
        <f t="shared" si="0"/>
        <v>50400</v>
      </c>
      <c r="K35" s="7">
        <f t="shared" si="5"/>
        <v>0.1</v>
      </c>
      <c r="L35" s="11">
        <f t="shared" si="6"/>
        <v>2520</v>
      </c>
      <c r="M35" s="11">
        <f t="shared" si="7"/>
        <v>2520</v>
      </c>
      <c r="N35" s="11">
        <f>O28+O29+O30+O31+O32+O33+O34</f>
        <v>2390</v>
      </c>
      <c r="O35" s="11">
        <f t="shared" si="4"/>
        <v>130</v>
      </c>
      <c r="P35" s="21"/>
      <c r="Q35" s="17"/>
    </row>
    <row r="36" spans="1:17" s="12" customFormat="1" ht="18.75" customHeight="1" x14ac:dyDescent="0.15">
      <c r="A36" s="20"/>
      <c r="B36" s="11" t="s">
        <v>27</v>
      </c>
      <c r="C36" s="11">
        <v>135000</v>
      </c>
      <c r="D36" s="11">
        <v>0</v>
      </c>
      <c r="E36" s="11">
        <f>1000*9</f>
        <v>9000</v>
      </c>
      <c r="F36" s="11">
        <f>200*9</f>
        <v>1800</v>
      </c>
      <c r="G36" s="11">
        <f>5000*9</f>
        <v>45000</v>
      </c>
      <c r="H36" s="11">
        <f>2500*9</f>
        <v>22500</v>
      </c>
      <c r="I36" s="11">
        <v>0</v>
      </c>
      <c r="J36" s="11">
        <f t="shared" si="0"/>
        <v>56700</v>
      </c>
      <c r="K36" s="7">
        <f t="shared" si="5"/>
        <v>0.1</v>
      </c>
      <c r="L36" s="11">
        <f t="shared" si="6"/>
        <v>2520</v>
      </c>
      <c r="M36" s="11">
        <f t="shared" si="7"/>
        <v>3150</v>
      </c>
      <c r="N36" s="11">
        <f>O28+O29+O30+O31+O32+O33+O34+O35</f>
        <v>2520</v>
      </c>
      <c r="O36" s="11">
        <f t="shared" si="4"/>
        <v>630</v>
      </c>
      <c r="P36" s="21"/>
      <c r="Q36" s="17"/>
    </row>
    <row r="37" spans="1:17" s="12" customFormat="1" ht="18.75" customHeight="1" x14ac:dyDescent="0.15">
      <c r="A37" s="20"/>
      <c r="B37" s="11" t="s">
        <v>28</v>
      </c>
      <c r="C37" s="11">
        <v>155000</v>
      </c>
      <c r="D37" s="11">
        <v>0</v>
      </c>
      <c r="E37" s="11">
        <f>1000*10</f>
        <v>10000</v>
      </c>
      <c r="F37" s="11">
        <f>200*10</f>
        <v>2000</v>
      </c>
      <c r="G37" s="11">
        <f>5000*10</f>
        <v>50000</v>
      </c>
      <c r="H37" s="11">
        <f>2500*10</f>
        <v>25000</v>
      </c>
      <c r="I37" s="11">
        <v>0</v>
      </c>
      <c r="J37" s="11">
        <f t="shared" si="0"/>
        <v>68000</v>
      </c>
      <c r="K37" s="7">
        <f t="shared" si="5"/>
        <v>0.1</v>
      </c>
      <c r="L37" s="11">
        <f t="shared" si="6"/>
        <v>2520</v>
      </c>
      <c r="M37" s="11">
        <f t="shared" si="7"/>
        <v>4280</v>
      </c>
      <c r="N37" s="11">
        <f>O28+O29+O30+O31+O32+O33+O34+O35+O36</f>
        <v>3150</v>
      </c>
      <c r="O37" s="11">
        <f t="shared" si="4"/>
        <v>1130</v>
      </c>
      <c r="P37" s="21"/>
      <c r="Q37" s="17"/>
    </row>
    <row r="38" spans="1:17" s="12" customFormat="1" ht="18.75" customHeight="1" x14ac:dyDescent="0.15">
      <c r="A38" s="20"/>
      <c r="B38" s="11" t="s">
        <v>29</v>
      </c>
      <c r="C38" s="11">
        <v>175000</v>
      </c>
      <c r="D38" s="11">
        <v>0</v>
      </c>
      <c r="E38" s="11">
        <f>1000*11</f>
        <v>11000</v>
      </c>
      <c r="F38" s="11">
        <f>200*11</f>
        <v>2200</v>
      </c>
      <c r="G38" s="11">
        <f>5000*11</f>
        <v>55000</v>
      </c>
      <c r="H38" s="11">
        <f>2500*11</f>
        <v>27500</v>
      </c>
      <c r="I38" s="11">
        <v>0</v>
      </c>
      <c r="J38" s="11">
        <f t="shared" si="0"/>
        <v>79300</v>
      </c>
      <c r="K38" s="7">
        <f t="shared" si="5"/>
        <v>0.1</v>
      </c>
      <c r="L38" s="11">
        <f t="shared" si="6"/>
        <v>2520</v>
      </c>
      <c r="M38" s="11">
        <f t="shared" si="7"/>
        <v>5410</v>
      </c>
      <c r="N38" s="11">
        <f>O28+O29+O30+O31+O32+O33+O34+O35+O36+O37</f>
        <v>4280</v>
      </c>
      <c r="O38" s="11">
        <f t="shared" si="4"/>
        <v>1130</v>
      </c>
      <c r="P38" s="21"/>
      <c r="Q38" s="17"/>
    </row>
    <row r="39" spans="1:17" s="12" customFormat="1" ht="18.75" customHeight="1" x14ac:dyDescent="0.15">
      <c r="A39" s="20"/>
      <c r="B39" s="11" t="s">
        <v>30</v>
      </c>
      <c r="C39" s="11">
        <v>190000</v>
      </c>
      <c r="D39" s="11">
        <v>0</v>
      </c>
      <c r="E39" s="11">
        <f>1000*12</f>
        <v>12000</v>
      </c>
      <c r="F39" s="11">
        <f>200*12</f>
        <v>2400</v>
      </c>
      <c r="G39" s="11">
        <f>5000*12</f>
        <v>60000</v>
      </c>
      <c r="H39" s="11">
        <f>2500*12</f>
        <v>30000</v>
      </c>
      <c r="I39" s="11">
        <v>0</v>
      </c>
      <c r="J39" s="11">
        <f t="shared" si="0"/>
        <v>85600</v>
      </c>
      <c r="K39" s="7">
        <f t="shared" si="5"/>
        <v>0.1</v>
      </c>
      <c r="L39" s="11">
        <f t="shared" si="6"/>
        <v>2520</v>
      </c>
      <c r="M39" s="8">
        <f t="shared" si="7"/>
        <v>6040</v>
      </c>
      <c r="N39" s="11">
        <f>O28+O29+O30+O31+O32+O33+O34+O35+O36+O37+O38</f>
        <v>5410</v>
      </c>
      <c r="O39" s="11">
        <f t="shared" si="4"/>
        <v>630</v>
      </c>
      <c r="P39" s="21"/>
      <c r="Q39" s="17"/>
    </row>
  </sheetData>
  <mergeCells count="24">
    <mergeCell ref="A1:P1"/>
    <mergeCell ref="A2:A3"/>
    <mergeCell ref="B2:B3"/>
    <mergeCell ref="C2:C3"/>
    <mergeCell ref="D2:D3"/>
    <mergeCell ref="E2:F2"/>
    <mergeCell ref="G2:G3"/>
    <mergeCell ref="H2:H3"/>
    <mergeCell ref="I2:I3"/>
    <mergeCell ref="P2:P3"/>
    <mergeCell ref="Q2:Q3"/>
    <mergeCell ref="A4:A15"/>
    <mergeCell ref="P4:P15"/>
    <mergeCell ref="Q4:Q39"/>
    <mergeCell ref="A16:A27"/>
    <mergeCell ref="P16:P27"/>
    <mergeCell ref="A28:A39"/>
    <mergeCell ref="P28:P39"/>
    <mergeCell ref="J2:J3"/>
    <mergeCell ref="K2:K3"/>
    <mergeCell ref="L2:L3"/>
    <mergeCell ref="M2:M3"/>
    <mergeCell ref="N2:N3"/>
    <mergeCell ref="O2:O3"/>
  </mergeCells>
  <phoneticPr fontId="2" type="noConversion"/>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累计预扣预缴个税对比及分析</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dc:creator>
  <cp:lastModifiedBy>Client</cp:lastModifiedBy>
  <dcterms:created xsi:type="dcterms:W3CDTF">2018-12-25T02:07:00Z</dcterms:created>
  <dcterms:modified xsi:type="dcterms:W3CDTF">2018-12-26T07:24:29Z</dcterms:modified>
</cp:coreProperties>
</file>