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/>
  <mc:AlternateContent xmlns:mc="http://schemas.openxmlformats.org/markup-compatibility/2006">
    <mc:Choice Requires="x15">
      <x15ac:absPath xmlns:x15ac="http://schemas.microsoft.com/office/spreadsheetml/2010/11/ac" url="C:\Users\gundo\OneDrive - SNU\SNU DS\AmbientAI\votenet_tf\votenet_tf\Training_log\"/>
    </mc:Choice>
  </mc:AlternateContent>
  <xr:revisionPtr revIDLastSave="1" documentId="13_ncr:1_{CFA30CBB-53B1-4150-9C55-FBDEDC2D2067}" xr6:coauthVersionLast="36" xr6:coauthVersionMax="36" xr10:uidLastSave="{89A181CA-1C48-4B0C-A465-1E4FDD52BB0D}"/>
  <bookViews>
    <workbookView xWindow="0" yWindow="0" windowWidth="12960" windowHeight="7032" firstSheet="1" activeTab="7" xr2:uid="{00000000-000D-0000-FFFF-FFFF00000000}"/>
  </bookViews>
  <sheets>
    <sheet name="cpp_server" sheetId="2" r:id="rId1"/>
    <sheet name="torch_server" sheetId="4" r:id="rId2"/>
    <sheet name="tf_server" sheetId="7" r:id="rId3"/>
    <sheet name="torch_jetson" sheetId="1" r:id="rId4"/>
    <sheet name="torch_jetson_afterwarmup" sheetId="5" r:id="rId5"/>
    <sheet name="tf_jetson" sheetId="8" r:id="rId6"/>
    <sheet name="tflite_jetson" sheetId="9" r:id="rId7"/>
    <sheet name="edgetpu_jetson" sheetId="10" r:id="rId8"/>
    <sheet name="cuda_jetson_2ndImg" sheetId="6" r:id="rId9"/>
    <sheet name="Multiprocessing" sheetId="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0" l="1"/>
  <c r="L10" i="10"/>
  <c r="L9" i="10"/>
  <c r="L6" i="10"/>
  <c r="L7" i="10"/>
  <c r="L8" i="10"/>
  <c r="L5" i="10"/>
  <c r="F14" i="10"/>
  <c r="E14" i="10"/>
  <c r="F8" i="10"/>
  <c r="F26" i="10" s="1"/>
  <c r="E8" i="10"/>
  <c r="E26" i="10" s="1"/>
  <c r="F7" i="10"/>
  <c r="F25" i="10" s="1"/>
  <c r="E7" i="10"/>
  <c r="E25" i="10" s="1"/>
  <c r="F6" i="10"/>
  <c r="F24" i="10" s="1"/>
  <c r="E6" i="10"/>
  <c r="D6" i="10" s="1"/>
  <c r="D24" i="10" s="1"/>
  <c r="F5" i="10"/>
  <c r="F23" i="10" s="1"/>
  <c r="E5" i="10"/>
  <c r="E43" i="10"/>
  <c r="D43" i="10"/>
  <c r="D34" i="10"/>
  <c r="G32" i="10"/>
  <c r="F32" i="10"/>
  <c r="E32" i="10"/>
  <c r="D32" i="10"/>
  <c r="D30" i="10"/>
  <c r="G29" i="10"/>
  <c r="F29" i="10"/>
  <c r="E29" i="10"/>
  <c r="G28" i="10"/>
  <c r="F28" i="10"/>
  <c r="E28" i="10"/>
  <c r="G26" i="10"/>
  <c r="G25" i="10"/>
  <c r="G24" i="10"/>
  <c r="G23" i="10"/>
  <c r="H14" i="10"/>
  <c r="H32" i="10" s="1"/>
  <c r="D11" i="10"/>
  <c r="D29" i="10" s="1"/>
  <c r="D10" i="10"/>
  <c r="D28" i="10" s="1"/>
  <c r="D8" i="10"/>
  <c r="D26" i="10" s="1"/>
  <c r="D5" i="10"/>
  <c r="F14" i="8"/>
  <c r="E14" i="8"/>
  <c r="F8" i="8"/>
  <c r="E8" i="8"/>
  <c r="F7" i="8"/>
  <c r="E7" i="8"/>
  <c r="F6" i="8"/>
  <c r="E6" i="8"/>
  <c r="F5" i="8"/>
  <c r="E5" i="8"/>
  <c r="F14" i="9"/>
  <c r="E14" i="9"/>
  <c r="F8" i="9"/>
  <c r="E8" i="9"/>
  <c r="F7" i="9"/>
  <c r="E7" i="9"/>
  <c r="F6" i="9"/>
  <c r="E6" i="9"/>
  <c r="F5" i="9"/>
  <c r="E5" i="9"/>
  <c r="E24" i="10" l="1"/>
  <c r="D7" i="10"/>
  <c r="D25" i="10" s="1"/>
  <c r="D23" i="10"/>
  <c r="D15" i="10"/>
  <c r="D33" i="10" s="1"/>
  <c r="E23" i="10"/>
  <c r="F32" i="9"/>
  <c r="E23" i="9"/>
  <c r="E43" i="9"/>
  <c r="D43" i="9"/>
  <c r="D34" i="9"/>
  <c r="G32" i="9"/>
  <c r="D32" i="9"/>
  <c r="D30" i="9"/>
  <c r="G29" i="9"/>
  <c r="F29" i="9"/>
  <c r="E29" i="9"/>
  <c r="G28" i="9"/>
  <c r="F28" i="9"/>
  <c r="E28" i="9"/>
  <c r="G26" i="9"/>
  <c r="E25" i="9"/>
  <c r="G24" i="9"/>
  <c r="E32" i="9"/>
  <c r="H14" i="9"/>
  <c r="H32" i="9" s="1"/>
  <c r="D11" i="9"/>
  <c r="D29" i="9" s="1"/>
  <c r="D10" i="9"/>
  <c r="D28" i="9" s="1"/>
  <c r="F26" i="9"/>
  <c r="D8" i="9"/>
  <c r="D26" i="9" s="1"/>
  <c r="G25" i="9"/>
  <c r="D7" i="9"/>
  <c r="D25" i="9" s="1"/>
  <c r="F24" i="9"/>
  <c r="D6" i="9"/>
  <c r="D24" i="9" s="1"/>
  <c r="G23" i="9"/>
  <c r="F23" i="9"/>
  <c r="H14" i="8"/>
  <c r="D5" i="9" l="1"/>
  <c r="F25" i="9"/>
  <c r="E24" i="9"/>
  <c r="E26" i="9"/>
  <c r="E43" i="8"/>
  <c r="D43" i="8"/>
  <c r="D34" i="8"/>
  <c r="H32" i="8"/>
  <c r="G32" i="8"/>
  <c r="F32" i="8"/>
  <c r="E32" i="8"/>
  <c r="D30" i="8"/>
  <c r="G29" i="8"/>
  <c r="F29" i="8"/>
  <c r="E29" i="8"/>
  <c r="G28" i="8"/>
  <c r="F28" i="8"/>
  <c r="E28" i="8"/>
  <c r="G26" i="8"/>
  <c r="F26" i="8"/>
  <c r="E26" i="8"/>
  <c r="G25" i="8"/>
  <c r="F25" i="8"/>
  <c r="E25" i="8"/>
  <c r="G24" i="8"/>
  <c r="F24" i="8"/>
  <c r="E24" i="8"/>
  <c r="G23" i="8"/>
  <c r="F23" i="8"/>
  <c r="E23" i="8"/>
  <c r="D32" i="8"/>
  <c r="D11" i="8"/>
  <c r="D29" i="8" s="1"/>
  <c r="D10" i="8"/>
  <c r="D28" i="8" s="1"/>
  <c r="D8" i="8"/>
  <c r="D26" i="8" s="1"/>
  <c r="D7" i="8"/>
  <c r="D25" i="8" s="1"/>
  <c r="D6" i="8"/>
  <c r="D24" i="8" s="1"/>
  <c r="D5" i="8"/>
  <c r="D15" i="9" l="1"/>
  <c r="D33" i="9" s="1"/>
  <c r="D23" i="9"/>
  <c r="D15" i="8"/>
  <c r="D33" i="8" s="1"/>
  <c r="D23" i="8"/>
  <c r="F14" i="7"/>
  <c r="E14" i="7"/>
  <c r="F8" i="7"/>
  <c r="E8" i="7"/>
  <c r="F7" i="7"/>
  <c r="E7" i="7"/>
  <c r="F6" i="7"/>
  <c r="E6" i="7"/>
  <c r="F5" i="7"/>
  <c r="E5" i="7"/>
  <c r="H14" i="7" l="1"/>
  <c r="H32" i="7" s="1"/>
  <c r="F32" i="7"/>
  <c r="F26" i="7"/>
  <c r="F24" i="7"/>
  <c r="E24" i="7"/>
  <c r="F23" i="7"/>
  <c r="D5" i="7"/>
  <c r="D23" i="7" s="1"/>
  <c r="D38" i="7"/>
  <c r="D34" i="7"/>
  <c r="G32" i="7"/>
  <c r="E32" i="7"/>
  <c r="D30" i="7"/>
  <c r="G29" i="7"/>
  <c r="F29" i="7"/>
  <c r="E29" i="7"/>
  <c r="G28" i="7"/>
  <c r="F28" i="7"/>
  <c r="E28" i="7"/>
  <c r="G26" i="7"/>
  <c r="E26" i="7"/>
  <c r="G25" i="7"/>
  <c r="F25" i="7"/>
  <c r="E25" i="7"/>
  <c r="G24" i="7"/>
  <c r="G23" i="7"/>
  <c r="D11" i="7"/>
  <c r="D29" i="7" s="1"/>
  <c r="D10" i="7"/>
  <c r="D28" i="7" s="1"/>
  <c r="D7" i="7"/>
  <c r="D25" i="7" s="1"/>
  <c r="D6" i="7"/>
  <c r="D24" i="7" s="1"/>
  <c r="D32" i="7" l="1"/>
  <c r="D8" i="7"/>
  <c r="E23" i="7"/>
  <c r="W4" i="3"/>
  <c r="W3" i="3"/>
  <c r="P4" i="3"/>
  <c r="P3" i="3"/>
  <c r="H4" i="3"/>
  <c r="H3" i="3"/>
  <c r="D15" i="7" l="1"/>
  <c r="D33" i="7" s="1"/>
  <c r="D26" i="7"/>
  <c r="E43" i="6"/>
  <c r="D43" i="6"/>
  <c r="D34" i="6"/>
  <c r="H32" i="6"/>
  <c r="G32" i="6"/>
  <c r="F32" i="6"/>
  <c r="E32" i="6"/>
  <c r="D30" i="6"/>
  <c r="G29" i="6"/>
  <c r="F29" i="6"/>
  <c r="E29" i="6"/>
  <c r="G28" i="6"/>
  <c r="F28" i="6"/>
  <c r="E28" i="6"/>
  <c r="G26" i="6"/>
  <c r="F26" i="6"/>
  <c r="E26" i="6"/>
  <c r="G25" i="6"/>
  <c r="F25" i="6"/>
  <c r="E25" i="6"/>
  <c r="G24" i="6"/>
  <c r="F24" i="6"/>
  <c r="E24" i="6"/>
  <c r="G23" i="6"/>
  <c r="F23" i="6"/>
  <c r="E23" i="6"/>
  <c r="D14" i="6"/>
  <c r="D32" i="6" s="1"/>
  <c r="D11" i="6"/>
  <c r="D29" i="6" s="1"/>
  <c r="D10" i="6"/>
  <c r="D28" i="6" s="1"/>
  <c r="D8" i="6"/>
  <c r="D26" i="6" s="1"/>
  <c r="D7" i="6"/>
  <c r="D25" i="6" s="1"/>
  <c r="D6" i="6"/>
  <c r="D24" i="6" s="1"/>
  <c r="D5" i="6"/>
  <c r="D23" i="6" s="1"/>
  <c r="E43" i="5"/>
  <c r="D43" i="5"/>
  <c r="D34" i="5"/>
  <c r="H32" i="5"/>
  <c r="G32" i="5"/>
  <c r="F32" i="5"/>
  <c r="E32" i="5"/>
  <c r="D30" i="5"/>
  <c r="G29" i="5"/>
  <c r="F29" i="5"/>
  <c r="E29" i="5"/>
  <c r="G28" i="5"/>
  <c r="F28" i="5"/>
  <c r="E28" i="5"/>
  <c r="G26" i="5"/>
  <c r="F26" i="5"/>
  <c r="E26" i="5"/>
  <c r="G25" i="5"/>
  <c r="F25" i="5"/>
  <c r="E25" i="5"/>
  <c r="G24" i="5"/>
  <c r="F24" i="5"/>
  <c r="E24" i="5"/>
  <c r="D24" i="5"/>
  <c r="G23" i="5"/>
  <c r="F23" i="5"/>
  <c r="E23" i="5"/>
  <c r="D14" i="5"/>
  <c r="D32" i="5" s="1"/>
  <c r="D11" i="5"/>
  <c r="D29" i="5" s="1"/>
  <c r="D10" i="5"/>
  <c r="D28" i="5" s="1"/>
  <c r="D8" i="5"/>
  <c r="D26" i="5" s="1"/>
  <c r="D7" i="5"/>
  <c r="D25" i="5" s="1"/>
  <c r="D6" i="5"/>
  <c r="D5" i="5"/>
  <c r="D23" i="5" s="1"/>
  <c r="D15" i="6" l="1"/>
  <c r="D33" i="6" s="1"/>
  <c r="D15" i="5"/>
  <c r="D33" i="5" s="1"/>
  <c r="E43" i="1" l="1"/>
  <c r="D43" i="1"/>
  <c r="D38" i="4" l="1"/>
  <c r="D34" i="4"/>
  <c r="H32" i="4"/>
  <c r="G32" i="4"/>
  <c r="F32" i="4"/>
  <c r="E32" i="4"/>
  <c r="D30" i="4"/>
  <c r="G29" i="4"/>
  <c r="F29" i="4"/>
  <c r="E29" i="4"/>
  <c r="G28" i="4"/>
  <c r="F28" i="4"/>
  <c r="E28" i="4"/>
  <c r="G26" i="4"/>
  <c r="F26" i="4"/>
  <c r="E26" i="4"/>
  <c r="G25" i="4"/>
  <c r="F25" i="4"/>
  <c r="E25" i="4"/>
  <c r="G24" i="4"/>
  <c r="F24" i="4"/>
  <c r="E24" i="4"/>
  <c r="G23" i="4"/>
  <c r="F23" i="4"/>
  <c r="E23" i="4"/>
  <c r="D14" i="4"/>
  <c r="D32" i="4" s="1"/>
  <c r="D11" i="4"/>
  <c r="D29" i="4" s="1"/>
  <c r="D10" i="4"/>
  <c r="D8" i="4"/>
  <c r="D26" i="4" s="1"/>
  <c r="D7" i="4"/>
  <c r="D25" i="4" s="1"/>
  <c r="D6" i="4"/>
  <c r="D24" i="4" s="1"/>
  <c r="D5" i="4"/>
  <c r="D23" i="4" s="1"/>
  <c r="D15" i="4" l="1"/>
  <c r="D33" i="4" s="1"/>
  <c r="D28" i="4"/>
  <c r="D14" i="1" l="1"/>
  <c r="D34" i="2"/>
  <c r="H32" i="2"/>
  <c r="G32" i="2"/>
  <c r="F32" i="2"/>
  <c r="E32" i="2"/>
  <c r="D30" i="2"/>
  <c r="G29" i="2"/>
  <c r="F29" i="2"/>
  <c r="E29" i="2"/>
  <c r="G28" i="2"/>
  <c r="F28" i="2"/>
  <c r="E28" i="2"/>
  <c r="G26" i="2"/>
  <c r="F26" i="2"/>
  <c r="E26" i="2"/>
  <c r="G25" i="2"/>
  <c r="F25" i="2"/>
  <c r="E25" i="2"/>
  <c r="D25" i="2"/>
  <c r="G24" i="2"/>
  <c r="F24" i="2"/>
  <c r="E24" i="2"/>
  <c r="G23" i="2"/>
  <c r="F23" i="2"/>
  <c r="E23" i="2"/>
  <c r="D14" i="2"/>
  <c r="D32" i="2" s="1"/>
  <c r="D11" i="2"/>
  <c r="D29" i="2" s="1"/>
  <c r="D10" i="2"/>
  <c r="D28" i="2" s="1"/>
  <c r="D8" i="2"/>
  <c r="D26" i="2" s="1"/>
  <c r="D7" i="2"/>
  <c r="D6" i="2"/>
  <c r="D24" i="2" s="1"/>
  <c r="D5" i="2"/>
  <c r="D15" i="2" l="1"/>
  <c r="D33" i="2" s="1"/>
  <c r="D23" i="2"/>
  <c r="D34" i="1"/>
  <c r="H32" i="1"/>
  <c r="G32" i="1"/>
  <c r="F32" i="1"/>
  <c r="E32" i="1"/>
  <c r="D32" i="1"/>
  <c r="D30" i="1"/>
  <c r="G29" i="1"/>
  <c r="F29" i="1"/>
  <c r="E29" i="1"/>
  <c r="G28" i="1"/>
  <c r="F28" i="1"/>
  <c r="E28" i="1"/>
  <c r="G26" i="1"/>
  <c r="F26" i="1"/>
  <c r="E26" i="1"/>
  <c r="G25" i="1"/>
  <c r="F25" i="1"/>
  <c r="E25" i="1"/>
  <c r="G24" i="1"/>
  <c r="F24" i="1"/>
  <c r="E24" i="1"/>
  <c r="G23" i="1"/>
  <c r="F23" i="1"/>
  <c r="E23" i="1"/>
  <c r="D11" i="1"/>
  <c r="D29" i="1" s="1"/>
  <c r="D10" i="1"/>
  <c r="D28" i="1" s="1"/>
  <c r="D8" i="1"/>
  <c r="D26" i="1" s="1"/>
  <c r="D7" i="1"/>
  <c r="D25" i="1" s="1"/>
  <c r="D6" i="1"/>
  <c r="D24" i="1" s="1"/>
  <c r="D5" i="1"/>
  <c r="D23" i="1" s="1"/>
  <c r="D15" i="1" l="1"/>
  <c r="D33" i="1" s="1"/>
</calcChain>
</file>

<file path=xl/sharedStrings.xml><?xml version="1.0" encoding="utf-8"?>
<sst xmlns="http://schemas.openxmlformats.org/spreadsheetml/2006/main" count="608" uniqueCount="77">
  <si>
    <t>SA1</t>
  </si>
  <si>
    <t>Avg point based sampling</t>
  </si>
  <si>
    <t>Ball query</t>
  </si>
  <si>
    <t>shared MLP</t>
  </si>
  <si>
    <t>SA2</t>
  </si>
  <si>
    <t>SA3</t>
  </si>
  <si>
    <t>SA4</t>
  </si>
  <si>
    <t>FP1</t>
  </si>
  <si>
    <t>FP2</t>
  </si>
  <si>
    <t>Inverse ball query</t>
  </si>
  <si>
    <t>Interpolation</t>
  </si>
  <si>
    <t>Total</t>
  </si>
  <si>
    <t>Voting</t>
  </si>
  <si>
    <t>Proposal</t>
  </si>
  <si>
    <t>shared MLP(Abstraction)</t>
  </si>
  <si>
    <t>shared MLP(Detection&amp;Classification)</t>
  </si>
  <si>
    <t>Total Inference time</t>
  </si>
  <si>
    <t>% of total inference time</t>
  </si>
  <si>
    <t>Layer</t>
  </si>
  <si>
    <t>Runtime per componet(in sec)</t>
  </si>
  <si>
    <t>Miscalleneous(Initialization etc)</t>
  </si>
  <si>
    <t>Partition of a set of 432399 objects. Total size = 57154908 bytes.</t>
  </si>
  <si>
    <t xml:space="preserve"> Index  Count   %     Size   % Cumulative  % Kind (class / dict of class)</t>
  </si>
  <si>
    <t xml:space="preserve">     0 117465  27 17707549  31  17707549  31 str</t>
  </si>
  <si>
    <t xml:space="preserve">     1 115013  27  9941472  17  27649021  48 tuple</t>
  </si>
  <si>
    <t xml:space="preserve">     2  52023  12  4351324   8  32000345  56 bytes</t>
  </si>
  <si>
    <t xml:space="preserve">     3  26126   6  3783176   7  35783521  63 types.CodeType</t>
  </si>
  <si>
    <t xml:space="preserve">     4  23432   5  3374208   6  39157729  69 function</t>
  </si>
  <si>
    <t xml:space="preserve">     5   3037   1  2907776   5  42065505  74 type</t>
  </si>
  <si>
    <t xml:space="preserve">     6   5108   1  2191256   4  44256761  77 dict (no owner)</t>
  </si>
  <si>
    <t xml:space="preserve">     7   1319   0  2056952   4  46313713  81 dict of module</t>
  </si>
  <si>
    <t xml:space="preserve">     8   3036   1  1605024   3  47918737  84 dict of type</t>
  </si>
  <si>
    <t xml:space="preserve">     9   3140   1   778848   1  48697585  85 dict of function</t>
  </si>
  <si>
    <t>Memory allocated, using guppy</t>
  </si>
  <si>
    <t>Backbone Module
(PointNet++)</t>
  </si>
  <si>
    <t>Voting &amp; Detection</t>
  </si>
  <si>
    <t>Category</t>
  </si>
  <si>
    <t>Three nn</t>
  </si>
  <si>
    <t>Farthest point sampling</t>
  </si>
  <si>
    <t>Maximum memory allocated</t>
  </si>
  <si>
    <t>MB</t>
  </si>
  <si>
    <t>Processing</t>
  </si>
  <si>
    <t>CPU</t>
  </si>
  <si>
    <t>64-bit Quad-core ARM A57 @ 1.43GHz</t>
  </si>
  <si>
    <t>GPU</t>
  </si>
  <si>
    <t>128-core NVIDIA Maxwell @ 921MHz</t>
  </si>
  <si>
    <t>Memory</t>
  </si>
  <si>
    <t>4GB 64-bit LPDDR4 @ 1600MHz | 25.6 GB/s</t>
  </si>
  <si>
    <t>Video Encoder*</t>
  </si>
  <si>
    <t>4Kp30 | (4x) 1080p30 | (2x) 1080p60</t>
  </si>
  <si>
    <t>Video Decoder*</t>
  </si>
  <si>
    <t>4Kp60 | (2x) 4Kp30 | (8x) 1080p30 | (4x) 1080p60</t>
  </si>
  <si>
    <t>472GFLOPS</t>
  </si>
  <si>
    <t>idle</t>
  </si>
  <si>
    <t>Running</t>
  </si>
  <si>
    <t>Memory usage observed from jtop</t>
  </si>
  <si>
    <t>GB</t>
  </si>
  <si>
    <t>Bytes</t>
  </si>
  <si>
    <t>jtop monitoring result</t>
  </si>
  <si>
    <t>if run on local with monitor connected, jetson nano shuts down</t>
  </si>
  <si>
    <t>Multiprocessing</t>
  </si>
  <si>
    <t>Total runtime</t>
  </si>
  <si>
    <t>Votenet runtime</t>
  </si>
  <si>
    <t>in seconds</t>
  </si>
  <si>
    <t>Sequential</t>
  </si>
  <si>
    <t>avg of last 3</t>
  </si>
  <si>
    <t>Multiprocessing for sound only</t>
  </si>
  <si>
    <t>FPS</t>
    <phoneticPr fontId="6" type="noConversion"/>
  </si>
  <si>
    <t>SA1</t>
    <phoneticPr fontId="6" type="noConversion"/>
  </si>
  <si>
    <t>SA2</t>
    <phoneticPr fontId="6" type="noConversion"/>
  </si>
  <si>
    <t>SA3</t>
    <phoneticPr fontId="6" type="noConversion"/>
  </si>
  <si>
    <t>SA4</t>
    <phoneticPr fontId="6" type="noConversion"/>
  </si>
  <si>
    <t>FP1</t>
    <phoneticPr fontId="6" type="noConversion"/>
  </si>
  <si>
    <t>FP2</t>
    <phoneticPr fontId="6" type="noConversion"/>
  </si>
  <si>
    <t>Proposal</t>
    <phoneticPr fontId="6" type="noConversion"/>
  </si>
  <si>
    <t>Multiples</t>
    <phoneticPr fontId="6" type="noConversion"/>
  </si>
  <si>
    <t>Layer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</si>
</sst>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00000"/>
    <numFmt numFmtId="177" formatCode="0.0%"/>
    <numFmt numFmtId="178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3B90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EDEDED"/>
      </left>
      <right style="medium">
        <color rgb="FF000000"/>
      </right>
      <top style="medium">
        <color rgb="FFEDEDED"/>
      </top>
      <bottom style="medium">
        <color rgb="FF000000"/>
      </bottom>
      <diagonal/>
    </border>
    <border>
      <left style="medium">
        <color rgb="FF000000"/>
      </left>
      <right style="medium">
        <color rgb="FFEDEDED"/>
      </right>
      <top style="medium">
        <color rgb="FFEDEDED"/>
      </top>
      <bottom style="medium">
        <color rgb="FF000000"/>
      </bottom>
      <diagonal/>
    </border>
    <border>
      <left style="medium">
        <color rgb="FFEDEDED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EDEDED"/>
      </right>
      <top style="medium">
        <color rgb="FF000000"/>
      </top>
      <bottom style="medium">
        <color rgb="FF000000"/>
      </bottom>
      <diagonal/>
    </border>
    <border>
      <left style="medium">
        <color rgb="FFEDEDED"/>
      </left>
      <right style="medium">
        <color rgb="FF000000"/>
      </right>
      <top style="medium">
        <color rgb="FF000000"/>
      </top>
      <bottom style="medium">
        <color rgb="FFEDEDED"/>
      </bottom>
      <diagonal/>
    </border>
    <border>
      <left style="medium">
        <color rgb="FF000000"/>
      </left>
      <right style="medium">
        <color rgb="FFEDEDED"/>
      </right>
      <top style="medium">
        <color rgb="FF000000"/>
      </top>
      <bottom style="medium">
        <color rgb="FFEDEDE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4">
    <xf numFmtId="0" fontId="0" fillId="0" borderId="0" xfId="0"/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5" xfId="0" applyFill="1" applyBorder="1"/>
    <xf numFmtId="0" fontId="0" fillId="3" borderId="10" xfId="0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11" xfId="0" applyFill="1" applyBorder="1"/>
    <xf numFmtId="0" fontId="0" fillId="3" borderId="4" xfId="0" applyFill="1" applyBorder="1"/>
    <xf numFmtId="0" fontId="0" fillId="3" borderId="9" xfId="0" applyFill="1" applyBorder="1"/>
    <xf numFmtId="176" fontId="0" fillId="3" borderId="10" xfId="0" applyNumberFormat="1" applyFill="1" applyBorder="1"/>
    <xf numFmtId="0" fontId="0" fillId="3" borderId="7" xfId="0" applyFill="1" applyBorder="1"/>
    <xf numFmtId="0" fontId="0" fillId="3" borderId="2" xfId="0" applyFill="1" applyBorder="1"/>
    <xf numFmtId="0" fontId="3" fillId="3" borderId="8" xfId="0" applyFont="1" applyFill="1" applyBorder="1"/>
    <xf numFmtId="176" fontId="0" fillId="3" borderId="12" xfId="0" applyNumberFormat="1" applyFill="1" applyBorder="1"/>
    <xf numFmtId="0" fontId="2" fillId="3" borderId="7" xfId="0" applyFont="1" applyFill="1" applyBorder="1"/>
    <xf numFmtId="177" fontId="0" fillId="3" borderId="10" xfId="1" applyNumberFormat="1" applyFont="1" applyFill="1" applyBorder="1"/>
    <xf numFmtId="177" fontId="0" fillId="3" borderId="3" xfId="1" applyNumberFormat="1" applyFont="1" applyFill="1" applyBorder="1"/>
    <xf numFmtId="177" fontId="0" fillId="3" borderId="1" xfId="1" applyNumberFormat="1" applyFont="1" applyFill="1" applyBorder="1"/>
    <xf numFmtId="177" fontId="0" fillId="3" borderId="11" xfId="1" applyNumberFormat="1" applyFont="1" applyFill="1" applyBorder="1"/>
    <xf numFmtId="177" fontId="0" fillId="3" borderId="2" xfId="1" applyNumberFormat="1" applyFont="1" applyFill="1" applyBorder="1"/>
    <xf numFmtId="177" fontId="0" fillId="3" borderId="12" xfId="1" applyNumberFormat="1" applyFont="1" applyFill="1" applyBorder="1"/>
    <xf numFmtId="9" fontId="0" fillId="3" borderId="2" xfId="1" applyFont="1" applyFill="1" applyBorder="1"/>
    <xf numFmtId="177" fontId="0" fillId="3" borderId="0" xfId="1" applyNumberFormat="1" applyFont="1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2" borderId="8" xfId="0" applyFont="1" applyFill="1" applyBorder="1"/>
    <xf numFmtId="0" fontId="2" fillId="2" borderId="7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0" fillId="2" borderId="16" xfId="0" applyFill="1" applyBorder="1"/>
    <xf numFmtId="177" fontId="0" fillId="3" borderId="17" xfId="1" applyNumberFormat="1" applyFont="1" applyFill="1" applyBorder="1"/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0" xfId="1" applyNumberFormat="1" applyFont="1" applyFill="1"/>
    <xf numFmtId="2" fontId="0" fillId="3" borderId="0" xfId="0" applyNumberFormat="1" applyFill="1"/>
    <xf numFmtId="0" fontId="5" fillId="5" borderId="18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left" vertical="top" wrapText="1"/>
    </xf>
    <xf numFmtId="0" fontId="4" fillId="4" borderId="20" xfId="0" applyFont="1" applyFill="1" applyBorder="1" applyAlignment="1">
      <alignment horizontal="left" vertical="top" wrapText="1"/>
    </xf>
    <xf numFmtId="0" fontId="4" fillId="4" borderId="21" xfId="0" applyFont="1" applyFill="1" applyBorder="1" applyAlignment="1">
      <alignment horizontal="left" vertical="top" wrapText="1"/>
    </xf>
    <xf numFmtId="0" fontId="4" fillId="4" borderId="22" xfId="0" applyFont="1" applyFill="1" applyBorder="1" applyAlignment="1">
      <alignment horizontal="left" vertical="top" wrapText="1"/>
    </xf>
    <xf numFmtId="0" fontId="4" fillId="4" borderId="23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/>
    </xf>
    <xf numFmtId="41" fontId="0" fillId="3" borderId="1" xfId="2" applyFont="1" applyFill="1" applyBorder="1"/>
    <xf numFmtId="0" fontId="0" fillId="3" borderId="1" xfId="1" applyNumberFormat="1" applyFont="1" applyFill="1" applyBorder="1"/>
    <xf numFmtId="176" fontId="0" fillId="3" borderId="1" xfId="0" applyNumberFormat="1" applyFill="1" applyBorder="1"/>
    <xf numFmtId="176" fontId="0" fillId="3" borderId="3" xfId="0" applyNumberFormat="1" applyFill="1" applyBorder="1"/>
    <xf numFmtId="178" fontId="0" fillId="0" borderId="0" xfId="0" applyNumberFormat="1"/>
    <xf numFmtId="0" fontId="0" fillId="6" borderId="1" xfId="0" applyFill="1" applyBorder="1"/>
    <xf numFmtId="0" fontId="0" fillId="3" borderId="13" xfId="0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7" fillId="3" borderId="0" xfId="0" applyFont="1" applyFill="1"/>
    <xf numFmtId="178" fontId="0" fillId="3" borderId="1" xfId="0" applyNumberFormat="1" applyFill="1" applyBorder="1"/>
    <xf numFmtId="0" fontId="7" fillId="3" borderId="1" xfId="0" applyFont="1" applyFill="1" applyBorder="1" applyAlignment="1">
      <alignment horizontal="center"/>
    </xf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50"/>
  <sheetViews>
    <sheetView zoomScale="85" zoomScaleNormal="85" workbookViewId="0">
      <selection activeCell="C8" sqref="C8"/>
    </sheetView>
  </sheetViews>
  <sheetFormatPr defaultColWidth="8.8984375" defaultRowHeight="17.399999999999999" x14ac:dyDescent="0.4"/>
  <cols>
    <col min="1" max="1" width="8.8984375" style="3"/>
    <col min="2" max="2" width="13" style="3" customWidth="1"/>
    <col min="3" max="3" width="27.09765625" style="3" bestFit="1" customWidth="1"/>
    <col min="4" max="4" width="21.69921875" style="3" bestFit="1" customWidth="1"/>
    <col min="5" max="5" width="22.8984375" style="3" bestFit="1" customWidth="1"/>
    <col min="6" max="6" width="15.3984375" style="3" customWidth="1"/>
    <col min="7" max="7" width="22.19921875" style="3" bestFit="1" customWidth="1"/>
    <col min="8" max="8" width="32.19921875" style="3" bestFit="1" customWidth="1"/>
    <col min="9" max="16384" width="8.8984375" style="3"/>
  </cols>
  <sheetData>
    <row r="3" spans="2:8" ht="18" thickBot="1" x14ac:dyDescent="0.45">
      <c r="C3" s="3" t="s">
        <v>19</v>
      </c>
    </row>
    <row r="4" spans="2:8" x14ac:dyDescent="0.4">
      <c r="C4" s="1" t="s">
        <v>18</v>
      </c>
      <c r="D4" s="2" t="s">
        <v>11</v>
      </c>
      <c r="E4" s="4" t="s">
        <v>1</v>
      </c>
      <c r="F4" s="5" t="s">
        <v>2</v>
      </c>
      <c r="G4" s="5" t="s">
        <v>3</v>
      </c>
    </row>
    <row r="5" spans="2:8" x14ac:dyDescent="0.4">
      <c r="B5" s="53"/>
      <c r="C5" s="6" t="s">
        <v>0</v>
      </c>
      <c r="D5" s="7">
        <f>SUM(E5:G5)</f>
        <v>0.32481099999999996</v>
      </c>
      <c r="E5" s="8">
        <v>1.078E-3</v>
      </c>
      <c r="F5" s="9">
        <v>5.6070000000000002E-2</v>
      </c>
      <c r="G5" s="9">
        <v>0.26766299999999998</v>
      </c>
    </row>
    <row r="6" spans="2:8" x14ac:dyDescent="0.4">
      <c r="B6" s="53"/>
      <c r="C6" s="6" t="s">
        <v>4</v>
      </c>
      <c r="D6" s="7">
        <f>SUM(E6:G6)</f>
        <v>0.147427</v>
      </c>
      <c r="E6" s="8">
        <v>1.95E-4</v>
      </c>
      <c r="F6" s="9">
        <v>4.1332000000000001E-2</v>
      </c>
      <c r="G6" s="9">
        <v>0.10589999999999999</v>
      </c>
    </row>
    <row r="7" spans="2:8" x14ac:dyDescent="0.4">
      <c r="B7" s="53"/>
      <c r="C7" s="6" t="s">
        <v>5</v>
      </c>
      <c r="D7" s="7">
        <f>SUM(E7:G7)</f>
        <v>4.0030999999999997E-2</v>
      </c>
      <c r="E7" s="8">
        <v>1.5799999999999999E-4</v>
      </c>
      <c r="F7" s="9">
        <v>1.8231000000000001E-2</v>
      </c>
      <c r="G7" s="9">
        <v>2.1642000000000002E-2</v>
      </c>
    </row>
    <row r="8" spans="2:8" ht="18" thickBot="1" x14ac:dyDescent="0.45">
      <c r="B8" s="53"/>
      <c r="C8" s="10" t="s">
        <v>6</v>
      </c>
      <c r="D8" s="11">
        <f>SUM(E8:G8)</f>
        <v>2.1454000000000001E-2</v>
      </c>
      <c r="E8" s="8">
        <v>1.26E-4</v>
      </c>
      <c r="F8" s="9">
        <v>7.7299999999999999E-3</v>
      </c>
      <c r="G8" s="9">
        <v>1.3598000000000001E-2</v>
      </c>
    </row>
    <row r="9" spans="2:8" x14ac:dyDescent="0.4">
      <c r="B9" s="53"/>
      <c r="C9" s="12"/>
      <c r="D9" s="13"/>
      <c r="E9" s="4" t="s">
        <v>9</v>
      </c>
      <c r="F9" s="5" t="s">
        <v>10</v>
      </c>
      <c r="G9" s="5" t="s">
        <v>3</v>
      </c>
    </row>
    <row r="10" spans="2:8" x14ac:dyDescent="0.4">
      <c r="B10" s="53"/>
      <c r="C10" s="6" t="s">
        <v>7</v>
      </c>
      <c r="D10" s="14">
        <f>SUM(E10:G10)</f>
        <v>4.3794000000000003E-3</v>
      </c>
      <c r="E10" s="8">
        <v>1.03E-4</v>
      </c>
      <c r="F10" s="9">
        <v>1.3514E-3</v>
      </c>
      <c r="G10" s="9">
        <v>2.9250000000000001E-3</v>
      </c>
    </row>
    <row r="11" spans="2:8" ht="18" thickBot="1" x14ac:dyDescent="0.45">
      <c r="B11" s="53"/>
      <c r="C11" s="10" t="s">
        <v>8</v>
      </c>
      <c r="D11" s="11">
        <f>SUM(E11:G11)</f>
        <v>9.3479999999999987E-3</v>
      </c>
      <c r="E11" s="8">
        <v>2.9740000000000001E-3</v>
      </c>
      <c r="F11" s="9">
        <v>2.4269999999999999E-3</v>
      </c>
      <c r="G11" s="9">
        <v>3.947E-3</v>
      </c>
    </row>
    <row r="12" spans="2:8" ht="18" thickBot="1" x14ac:dyDescent="0.45">
      <c r="C12" s="15" t="s">
        <v>12</v>
      </c>
      <c r="D12" s="16">
        <v>9.9170000000000005E-3</v>
      </c>
    </row>
    <row r="13" spans="2:8" x14ac:dyDescent="0.4">
      <c r="C13" s="12"/>
      <c r="D13" s="13"/>
      <c r="E13" s="4" t="s">
        <v>1</v>
      </c>
      <c r="F13" s="5" t="s">
        <v>2</v>
      </c>
      <c r="G13" s="5" t="s">
        <v>14</v>
      </c>
      <c r="H13" s="5" t="s">
        <v>15</v>
      </c>
    </row>
    <row r="14" spans="2:8" ht="18" thickBot="1" x14ac:dyDescent="0.45">
      <c r="C14" s="10" t="s">
        <v>13</v>
      </c>
      <c r="D14" s="11">
        <f>SUM(E14:H14)</f>
        <v>2.3800000000000002E-2</v>
      </c>
      <c r="E14" s="8">
        <v>1.17E-4</v>
      </c>
      <c r="F14" s="9">
        <v>1.1141E-2</v>
      </c>
      <c r="G14" s="9">
        <v>9.6550000000000004E-3</v>
      </c>
      <c r="H14" s="9">
        <v>2.8869999999999998E-3</v>
      </c>
    </row>
    <row r="15" spans="2:8" ht="18" thickBot="1" x14ac:dyDescent="0.45">
      <c r="C15" s="17" t="s">
        <v>20</v>
      </c>
      <c r="D15" s="18">
        <f>D16-SUM(D5:D14)</f>
        <v>5.5165999999999826E-3</v>
      </c>
    </row>
    <row r="16" spans="2:8" ht="18" thickBot="1" x14ac:dyDescent="0.45">
      <c r="C16" s="19" t="s">
        <v>16</v>
      </c>
      <c r="D16" s="16">
        <v>0.58668399999999998</v>
      </c>
    </row>
    <row r="21" spans="2:8" ht="18" thickBot="1" x14ac:dyDescent="0.45">
      <c r="C21" s="3" t="s">
        <v>17</v>
      </c>
    </row>
    <row r="22" spans="2:8" ht="18" thickBot="1" x14ac:dyDescent="0.45">
      <c r="B22" s="33" t="s">
        <v>36</v>
      </c>
      <c r="C22" s="36" t="s">
        <v>18</v>
      </c>
      <c r="D22" s="37" t="s">
        <v>11</v>
      </c>
      <c r="E22" s="4" t="s">
        <v>1</v>
      </c>
      <c r="F22" s="5" t="s">
        <v>2</v>
      </c>
      <c r="G22" s="5" t="s">
        <v>3</v>
      </c>
    </row>
    <row r="23" spans="2:8" x14ac:dyDescent="0.4">
      <c r="B23" s="54" t="s">
        <v>34</v>
      </c>
      <c r="C23" s="34" t="s">
        <v>0</v>
      </c>
      <c r="D23" s="35">
        <f>D5/$D$16</f>
        <v>0.55363875612765978</v>
      </c>
      <c r="E23" s="21">
        <f>E5/$D$16</f>
        <v>1.8374457118312414E-3</v>
      </c>
      <c r="F23" s="22">
        <f>F5/$D$16</f>
        <v>9.5571039946547046E-2</v>
      </c>
      <c r="G23" s="22">
        <f>G5/$D$16</f>
        <v>0.45623027046928155</v>
      </c>
    </row>
    <row r="24" spans="2:8" x14ac:dyDescent="0.4">
      <c r="B24" s="55"/>
      <c r="C24" s="28" t="s">
        <v>4</v>
      </c>
      <c r="D24" s="20">
        <f t="shared" ref="D24:G26" si="0">D6/$D$16</f>
        <v>0.25128859829141414</v>
      </c>
      <c r="E24" s="21">
        <f t="shared" si="0"/>
        <v>3.3237654342030805E-4</v>
      </c>
      <c r="F24" s="22">
        <f t="shared" si="0"/>
        <v>7.0450191244349605E-2</v>
      </c>
      <c r="G24" s="22">
        <f t="shared" si="0"/>
        <v>0.18050603050364419</v>
      </c>
    </row>
    <row r="25" spans="2:8" x14ac:dyDescent="0.4">
      <c r="B25" s="55"/>
      <c r="C25" s="28" t="s">
        <v>5</v>
      </c>
      <c r="D25" s="20">
        <f t="shared" si="0"/>
        <v>6.823264312645308E-2</v>
      </c>
      <c r="E25" s="21">
        <f t="shared" si="0"/>
        <v>2.6931022492517265E-4</v>
      </c>
      <c r="F25" s="22">
        <f t="shared" si="0"/>
        <v>3.1074650067157109E-2</v>
      </c>
      <c r="G25" s="22">
        <f t="shared" si="0"/>
        <v>3.6888682834370808E-2</v>
      </c>
    </row>
    <row r="26" spans="2:8" ht="18" thickBot="1" x14ac:dyDescent="0.45">
      <c r="B26" s="55"/>
      <c r="C26" s="29" t="s">
        <v>6</v>
      </c>
      <c r="D26" s="23">
        <f t="shared" si="0"/>
        <v>3.6568237756611742E-2</v>
      </c>
      <c r="E26" s="21">
        <f t="shared" si="0"/>
        <v>2.1476638190235289E-4</v>
      </c>
      <c r="F26" s="22">
        <f t="shared" si="0"/>
        <v>1.3175747080199904E-2</v>
      </c>
      <c r="G26" s="22">
        <f t="shared" si="0"/>
        <v>2.3177724294509483E-2</v>
      </c>
    </row>
    <row r="27" spans="2:8" x14ac:dyDescent="0.4">
      <c r="B27" s="55"/>
      <c r="C27" s="57"/>
      <c r="D27" s="58"/>
      <c r="E27" s="4" t="s">
        <v>9</v>
      </c>
      <c r="F27" s="5" t="s">
        <v>10</v>
      </c>
      <c r="G27" s="5" t="s">
        <v>3</v>
      </c>
    </row>
    <row r="28" spans="2:8" x14ac:dyDescent="0.4">
      <c r="B28" s="55"/>
      <c r="C28" s="28" t="s">
        <v>7</v>
      </c>
      <c r="D28" s="20">
        <f t="shared" ref="D28:G29" si="1">D10/$D$16</f>
        <v>7.4646658166917807E-3</v>
      </c>
      <c r="E28" s="21">
        <f t="shared" si="1"/>
        <v>1.7556299472970115E-4</v>
      </c>
      <c r="F28" s="22">
        <f t="shared" si="1"/>
        <v>2.3034546706574579E-3</v>
      </c>
      <c r="G28" s="22">
        <f t="shared" si="1"/>
        <v>4.9856481513046213E-3</v>
      </c>
    </row>
    <row r="29" spans="2:8" ht="18" thickBot="1" x14ac:dyDescent="0.45">
      <c r="B29" s="56"/>
      <c r="C29" s="29" t="s">
        <v>8</v>
      </c>
      <c r="D29" s="23">
        <f t="shared" si="1"/>
        <v>1.5933620143041227E-2</v>
      </c>
      <c r="E29" s="21">
        <f t="shared" si="1"/>
        <v>5.0691684109333132E-3</v>
      </c>
      <c r="F29" s="22">
        <f t="shared" si="1"/>
        <v>4.1368095942619877E-3</v>
      </c>
      <c r="G29" s="22">
        <f t="shared" si="1"/>
        <v>6.7276421378459272E-3</v>
      </c>
    </row>
    <row r="30" spans="2:8" ht="18" thickBot="1" x14ac:dyDescent="0.45">
      <c r="B30" s="54" t="s">
        <v>35</v>
      </c>
      <c r="C30" s="30" t="s">
        <v>12</v>
      </c>
      <c r="D30" s="24">
        <f>D12/$D$16</f>
        <v>1.6903477851790742E-2</v>
      </c>
    </row>
    <row r="31" spans="2:8" x14ac:dyDescent="0.4">
      <c r="B31" s="54"/>
      <c r="C31" s="57"/>
      <c r="D31" s="58"/>
      <c r="E31" s="4" t="s">
        <v>1</v>
      </c>
      <c r="F31" s="5" t="s">
        <v>2</v>
      </c>
      <c r="G31" s="5" t="s">
        <v>14</v>
      </c>
      <c r="H31" s="5" t="s">
        <v>15</v>
      </c>
    </row>
    <row r="32" spans="2:8" ht="18" thickBot="1" x14ac:dyDescent="0.45">
      <c r="B32" s="59"/>
      <c r="C32" s="29" t="s">
        <v>13</v>
      </c>
      <c r="D32" s="23">
        <f t="shared" ref="D32:H34" si="2">D14/$D$16</f>
        <v>4.0566983248222215E-2</v>
      </c>
      <c r="E32" s="21">
        <f t="shared" si="2"/>
        <v>1.9942592605218481E-4</v>
      </c>
      <c r="F32" s="22">
        <f t="shared" si="2"/>
        <v>1.8989779847413599E-2</v>
      </c>
      <c r="G32" s="22">
        <f t="shared" si="2"/>
        <v>1.6456900137041406E-2</v>
      </c>
      <c r="H32" s="22">
        <f t="shared" si="2"/>
        <v>4.9208773377150215E-3</v>
      </c>
    </row>
    <row r="33" spans="3:4" ht="18" thickBot="1" x14ac:dyDescent="0.45">
      <c r="C33" s="31" t="s">
        <v>20</v>
      </c>
      <c r="D33" s="25">
        <f t="shared" si="2"/>
        <v>9.4030176381152079E-3</v>
      </c>
    </row>
    <row r="34" spans="3:4" ht="18" thickBot="1" x14ac:dyDescent="0.45">
      <c r="C34" s="32" t="s">
        <v>16</v>
      </c>
      <c r="D34" s="26">
        <f t="shared" si="2"/>
        <v>1</v>
      </c>
    </row>
    <row r="36" spans="3:4" x14ac:dyDescent="0.4">
      <c r="D36" s="27"/>
    </row>
    <row r="37" spans="3:4" x14ac:dyDescent="0.4">
      <c r="D37" s="27"/>
    </row>
    <row r="38" spans="3:4" x14ac:dyDescent="0.4">
      <c r="C38" s="3" t="s">
        <v>33</v>
      </c>
    </row>
    <row r="39" spans="3:4" x14ac:dyDescent="0.4">
      <c r="C39" s="3" t="s">
        <v>21</v>
      </c>
    </row>
    <row r="40" spans="3:4" x14ac:dyDescent="0.4">
      <c r="C40" s="3" t="s">
        <v>22</v>
      </c>
    </row>
    <row r="41" spans="3:4" x14ac:dyDescent="0.4">
      <c r="C41" s="3" t="s">
        <v>23</v>
      </c>
    </row>
    <row r="42" spans="3:4" x14ac:dyDescent="0.4">
      <c r="C42" s="3" t="s">
        <v>24</v>
      </c>
    </row>
    <row r="43" spans="3:4" x14ac:dyDescent="0.4">
      <c r="C43" s="3" t="s">
        <v>25</v>
      </c>
    </row>
    <row r="44" spans="3:4" x14ac:dyDescent="0.4">
      <c r="C44" s="3" t="s">
        <v>26</v>
      </c>
    </row>
    <row r="45" spans="3:4" x14ac:dyDescent="0.4">
      <c r="C45" s="3" t="s">
        <v>27</v>
      </c>
    </row>
    <row r="46" spans="3:4" x14ac:dyDescent="0.4">
      <c r="C46" s="3" t="s">
        <v>28</v>
      </c>
    </row>
    <row r="47" spans="3:4" x14ac:dyDescent="0.4">
      <c r="C47" s="3" t="s">
        <v>29</v>
      </c>
    </row>
    <row r="48" spans="3:4" x14ac:dyDescent="0.4">
      <c r="C48" s="3" t="s">
        <v>30</v>
      </c>
    </row>
    <row r="49" spans="3:3" x14ac:dyDescent="0.4">
      <c r="C49" s="3" t="s">
        <v>31</v>
      </c>
    </row>
    <row r="50" spans="3:3" x14ac:dyDescent="0.4">
      <c r="C50" s="3" t="s">
        <v>32</v>
      </c>
    </row>
  </sheetData>
  <mergeCells count="5">
    <mergeCell ref="B5:B11"/>
    <mergeCell ref="B23:B29"/>
    <mergeCell ref="C27:D27"/>
    <mergeCell ref="B30:B32"/>
    <mergeCell ref="C31:D31"/>
  </mergeCells>
  <phoneticPr fontId="6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4"/>
  <sheetViews>
    <sheetView workbookViewId="0">
      <selection activeCell="H18" sqref="H18"/>
    </sheetView>
  </sheetViews>
  <sheetFormatPr defaultRowHeight="17.399999999999999" x14ac:dyDescent="0.4"/>
  <sheetData>
    <row r="1" spans="2:23" x14ac:dyDescent="0.4">
      <c r="G1" t="s">
        <v>63</v>
      </c>
      <c r="O1" t="s">
        <v>63</v>
      </c>
      <c r="V1" t="s">
        <v>63</v>
      </c>
    </row>
    <row r="2" spans="2:23" x14ac:dyDescent="0.4">
      <c r="B2" t="s">
        <v>60</v>
      </c>
      <c r="C2">
        <v>1</v>
      </c>
      <c r="D2">
        <v>2</v>
      </c>
      <c r="E2">
        <v>3</v>
      </c>
      <c r="F2">
        <v>4</v>
      </c>
      <c r="G2">
        <v>5</v>
      </c>
      <c r="H2" t="s">
        <v>65</v>
      </c>
      <c r="L2" t="s">
        <v>64</v>
      </c>
      <c r="M2">
        <v>1</v>
      </c>
      <c r="N2">
        <v>2</v>
      </c>
      <c r="O2">
        <v>3</v>
      </c>
      <c r="P2" t="s">
        <v>65</v>
      </c>
      <c r="S2" t="s">
        <v>66</v>
      </c>
      <c r="T2">
        <v>1</v>
      </c>
      <c r="U2">
        <v>2</v>
      </c>
      <c r="V2">
        <v>3</v>
      </c>
      <c r="W2" t="s">
        <v>65</v>
      </c>
    </row>
    <row r="3" spans="2:23" x14ac:dyDescent="0.4">
      <c r="B3" t="s">
        <v>62</v>
      </c>
      <c r="C3">
        <v>5.33</v>
      </c>
      <c r="D3">
        <v>4.7</v>
      </c>
      <c r="E3">
        <v>4.0999999999999996</v>
      </c>
      <c r="F3">
        <v>2.98</v>
      </c>
      <c r="G3">
        <v>3.1</v>
      </c>
      <c r="H3" s="51">
        <f>AVERAGE(E3:G3)</f>
        <v>3.3933333333333331</v>
      </c>
      <c r="L3" t="s">
        <v>62</v>
      </c>
      <c r="M3">
        <v>3.5</v>
      </c>
      <c r="N3">
        <v>2.8</v>
      </c>
      <c r="O3">
        <v>2.87</v>
      </c>
      <c r="P3" s="51">
        <f>AVERAGE(M3:O3)</f>
        <v>3.0566666666666666</v>
      </c>
      <c r="S3" t="s">
        <v>62</v>
      </c>
      <c r="T3">
        <v>3.09</v>
      </c>
      <c r="U3">
        <v>2.9</v>
      </c>
      <c r="V3">
        <v>2.88</v>
      </c>
      <c r="W3" s="51">
        <f>AVERAGE(T3:V3)</f>
        <v>2.956666666666667</v>
      </c>
    </row>
    <row r="4" spans="2:23" x14ac:dyDescent="0.4">
      <c r="B4" t="s">
        <v>61</v>
      </c>
      <c r="C4">
        <v>17.57</v>
      </c>
      <c r="D4">
        <v>15.33</v>
      </c>
      <c r="E4">
        <v>13.9</v>
      </c>
      <c r="F4">
        <v>12.7</v>
      </c>
      <c r="G4">
        <v>13.07</v>
      </c>
      <c r="H4" s="51">
        <f>AVERAGE(E4:G4)</f>
        <v>13.223333333333334</v>
      </c>
      <c r="L4" t="s">
        <v>61</v>
      </c>
      <c r="M4">
        <v>21.4</v>
      </c>
      <c r="N4">
        <v>20.86</v>
      </c>
      <c r="O4">
        <v>20.95</v>
      </c>
      <c r="P4" s="51">
        <f>AVERAGE(M4:O4)</f>
        <v>21.069999999999997</v>
      </c>
      <c r="S4" t="s">
        <v>61</v>
      </c>
      <c r="T4">
        <v>16.27</v>
      </c>
      <c r="U4">
        <v>16.41</v>
      </c>
      <c r="V4">
        <v>15.89</v>
      </c>
      <c r="W4" s="51">
        <f>AVERAGE(T4:V4)</f>
        <v>16.190000000000001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38"/>
  <sheetViews>
    <sheetView zoomScale="80" zoomScaleNormal="80" workbookViewId="0">
      <selection activeCell="H14" sqref="H14"/>
    </sheetView>
  </sheetViews>
  <sheetFormatPr defaultColWidth="8.8984375" defaultRowHeight="17.399999999999999" x14ac:dyDescent="0.4"/>
  <cols>
    <col min="1" max="1" width="8.8984375" style="3"/>
    <col min="2" max="2" width="13" style="3" customWidth="1"/>
    <col min="3" max="3" width="27.09765625" style="3" bestFit="1" customWidth="1"/>
    <col min="4" max="4" width="21.69921875" style="3" bestFit="1" customWidth="1"/>
    <col min="5" max="5" width="22.8984375" style="3" bestFit="1" customWidth="1"/>
    <col min="6" max="6" width="15.3984375" style="3" customWidth="1"/>
    <col min="7" max="7" width="22.19921875" style="3" bestFit="1" customWidth="1"/>
    <col min="8" max="8" width="32.19921875" style="3" bestFit="1" customWidth="1"/>
    <col min="9" max="16384" width="8.8984375" style="3"/>
  </cols>
  <sheetData>
    <row r="3" spans="2:8" ht="18" thickBot="1" x14ac:dyDescent="0.45">
      <c r="C3" s="3" t="s">
        <v>19</v>
      </c>
    </row>
    <row r="4" spans="2:8" x14ac:dyDescent="0.4">
      <c r="C4" s="1" t="s">
        <v>18</v>
      </c>
      <c r="D4" s="2" t="s">
        <v>11</v>
      </c>
      <c r="E4" s="4" t="s">
        <v>38</v>
      </c>
      <c r="F4" s="5" t="s">
        <v>2</v>
      </c>
      <c r="G4" s="5" t="s">
        <v>3</v>
      </c>
    </row>
    <row r="5" spans="2:8" x14ac:dyDescent="0.4">
      <c r="B5" s="53"/>
      <c r="C5" s="6" t="s">
        <v>0</v>
      </c>
      <c r="D5" s="7">
        <f>SUM(E5:G5)</f>
        <v>6.1373999999999998E-2</v>
      </c>
      <c r="E5" s="8">
        <v>3.9199999999999999E-4</v>
      </c>
      <c r="F5" s="9">
        <v>4.4819999999999999E-3</v>
      </c>
      <c r="G5" s="49">
        <v>5.6500000000000002E-2</v>
      </c>
    </row>
    <row r="6" spans="2:8" x14ac:dyDescent="0.4">
      <c r="B6" s="53"/>
      <c r="C6" s="6" t="s">
        <v>4</v>
      </c>
      <c r="D6" s="7">
        <f>SUM(E6:G6)</f>
        <v>7.1900000000000002E-4</v>
      </c>
      <c r="E6" s="8">
        <v>9.3999999999999994E-5</v>
      </c>
      <c r="F6" s="9">
        <v>2.1800000000000001E-4</v>
      </c>
      <c r="G6" s="9">
        <v>4.0700000000000003E-4</v>
      </c>
    </row>
    <row r="7" spans="2:8" x14ac:dyDescent="0.4">
      <c r="B7" s="53"/>
      <c r="C7" s="6" t="s">
        <v>5</v>
      </c>
      <c r="D7" s="7">
        <f>SUM(E7:G7)</f>
        <v>8.7299999999999997E-4</v>
      </c>
      <c r="E7" s="8">
        <v>8.5000000000000006E-5</v>
      </c>
      <c r="F7" s="9">
        <v>2.05E-4</v>
      </c>
      <c r="G7" s="9">
        <v>5.8299999999999997E-4</v>
      </c>
    </row>
    <row r="8" spans="2:8" ht="18" thickBot="1" x14ac:dyDescent="0.45">
      <c r="B8" s="53"/>
      <c r="C8" s="10" t="s">
        <v>6</v>
      </c>
      <c r="D8" s="11">
        <f>SUM(E8:G8)</f>
        <v>6.8599999999999998E-4</v>
      </c>
      <c r="E8" s="8">
        <v>8.3999999999999995E-5</v>
      </c>
      <c r="F8" s="9">
        <v>2.0100000000000001E-4</v>
      </c>
      <c r="G8" s="9">
        <v>4.0099999999999999E-4</v>
      </c>
    </row>
    <row r="9" spans="2:8" x14ac:dyDescent="0.4">
      <c r="B9" s="53"/>
      <c r="C9" s="12"/>
      <c r="D9" s="13"/>
      <c r="E9" s="4" t="s">
        <v>37</v>
      </c>
      <c r="F9" s="5" t="s">
        <v>10</v>
      </c>
      <c r="G9" s="5" t="s">
        <v>3</v>
      </c>
    </row>
    <row r="10" spans="2:8" x14ac:dyDescent="0.4">
      <c r="B10" s="53"/>
      <c r="C10" s="6" t="s">
        <v>7</v>
      </c>
      <c r="D10" s="14">
        <f>SUM(E10:G10)</f>
        <v>1.1330000000000001E-3</v>
      </c>
      <c r="E10" s="8">
        <v>5.9100000000000005E-4</v>
      </c>
      <c r="F10" s="9">
        <v>4.6E-5</v>
      </c>
      <c r="G10" s="9">
        <v>4.9600000000000002E-4</v>
      </c>
    </row>
    <row r="11" spans="2:8" ht="18" thickBot="1" x14ac:dyDescent="0.45">
      <c r="B11" s="53"/>
      <c r="C11" s="10" t="s">
        <v>8</v>
      </c>
      <c r="D11" s="11">
        <f>SUM(E11:G11)</f>
        <v>6.3900000000000003E-4</v>
      </c>
      <c r="E11" s="8">
        <v>1.5899999999999999E-4</v>
      </c>
      <c r="F11" s="9">
        <v>3.1999999999999999E-5</v>
      </c>
      <c r="G11" s="9">
        <v>4.4799999999999999E-4</v>
      </c>
    </row>
    <row r="12" spans="2:8" ht="18" thickBot="1" x14ac:dyDescent="0.45">
      <c r="C12" s="15" t="s">
        <v>12</v>
      </c>
      <c r="D12" s="16">
        <v>7.1599999999999995E-4</v>
      </c>
    </row>
    <row r="13" spans="2:8" x14ac:dyDescent="0.4">
      <c r="C13" s="12"/>
      <c r="D13" s="13"/>
      <c r="E13" s="4" t="s">
        <v>1</v>
      </c>
      <c r="F13" s="5" t="s">
        <v>2</v>
      </c>
      <c r="G13" s="5" t="s">
        <v>14</v>
      </c>
      <c r="H13" s="5" t="s">
        <v>15</v>
      </c>
    </row>
    <row r="14" spans="2:8" ht="18" thickBot="1" x14ac:dyDescent="0.45">
      <c r="C14" s="10" t="s">
        <v>13</v>
      </c>
      <c r="D14" s="11">
        <f>SUM(E14:H14)</f>
        <v>2.3130999999999999E-2</v>
      </c>
      <c r="E14" s="8">
        <v>8.5000000000000006E-5</v>
      </c>
      <c r="F14" s="9">
        <v>1.9900000000000001E-4</v>
      </c>
      <c r="G14" s="9">
        <v>3.9100000000000002E-4</v>
      </c>
      <c r="H14" s="9">
        <v>2.2456E-2</v>
      </c>
    </row>
    <row r="15" spans="2:8" ht="18" thickBot="1" x14ac:dyDescent="0.45">
      <c r="C15" s="17" t="s">
        <v>20</v>
      </c>
      <c r="D15" s="18">
        <f>D16-SUM(D5:D14)</f>
        <v>1.1420000000000041E-3</v>
      </c>
    </row>
    <row r="16" spans="2:8" ht="18" thickBot="1" x14ac:dyDescent="0.45">
      <c r="C16" s="19" t="s">
        <v>16</v>
      </c>
      <c r="D16" s="16">
        <v>9.0412999999999993E-2</v>
      </c>
    </row>
    <row r="21" spans="2:8" ht="18" thickBot="1" x14ac:dyDescent="0.45">
      <c r="C21" s="3" t="s">
        <v>17</v>
      </c>
    </row>
    <row r="22" spans="2:8" ht="18" thickBot="1" x14ac:dyDescent="0.45">
      <c r="B22" s="33" t="s">
        <v>36</v>
      </c>
      <c r="C22" s="36" t="s">
        <v>18</v>
      </c>
      <c r="D22" s="37" t="s">
        <v>11</v>
      </c>
      <c r="E22" s="4" t="s">
        <v>38</v>
      </c>
      <c r="F22" s="5" t="s">
        <v>2</v>
      </c>
      <c r="G22" s="5" t="s">
        <v>3</v>
      </c>
    </row>
    <row r="23" spans="2:8" x14ac:dyDescent="0.4">
      <c r="B23" s="54" t="s">
        <v>34</v>
      </c>
      <c r="C23" s="34" t="s">
        <v>0</v>
      </c>
      <c r="D23" s="35">
        <f>D5/$D$16</f>
        <v>0.67881831152599736</v>
      </c>
      <c r="E23" s="21">
        <f>E5/$D$16</f>
        <v>4.3356596949553714E-3</v>
      </c>
      <c r="F23" s="22">
        <f>F5/$D$16</f>
        <v>4.957251722650504E-2</v>
      </c>
      <c r="G23" s="22">
        <f>G5/$D$16</f>
        <v>0.62491013460453704</v>
      </c>
    </row>
    <row r="24" spans="2:8" x14ac:dyDescent="0.4">
      <c r="B24" s="55"/>
      <c r="C24" s="28" t="s">
        <v>4</v>
      </c>
      <c r="D24" s="20">
        <f t="shared" ref="D24:G26" si="0">D6/$D$16</f>
        <v>7.95239622620641E-3</v>
      </c>
      <c r="E24" s="21">
        <f t="shared" si="0"/>
        <v>1.0396734982801145E-3</v>
      </c>
      <c r="F24" s="22">
        <f t="shared" si="0"/>
        <v>2.4111576875006915E-3</v>
      </c>
      <c r="G24" s="22">
        <f t="shared" si="0"/>
        <v>4.5015650404256029E-3</v>
      </c>
    </row>
    <row r="25" spans="2:8" x14ac:dyDescent="0.4">
      <c r="B25" s="55"/>
      <c r="C25" s="28" t="s">
        <v>5</v>
      </c>
      <c r="D25" s="20">
        <f t="shared" si="0"/>
        <v>9.6556911063674471E-3</v>
      </c>
      <c r="E25" s="21">
        <f t="shared" si="0"/>
        <v>9.4013029099797611E-4</v>
      </c>
      <c r="F25" s="22">
        <f t="shared" si="0"/>
        <v>2.2673730547598243E-3</v>
      </c>
      <c r="G25" s="22">
        <f t="shared" si="0"/>
        <v>6.4481877606096466E-3</v>
      </c>
    </row>
    <row r="26" spans="2:8" ht="18" thickBot="1" x14ac:dyDescent="0.45">
      <c r="B26" s="55"/>
      <c r="C26" s="29" t="s">
        <v>6</v>
      </c>
      <c r="D26" s="23">
        <f t="shared" si="0"/>
        <v>7.5874044661719004E-3</v>
      </c>
      <c r="E26" s="21">
        <f t="shared" si="0"/>
        <v>9.2906993463329386E-4</v>
      </c>
      <c r="F26" s="22">
        <f t="shared" si="0"/>
        <v>2.2231316293010962E-3</v>
      </c>
      <c r="G26" s="22">
        <f t="shared" si="0"/>
        <v>4.4352029022375105E-3</v>
      </c>
    </row>
    <row r="27" spans="2:8" x14ac:dyDescent="0.4">
      <c r="B27" s="55"/>
      <c r="C27" s="57"/>
      <c r="D27" s="58"/>
      <c r="E27" s="4" t="s">
        <v>37</v>
      </c>
      <c r="F27" s="5" t="s">
        <v>10</v>
      </c>
      <c r="G27" s="5" t="s">
        <v>3</v>
      </c>
    </row>
    <row r="28" spans="2:8" x14ac:dyDescent="0.4">
      <c r="B28" s="55"/>
      <c r="C28" s="28" t="s">
        <v>7</v>
      </c>
      <c r="D28" s="20">
        <f t="shared" ref="D28:G29" si="1">D10/$D$16</f>
        <v>1.2531383761184787E-2</v>
      </c>
      <c r="E28" s="21">
        <f t="shared" si="1"/>
        <v>6.5366706115271046E-3</v>
      </c>
      <c r="F28" s="22">
        <f t="shared" si="1"/>
        <v>5.0877639277537522E-4</v>
      </c>
      <c r="G28" s="22">
        <f t="shared" si="1"/>
        <v>5.4859367568823071E-3</v>
      </c>
    </row>
    <row r="29" spans="2:8" ht="18" thickBot="1" x14ac:dyDescent="0.45">
      <c r="B29" s="56"/>
      <c r="C29" s="29" t="s">
        <v>8</v>
      </c>
      <c r="D29" s="23">
        <f t="shared" si="1"/>
        <v>7.0675677170318439E-3</v>
      </c>
      <c r="E29" s="21">
        <f t="shared" si="1"/>
        <v>1.7585966619844491E-3</v>
      </c>
      <c r="F29" s="22">
        <f t="shared" si="1"/>
        <v>3.5393140366982623E-4</v>
      </c>
      <c r="G29" s="22">
        <f t="shared" si="1"/>
        <v>4.9550396513775678E-3</v>
      </c>
    </row>
    <row r="30" spans="2:8" ht="18" thickBot="1" x14ac:dyDescent="0.45">
      <c r="B30" s="54" t="s">
        <v>35</v>
      </c>
      <c r="C30" s="30" t="s">
        <v>12</v>
      </c>
      <c r="D30" s="24">
        <f>D12/$D$16</f>
        <v>7.9192151571123616E-3</v>
      </c>
    </row>
    <row r="31" spans="2:8" x14ac:dyDescent="0.4">
      <c r="B31" s="54"/>
      <c r="C31" s="57"/>
      <c r="D31" s="58"/>
      <c r="E31" s="4" t="s">
        <v>1</v>
      </c>
      <c r="F31" s="5" t="s">
        <v>2</v>
      </c>
      <c r="G31" s="5" t="s">
        <v>14</v>
      </c>
      <c r="H31" s="5" t="s">
        <v>15</v>
      </c>
    </row>
    <row r="32" spans="2:8" ht="18" thickBot="1" x14ac:dyDescent="0.45">
      <c r="B32" s="59"/>
      <c r="C32" s="29" t="s">
        <v>13</v>
      </c>
      <c r="D32" s="23">
        <f t="shared" ref="D32:H34" si="2">D14/$D$16</f>
        <v>0.25583710307146096</v>
      </c>
      <c r="E32" s="21">
        <f t="shared" si="2"/>
        <v>9.4013029099797611E-4</v>
      </c>
      <c r="F32" s="22">
        <f t="shared" si="2"/>
        <v>2.2010109165717323E-3</v>
      </c>
      <c r="G32" s="22">
        <f t="shared" si="2"/>
        <v>4.3245993385906895E-3</v>
      </c>
      <c r="H32" s="22">
        <f t="shared" si="2"/>
        <v>0.24837136252530059</v>
      </c>
    </row>
    <row r="33" spans="3:5" ht="18" thickBot="1" x14ac:dyDescent="0.45">
      <c r="C33" s="31" t="s">
        <v>20</v>
      </c>
      <c r="D33" s="25">
        <f t="shared" si="2"/>
        <v>1.263092696846697E-2</v>
      </c>
    </row>
    <row r="34" spans="3:5" ht="18" thickBot="1" x14ac:dyDescent="0.45">
      <c r="C34" s="32" t="s">
        <v>16</v>
      </c>
      <c r="D34" s="26">
        <f t="shared" si="2"/>
        <v>1</v>
      </c>
    </row>
    <row r="36" spans="3:5" x14ac:dyDescent="0.4">
      <c r="D36" s="27"/>
    </row>
    <row r="37" spans="3:5" x14ac:dyDescent="0.4">
      <c r="C37" s="3" t="s">
        <v>39</v>
      </c>
      <c r="D37" s="38">
        <v>195815424</v>
      </c>
    </row>
    <row r="38" spans="3:5" x14ac:dyDescent="0.4">
      <c r="D38" s="39">
        <f>D37/2^20</f>
        <v>186.744140625</v>
      </c>
      <c r="E38" s="3" t="s">
        <v>40</v>
      </c>
    </row>
  </sheetData>
  <mergeCells count="5">
    <mergeCell ref="B5:B11"/>
    <mergeCell ref="B23:B29"/>
    <mergeCell ref="C27:D27"/>
    <mergeCell ref="B30:B32"/>
    <mergeCell ref="C31:D31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4829-5946-47B7-8936-F011EB4BABC0}">
  <dimension ref="B3:H38"/>
  <sheetViews>
    <sheetView zoomScale="80" zoomScaleNormal="80" workbookViewId="0">
      <selection activeCell="G6" sqref="G6"/>
    </sheetView>
  </sheetViews>
  <sheetFormatPr defaultColWidth="8.8984375" defaultRowHeight="17.399999999999999" x14ac:dyDescent="0.4"/>
  <cols>
    <col min="1" max="1" width="8.8984375" style="3"/>
    <col min="2" max="2" width="13" style="3" customWidth="1"/>
    <col min="3" max="3" width="27.09765625" style="3" bestFit="1" customWidth="1"/>
    <col min="4" max="4" width="21.69921875" style="3" bestFit="1" customWidth="1"/>
    <col min="5" max="5" width="22.8984375" style="3" bestFit="1" customWidth="1"/>
    <col min="6" max="6" width="15.3984375" style="3" customWidth="1"/>
    <col min="7" max="7" width="22.19921875" style="3" bestFit="1" customWidth="1"/>
    <col min="8" max="8" width="32.19921875" style="3" bestFit="1" customWidth="1"/>
    <col min="9" max="16384" width="8.8984375" style="3"/>
  </cols>
  <sheetData>
    <row r="3" spans="2:8" ht="18" thickBot="1" x14ac:dyDescent="0.45">
      <c r="C3" s="3" t="s">
        <v>19</v>
      </c>
    </row>
    <row r="4" spans="2:8" x14ac:dyDescent="0.4">
      <c r="C4" s="1" t="s">
        <v>18</v>
      </c>
      <c r="D4" s="2" t="s">
        <v>11</v>
      </c>
      <c r="E4" s="4" t="s">
        <v>38</v>
      </c>
      <c r="F4" s="5" t="s">
        <v>2</v>
      </c>
      <c r="G4" s="5" t="s">
        <v>3</v>
      </c>
    </row>
    <row r="5" spans="2:8" x14ac:dyDescent="0.4">
      <c r="B5" s="53"/>
      <c r="C5" s="6" t="s">
        <v>0</v>
      </c>
      <c r="D5" s="7">
        <f>SUM(E5:G5)</f>
        <v>1.4157299999999999</v>
      </c>
      <c r="E5" s="50">
        <f>0.000113+0.00006</f>
        <v>1.73E-4</v>
      </c>
      <c r="F5" s="9">
        <f>0.000103+0.063757</f>
        <v>6.386E-2</v>
      </c>
      <c r="G5" s="49">
        <v>1.3516969999999999</v>
      </c>
    </row>
    <row r="6" spans="2:8" x14ac:dyDescent="0.4">
      <c r="B6" s="53"/>
      <c r="C6" s="6" t="s">
        <v>4</v>
      </c>
      <c r="D6" s="7">
        <f>SUM(E6:G6)</f>
        <v>3.4787999999999999E-2</v>
      </c>
      <c r="E6" s="8">
        <f>0.000143+0.00003</f>
        <v>1.73E-4</v>
      </c>
      <c r="F6" s="9">
        <f>0.000101+0.004668</f>
        <v>4.7690000000000007E-3</v>
      </c>
      <c r="G6" s="9">
        <v>2.9846000000000001E-2</v>
      </c>
    </row>
    <row r="7" spans="2:8" x14ac:dyDescent="0.4">
      <c r="B7" s="53"/>
      <c r="C7" s="6" t="s">
        <v>5</v>
      </c>
      <c r="D7" s="7">
        <f>SUM(E7:G7)</f>
        <v>3.1744000000000001E-2</v>
      </c>
      <c r="E7" s="8">
        <f>0.0001+0.000031</f>
        <v>1.3100000000000001E-4</v>
      </c>
      <c r="F7" s="9">
        <f>0.000091+0.001345</f>
        <v>1.436E-3</v>
      </c>
      <c r="G7" s="9">
        <v>3.0176999999999999E-2</v>
      </c>
    </row>
    <row r="8" spans="2:8" ht="18" thickBot="1" x14ac:dyDescent="0.45">
      <c r="B8" s="53"/>
      <c r="C8" s="10" t="s">
        <v>6</v>
      </c>
      <c r="D8" s="11">
        <f>SUM(E8:G8)</f>
        <v>2.3122E-2</v>
      </c>
      <c r="E8" s="8">
        <f>0.000092+0.000029</f>
        <v>1.21E-4</v>
      </c>
      <c r="F8" s="9">
        <f>0.000084+0.000487</f>
        <v>5.71E-4</v>
      </c>
      <c r="G8" s="9">
        <v>2.2429999999999999E-2</v>
      </c>
    </row>
    <row r="9" spans="2:8" x14ac:dyDescent="0.4">
      <c r="B9" s="53"/>
      <c r="C9" s="12"/>
      <c r="D9" s="13"/>
      <c r="E9" s="4" t="s">
        <v>37</v>
      </c>
      <c r="F9" s="5" t="s">
        <v>10</v>
      </c>
      <c r="G9" s="5" t="s">
        <v>3</v>
      </c>
    </row>
    <row r="10" spans="2:8" x14ac:dyDescent="0.4">
      <c r="B10" s="53"/>
      <c r="C10" s="6" t="s">
        <v>7</v>
      </c>
      <c r="D10" s="14">
        <f>SUM(E10:G10)</f>
        <v>1.9451E-2</v>
      </c>
      <c r="E10" s="8">
        <v>3.1340000000000001E-3</v>
      </c>
      <c r="F10" s="9">
        <v>1.433E-3</v>
      </c>
      <c r="G10" s="9">
        <v>1.4884E-2</v>
      </c>
    </row>
    <row r="11" spans="2:8" ht="18" thickBot="1" x14ac:dyDescent="0.45">
      <c r="B11" s="53"/>
      <c r="C11" s="10" t="s">
        <v>8</v>
      </c>
      <c r="D11" s="11">
        <f>SUM(E11:G11)</f>
        <v>2.4342000000000003E-2</v>
      </c>
      <c r="E11" s="8">
        <v>7.561E-3</v>
      </c>
      <c r="F11" s="9">
        <v>3.107E-3</v>
      </c>
      <c r="G11" s="9">
        <v>1.3674E-2</v>
      </c>
    </row>
    <row r="12" spans="2:8" ht="18" thickBot="1" x14ac:dyDescent="0.45">
      <c r="C12" s="15" t="s">
        <v>12</v>
      </c>
      <c r="D12" s="16">
        <v>2.5367000000000001E-2</v>
      </c>
    </row>
    <row r="13" spans="2:8" x14ac:dyDescent="0.4">
      <c r="C13" s="12"/>
      <c r="D13" s="13"/>
      <c r="E13" s="4" t="s">
        <v>67</v>
      </c>
      <c r="F13" s="5" t="s">
        <v>2</v>
      </c>
      <c r="G13" s="5" t="s">
        <v>14</v>
      </c>
      <c r="H13" s="5" t="s">
        <v>15</v>
      </c>
    </row>
    <row r="14" spans="2:8" ht="18" thickBot="1" x14ac:dyDescent="0.45">
      <c r="C14" s="10" t="s">
        <v>13</v>
      </c>
      <c r="D14" s="11">
        <v>4.3496E-2</v>
      </c>
      <c r="E14" s="8">
        <f>0.000047+0.000029</f>
        <v>7.6000000000000004E-5</v>
      </c>
      <c r="F14" s="9">
        <f>0.000092+0.000772</f>
        <v>8.6399999999999997E-4</v>
      </c>
      <c r="G14" s="9">
        <v>2.1885000000000002E-2</v>
      </c>
      <c r="H14" s="9">
        <f>D14-G14</f>
        <v>2.1610999999999998E-2</v>
      </c>
    </row>
    <row r="15" spans="2:8" ht="18" thickBot="1" x14ac:dyDescent="0.45">
      <c r="C15" s="17" t="s">
        <v>20</v>
      </c>
      <c r="D15" s="18">
        <f>D16-SUM(D5:D14)</f>
        <v>1.4154999999999918E-2</v>
      </c>
    </row>
    <row r="16" spans="2:8" ht="18" thickBot="1" x14ac:dyDescent="0.45">
      <c r="C16" s="19" t="s">
        <v>16</v>
      </c>
      <c r="D16" s="16">
        <v>1.6321950000000001</v>
      </c>
    </row>
    <row r="21" spans="2:8" ht="18" thickBot="1" x14ac:dyDescent="0.45">
      <c r="C21" s="3" t="s">
        <v>17</v>
      </c>
    </row>
    <row r="22" spans="2:8" ht="18" thickBot="1" x14ac:dyDescent="0.45">
      <c r="B22" s="33" t="s">
        <v>36</v>
      </c>
      <c r="C22" s="36" t="s">
        <v>18</v>
      </c>
      <c r="D22" s="37" t="s">
        <v>11</v>
      </c>
      <c r="E22" s="4" t="s">
        <v>38</v>
      </c>
      <c r="F22" s="5" t="s">
        <v>2</v>
      </c>
      <c r="G22" s="5" t="s">
        <v>3</v>
      </c>
    </row>
    <row r="23" spans="2:8" x14ac:dyDescent="0.4">
      <c r="B23" s="54" t="s">
        <v>34</v>
      </c>
      <c r="C23" s="34" t="s">
        <v>0</v>
      </c>
      <c r="D23" s="35">
        <f>D5/$D$16</f>
        <v>0.86737797873415856</v>
      </c>
      <c r="E23" s="21">
        <f>E5/$D$16</f>
        <v>1.0599223744711875E-4</v>
      </c>
      <c r="F23" s="22">
        <f>F5/$D$16</f>
        <v>3.9125227071520254E-2</v>
      </c>
      <c r="G23" s="22">
        <f>G5/$D$16</f>
        <v>0.82814675942519111</v>
      </c>
    </row>
    <row r="24" spans="2:8" x14ac:dyDescent="0.4">
      <c r="B24" s="55"/>
      <c r="C24" s="28" t="s">
        <v>4</v>
      </c>
      <c r="D24" s="20">
        <f t="shared" ref="D24:G26" si="0">D6/$D$16</f>
        <v>2.1313629805262239E-2</v>
      </c>
      <c r="E24" s="21">
        <f t="shared" si="0"/>
        <v>1.0599223744711875E-4</v>
      </c>
      <c r="F24" s="22">
        <f t="shared" si="0"/>
        <v>2.9218322565624823E-3</v>
      </c>
      <c r="G24" s="22">
        <f t="shared" si="0"/>
        <v>1.8285805311252637E-2</v>
      </c>
    </row>
    <row r="25" spans="2:8" x14ac:dyDescent="0.4">
      <c r="B25" s="55"/>
      <c r="C25" s="28" t="s">
        <v>5</v>
      </c>
      <c r="D25" s="20">
        <f t="shared" si="0"/>
        <v>1.9448656563707156E-2</v>
      </c>
      <c r="E25" s="21">
        <f t="shared" si="0"/>
        <v>8.0260017951286461E-5</v>
      </c>
      <c r="F25" s="22">
        <f t="shared" si="0"/>
        <v>8.7979683800036145E-4</v>
      </c>
      <c r="G25" s="22">
        <f t="shared" si="0"/>
        <v>1.8488599707755505E-2</v>
      </c>
    </row>
    <row r="26" spans="2:8" ht="18" thickBot="1" x14ac:dyDescent="0.45">
      <c r="B26" s="55"/>
      <c r="C26" s="29" t="s">
        <v>6</v>
      </c>
      <c r="D26" s="23">
        <f t="shared" si="0"/>
        <v>1.4166199504348439E-2</v>
      </c>
      <c r="E26" s="21">
        <f t="shared" si="0"/>
        <v>7.4133299023707342E-5</v>
      </c>
      <c r="F26" s="22">
        <f t="shared" si="0"/>
        <v>3.498356507647677E-4</v>
      </c>
      <c r="G26" s="22">
        <f t="shared" si="0"/>
        <v>1.3742230554559962E-2</v>
      </c>
    </row>
    <row r="27" spans="2:8" x14ac:dyDescent="0.4">
      <c r="B27" s="55"/>
      <c r="C27" s="57"/>
      <c r="D27" s="58"/>
      <c r="E27" s="4" t="s">
        <v>37</v>
      </c>
      <c r="F27" s="5" t="s">
        <v>10</v>
      </c>
      <c r="G27" s="5" t="s">
        <v>3</v>
      </c>
    </row>
    <row r="28" spans="2:8" x14ac:dyDescent="0.4">
      <c r="B28" s="55"/>
      <c r="C28" s="28" t="s">
        <v>7</v>
      </c>
      <c r="D28" s="20">
        <f t="shared" ref="D28:G29" si="1">D10/$D$16</f>
        <v>1.1917080986034143E-2</v>
      </c>
      <c r="E28" s="21">
        <f t="shared" si="1"/>
        <v>1.9201137119032958E-3</v>
      </c>
      <c r="F28" s="22">
        <f t="shared" si="1"/>
        <v>8.7795882232208767E-4</v>
      </c>
      <c r="G28" s="22">
        <f t="shared" si="1"/>
        <v>9.1190084518087602E-3</v>
      </c>
    </row>
    <row r="29" spans="2:8" ht="18" thickBot="1" x14ac:dyDescent="0.45">
      <c r="B29" s="56"/>
      <c r="C29" s="29" t="s">
        <v>8</v>
      </c>
      <c r="D29" s="23">
        <f t="shared" si="1"/>
        <v>1.4913659213513092E-2</v>
      </c>
      <c r="E29" s="21">
        <f t="shared" si="1"/>
        <v>4.6324121811425712E-3</v>
      </c>
      <c r="F29" s="22">
        <f t="shared" si="1"/>
        <v>1.9035715707988322E-3</v>
      </c>
      <c r="G29" s="22">
        <f t="shared" si="1"/>
        <v>8.3776754615716865E-3</v>
      </c>
    </row>
    <row r="30" spans="2:8" ht="18" thickBot="1" x14ac:dyDescent="0.45">
      <c r="B30" s="54" t="s">
        <v>35</v>
      </c>
      <c r="C30" s="30" t="s">
        <v>12</v>
      </c>
      <c r="D30" s="24">
        <f>D12/$D$16</f>
        <v>1.5541647903589952E-2</v>
      </c>
    </row>
    <row r="31" spans="2:8" x14ac:dyDescent="0.4">
      <c r="B31" s="54"/>
      <c r="C31" s="57"/>
      <c r="D31" s="58"/>
      <c r="E31" s="4" t="s">
        <v>1</v>
      </c>
      <c r="F31" s="5" t="s">
        <v>2</v>
      </c>
      <c r="G31" s="5" t="s">
        <v>14</v>
      </c>
      <c r="H31" s="5" t="s">
        <v>15</v>
      </c>
    </row>
    <row r="32" spans="2:8" ht="18" thickBot="1" x14ac:dyDescent="0.45">
      <c r="B32" s="59"/>
      <c r="C32" s="29" t="s">
        <v>13</v>
      </c>
      <c r="D32" s="23">
        <f t="shared" ref="D32:H34" si="2">D14/$D$16</f>
        <v>2.6648776647398134E-2</v>
      </c>
      <c r="E32" s="21">
        <f t="shared" si="2"/>
        <v>4.6563063849601307E-5</v>
      </c>
      <c r="F32" s="22">
        <f t="shared" si="2"/>
        <v>5.293485153428358E-4</v>
      </c>
      <c r="G32" s="22">
        <f t="shared" si="2"/>
        <v>1.3408324373006902E-2</v>
      </c>
      <c r="H32" s="22">
        <f t="shared" si="2"/>
        <v>1.3240452274391232E-2</v>
      </c>
    </row>
    <row r="33" spans="3:5" ht="18" thickBot="1" x14ac:dyDescent="0.45">
      <c r="C33" s="31" t="s">
        <v>20</v>
      </c>
      <c r="D33" s="25">
        <f t="shared" si="2"/>
        <v>8.6723706419881922E-3</v>
      </c>
    </row>
    <row r="34" spans="3:5" ht="18" thickBot="1" x14ac:dyDescent="0.45">
      <c r="C34" s="32" t="s">
        <v>16</v>
      </c>
      <c r="D34" s="26">
        <f t="shared" si="2"/>
        <v>1</v>
      </c>
    </row>
    <row r="36" spans="3:5" x14ac:dyDescent="0.4">
      <c r="D36" s="27"/>
    </row>
    <row r="37" spans="3:5" x14ac:dyDescent="0.4">
      <c r="C37" s="3" t="s">
        <v>39</v>
      </c>
      <c r="D37" s="38">
        <v>195815424</v>
      </c>
    </row>
    <row r="38" spans="3:5" x14ac:dyDescent="0.4">
      <c r="D38" s="39">
        <f>D37/2^20</f>
        <v>186.744140625</v>
      </c>
      <c r="E38" s="3" t="s">
        <v>40</v>
      </c>
    </row>
  </sheetData>
  <mergeCells count="5">
    <mergeCell ref="B5:B11"/>
    <mergeCell ref="B23:B29"/>
    <mergeCell ref="C27:D27"/>
    <mergeCell ref="B30:B32"/>
    <mergeCell ref="C31:D31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45"/>
  <sheetViews>
    <sheetView zoomScale="70" zoomScaleNormal="70" workbookViewId="0">
      <selection activeCell="D16" sqref="D16"/>
    </sheetView>
  </sheetViews>
  <sheetFormatPr defaultColWidth="8.8984375" defaultRowHeight="17.399999999999999" x14ac:dyDescent="0.4"/>
  <cols>
    <col min="1" max="1" width="8.8984375" style="3"/>
    <col min="2" max="2" width="13" style="3" customWidth="1"/>
    <col min="3" max="3" width="27.09765625" style="3" bestFit="1" customWidth="1"/>
    <col min="4" max="4" width="21.69921875" style="3" bestFit="1" customWidth="1"/>
    <col min="5" max="5" width="22.8984375" style="3" bestFit="1" customWidth="1"/>
    <col min="6" max="6" width="15.3984375" style="3" customWidth="1"/>
    <col min="7" max="7" width="22.19921875" style="3" bestFit="1" customWidth="1"/>
    <col min="8" max="8" width="32.19921875" style="3" bestFit="1" customWidth="1"/>
    <col min="9" max="10" width="8.8984375" style="3"/>
    <col min="11" max="11" width="12.09765625" style="3" customWidth="1"/>
    <col min="12" max="12" width="42.3984375" style="3" customWidth="1"/>
    <col min="13" max="16384" width="8.8984375" style="3"/>
  </cols>
  <sheetData>
    <row r="2" spans="2:13" ht="18" thickBot="1" x14ac:dyDescent="0.45"/>
    <row r="3" spans="2:13" ht="18" thickBot="1" x14ac:dyDescent="0.45">
      <c r="C3" s="3" t="s">
        <v>19</v>
      </c>
      <c r="K3" s="40" t="s">
        <v>41</v>
      </c>
      <c r="L3" s="41"/>
    </row>
    <row r="4" spans="2:13" ht="18" thickBot="1" x14ac:dyDescent="0.45">
      <c r="C4" s="1" t="s">
        <v>18</v>
      </c>
      <c r="D4" s="2" t="s">
        <v>11</v>
      </c>
      <c r="E4" s="4" t="s">
        <v>38</v>
      </c>
      <c r="F4" s="5" t="s">
        <v>2</v>
      </c>
      <c r="G4" s="5" t="s">
        <v>3</v>
      </c>
      <c r="K4" s="42" t="s">
        <v>42</v>
      </c>
      <c r="L4" s="43" t="s">
        <v>43</v>
      </c>
    </row>
    <row r="5" spans="2:13" ht="18" thickBot="1" x14ac:dyDescent="0.45">
      <c r="B5" s="53"/>
      <c r="C5" s="6" t="s">
        <v>0</v>
      </c>
      <c r="D5" s="7">
        <f>SUM(E5:G5)</f>
        <v>15.208388000000001</v>
      </c>
      <c r="E5" s="8">
        <v>8.0699999999999999E-4</v>
      </c>
      <c r="F5" s="9">
        <v>2.5395999999999998E-2</v>
      </c>
      <c r="G5" s="9">
        <v>15.182185</v>
      </c>
      <c r="K5" s="42" t="s">
        <v>44</v>
      </c>
      <c r="L5" s="43" t="s">
        <v>45</v>
      </c>
      <c r="M5" s="3" t="s">
        <v>52</v>
      </c>
    </row>
    <row r="6" spans="2:13" ht="18" thickBot="1" x14ac:dyDescent="0.45">
      <c r="B6" s="53"/>
      <c r="C6" s="6" t="s">
        <v>4</v>
      </c>
      <c r="D6" s="7">
        <f>SUM(E6:G6)</f>
        <v>1.069761</v>
      </c>
      <c r="E6" s="8">
        <v>0.210699</v>
      </c>
      <c r="F6" s="9">
        <v>0.331623</v>
      </c>
      <c r="G6" s="9">
        <v>0.52743899999999999</v>
      </c>
      <c r="K6" s="42" t="s">
        <v>46</v>
      </c>
      <c r="L6" s="43" t="s">
        <v>47</v>
      </c>
    </row>
    <row r="7" spans="2:13" ht="18" thickBot="1" x14ac:dyDescent="0.45">
      <c r="B7" s="53"/>
      <c r="C7" s="6" t="s">
        <v>5</v>
      </c>
      <c r="D7" s="7">
        <f>SUM(E7:G7)</f>
        <v>1.0676E-2</v>
      </c>
      <c r="E7" s="8">
        <v>1.358E-3</v>
      </c>
      <c r="F7" s="9">
        <v>2.4109999999999999E-3</v>
      </c>
      <c r="G7" s="9">
        <v>6.9069999999999999E-3</v>
      </c>
      <c r="K7" s="42" t="s">
        <v>48</v>
      </c>
      <c r="L7" s="43" t="s">
        <v>49</v>
      </c>
    </row>
    <row r="8" spans="2:13" ht="18" thickBot="1" x14ac:dyDescent="0.45">
      <c r="B8" s="53"/>
      <c r="C8" s="10" t="s">
        <v>6</v>
      </c>
      <c r="D8" s="11">
        <f>SUM(E8:G8)</f>
        <v>5.8960000000000002E-3</v>
      </c>
      <c r="E8" s="8">
        <v>8.8400000000000002E-4</v>
      </c>
      <c r="F8" s="9">
        <v>1.271E-3</v>
      </c>
      <c r="G8" s="9">
        <v>3.741E-3</v>
      </c>
      <c r="K8" s="44" t="s">
        <v>50</v>
      </c>
      <c r="L8" s="45" t="s">
        <v>51</v>
      </c>
    </row>
    <row r="9" spans="2:13" x14ac:dyDescent="0.4">
      <c r="B9" s="53"/>
      <c r="C9" s="12"/>
      <c r="D9" s="13"/>
      <c r="E9" s="4" t="s">
        <v>37</v>
      </c>
      <c r="F9" s="5" t="s">
        <v>10</v>
      </c>
      <c r="G9" s="5" t="s">
        <v>3</v>
      </c>
    </row>
    <row r="10" spans="2:13" x14ac:dyDescent="0.4">
      <c r="B10" s="53"/>
      <c r="C10" s="6" t="s">
        <v>7</v>
      </c>
      <c r="D10" s="14">
        <f>SUM(E10:G10)</f>
        <v>0.20378400000000002</v>
      </c>
      <c r="E10" s="8">
        <v>0.129889</v>
      </c>
      <c r="F10" s="9">
        <v>2.0530000000000001E-3</v>
      </c>
      <c r="G10" s="9">
        <v>7.1842000000000003E-2</v>
      </c>
    </row>
    <row r="11" spans="2:13" ht="18" thickBot="1" x14ac:dyDescent="0.45">
      <c r="B11" s="53"/>
      <c r="C11" s="10" t="s">
        <v>8</v>
      </c>
      <c r="D11" s="11">
        <f>SUM(E11:G11)</f>
        <v>6.496E-3</v>
      </c>
      <c r="E11" s="8">
        <v>7.4899999999999999E-4</v>
      </c>
      <c r="F11" s="9">
        <v>4.3100000000000001E-4</v>
      </c>
      <c r="G11" s="9">
        <v>5.3160000000000004E-3</v>
      </c>
    </row>
    <row r="12" spans="2:13" ht="18" thickBot="1" x14ac:dyDescent="0.45">
      <c r="C12" s="15" t="s">
        <v>12</v>
      </c>
      <c r="D12" s="16">
        <v>0.38381700000000002</v>
      </c>
    </row>
    <row r="13" spans="2:13" x14ac:dyDescent="0.4">
      <c r="C13" s="12"/>
      <c r="D13" s="13"/>
      <c r="E13" s="4" t="s">
        <v>38</v>
      </c>
      <c r="F13" s="5" t="s">
        <v>2</v>
      </c>
      <c r="G13" s="5" t="s">
        <v>14</v>
      </c>
      <c r="H13" s="5" t="s">
        <v>15</v>
      </c>
    </row>
    <row r="14" spans="2:13" ht="18" thickBot="1" x14ac:dyDescent="0.45">
      <c r="C14" s="10" t="s">
        <v>13</v>
      </c>
      <c r="D14" s="11">
        <f>SUM(E14:H14)</f>
        <v>0.57657400000000003</v>
      </c>
      <c r="E14" s="8">
        <v>2.9750000000000002E-3</v>
      </c>
      <c r="F14" s="9">
        <v>3.3019999999999998E-3</v>
      </c>
      <c r="G14" s="9">
        <v>5.2550000000000001E-3</v>
      </c>
      <c r="H14" s="9">
        <v>0.56504200000000004</v>
      </c>
    </row>
    <row r="15" spans="2:13" ht="18" thickBot="1" x14ac:dyDescent="0.45">
      <c r="C15" s="17" t="s">
        <v>20</v>
      </c>
      <c r="D15" s="18">
        <f>D16-SUM(D5:D14)</f>
        <v>0.41319099999999764</v>
      </c>
    </row>
    <row r="16" spans="2:13" ht="18" thickBot="1" x14ac:dyDescent="0.45">
      <c r="C16" s="19" t="s">
        <v>16</v>
      </c>
      <c r="D16" s="16">
        <v>17.878582999999999</v>
      </c>
    </row>
    <row r="21" spans="2:8" ht="18" thickBot="1" x14ac:dyDescent="0.45">
      <c r="C21" s="3" t="s">
        <v>17</v>
      </c>
    </row>
    <row r="22" spans="2:8" ht="18" thickBot="1" x14ac:dyDescent="0.45">
      <c r="B22" s="33" t="s">
        <v>36</v>
      </c>
      <c r="C22" s="36" t="s">
        <v>18</v>
      </c>
      <c r="D22" s="37" t="s">
        <v>11</v>
      </c>
      <c r="E22" s="4" t="s">
        <v>38</v>
      </c>
      <c r="F22" s="5" t="s">
        <v>2</v>
      </c>
      <c r="G22" s="5" t="s">
        <v>3</v>
      </c>
    </row>
    <row r="23" spans="2:8" x14ac:dyDescent="0.4">
      <c r="B23" s="54" t="s">
        <v>34</v>
      </c>
      <c r="C23" s="34" t="s">
        <v>0</v>
      </c>
      <c r="D23" s="35">
        <f t="shared" ref="D23:G26" si="0">D5/$D$16</f>
        <v>0.85064839870139608</v>
      </c>
      <c r="E23" s="21">
        <f t="shared" si="0"/>
        <v>4.5137805384241027E-5</v>
      </c>
      <c r="F23" s="22">
        <f t="shared" si="0"/>
        <v>1.4204705149172057E-3</v>
      </c>
      <c r="G23" s="22">
        <f t="shared" si="0"/>
        <v>0.84918279038109457</v>
      </c>
    </row>
    <row r="24" spans="2:8" x14ac:dyDescent="0.4">
      <c r="B24" s="55"/>
      <c r="C24" s="28" t="s">
        <v>4</v>
      </c>
      <c r="D24" s="20">
        <f t="shared" si="0"/>
        <v>5.9834775496469719E-2</v>
      </c>
      <c r="E24" s="21">
        <f t="shared" si="0"/>
        <v>1.1784994370079554E-2</v>
      </c>
      <c r="F24" s="22">
        <f t="shared" si="0"/>
        <v>1.8548617639328576E-2</v>
      </c>
      <c r="G24" s="22">
        <f t="shared" si="0"/>
        <v>2.9501163487061589E-2</v>
      </c>
    </row>
    <row r="25" spans="2:8" x14ac:dyDescent="0.4">
      <c r="B25" s="55"/>
      <c r="C25" s="28" t="s">
        <v>5</v>
      </c>
      <c r="D25" s="20">
        <f t="shared" si="0"/>
        <v>5.9713904619845988E-4</v>
      </c>
      <c r="E25" s="21">
        <f t="shared" si="0"/>
        <v>7.5956802616851686E-5</v>
      </c>
      <c r="F25" s="22">
        <f t="shared" si="0"/>
        <v>1.3485408770930001E-4</v>
      </c>
      <c r="G25" s="22">
        <f t="shared" si="0"/>
        <v>3.8632815587230824E-4</v>
      </c>
    </row>
    <row r="26" spans="2:8" ht="18" thickBot="1" x14ac:dyDescent="0.45">
      <c r="B26" s="55"/>
      <c r="C26" s="29" t="s">
        <v>6</v>
      </c>
      <c r="D26" s="23">
        <f t="shared" si="0"/>
        <v>3.2978005024223681E-4</v>
      </c>
      <c r="E26" s="21">
        <f t="shared" si="0"/>
        <v>4.9444634398598598E-5</v>
      </c>
      <c r="F26" s="22">
        <f t="shared" si="0"/>
        <v>7.1090645159071049E-5</v>
      </c>
      <c r="G26" s="22">
        <f t="shared" si="0"/>
        <v>2.0924477068456711E-4</v>
      </c>
    </row>
    <row r="27" spans="2:8" x14ac:dyDescent="0.4">
      <c r="B27" s="55"/>
      <c r="C27" s="57"/>
      <c r="D27" s="58"/>
      <c r="E27" s="4" t="s">
        <v>9</v>
      </c>
      <c r="F27" s="5" t="s">
        <v>10</v>
      </c>
      <c r="G27" s="5" t="s">
        <v>3</v>
      </c>
    </row>
    <row r="28" spans="2:8" x14ac:dyDescent="0.4">
      <c r="B28" s="55"/>
      <c r="C28" s="28" t="s">
        <v>7</v>
      </c>
      <c r="D28" s="20">
        <f t="shared" ref="D28:G29" si="1">D10/$D$16</f>
        <v>1.1398218751452508E-2</v>
      </c>
      <c r="E28" s="21">
        <f t="shared" si="1"/>
        <v>7.2650612187777977E-3</v>
      </c>
      <c r="F28" s="22">
        <f t="shared" si="1"/>
        <v>1.1483012943475443E-4</v>
      </c>
      <c r="G28" s="22">
        <f t="shared" si="1"/>
        <v>4.0183274032399548E-3</v>
      </c>
    </row>
    <row r="29" spans="2:8" ht="18" thickBot="1" x14ac:dyDescent="0.45">
      <c r="B29" s="56"/>
      <c r="C29" s="29" t="s">
        <v>8</v>
      </c>
      <c r="D29" s="23">
        <f t="shared" si="1"/>
        <v>3.6333975684762045E-4</v>
      </c>
      <c r="E29" s="21">
        <f t="shared" si="1"/>
        <v>4.1893700412387269E-5</v>
      </c>
      <c r="F29" s="22">
        <f t="shared" si="1"/>
        <v>2.4107055911533932E-5</v>
      </c>
      <c r="G29" s="22">
        <f t="shared" si="1"/>
        <v>2.9733900052369928E-4</v>
      </c>
    </row>
    <row r="30" spans="2:8" ht="18" thickBot="1" x14ac:dyDescent="0.45">
      <c r="B30" s="54" t="s">
        <v>35</v>
      </c>
      <c r="C30" s="30" t="s">
        <v>12</v>
      </c>
      <c r="D30" s="24">
        <f>D12/$D$16</f>
        <v>2.1467976516930901E-2</v>
      </c>
    </row>
    <row r="31" spans="2:8" x14ac:dyDescent="0.4">
      <c r="B31" s="54"/>
      <c r="C31" s="57"/>
      <c r="D31" s="58"/>
      <c r="E31" s="4" t="s">
        <v>38</v>
      </c>
      <c r="F31" s="5" t="s">
        <v>2</v>
      </c>
      <c r="G31" s="5" t="s">
        <v>14</v>
      </c>
      <c r="H31" s="5" t="s">
        <v>15</v>
      </c>
    </row>
    <row r="32" spans="2:8" ht="18" thickBot="1" x14ac:dyDescent="0.45">
      <c r="B32" s="59"/>
      <c r="C32" s="29" t="s">
        <v>13</v>
      </c>
      <c r="D32" s="23">
        <f>D14/$D$16</f>
        <v>3.22494237938208E-2</v>
      </c>
      <c r="E32" s="21">
        <f>E14/$D$16</f>
        <v>1.6640021191836066E-4</v>
      </c>
      <c r="F32" s="22">
        <f>F14/$D$16</f>
        <v>1.8469025201829474E-4</v>
      </c>
      <c r="G32" s="22">
        <f>G14/$D$16</f>
        <v>2.9392709701881858E-4</v>
      </c>
      <c r="H32" s="22">
        <f>H14/$D$16</f>
        <v>3.1604406232865326E-2</v>
      </c>
    </row>
    <row r="33" spans="3:5" ht="18" thickBot="1" x14ac:dyDescent="0.45">
      <c r="C33" s="31" t="s">
        <v>20</v>
      </c>
      <c r="D33" s="25">
        <f>D15/$D$16</f>
        <v>2.311094788664167E-2</v>
      </c>
    </row>
    <row r="34" spans="3:5" ht="18" thickBot="1" x14ac:dyDescent="0.45">
      <c r="C34" s="32" t="s">
        <v>16</v>
      </c>
      <c r="D34" s="26">
        <f>D16/$D$16</f>
        <v>1</v>
      </c>
    </row>
    <row r="36" spans="3:5" x14ac:dyDescent="0.4">
      <c r="C36" s="9" t="s">
        <v>39</v>
      </c>
      <c r="D36" s="47">
        <v>195291136</v>
      </c>
      <c r="E36" s="3" t="s">
        <v>57</v>
      </c>
    </row>
    <row r="37" spans="3:5" x14ac:dyDescent="0.4">
      <c r="C37" s="9" t="s">
        <v>55</v>
      </c>
      <c r="D37" s="48">
        <v>2.2999999999999998</v>
      </c>
      <c r="E37" s="3" t="s">
        <v>56</v>
      </c>
    </row>
    <row r="39" spans="3:5" x14ac:dyDescent="0.4">
      <c r="C39" s="3" t="s">
        <v>58</v>
      </c>
    </row>
    <row r="40" spans="3:5" x14ac:dyDescent="0.4">
      <c r="C40" s="9"/>
      <c r="D40" s="46" t="s">
        <v>53</v>
      </c>
      <c r="E40" s="46" t="s">
        <v>54</v>
      </c>
    </row>
    <row r="41" spans="3:5" x14ac:dyDescent="0.4">
      <c r="C41" s="9" t="s">
        <v>42</v>
      </c>
      <c r="D41" s="9">
        <v>0.7</v>
      </c>
      <c r="E41" s="9">
        <v>2.2999999999999998</v>
      </c>
    </row>
    <row r="42" spans="3:5" x14ac:dyDescent="0.4">
      <c r="C42" s="9" t="s">
        <v>44</v>
      </c>
      <c r="D42" s="9">
        <v>0.9</v>
      </c>
      <c r="E42" s="9">
        <v>1.6</v>
      </c>
    </row>
    <row r="43" spans="3:5" x14ac:dyDescent="0.4">
      <c r="C43" s="9" t="s">
        <v>11</v>
      </c>
      <c r="D43" s="9">
        <f>D41+D42</f>
        <v>1.6</v>
      </c>
      <c r="E43" s="9">
        <f>E41+E42</f>
        <v>3.9</v>
      </c>
    </row>
    <row r="45" spans="3:5" x14ac:dyDescent="0.4">
      <c r="C45" s="3" t="s">
        <v>59</v>
      </c>
    </row>
  </sheetData>
  <mergeCells count="5">
    <mergeCell ref="B5:B11"/>
    <mergeCell ref="C27:D27"/>
    <mergeCell ref="C31:D31"/>
    <mergeCell ref="B23:B29"/>
    <mergeCell ref="B30:B32"/>
  </mergeCells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45"/>
  <sheetViews>
    <sheetView zoomScale="70" zoomScaleNormal="70" workbookViewId="0">
      <selection activeCell="F35" sqref="F35"/>
    </sheetView>
  </sheetViews>
  <sheetFormatPr defaultColWidth="8.8984375" defaultRowHeight="17.399999999999999" x14ac:dyDescent="0.4"/>
  <cols>
    <col min="1" max="1" width="8.8984375" style="3"/>
    <col min="2" max="2" width="13" style="3" customWidth="1"/>
    <col min="3" max="3" width="27.09765625" style="3" bestFit="1" customWidth="1"/>
    <col min="4" max="4" width="21.69921875" style="3" bestFit="1" customWidth="1"/>
    <col min="5" max="5" width="22.8984375" style="3" bestFit="1" customWidth="1"/>
    <col min="6" max="6" width="15.3984375" style="3" customWidth="1"/>
    <col min="7" max="7" width="22.19921875" style="3" bestFit="1" customWidth="1"/>
    <col min="8" max="8" width="32.19921875" style="3" bestFit="1" customWidth="1"/>
    <col min="9" max="10" width="8.8984375" style="3"/>
    <col min="11" max="11" width="12.09765625" style="3" customWidth="1"/>
    <col min="12" max="12" width="42.3984375" style="3" customWidth="1"/>
    <col min="13" max="16384" width="8.8984375" style="3"/>
  </cols>
  <sheetData>
    <row r="2" spans="2:13" ht="18" thickBot="1" x14ac:dyDescent="0.45"/>
    <row r="3" spans="2:13" ht="18" thickBot="1" x14ac:dyDescent="0.45">
      <c r="C3" s="3" t="s">
        <v>19</v>
      </c>
      <c r="K3" s="40" t="s">
        <v>41</v>
      </c>
      <c r="L3" s="41"/>
    </row>
    <row r="4" spans="2:13" ht="18" thickBot="1" x14ac:dyDescent="0.45">
      <c r="C4" s="1" t="s">
        <v>18</v>
      </c>
      <c r="D4" s="2" t="s">
        <v>11</v>
      </c>
      <c r="E4" s="4" t="s">
        <v>38</v>
      </c>
      <c r="F4" s="5" t="s">
        <v>2</v>
      </c>
      <c r="G4" s="5" t="s">
        <v>3</v>
      </c>
      <c r="K4" s="42" t="s">
        <v>42</v>
      </c>
      <c r="L4" s="43" t="s">
        <v>43</v>
      </c>
    </row>
    <row r="5" spans="2:13" ht="18" thickBot="1" x14ac:dyDescent="0.45">
      <c r="B5" s="53"/>
      <c r="C5" s="6" t="s">
        <v>0</v>
      </c>
      <c r="D5" s="7">
        <f>SUM(E5:G5)</f>
        <v>3.564676</v>
      </c>
      <c r="E5" s="8">
        <v>9.5799999999999998E-4</v>
      </c>
      <c r="F5" s="9">
        <v>1.8924E-2</v>
      </c>
      <c r="G5" s="9">
        <v>3.544794</v>
      </c>
      <c r="K5" s="42" t="s">
        <v>44</v>
      </c>
      <c r="L5" s="43" t="s">
        <v>45</v>
      </c>
      <c r="M5" s="3" t="s">
        <v>52</v>
      </c>
    </row>
    <row r="6" spans="2:13" ht="18" thickBot="1" x14ac:dyDescent="0.45">
      <c r="B6" s="53"/>
      <c r="C6" s="6" t="s">
        <v>4</v>
      </c>
      <c r="D6" s="7">
        <f>SUM(E6:G6)</f>
        <v>0.1857</v>
      </c>
      <c r="E6" s="8">
        <v>1.238E-3</v>
      </c>
      <c r="F6" s="9">
        <v>6.9620000000000003E-3</v>
      </c>
      <c r="G6" s="49">
        <v>0.17749999999999999</v>
      </c>
      <c r="K6" s="42" t="s">
        <v>46</v>
      </c>
      <c r="L6" s="43" t="s">
        <v>47</v>
      </c>
    </row>
    <row r="7" spans="2:13" ht="18" thickBot="1" x14ac:dyDescent="0.45">
      <c r="B7" s="53"/>
      <c r="C7" s="6" t="s">
        <v>5</v>
      </c>
      <c r="D7" s="7">
        <f>SUM(E7:G7)</f>
        <v>1.2819000000000001E-2</v>
      </c>
      <c r="E7" s="8">
        <v>8.5899999999999995E-4</v>
      </c>
      <c r="F7" s="9">
        <v>5.1809999999999998E-3</v>
      </c>
      <c r="G7" s="9">
        <v>6.7790000000000003E-3</v>
      </c>
      <c r="K7" s="42" t="s">
        <v>48</v>
      </c>
      <c r="L7" s="43" t="s">
        <v>49</v>
      </c>
    </row>
    <row r="8" spans="2:13" ht="18" thickBot="1" x14ac:dyDescent="0.45">
      <c r="B8" s="53"/>
      <c r="C8" s="10" t="s">
        <v>6</v>
      </c>
      <c r="D8" s="11">
        <f>SUM(E8:G8)</f>
        <v>9.7720000000000012E-3</v>
      </c>
      <c r="E8" s="8">
        <v>8.2700000000000004E-4</v>
      </c>
      <c r="F8" s="9">
        <v>5.3330000000000001E-3</v>
      </c>
      <c r="G8" s="9">
        <v>3.6120000000000002E-3</v>
      </c>
      <c r="K8" s="44" t="s">
        <v>50</v>
      </c>
      <c r="L8" s="45" t="s">
        <v>51</v>
      </c>
    </row>
    <row r="9" spans="2:13" x14ac:dyDescent="0.4">
      <c r="B9" s="53"/>
      <c r="C9" s="12"/>
      <c r="D9" s="13"/>
      <c r="E9" s="4" t="s">
        <v>37</v>
      </c>
      <c r="F9" s="5" t="s">
        <v>10</v>
      </c>
      <c r="G9" s="5" t="s">
        <v>3</v>
      </c>
    </row>
    <row r="10" spans="2:13" x14ac:dyDescent="0.4">
      <c r="B10" s="53"/>
      <c r="C10" s="6" t="s">
        <v>7</v>
      </c>
      <c r="D10" s="14">
        <f>SUM(E10:G10)</f>
        <v>5.6167999999999996E-2</v>
      </c>
      <c r="E10" s="50">
        <v>4.8869999999999997E-2</v>
      </c>
      <c r="F10" s="9">
        <v>9.1699999999999995E-4</v>
      </c>
      <c r="G10" s="9">
        <v>6.3810000000000004E-3</v>
      </c>
    </row>
    <row r="11" spans="2:13" ht="18" thickBot="1" x14ac:dyDescent="0.45">
      <c r="B11" s="53"/>
      <c r="C11" s="10" t="s">
        <v>8</v>
      </c>
      <c r="D11" s="11">
        <f>SUM(E11:G11)</f>
        <v>5.202E-3</v>
      </c>
      <c r="E11" s="8">
        <v>4.7199999999999998E-4</v>
      </c>
      <c r="F11" s="9">
        <v>2.4399999999999999E-4</v>
      </c>
      <c r="G11" s="9">
        <v>4.4860000000000004E-3</v>
      </c>
    </row>
    <row r="12" spans="2:13" ht="18" thickBot="1" x14ac:dyDescent="0.45">
      <c r="C12" s="15" t="s">
        <v>12</v>
      </c>
      <c r="D12" s="16">
        <v>3.9673E-2</v>
      </c>
    </row>
    <row r="13" spans="2:13" x14ac:dyDescent="0.4">
      <c r="C13" s="12"/>
      <c r="D13" s="13"/>
      <c r="E13" s="4" t="s">
        <v>38</v>
      </c>
      <c r="F13" s="5" t="s">
        <v>2</v>
      </c>
      <c r="G13" s="5" t="s">
        <v>14</v>
      </c>
      <c r="H13" s="5" t="s">
        <v>15</v>
      </c>
    </row>
    <row r="14" spans="2:13" ht="18" thickBot="1" x14ac:dyDescent="0.45">
      <c r="C14" s="10" t="s">
        <v>13</v>
      </c>
      <c r="D14" s="11">
        <f>SUM(E14:H14)</f>
        <v>3.6289000000000002E-2</v>
      </c>
      <c r="E14" s="8">
        <v>9.1600000000000004E-4</v>
      </c>
      <c r="F14" s="9">
        <v>6.1149999999999998E-3</v>
      </c>
      <c r="G14" s="9">
        <v>3.4090000000000001E-3</v>
      </c>
      <c r="H14" s="9">
        <v>2.5849E-2</v>
      </c>
    </row>
    <row r="15" spans="2:13" ht="18" thickBot="1" x14ac:dyDescent="0.45">
      <c r="C15" s="17" t="s">
        <v>20</v>
      </c>
      <c r="D15" s="18">
        <f>D16-SUM(D5:D14)</f>
        <v>0.18699699999999986</v>
      </c>
    </row>
    <row r="16" spans="2:13" ht="18" thickBot="1" x14ac:dyDescent="0.45">
      <c r="C16" s="19" t="s">
        <v>16</v>
      </c>
      <c r="D16" s="16">
        <v>4.097296</v>
      </c>
    </row>
    <row r="21" spans="2:8" ht="18" thickBot="1" x14ac:dyDescent="0.45">
      <c r="C21" s="3" t="s">
        <v>17</v>
      </c>
    </row>
    <row r="22" spans="2:8" ht="18" thickBot="1" x14ac:dyDescent="0.45">
      <c r="B22" s="33" t="s">
        <v>36</v>
      </c>
      <c r="C22" s="36" t="s">
        <v>18</v>
      </c>
      <c r="D22" s="37" t="s">
        <v>11</v>
      </c>
      <c r="E22" s="4" t="s">
        <v>38</v>
      </c>
      <c r="F22" s="5" t="s">
        <v>2</v>
      </c>
      <c r="G22" s="5" t="s">
        <v>3</v>
      </c>
    </row>
    <row r="23" spans="2:8" x14ac:dyDescent="0.4">
      <c r="B23" s="54" t="s">
        <v>34</v>
      </c>
      <c r="C23" s="34" t="s">
        <v>0</v>
      </c>
      <c r="D23" s="35">
        <f t="shared" ref="D23:G26" si="0">D5/$D$16</f>
        <v>0.8700069509256837</v>
      </c>
      <c r="E23" s="21">
        <f t="shared" si="0"/>
        <v>2.3381273893807036E-4</v>
      </c>
      <c r="F23" s="22">
        <f t="shared" si="0"/>
        <v>4.6186558159332395E-3</v>
      </c>
      <c r="G23" s="22">
        <f t="shared" si="0"/>
        <v>0.86515448237081238</v>
      </c>
    </row>
    <row r="24" spans="2:8" x14ac:dyDescent="0.4">
      <c r="B24" s="55"/>
      <c r="C24" s="28" t="s">
        <v>4</v>
      </c>
      <c r="D24" s="20">
        <f t="shared" si="0"/>
        <v>4.5322573716909884E-2</v>
      </c>
      <c r="E24" s="21">
        <f t="shared" si="0"/>
        <v>3.0215049144606586E-4</v>
      </c>
      <c r="F24" s="22">
        <f t="shared" si="0"/>
        <v>1.6991694034309457E-3</v>
      </c>
      <c r="G24" s="22">
        <f t="shared" si="0"/>
        <v>4.3321253822032869E-2</v>
      </c>
    </row>
    <row r="25" spans="2:8" x14ac:dyDescent="0.4">
      <c r="B25" s="55"/>
      <c r="C25" s="28" t="s">
        <v>5</v>
      </c>
      <c r="D25" s="20">
        <f t="shared" si="0"/>
        <v>3.1286487478571234E-3</v>
      </c>
      <c r="E25" s="21">
        <f t="shared" si="0"/>
        <v>2.0965046215845766E-4</v>
      </c>
      <c r="F25" s="22">
        <f t="shared" si="0"/>
        <v>1.2644924847997313E-3</v>
      </c>
      <c r="G25" s="22">
        <f t="shared" si="0"/>
        <v>1.6545058008989343E-3</v>
      </c>
    </row>
    <row r="26" spans="2:8" ht="18" thickBot="1" x14ac:dyDescent="0.45">
      <c r="B26" s="55"/>
      <c r="C26" s="29" t="s">
        <v>6</v>
      </c>
      <c r="D26" s="23">
        <f t="shared" si="0"/>
        <v>2.3849875625290436E-3</v>
      </c>
      <c r="E26" s="21">
        <f t="shared" si="0"/>
        <v>2.0184043330040104E-4</v>
      </c>
      <c r="F26" s="22">
        <f t="shared" si="0"/>
        <v>1.3015901218755004E-3</v>
      </c>
      <c r="G26" s="22">
        <f t="shared" si="0"/>
        <v>8.8155700735314223E-4</v>
      </c>
    </row>
    <row r="27" spans="2:8" x14ac:dyDescent="0.4">
      <c r="B27" s="55"/>
      <c r="C27" s="57"/>
      <c r="D27" s="58"/>
      <c r="E27" s="4" t="s">
        <v>9</v>
      </c>
      <c r="F27" s="5" t="s">
        <v>10</v>
      </c>
      <c r="G27" s="5" t="s">
        <v>3</v>
      </c>
    </row>
    <row r="28" spans="2:8" x14ac:dyDescent="0.4">
      <c r="B28" s="55"/>
      <c r="C28" s="28" t="s">
        <v>7</v>
      </c>
      <c r="D28" s="20">
        <f t="shared" ref="D28:G29" si="1">D10/$D$16</f>
        <v>1.3708553153103899E-2</v>
      </c>
      <c r="E28" s="21">
        <f t="shared" si="1"/>
        <v>1.192737844666336E-2</v>
      </c>
      <c r="F28" s="22">
        <f t="shared" si="1"/>
        <v>2.2380613946368532E-4</v>
      </c>
      <c r="G28" s="22">
        <f t="shared" si="1"/>
        <v>1.557368566976855E-3</v>
      </c>
    </row>
    <row r="29" spans="2:8" ht="18" thickBot="1" x14ac:dyDescent="0.45">
      <c r="B29" s="56"/>
      <c r="C29" s="29" t="s">
        <v>8</v>
      </c>
      <c r="D29" s="23">
        <f t="shared" si="1"/>
        <v>1.269617816237831E-3</v>
      </c>
      <c r="E29" s="21">
        <f t="shared" si="1"/>
        <v>1.1519792565633529E-4</v>
      </c>
      <c r="F29" s="22">
        <f t="shared" si="1"/>
        <v>5.9551470042681806E-5</v>
      </c>
      <c r="G29" s="22">
        <f t="shared" si="1"/>
        <v>1.094868420538814E-3</v>
      </c>
    </row>
    <row r="30" spans="2:8" ht="18" thickBot="1" x14ac:dyDescent="0.45">
      <c r="B30" s="54" t="s">
        <v>35</v>
      </c>
      <c r="C30" s="30" t="s">
        <v>12</v>
      </c>
      <c r="D30" s="24">
        <f>D12/$D$16</f>
        <v>9.6827273401775219E-3</v>
      </c>
    </row>
    <row r="31" spans="2:8" x14ac:dyDescent="0.4">
      <c r="B31" s="54"/>
      <c r="C31" s="57"/>
      <c r="D31" s="58"/>
      <c r="E31" s="4" t="s">
        <v>38</v>
      </c>
      <c r="F31" s="5" t="s">
        <v>2</v>
      </c>
      <c r="G31" s="5" t="s">
        <v>14</v>
      </c>
      <c r="H31" s="5" t="s">
        <v>15</v>
      </c>
    </row>
    <row r="32" spans="2:8" ht="18" thickBot="1" x14ac:dyDescent="0.45">
      <c r="B32" s="59"/>
      <c r="C32" s="29" t="s">
        <v>13</v>
      </c>
      <c r="D32" s="23">
        <f>D14/$D$16</f>
        <v>8.8568167884380336E-3</v>
      </c>
      <c r="E32" s="21">
        <f>E14/$D$16</f>
        <v>2.2356207606187106E-4</v>
      </c>
      <c r="F32" s="22">
        <f>F14/$D$16</f>
        <v>1.4924477020942591E-3</v>
      </c>
      <c r="G32" s="22">
        <f>G14/$D$16</f>
        <v>8.3201213678484542E-4</v>
      </c>
      <c r="H32" s="22">
        <f>H14/$D$16</f>
        <v>6.3087948734970572E-3</v>
      </c>
    </row>
    <row r="33" spans="3:5" ht="18" thickBot="1" x14ac:dyDescent="0.45">
      <c r="C33" s="31" t="s">
        <v>20</v>
      </c>
      <c r="D33" s="25">
        <f>D15/$D$16</f>
        <v>4.5639123949062957E-2</v>
      </c>
    </row>
    <row r="34" spans="3:5" ht="18" thickBot="1" x14ac:dyDescent="0.45">
      <c r="C34" s="32" t="s">
        <v>16</v>
      </c>
      <c r="D34" s="26">
        <f>D16/$D$16</f>
        <v>1</v>
      </c>
    </row>
    <row r="36" spans="3:5" x14ac:dyDescent="0.4">
      <c r="C36" s="9" t="s">
        <v>39</v>
      </c>
      <c r="D36" s="47">
        <v>195291136</v>
      </c>
      <c r="E36" s="3" t="s">
        <v>57</v>
      </c>
    </row>
    <row r="37" spans="3:5" x14ac:dyDescent="0.4">
      <c r="C37" s="9" t="s">
        <v>55</v>
      </c>
      <c r="D37" s="48">
        <v>2.2999999999999998</v>
      </c>
      <c r="E37" s="3" t="s">
        <v>56</v>
      </c>
    </row>
    <row r="39" spans="3:5" x14ac:dyDescent="0.4">
      <c r="C39" s="3" t="s">
        <v>58</v>
      </c>
    </row>
    <row r="40" spans="3:5" x14ac:dyDescent="0.4">
      <c r="C40" s="9"/>
      <c r="D40" s="46" t="s">
        <v>53</v>
      </c>
      <c r="E40" s="46" t="s">
        <v>54</v>
      </c>
    </row>
    <row r="41" spans="3:5" x14ac:dyDescent="0.4">
      <c r="C41" s="9" t="s">
        <v>42</v>
      </c>
      <c r="D41" s="9">
        <v>0.45700000000000002</v>
      </c>
      <c r="E41" s="9">
        <v>2.1</v>
      </c>
    </row>
    <row r="42" spans="3:5" x14ac:dyDescent="0.4">
      <c r="C42" s="9" t="s">
        <v>44</v>
      </c>
      <c r="D42" s="9">
        <v>0</v>
      </c>
      <c r="E42" s="9">
        <v>0.7</v>
      </c>
    </row>
    <row r="43" spans="3:5" x14ac:dyDescent="0.4">
      <c r="C43" s="9" t="s">
        <v>11</v>
      </c>
      <c r="D43" s="9">
        <f>D41+D42</f>
        <v>0.45700000000000002</v>
      </c>
      <c r="E43" s="9">
        <f>E41+E42</f>
        <v>2.8</v>
      </c>
    </row>
    <row r="45" spans="3:5" x14ac:dyDescent="0.4">
      <c r="C45" s="3" t="s">
        <v>59</v>
      </c>
    </row>
  </sheetData>
  <mergeCells count="5">
    <mergeCell ref="B5:B11"/>
    <mergeCell ref="B23:B29"/>
    <mergeCell ref="C27:D27"/>
    <mergeCell ref="B30:B32"/>
    <mergeCell ref="C31:D31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977D-03FB-4404-AEEC-70C865462270}">
  <dimension ref="B2:M45"/>
  <sheetViews>
    <sheetView zoomScale="70" zoomScaleNormal="70" workbookViewId="0">
      <selection activeCell="C3" sqref="C3:H16"/>
    </sheetView>
  </sheetViews>
  <sheetFormatPr defaultColWidth="8.8984375" defaultRowHeight="17.399999999999999" x14ac:dyDescent="0.4"/>
  <cols>
    <col min="1" max="1" width="8.8984375" style="3"/>
    <col min="2" max="2" width="13" style="3" customWidth="1"/>
    <col min="3" max="3" width="27.09765625" style="3" bestFit="1" customWidth="1"/>
    <col min="4" max="4" width="21.69921875" style="3" bestFit="1" customWidth="1"/>
    <col min="5" max="5" width="22.8984375" style="3" bestFit="1" customWidth="1"/>
    <col min="6" max="6" width="15.3984375" style="3" customWidth="1"/>
    <col min="7" max="7" width="24.796875" style="3" customWidth="1"/>
    <col min="8" max="8" width="35.8984375" style="3" customWidth="1"/>
    <col min="9" max="10" width="8.8984375" style="3"/>
    <col min="11" max="11" width="12.09765625" style="3" customWidth="1"/>
    <col min="12" max="12" width="42.3984375" style="3" customWidth="1"/>
    <col min="13" max="16384" width="8.8984375" style="3"/>
  </cols>
  <sheetData>
    <row r="2" spans="2:13" ht="18" thickBot="1" x14ac:dyDescent="0.45"/>
    <row r="3" spans="2:13" ht="18" thickBot="1" x14ac:dyDescent="0.45">
      <c r="C3" s="61" t="s">
        <v>19</v>
      </c>
      <c r="K3" s="40" t="s">
        <v>41</v>
      </c>
      <c r="L3" s="41"/>
    </row>
    <row r="4" spans="2:13" ht="18" thickBot="1" x14ac:dyDescent="0.45">
      <c r="C4" s="1" t="s">
        <v>18</v>
      </c>
      <c r="D4" s="2" t="s">
        <v>11</v>
      </c>
      <c r="E4" s="4" t="s">
        <v>38</v>
      </c>
      <c r="F4" s="5" t="s">
        <v>2</v>
      </c>
      <c r="G4" s="5" t="s">
        <v>3</v>
      </c>
      <c r="K4" s="42" t="s">
        <v>42</v>
      </c>
      <c r="L4" s="43" t="s">
        <v>43</v>
      </c>
    </row>
    <row r="5" spans="2:13" ht="18" thickBot="1" x14ac:dyDescent="0.45">
      <c r="B5" s="53"/>
      <c r="C5" s="6" t="s">
        <v>0</v>
      </c>
      <c r="D5" s="7">
        <f>SUM(E5:G5)</f>
        <v>2.5706189999999998</v>
      </c>
      <c r="E5" s="8">
        <f>0.00044+0.000271</f>
        <v>7.1100000000000004E-4</v>
      </c>
      <c r="F5" s="9">
        <f>0.000369+0.266148</f>
        <v>0.266517</v>
      </c>
      <c r="G5" s="9">
        <v>2.303391</v>
      </c>
      <c r="K5" s="42" t="s">
        <v>44</v>
      </c>
      <c r="L5" s="43" t="s">
        <v>45</v>
      </c>
      <c r="M5" s="3" t="s">
        <v>52</v>
      </c>
    </row>
    <row r="6" spans="2:13" ht="18" thickBot="1" x14ac:dyDescent="0.45">
      <c r="B6" s="53"/>
      <c r="C6" s="6" t="s">
        <v>4</v>
      </c>
      <c r="D6" s="7">
        <f>SUM(E6:G6)</f>
        <v>0.42283399999999999</v>
      </c>
      <c r="E6" s="8">
        <f>0.000406+0.000176</f>
        <v>5.8200000000000005E-4</v>
      </c>
      <c r="F6" s="9">
        <f>0.00034+0.044457</f>
        <v>4.4797000000000003E-2</v>
      </c>
      <c r="G6" s="9">
        <v>0.37745499999999998</v>
      </c>
      <c r="K6" s="42" t="s">
        <v>46</v>
      </c>
      <c r="L6" s="43" t="s">
        <v>47</v>
      </c>
    </row>
    <row r="7" spans="2:13" ht="18" thickBot="1" x14ac:dyDescent="0.45">
      <c r="B7" s="53"/>
      <c r="C7" s="6" t="s">
        <v>5</v>
      </c>
      <c r="D7" s="7">
        <f>SUM(E7:G7)</f>
        <v>0.34279199999999999</v>
      </c>
      <c r="E7" s="8">
        <f>0.000433+0.000175</f>
        <v>6.0800000000000003E-4</v>
      </c>
      <c r="F7" s="9">
        <f>0.000339+0.020062</f>
        <v>2.0400999999999999E-2</v>
      </c>
      <c r="G7" s="9">
        <v>0.32178299999999999</v>
      </c>
      <c r="K7" s="42" t="s">
        <v>48</v>
      </c>
      <c r="L7" s="43" t="s">
        <v>49</v>
      </c>
    </row>
    <row r="8" spans="2:13" ht="18" thickBot="1" x14ac:dyDescent="0.45">
      <c r="B8" s="53"/>
      <c r="C8" s="10" t="s">
        <v>6</v>
      </c>
      <c r="D8" s="11">
        <f>SUM(E8:G8)</f>
        <v>0.30429659999999997</v>
      </c>
      <c r="E8" s="8">
        <f>0.000471+0.000174</f>
        <v>6.4499999999999996E-4</v>
      </c>
      <c r="F8" s="9">
        <f>0.000434+0.0017426</f>
        <v>2.1765999999999999E-3</v>
      </c>
      <c r="G8" s="9">
        <v>0.30147499999999999</v>
      </c>
      <c r="K8" s="44" t="s">
        <v>50</v>
      </c>
      <c r="L8" s="45" t="s">
        <v>51</v>
      </c>
    </row>
    <row r="9" spans="2:13" x14ac:dyDescent="0.4">
      <c r="B9" s="53"/>
      <c r="C9" s="12"/>
      <c r="D9" s="13"/>
      <c r="E9" s="4" t="s">
        <v>37</v>
      </c>
      <c r="F9" s="5" t="s">
        <v>10</v>
      </c>
      <c r="G9" s="5" t="s">
        <v>3</v>
      </c>
    </row>
    <row r="10" spans="2:13" x14ac:dyDescent="0.4">
      <c r="B10" s="53"/>
      <c r="C10" s="6" t="s">
        <v>7</v>
      </c>
      <c r="D10" s="14">
        <f>SUM(E10:G10)</f>
        <v>0.224243</v>
      </c>
      <c r="E10" s="8">
        <v>8.8880000000000001E-3</v>
      </c>
      <c r="F10" s="9">
        <v>4.6259999999999999E-3</v>
      </c>
      <c r="G10" s="9">
        <v>0.210729</v>
      </c>
    </row>
    <row r="11" spans="2:13" ht="18" thickBot="1" x14ac:dyDescent="0.45">
      <c r="B11" s="53"/>
      <c r="C11" s="10" t="s">
        <v>8</v>
      </c>
      <c r="D11" s="11">
        <f>SUM(E11:G11)</f>
        <v>0.23549399999999998</v>
      </c>
      <c r="E11" s="8">
        <v>2.1399000000000001E-2</v>
      </c>
      <c r="F11" s="9">
        <v>8.3459999999999993E-3</v>
      </c>
      <c r="G11" s="9">
        <v>0.20574899999999999</v>
      </c>
    </row>
    <row r="12" spans="2:13" ht="18" thickBot="1" x14ac:dyDescent="0.45">
      <c r="C12" s="15" t="s">
        <v>12</v>
      </c>
      <c r="D12" s="16">
        <v>0.31991399999999998</v>
      </c>
    </row>
    <row r="13" spans="2:13" x14ac:dyDescent="0.4">
      <c r="C13" s="12"/>
      <c r="D13" s="13"/>
      <c r="E13" s="4" t="s">
        <v>38</v>
      </c>
      <c r="F13" s="5" t="s">
        <v>2</v>
      </c>
      <c r="G13" s="5" t="s">
        <v>14</v>
      </c>
      <c r="H13" s="5" t="s">
        <v>15</v>
      </c>
    </row>
    <row r="14" spans="2:13" ht="18" thickBot="1" x14ac:dyDescent="0.45">
      <c r="C14" s="10" t="s">
        <v>13</v>
      </c>
      <c r="D14" s="11">
        <v>0.61756900000000003</v>
      </c>
      <c r="E14" s="8">
        <f>0.000214+0.000156</f>
        <v>3.6999999999999999E-4</v>
      </c>
      <c r="F14" s="9">
        <f>0.000349+0.001441</f>
        <v>1.7899999999999999E-3</v>
      </c>
      <c r="G14" s="9">
        <v>0.30113699999999999</v>
      </c>
      <c r="H14" s="9">
        <f>D14-SUM(E14:G14)</f>
        <v>0.31427200000000005</v>
      </c>
    </row>
    <row r="15" spans="2:13" ht="18" thickBot="1" x14ac:dyDescent="0.45">
      <c r="C15" s="17" t="s">
        <v>20</v>
      </c>
      <c r="D15" s="18">
        <f>D16-SUM(D5:D14)</f>
        <v>6.0223400000000815E-2</v>
      </c>
    </row>
    <row r="16" spans="2:13" ht="18" thickBot="1" x14ac:dyDescent="0.45">
      <c r="C16" s="19" t="s">
        <v>16</v>
      </c>
      <c r="D16" s="16">
        <v>5.0979850000000004</v>
      </c>
    </row>
    <row r="21" spans="2:8" ht="18" thickBot="1" x14ac:dyDescent="0.45">
      <c r="C21" s="3" t="s">
        <v>17</v>
      </c>
    </row>
    <row r="22" spans="2:8" ht="18" thickBot="1" x14ac:dyDescent="0.45">
      <c r="B22" s="33" t="s">
        <v>36</v>
      </c>
      <c r="C22" s="36" t="s">
        <v>18</v>
      </c>
      <c r="D22" s="37" t="s">
        <v>11</v>
      </c>
      <c r="E22" s="4" t="s">
        <v>38</v>
      </c>
      <c r="F22" s="5" t="s">
        <v>2</v>
      </c>
      <c r="G22" s="5" t="s">
        <v>3</v>
      </c>
    </row>
    <row r="23" spans="2:8" x14ac:dyDescent="0.4">
      <c r="B23" s="54" t="s">
        <v>34</v>
      </c>
      <c r="C23" s="34" t="s">
        <v>0</v>
      </c>
      <c r="D23" s="35">
        <f t="shared" ref="D23:G26" si="0">D5/$D$16</f>
        <v>0.50424216626765272</v>
      </c>
      <c r="E23" s="21">
        <f t="shared" si="0"/>
        <v>1.3946686779188247E-4</v>
      </c>
      <c r="F23" s="22">
        <f t="shared" si="0"/>
        <v>5.2278890581278679E-2</v>
      </c>
      <c r="G23" s="22">
        <f t="shared" si="0"/>
        <v>0.4518238088185822</v>
      </c>
    </row>
    <row r="24" spans="2:8" x14ac:dyDescent="0.4">
      <c r="B24" s="55"/>
      <c r="C24" s="28" t="s">
        <v>4</v>
      </c>
      <c r="D24" s="20">
        <f t="shared" si="0"/>
        <v>8.2941397434476552E-2</v>
      </c>
      <c r="E24" s="21">
        <f t="shared" si="0"/>
        <v>1.1416275253850296E-4</v>
      </c>
      <c r="F24" s="22">
        <f t="shared" si="0"/>
        <v>8.7871972946173826E-3</v>
      </c>
      <c r="G24" s="22">
        <f t="shared" si="0"/>
        <v>7.4040037387320665E-2</v>
      </c>
    </row>
    <row r="25" spans="2:8" x14ac:dyDescent="0.4">
      <c r="B25" s="55"/>
      <c r="C25" s="28" t="s">
        <v>5</v>
      </c>
      <c r="D25" s="20">
        <f t="shared" si="0"/>
        <v>6.7240684309585047E-2</v>
      </c>
      <c r="E25" s="21">
        <f t="shared" si="0"/>
        <v>1.1926280677561821E-4</v>
      </c>
      <c r="F25" s="22">
        <f t="shared" si="0"/>
        <v>4.0017771727457021E-3</v>
      </c>
      <c r="G25" s="22">
        <f t="shared" si="0"/>
        <v>6.3119644330063729E-2</v>
      </c>
    </row>
    <row r="26" spans="2:8" ht="18" thickBot="1" x14ac:dyDescent="0.45">
      <c r="B26" s="55"/>
      <c r="C26" s="29" t="s">
        <v>6</v>
      </c>
      <c r="D26" s="23">
        <f t="shared" si="0"/>
        <v>5.968958323729865E-2</v>
      </c>
      <c r="E26" s="21">
        <f t="shared" si="0"/>
        <v>1.2652057626689759E-4</v>
      </c>
      <c r="F26" s="22">
        <f t="shared" si="0"/>
        <v>4.2695300201942525E-4</v>
      </c>
      <c r="G26" s="22">
        <f t="shared" si="0"/>
        <v>5.913610965901233E-2</v>
      </c>
    </row>
    <row r="27" spans="2:8" x14ac:dyDescent="0.4">
      <c r="B27" s="55"/>
      <c r="C27" s="57"/>
      <c r="D27" s="58"/>
      <c r="E27" s="4" t="s">
        <v>9</v>
      </c>
      <c r="F27" s="5" t="s">
        <v>10</v>
      </c>
      <c r="G27" s="5" t="s">
        <v>3</v>
      </c>
    </row>
    <row r="28" spans="2:8" x14ac:dyDescent="0.4">
      <c r="B28" s="55"/>
      <c r="C28" s="28" t="s">
        <v>7</v>
      </c>
      <c r="D28" s="20">
        <f t="shared" ref="D28:G29" si="1">D10/$D$16</f>
        <v>4.3986594703593673E-2</v>
      </c>
      <c r="E28" s="21">
        <f t="shared" si="1"/>
        <v>1.7434339253646293E-3</v>
      </c>
      <c r="F28" s="22">
        <f t="shared" si="1"/>
        <v>9.0741734234212133E-4</v>
      </c>
      <c r="G28" s="22">
        <f t="shared" si="1"/>
        <v>4.1335743435886918E-2</v>
      </c>
    </row>
    <row r="29" spans="2:8" ht="18" thickBot="1" x14ac:dyDescent="0.45">
      <c r="B29" s="56"/>
      <c r="C29" s="29" t="s">
        <v>8</v>
      </c>
      <c r="D29" s="23">
        <f t="shared" si="1"/>
        <v>4.6193545096739196E-2</v>
      </c>
      <c r="E29" s="21">
        <f t="shared" si="1"/>
        <v>4.197540793078049E-3</v>
      </c>
      <c r="F29" s="22">
        <f t="shared" si="1"/>
        <v>1.6371174101139957E-3</v>
      </c>
      <c r="G29" s="22">
        <f t="shared" si="1"/>
        <v>4.035888689354715E-2</v>
      </c>
    </row>
    <row r="30" spans="2:8" ht="18" thickBot="1" x14ac:dyDescent="0.45">
      <c r="B30" s="54" t="s">
        <v>35</v>
      </c>
      <c r="C30" s="30" t="s">
        <v>12</v>
      </c>
      <c r="D30" s="24">
        <f>D12/$D$16</f>
        <v>6.2753028892788026E-2</v>
      </c>
    </row>
    <row r="31" spans="2:8" x14ac:dyDescent="0.4">
      <c r="B31" s="54"/>
      <c r="C31" s="57"/>
      <c r="D31" s="58"/>
      <c r="E31" s="4" t="s">
        <v>38</v>
      </c>
      <c r="F31" s="5" t="s">
        <v>2</v>
      </c>
      <c r="G31" s="5" t="s">
        <v>14</v>
      </c>
      <c r="H31" s="5" t="s">
        <v>15</v>
      </c>
    </row>
    <row r="32" spans="2:8" ht="18" thickBot="1" x14ac:dyDescent="0.45">
      <c r="B32" s="59"/>
      <c r="C32" s="29" t="s">
        <v>13</v>
      </c>
      <c r="D32" s="23">
        <f>D14/$D$16</f>
        <v>0.12113982289080881</v>
      </c>
      <c r="E32" s="21">
        <f>E14/$D$16</f>
        <v>7.2577694912793968E-5</v>
      </c>
      <c r="F32" s="22">
        <f>F14/$D$16</f>
        <v>3.5111911863216539E-4</v>
      </c>
      <c r="G32" s="22">
        <f>G14/$D$16</f>
        <v>5.9069808953929832E-2</v>
      </c>
      <c r="H32" s="22">
        <f>H14/$D$16</f>
        <v>6.164631712333403E-2</v>
      </c>
    </row>
    <row r="33" spans="3:5" ht="18" thickBot="1" x14ac:dyDescent="0.45">
      <c r="C33" s="31" t="s">
        <v>20</v>
      </c>
      <c r="D33" s="25">
        <f>D15/$D$16</f>
        <v>1.181317716705734E-2</v>
      </c>
    </row>
    <row r="34" spans="3:5" ht="18" thickBot="1" x14ac:dyDescent="0.45">
      <c r="C34" s="32" t="s">
        <v>16</v>
      </c>
      <c r="D34" s="26">
        <f>D16/$D$16</f>
        <v>1</v>
      </c>
    </row>
    <row r="36" spans="3:5" x14ac:dyDescent="0.4">
      <c r="C36" s="9" t="s">
        <v>39</v>
      </c>
      <c r="D36" s="47">
        <v>195291136</v>
      </c>
      <c r="E36" s="3" t="s">
        <v>57</v>
      </c>
    </row>
    <row r="37" spans="3:5" x14ac:dyDescent="0.4">
      <c r="C37" s="9" t="s">
        <v>55</v>
      </c>
      <c r="D37" s="48">
        <v>2.2999999999999998</v>
      </c>
      <c r="E37" s="3" t="s">
        <v>56</v>
      </c>
    </row>
    <row r="39" spans="3:5" x14ac:dyDescent="0.4">
      <c r="C39" s="3" t="s">
        <v>58</v>
      </c>
    </row>
    <row r="40" spans="3:5" x14ac:dyDescent="0.4">
      <c r="C40" s="9"/>
      <c r="D40" s="46" t="s">
        <v>53</v>
      </c>
      <c r="E40" s="46" t="s">
        <v>54</v>
      </c>
    </row>
    <row r="41" spans="3:5" x14ac:dyDescent="0.4">
      <c r="C41" s="9" t="s">
        <v>42</v>
      </c>
      <c r="D41" s="9">
        <v>0.7</v>
      </c>
      <c r="E41" s="9">
        <v>2.2999999999999998</v>
      </c>
    </row>
    <row r="42" spans="3:5" x14ac:dyDescent="0.4">
      <c r="C42" s="9" t="s">
        <v>44</v>
      </c>
      <c r="D42" s="9">
        <v>0.9</v>
      </c>
      <c r="E42" s="9">
        <v>1.6</v>
      </c>
    </row>
    <row r="43" spans="3:5" x14ac:dyDescent="0.4">
      <c r="C43" s="9" t="s">
        <v>11</v>
      </c>
      <c r="D43" s="9">
        <f>D41+D42</f>
        <v>1.6</v>
      </c>
      <c r="E43" s="9">
        <f>E41+E42</f>
        <v>3.9</v>
      </c>
    </row>
    <row r="45" spans="3:5" x14ac:dyDescent="0.4">
      <c r="C45" s="3" t="s">
        <v>59</v>
      </c>
    </row>
  </sheetData>
  <mergeCells count="5">
    <mergeCell ref="B5:B11"/>
    <mergeCell ref="B23:B29"/>
    <mergeCell ref="C27:D27"/>
    <mergeCell ref="B30:B32"/>
    <mergeCell ref="C31:D31"/>
  </mergeCells>
  <phoneticPr fontId="6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6E58E-D32F-45E6-9250-1A93BA28DDE2}">
  <dimension ref="B2:M45"/>
  <sheetViews>
    <sheetView zoomScale="70" zoomScaleNormal="70" workbookViewId="0">
      <selection activeCell="H14" sqref="H14"/>
    </sheetView>
  </sheetViews>
  <sheetFormatPr defaultColWidth="8.8984375" defaultRowHeight="17.399999999999999" x14ac:dyDescent="0.4"/>
  <cols>
    <col min="1" max="1" width="8.8984375" style="3"/>
    <col min="2" max="2" width="13" style="3" customWidth="1"/>
    <col min="3" max="3" width="27.09765625" style="3" bestFit="1" customWidth="1"/>
    <col min="4" max="4" width="21.69921875" style="3" bestFit="1" customWidth="1"/>
    <col min="5" max="5" width="22.8984375" style="3" bestFit="1" customWidth="1"/>
    <col min="6" max="6" width="15.3984375" style="3" customWidth="1"/>
    <col min="7" max="7" width="22.19921875" style="3" bestFit="1" customWidth="1"/>
    <col min="8" max="8" width="32.19921875" style="3" bestFit="1" customWidth="1"/>
    <col min="9" max="10" width="8.8984375" style="3"/>
    <col min="11" max="11" width="12.09765625" style="3" customWidth="1"/>
    <col min="12" max="12" width="42.3984375" style="3" customWidth="1"/>
    <col min="13" max="16384" width="8.8984375" style="3"/>
  </cols>
  <sheetData>
    <row r="2" spans="2:13" ht="18" thickBot="1" x14ac:dyDescent="0.45"/>
    <row r="3" spans="2:13" ht="18" thickBot="1" x14ac:dyDescent="0.45">
      <c r="C3" s="3" t="s">
        <v>19</v>
      </c>
      <c r="K3" s="40" t="s">
        <v>41</v>
      </c>
      <c r="L3" s="41"/>
    </row>
    <row r="4" spans="2:13" ht="18" thickBot="1" x14ac:dyDescent="0.45">
      <c r="C4" s="1" t="s">
        <v>18</v>
      </c>
      <c r="D4" s="2" t="s">
        <v>11</v>
      </c>
      <c r="E4" s="4" t="s">
        <v>38</v>
      </c>
      <c r="F4" s="5" t="s">
        <v>2</v>
      </c>
      <c r="G4" s="5" t="s">
        <v>3</v>
      </c>
      <c r="K4" s="42" t="s">
        <v>42</v>
      </c>
      <c r="L4" s="43" t="s">
        <v>43</v>
      </c>
    </row>
    <row r="5" spans="2:13" ht="18" thickBot="1" x14ac:dyDescent="0.45">
      <c r="B5" s="53"/>
      <c r="C5" s="6" t="s">
        <v>0</v>
      </c>
      <c r="D5" s="7">
        <f>SUM(E5:G5)</f>
        <v>1.1078049999999999</v>
      </c>
      <c r="E5" s="8">
        <f>0.000485+0.000306</f>
        <v>7.9100000000000004E-4</v>
      </c>
      <c r="F5" s="9">
        <f>0.0004+0.440762</f>
        <v>0.441162</v>
      </c>
      <c r="G5" s="52">
        <v>0.665852</v>
      </c>
      <c r="K5" s="42" t="s">
        <v>44</v>
      </c>
      <c r="L5" s="43" t="s">
        <v>45</v>
      </c>
      <c r="M5" s="3" t="s">
        <v>52</v>
      </c>
    </row>
    <row r="6" spans="2:13" ht="18" thickBot="1" x14ac:dyDescent="0.45">
      <c r="B6" s="53"/>
      <c r="C6" s="6" t="s">
        <v>4</v>
      </c>
      <c r="D6" s="7">
        <f>SUM(E6:G6)</f>
        <v>0.66225800000000001</v>
      </c>
      <c r="E6" s="8">
        <f>0.000398+0.000173</f>
        <v>5.71E-4</v>
      </c>
      <c r="F6" s="9">
        <f>0.000339+0.103079</f>
        <v>0.10341800000000001</v>
      </c>
      <c r="G6" s="52">
        <v>0.55826900000000002</v>
      </c>
      <c r="K6" s="42" t="s">
        <v>46</v>
      </c>
      <c r="L6" s="43" t="s">
        <v>47</v>
      </c>
    </row>
    <row r="7" spans="2:13" ht="18" thickBot="1" x14ac:dyDescent="0.45">
      <c r="B7" s="53"/>
      <c r="C7" s="6" t="s">
        <v>5</v>
      </c>
      <c r="D7" s="7">
        <f>SUM(E7:G7)</f>
        <v>0.19192899999999999</v>
      </c>
      <c r="E7" s="8">
        <f>0.000418+0.000185</f>
        <v>6.0300000000000002E-4</v>
      </c>
      <c r="F7" s="9">
        <f>0.000333+0.008466</f>
        <v>8.7989999999999995E-3</v>
      </c>
      <c r="G7" s="52">
        <v>0.18252699999999999</v>
      </c>
      <c r="K7" s="42" t="s">
        <v>48</v>
      </c>
      <c r="L7" s="43" t="s">
        <v>49</v>
      </c>
    </row>
    <row r="8" spans="2:13" ht="18" thickBot="1" x14ac:dyDescent="0.45">
      <c r="B8" s="53"/>
      <c r="C8" s="10" t="s">
        <v>6</v>
      </c>
      <c r="D8" s="11">
        <f>SUM(E8:G8)</f>
        <v>9.4115000000000004E-2</v>
      </c>
      <c r="E8" s="8">
        <f>0.000412+0.000183</f>
        <v>5.9500000000000004E-4</v>
      </c>
      <c r="F8" s="9">
        <f>0.000359 + 0.002334</f>
        <v>2.6930000000000001E-3</v>
      </c>
      <c r="G8" s="52">
        <v>9.0827000000000005E-2</v>
      </c>
      <c r="K8" s="44" t="s">
        <v>50</v>
      </c>
      <c r="L8" s="45" t="s">
        <v>51</v>
      </c>
    </row>
    <row r="9" spans="2:13" x14ac:dyDescent="0.4">
      <c r="B9" s="53"/>
      <c r="C9" s="12"/>
      <c r="D9" s="13"/>
      <c r="E9" s="4" t="s">
        <v>37</v>
      </c>
      <c r="F9" s="5" t="s">
        <v>10</v>
      </c>
      <c r="G9" s="5" t="s">
        <v>3</v>
      </c>
    </row>
    <row r="10" spans="2:13" x14ac:dyDescent="0.4">
      <c r="B10" s="53"/>
      <c r="C10" s="6" t="s">
        <v>7</v>
      </c>
      <c r="D10" s="14">
        <f>SUM(E10:G10)</f>
        <v>3.7536E-2</v>
      </c>
      <c r="E10" s="8">
        <v>9.5239999999999995E-3</v>
      </c>
      <c r="F10" s="9">
        <v>4.6350000000000002E-3</v>
      </c>
      <c r="G10" s="52">
        <v>2.3376999999999998E-2</v>
      </c>
    </row>
    <row r="11" spans="2:13" ht="18" thickBot="1" x14ac:dyDescent="0.45">
      <c r="B11" s="53"/>
      <c r="C11" s="10" t="s">
        <v>8</v>
      </c>
      <c r="D11" s="11">
        <f>SUM(E11:G11)</f>
        <v>7.1775000000000005E-2</v>
      </c>
      <c r="E11" s="8">
        <v>2.1246000000000001E-2</v>
      </c>
      <c r="F11" s="9">
        <v>8.0199999999999994E-3</v>
      </c>
      <c r="G11" s="52">
        <v>4.2508999999999998E-2</v>
      </c>
    </row>
    <row r="12" spans="2:13" ht="18" thickBot="1" x14ac:dyDescent="0.45">
      <c r="C12" s="15" t="s">
        <v>12</v>
      </c>
      <c r="D12" s="16">
        <v>2.11192</v>
      </c>
    </row>
    <row r="13" spans="2:13" x14ac:dyDescent="0.4">
      <c r="C13" s="12"/>
      <c r="D13" s="13"/>
      <c r="E13" s="4" t="s">
        <v>38</v>
      </c>
      <c r="F13" s="5" t="s">
        <v>2</v>
      </c>
      <c r="G13" s="5" t="s">
        <v>14</v>
      </c>
      <c r="H13" s="5" t="s">
        <v>15</v>
      </c>
    </row>
    <row r="14" spans="2:13" ht="18" thickBot="1" x14ac:dyDescent="0.45">
      <c r="C14" s="10" t="s">
        <v>13</v>
      </c>
      <c r="D14" s="11">
        <v>0.28889700000000001</v>
      </c>
      <c r="E14" s="8">
        <f>0.000208+0.00018</f>
        <v>3.88E-4</v>
      </c>
      <c r="F14" s="9">
        <f>0.000349+0.003269</f>
        <v>3.6180000000000001E-3</v>
      </c>
      <c r="G14" s="52">
        <v>0.125331</v>
      </c>
      <c r="H14" s="60">
        <f>D14-SUM(E14:G14)</f>
        <v>0.15956000000000001</v>
      </c>
    </row>
    <row r="15" spans="2:13" ht="18" thickBot="1" x14ac:dyDescent="0.45">
      <c r="C15" s="17" t="s">
        <v>20</v>
      </c>
      <c r="D15" s="18">
        <f>D16-SUM(D5:D14)</f>
        <v>6.9107999999999059E-2</v>
      </c>
    </row>
    <row r="16" spans="2:13" ht="18" thickBot="1" x14ac:dyDescent="0.45">
      <c r="C16" s="19" t="s">
        <v>16</v>
      </c>
      <c r="D16" s="16">
        <v>4.6353429999999998</v>
      </c>
    </row>
    <row r="21" spans="2:8" ht="18" thickBot="1" x14ac:dyDescent="0.45">
      <c r="C21" s="3" t="s">
        <v>17</v>
      </c>
    </row>
    <row r="22" spans="2:8" ht="18" thickBot="1" x14ac:dyDescent="0.45">
      <c r="B22" s="33" t="s">
        <v>36</v>
      </c>
      <c r="C22" s="36" t="s">
        <v>18</v>
      </c>
      <c r="D22" s="37" t="s">
        <v>11</v>
      </c>
      <c r="E22" s="4" t="s">
        <v>38</v>
      </c>
      <c r="F22" s="5" t="s">
        <v>2</v>
      </c>
      <c r="G22" s="5" t="s">
        <v>3</v>
      </c>
    </row>
    <row r="23" spans="2:8" x14ac:dyDescent="0.4">
      <c r="B23" s="54" t="s">
        <v>34</v>
      </c>
      <c r="C23" s="34" t="s">
        <v>0</v>
      </c>
      <c r="D23" s="35">
        <f t="shared" ref="D23:G26" si="0">D5/$D$16</f>
        <v>0.23899094414372354</v>
      </c>
      <c r="E23" s="21">
        <f t="shared" si="0"/>
        <v>1.7064540854905454E-4</v>
      </c>
      <c r="F23" s="22">
        <f t="shared" si="0"/>
        <v>9.5173539477013902E-2</v>
      </c>
      <c r="G23" s="22">
        <f t="shared" si="0"/>
        <v>0.14364675925816062</v>
      </c>
    </row>
    <row r="24" spans="2:8" x14ac:dyDescent="0.4">
      <c r="B24" s="55"/>
      <c r="C24" s="28" t="s">
        <v>4</v>
      </c>
      <c r="D24" s="20">
        <f t="shared" si="0"/>
        <v>0.14287141210477844</v>
      </c>
      <c r="E24" s="21">
        <f t="shared" si="0"/>
        <v>1.231839801283314E-4</v>
      </c>
      <c r="F24" s="22">
        <f t="shared" si="0"/>
        <v>2.2310754565519751E-2</v>
      </c>
      <c r="G24" s="22">
        <f t="shared" si="0"/>
        <v>0.12043747355913037</v>
      </c>
    </row>
    <row r="25" spans="2:8" x14ac:dyDescent="0.4">
      <c r="B25" s="55"/>
      <c r="C25" s="28" t="s">
        <v>5</v>
      </c>
      <c r="D25" s="20">
        <f t="shared" si="0"/>
        <v>4.1405565888004404E-2</v>
      </c>
      <c r="E25" s="21">
        <f t="shared" si="0"/>
        <v>1.3008746062589114E-4</v>
      </c>
      <c r="F25" s="22">
        <f t="shared" si="0"/>
        <v>1.8982414030633762E-3</v>
      </c>
      <c r="G25" s="22">
        <f t="shared" si="0"/>
        <v>3.9377237024315136E-2</v>
      </c>
    </row>
    <row r="26" spans="2:8" ht="18" thickBot="1" x14ac:dyDescent="0.45">
      <c r="B26" s="55"/>
      <c r="C26" s="29" t="s">
        <v>6</v>
      </c>
      <c r="D26" s="23">
        <f t="shared" si="0"/>
        <v>2.0303783344619807E-2</v>
      </c>
      <c r="E26" s="21">
        <f t="shared" si="0"/>
        <v>1.283615905015012E-4</v>
      </c>
      <c r="F26" s="22">
        <f t="shared" si="0"/>
        <v>5.8097103062276084E-4</v>
      </c>
      <c r="G26" s="22">
        <f t="shared" si="0"/>
        <v>1.9594450723495544E-2</v>
      </c>
    </row>
    <row r="27" spans="2:8" x14ac:dyDescent="0.4">
      <c r="B27" s="55"/>
      <c r="C27" s="57"/>
      <c r="D27" s="58"/>
      <c r="E27" s="4" t="s">
        <v>9</v>
      </c>
      <c r="F27" s="5" t="s">
        <v>10</v>
      </c>
      <c r="G27" s="5" t="s">
        <v>3</v>
      </c>
    </row>
    <row r="28" spans="2:8" x14ac:dyDescent="0.4">
      <c r="B28" s="55"/>
      <c r="C28" s="28" t="s">
        <v>7</v>
      </c>
      <c r="D28" s="20">
        <f t="shared" ref="D28:G29" si="1">D10/$D$16</f>
        <v>8.0977826236375613E-3</v>
      </c>
      <c r="E28" s="21">
        <f t="shared" si="1"/>
        <v>2.0546483830862139E-3</v>
      </c>
      <c r="F28" s="22">
        <f t="shared" si="1"/>
        <v>9.9992600331841688E-4</v>
      </c>
      <c r="G28" s="22">
        <f t="shared" si="1"/>
        <v>5.0432082372329299E-3</v>
      </c>
    </row>
    <row r="29" spans="2:8" ht="18" thickBot="1" x14ac:dyDescent="0.45">
      <c r="B29" s="56"/>
      <c r="C29" s="29" t="s">
        <v>8</v>
      </c>
      <c r="D29" s="23">
        <f t="shared" si="1"/>
        <v>1.5484291022260921E-2</v>
      </c>
      <c r="E29" s="21">
        <f t="shared" si="1"/>
        <v>4.5834795828485616E-3</v>
      </c>
      <c r="F29" s="22">
        <f t="shared" si="1"/>
        <v>1.7301847997009067E-3</v>
      </c>
      <c r="G29" s="22">
        <f t="shared" si="1"/>
        <v>9.1706266397114516E-3</v>
      </c>
    </row>
    <row r="30" spans="2:8" ht="18" thickBot="1" x14ac:dyDescent="0.45">
      <c r="B30" s="54" t="s">
        <v>35</v>
      </c>
      <c r="C30" s="30" t="s">
        <v>12</v>
      </c>
      <c r="D30" s="24">
        <f>D12/$D$16</f>
        <v>0.45561245413769813</v>
      </c>
    </row>
    <row r="31" spans="2:8" x14ac:dyDescent="0.4">
      <c r="B31" s="54"/>
      <c r="C31" s="57"/>
      <c r="D31" s="58"/>
      <c r="E31" s="4" t="s">
        <v>38</v>
      </c>
      <c r="F31" s="5" t="s">
        <v>2</v>
      </c>
      <c r="G31" s="5" t="s">
        <v>14</v>
      </c>
      <c r="H31" s="5" t="s">
        <v>15</v>
      </c>
    </row>
    <row r="32" spans="2:8" ht="18" thickBot="1" x14ac:dyDescent="0.45">
      <c r="B32" s="59"/>
      <c r="C32" s="29" t="s">
        <v>13</v>
      </c>
      <c r="D32" s="23">
        <f>D14/$D$16</f>
        <v>6.2324837665734774E-2</v>
      </c>
      <c r="E32" s="21">
        <f>E14/$D$16</f>
        <v>8.3704701032911703E-5</v>
      </c>
      <c r="F32" s="22">
        <f>F14/$D$16</f>
        <v>7.8052476375534672E-4</v>
      </c>
      <c r="G32" s="22">
        <f>G14/$D$16</f>
        <v>2.7038128569989321E-2</v>
      </c>
      <c r="H32" s="22">
        <f>H14/$D$16</f>
        <v>3.4422479630957195E-2</v>
      </c>
    </row>
    <row r="33" spans="3:5" ht="18" thickBot="1" x14ac:dyDescent="0.45">
      <c r="C33" s="31" t="s">
        <v>20</v>
      </c>
      <c r="D33" s="25">
        <f>D15/$D$16</f>
        <v>1.4908929069542224E-2</v>
      </c>
    </row>
    <row r="34" spans="3:5" ht="18" thickBot="1" x14ac:dyDescent="0.45">
      <c r="C34" s="32" t="s">
        <v>16</v>
      </c>
      <c r="D34" s="26">
        <f>D16/$D$16</f>
        <v>1</v>
      </c>
    </row>
    <row r="36" spans="3:5" x14ac:dyDescent="0.4">
      <c r="C36" s="9" t="s">
        <v>39</v>
      </c>
      <c r="D36" s="47">
        <v>195291136</v>
      </c>
      <c r="E36" s="3" t="s">
        <v>57</v>
      </c>
    </row>
    <row r="37" spans="3:5" x14ac:dyDescent="0.4">
      <c r="C37" s="9" t="s">
        <v>55</v>
      </c>
      <c r="D37" s="48">
        <v>2.2999999999999998</v>
      </c>
      <c r="E37" s="3" t="s">
        <v>56</v>
      </c>
    </row>
    <row r="39" spans="3:5" x14ac:dyDescent="0.4">
      <c r="C39" s="3" t="s">
        <v>58</v>
      </c>
    </row>
    <row r="40" spans="3:5" x14ac:dyDescent="0.4">
      <c r="C40" s="9"/>
      <c r="D40" s="46" t="s">
        <v>53</v>
      </c>
      <c r="E40" s="46" t="s">
        <v>54</v>
      </c>
    </row>
    <row r="41" spans="3:5" x14ac:dyDescent="0.4">
      <c r="C41" s="9" t="s">
        <v>42</v>
      </c>
      <c r="D41" s="9">
        <v>0.7</v>
      </c>
      <c r="E41" s="9">
        <v>2.2999999999999998</v>
      </c>
    </row>
    <row r="42" spans="3:5" x14ac:dyDescent="0.4">
      <c r="C42" s="9" t="s">
        <v>44</v>
      </c>
      <c r="D42" s="9">
        <v>0.9</v>
      </c>
      <c r="E42" s="9">
        <v>1.6</v>
      </c>
    </row>
    <row r="43" spans="3:5" x14ac:dyDescent="0.4">
      <c r="C43" s="9" t="s">
        <v>11</v>
      </c>
      <c r="D43" s="9">
        <f>D41+D42</f>
        <v>1.6</v>
      </c>
      <c r="E43" s="9">
        <f>E41+E42</f>
        <v>3.9</v>
      </c>
    </row>
    <row r="45" spans="3:5" x14ac:dyDescent="0.4">
      <c r="C45" s="3" t="s">
        <v>59</v>
      </c>
    </row>
  </sheetData>
  <mergeCells count="5">
    <mergeCell ref="B5:B11"/>
    <mergeCell ref="B23:B29"/>
    <mergeCell ref="C27:D27"/>
    <mergeCell ref="B30:B32"/>
    <mergeCell ref="C31:D31"/>
  </mergeCells>
  <phoneticPr fontId="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6C7B-C6BA-4A47-B23E-997DDDA28DE4}">
  <dimension ref="B3:L45"/>
  <sheetViews>
    <sheetView tabSelected="1" zoomScale="70" zoomScaleNormal="70" workbookViewId="0">
      <selection activeCell="I11" sqref="I11"/>
    </sheetView>
  </sheetViews>
  <sheetFormatPr defaultColWidth="8.8984375" defaultRowHeight="17.399999999999999" x14ac:dyDescent="0.4"/>
  <cols>
    <col min="1" max="1" width="8.8984375" style="3"/>
    <col min="2" max="2" width="13" style="3" customWidth="1"/>
    <col min="3" max="3" width="27.09765625" style="3" bestFit="1" customWidth="1"/>
    <col min="4" max="4" width="21.69921875" style="3" bestFit="1" customWidth="1"/>
    <col min="5" max="5" width="22.8984375" style="3" bestFit="1" customWidth="1"/>
    <col min="6" max="6" width="15.3984375" style="3" customWidth="1"/>
    <col min="7" max="7" width="22.19921875" style="3" bestFit="1" customWidth="1"/>
    <col min="8" max="8" width="32.19921875" style="3" bestFit="1" customWidth="1"/>
    <col min="9" max="11" width="8.8984375" style="3"/>
    <col min="12" max="12" width="10.296875" style="3" customWidth="1"/>
    <col min="13" max="16384" width="8.8984375" style="3"/>
  </cols>
  <sheetData>
    <row r="3" spans="2:12" ht="18" thickBot="1" x14ac:dyDescent="0.45">
      <c r="C3" s="61" t="s">
        <v>19</v>
      </c>
    </row>
    <row r="4" spans="2:12" x14ac:dyDescent="0.4">
      <c r="C4" s="1" t="s">
        <v>18</v>
      </c>
      <c r="D4" s="2" t="s">
        <v>11</v>
      </c>
      <c r="E4" s="4" t="s">
        <v>38</v>
      </c>
      <c r="F4" s="5" t="s">
        <v>2</v>
      </c>
      <c r="G4" s="5" t="s">
        <v>3</v>
      </c>
      <c r="K4" s="63" t="s">
        <v>76</v>
      </c>
      <c r="L4" s="63" t="s">
        <v>75</v>
      </c>
    </row>
    <row r="5" spans="2:12" x14ac:dyDescent="0.4">
      <c r="B5" s="53"/>
      <c r="C5" s="6" t="s">
        <v>0</v>
      </c>
      <c r="D5" s="7">
        <f>SUM(E5:G5)</f>
        <v>0.91398099999999993</v>
      </c>
      <c r="E5" s="8">
        <f>0.000424+0.000278</f>
        <v>7.0199999999999993E-4</v>
      </c>
      <c r="F5" s="9">
        <f>0.000369+0.695691</f>
        <v>0.6960599999999999</v>
      </c>
      <c r="G5" s="52">
        <v>0.217219</v>
      </c>
      <c r="K5" s="9" t="s">
        <v>68</v>
      </c>
      <c r="L5" s="62">
        <f>tf_jetson!G5/edgetpu_jetson!G5</f>
        <v>10.604003333041769</v>
      </c>
    </row>
    <row r="6" spans="2:12" x14ac:dyDescent="0.4">
      <c r="B6" s="53"/>
      <c r="C6" s="6" t="s">
        <v>4</v>
      </c>
      <c r="D6" s="7">
        <f>SUM(E6:G6)</f>
        <v>0.22955199999999998</v>
      </c>
      <c r="E6" s="8">
        <f>0.00051+0.000238</f>
        <v>7.4800000000000008E-4</v>
      </c>
      <c r="F6" s="9">
        <f>0.000412+0.019058</f>
        <v>1.9469999999999998E-2</v>
      </c>
      <c r="G6" s="52">
        <v>0.20933399999999999</v>
      </c>
      <c r="K6" s="9" t="s">
        <v>69</v>
      </c>
      <c r="L6" s="62">
        <f>tf_jetson!G6/edgetpu_jetson!G6</f>
        <v>1.8031232384610241</v>
      </c>
    </row>
    <row r="7" spans="2:12" x14ac:dyDescent="0.4">
      <c r="B7" s="53"/>
      <c r="C7" s="6" t="s">
        <v>5</v>
      </c>
      <c r="D7" s="7">
        <f>SUM(E7:G7)</f>
        <v>0.127611</v>
      </c>
      <c r="E7" s="8">
        <f>0.000422+0.000242</f>
        <v>6.6399999999999999E-4</v>
      </c>
      <c r="F7" s="9">
        <f>0.000341+0.004875</f>
        <v>5.2160000000000002E-3</v>
      </c>
      <c r="G7" s="52">
        <v>0.12173100000000001</v>
      </c>
      <c r="K7" s="9" t="s">
        <v>70</v>
      </c>
      <c r="L7" s="62">
        <f>tf_jetson!G7/edgetpu_jetson!G7</f>
        <v>2.6433940409591639</v>
      </c>
    </row>
    <row r="8" spans="2:12" ht="18" thickBot="1" x14ac:dyDescent="0.45">
      <c r="B8" s="53"/>
      <c r="C8" s="10" t="s">
        <v>6</v>
      </c>
      <c r="D8" s="11">
        <f>SUM(E8:G8)</f>
        <v>4.6765000000000001E-2</v>
      </c>
      <c r="E8" s="8">
        <f>0.00071+0.000212</f>
        <v>9.2200000000000008E-4</v>
      </c>
      <c r="F8" s="9">
        <f>0.000464 + 0.001987</f>
        <v>2.4510000000000001E-3</v>
      </c>
      <c r="G8" s="52">
        <v>4.3392E-2</v>
      </c>
      <c r="K8" s="9" t="s">
        <v>71</v>
      </c>
      <c r="L8" s="62">
        <f>tf_jetson!G8/edgetpu_jetson!G8</f>
        <v>6.9477092551622421</v>
      </c>
    </row>
    <row r="9" spans="2:12" x14ac:dyDescent="0.4">
      <c r="B9" s="53"/>
      <c r="C9" s="12"/>
      <c r="D9" s="13"/>
      <c r="E9" s="4" t="s">
        <v>37</v>
      </c>
      <c r="F9" s="5" t="s">
        <v>10</v>
      </c>
      <c r="G9" s="5" t="s">
        <v>3</v>
      </c>
      <c r="K9" s="9" t="s">
        <v>72</v>
      </c>
      <c r="L9" s="62">
        <f>tf_jetson!G10/edgetpu_jetson!G10</f>
        <v>16.450351288056204</v>
      </c>
    </row>
    <row r="10" spans="2:12" x14ac:dyDescent="0.4">
      <c r="B10" s="53"/>
      <c r="C10" s="6" t="s">
        <v>7</v>
      </c>
      <c r="D10" s="14">
        <f>SUM(E10:G10)</f>
        <v>2.6334999999999997E-2</v>
      </c>
      <c r="E10" s="8">
        <v>9.0069999999999994E-3</v>
      </c>
      <c r="F10" s="9">
        <v>4.5180000000000003E-3</v>
      </c>
      <c r="G10" s="52">
        <v>1.281E-2</v>
      </c>
      <c r="K10" s="9" t="s">
        <v>73</v>
      </c>
      <c r="L10" s="62">
        <f>tf_jetson!G11/edgetpu_jetson!G11</f>
        <v>10.818645493742769</v>
      </c>
    </row>
    <row r="11" spans="2:12" ht="18" thickBot="1" x14ac:dyDescent="0.45">
      <c r="B11" s="53"/>
      <c r="C11" s="10" t="s">
        <v>8</v>
      </c>
      <c r="D11" s="11">
        <f>SUM(E11:G11)</f>
        <v>4.7721E-2</v>
      </c>
      <c r="E11" s="8">
        <v>2.0900999999999999E-2</v>
      </c>
      <c r="F11" s="9">
        <v>7.8019999999999999E-3</v>
      </c>
      <c r="G11" s="52">
        <v>1.9018E-2</v>
      </c>
      <c r="K11" s="9" t="s">
        <v>74</v>
      </c>
      <c r="L11" s="62">
        <f>tf_jetson!G14/edgetpu_jetson!G14</f>
        <v>7.6413255855261486</v>
      </c>
    </row>
    <row r="12" spans="2:12" ht="18" thickBot="1" x14ac:dyDescent="0.45">
      <c r="C12" s="15" t="s">
        <v>12</v>
      </c>
      <c r="D12" s="16">
        <v>2.21706</v>
      </c>
    </row>
    <row r="13" spans="2:12" x14ac:dyDescent="0.4">
      <c r="C13" s="12"/>
      <c r="D13" s="13"/>
      <c r="E13" s="4" t="s">
        <v>38</v>
      </c>
      <c r="F13" s="5" t="s">
        <v>2</v>
      </c>
      <c r="G13" s="5" t="s">
        <v>14</v>
      </c>
      <c r="H13" s="5" t="s">
        <v>15</v>
      </c>
    </row>
    <row r="14" spans="2:12" ht="18" thickBot="1" x14ac:dyDescent="0.45">
      <c r="C14" s="10" t="s">
        <v>13</v>
      </c>
      <c r="D14" s="11">
        <v>0.20392099999999999</v>
      </c>
      <c r="E14" s="8">
        <f>0.000213+0.00015</f>
        <v>3.6299999999999999E-4</v>
      </c>
      <c r="F14" s="9">
        <f>0.000344+0.002304</f>
        <v>2.6480000000000002E-3</v>
      </c>
      <c r="G14" s="52">
        <v>3.9409E-2</v>
      </c>
      <c r="H14" s="60">
        <f>D14-SUM(E14:G14)</f>
        <v>0.16150100000000001</v>
      </c>
    </row>
    <row r="15" spans="2:12" ht="18" thickBot="1" x14ac:dyDescent="0.45">
      <c r="C15" s="17" t="s">
        <v>20</v>
      </c>
      <c r="D15" s="18">
        <f>D16-SUM(D5:D14)</f>
        <v>6.8518000000000079E-2</v>
      </c>
    </row>
    <row r="16" spans="2:12" ht="18" thickBot="1" x14ac:dyDescent="0.45">
      <c r="C16" s="19" t="s">
        <v>16</v>
      </c>
      <c r="D16" s="16">
        <v>3.8814639999999998</v>
      </c>
    </row>
    <row r="21" spans="2:8" ht="18" thickBot="1" x14ac:dyDescent="0.45">
      <c r="C21" s="3" t="s">
        <v>17</v>
      </c>
    </row>
    <row r="22" spans="2:8" ht="18" thickBot="1" x14ac:dyDescent="0.45">
      <c r="B22" s="33" t="s">
        <v>36</v>
      </c>
      <c r="C22" s="36" t="s">
        <v>18</v>
      </c>
      <c r="D22" s="37" t="s">
        <v>11</v>
      </c>
      <c r="E22" s="4" t="s">
        <v>38</v>
      </c>
      <c r="F22" s="5" t="s">
        <v>2</v>
      </c>
      <c r="G22" s="5" t="s">
        <v>3</v>
      </c>
    </row>
    <row r="23" spans="2:8" x14ac:dyDescent="0.4">
      <c r="B23" s="54" t="s">
        <v>34</v>
      </c>
      <c r="C23" s="34" t="s">
        <v>0</v>
      </c>
      <c r="D23" s="35">
        <f t="shared" ref="D23:G26" si="0">D5/$D$16</f>
        <v>0.23547326472691746</v>
      </c>
      <c r="E23" s="21">
        <f t="shared" si="0"/>
        <v>1.8085959318442732E-4</v>
      </c>
      <c r="F23" s="22">
        <f t="shared" si="0"/>
        <v>0.17932924278055906</v>
      </c>
      <c r="G23" s="22">
        <f t="shared" si="0"/>
        <v>5.5963162353173959E-2</v>
      </c>
    </row>
    <row r="24" spans="2:8" x14ac:dyDescent="0.4">
      <c r="B24" s="55"/>
      <c r="C24" s="28" t="s">
        <v>4</v>
      </c>
      <c r="D24" s="20">
        <f t="shared" si="0"/>
        <v>5.914057170181148E-2</v>
      </c>
      <c r="E24" s="21">
        <f t="shared" si="0"/>
        <v>1.9271079159822172E-4</v>
      </c>
      <c r="F24" s="22">
        <f t="shared" si="0"/>
        <v>5.0161485460125353E-3</v>
      </c>
      <c r="G24" s="22">
        <f t="shared" si="0"/>
        <v>5.3931712364200725E-2</v>
      </c>
    </row>
    <row r="25" spans="2:8" x14ac:dyDescent="0.4">
      <c r="B25" s="55"/>
      <c r="C25" s="28" t="s">
        <v>5</v>
      </c>
      <c r="D25" s="20">
        <f t="shared" si="0"/>
        <v>3.2877027843102501E-2</v>
      </c>
      <c r="E25" s="21">
        <f t="shared" si="0"/>
        <v>1.7106947275564066E-4</v>
      </c>
      <c r="F25" s="22">
        <f t="shared" si="0"/>
        <v>1.3438228462250327E-3</v>
      </c>
      <c r="G25" s="22">
        <f t="shared" si="0"/>
        <v>3.1362135524121829E-2</v>
      </c>
    </row>
    <row r="26" spans="2:8" ht="18" thickBot="1" x14ac:dyDescent="0.45">
      <c r="B26" s="55"/>
      <c r="C26" s="29" t="s">
        <v>6</v>
      </c>
      <c r="D26" s="23">
        <f t="shared" si="0"/>
        <v>1.2048288996110747E-2</v>
      </c>
      <c r="E26" s="21">
        <f t="shared" si="0"/>
        <v>2.3753923777213961E-4</v>
      </c>
      <c r="F26" s="22">
        <f t="shared" si="0"/>
        <v>6.3146276765673989E-4</v>
      </c>
      <c r="G26" s="22">
        <f t="shared" si="0"/>
        <v>1.1179286990681866E-2</v>
      </c>
    </row>
    <row r="27" spans="2:8" x14ac:dyDescent="0.4">
      <c r="B27" s="55"/>
      <c r="C27" s="57"/>
      <c r="D27" s="58"/>
      <c r="E27" s="4" t="s">
        <v>9</v>
      </c>
      <c r="F27" s="5" t="s">
        <v>10</v>
      </c>
      <c r="G27" s="5" t="s">
        <v>3</v>
      </c>
    </row>
    <row r="28" spans="2:8" x14ac:dyDescent="0.4">
      <c r="B28" s="55"/>
      <c r="C28" s="28" t="s">
        <v>7</v>
      </c>
      <c r="D28" s="20">
        <f t="shared" ref="D28:G29" si="1">D10/$D$16</f>
        <v>6.784811091897284E-3</v>
      </c>
      <c r="E28" s="21">
        <f t="shared" si="1"/>
        <v>2.3205161763705652E-3</v>
      </c>
      <c r="F28" s="22">
        <f t="shared" si="1"/>
        <v>1.1639937920331093E-3</v>
      </c>
      <c r="G28" s="22">
        <f t="shared" si="1"/>
        <v>3.3003011234936097E-3</v>
      </c>
    </row>
    <row r="29" spans="2:8" ht="18" thickBot="1" x14ac:dyDescent="0.45">
      <c r="B29" s="56"/>
      <c r="C29" s="29" t="s">
        <v>8</v>
      </c>
      <c r="D29" s="23">
        <f t="shared" si="1"/>
        <v>1.2294587815319169E-2</v>
      </c>
      <c r="E29" s="21">
        <f t="shared" si="1"/>
        <v>5.384823870580791E-3</v>
      </c>
      <c r="F29" s="22">
        <f t="shared" si="1"/>
        <v>2.0100663048787776E-3</v>
      </c>
      <c r="G29" s="22">
        <f t="shared" si="1"/>
        <v>4.8996976398595999E-3</v>
      </c>
    </row>
    <row r="30" spans="2:8" ht="18" thickBot="1" x14ac:dyDescent="0.45">
      <c r="B30" s="54" t="s">
        <v>35</v>
      </c>
      <c r="C30" s="30" t="s">
        <v>12</v>
      </c>
      <c r="D30" s="24">
        <f>D12/$D$16</f>
        <v>0.57119169468015163</v>
      </c>
    </row>
    <row r="31" spans="2:8" x14ac:dyDescent="0.4">
      <c r="B31" s="54"/>
      <c r="C31" s="57"/>
      <c r="D31" s="58"/>
      <c r="E31" s="4" t="s">
        <v>38</v>
      </c>
      <c r="F31" s="5" t="s">
        <v>2</v>
      </c>
      <c r="G31" s="5" t="s">
        <v>14</v>
      </c>
      <c r="H31" s="5" t="s">
        <v>15</v>
      </c>
    </row>
    <row r="32" spans="2:8" ht="18" thickBot="1" x14ac:dyDescent="0.45">
      <c r="B32" s="59"/>
      <c r="C32" s="29" t="s">
        <v>13</v>
      </c>
      <c r="D32" s="23">
        <f>D14/$D$16</f>
        <v>5.2537135472594879E-2</v>
      </c>
      <c r="E32" s="21">
        <f>E14/$D$16</f>
        <v>9.3521413569725234E-5</v>
      </c>
      <c r="F32" s="22">
        <f>F14/$D$16</f>
        <v>6.8221681303755495E-4</v>
      </c>
      <c r="G32" s="22">
        <f>G14/$D$16</f>
        <v>1.0153127788896149E-2</v>
      </c>
      <c r="H32" s="22">
        <f>H14/$D$16</f>
        <v>4.1608269457091451E-2</v>
      </c>
    </row>
    <row r="33" spans="3:5" ht="18" thickBot="1" x14ac:dyDescent="0.45">
      <c r="C33" s="31" t="s">
        <v>20</v>
      </c>
      <c r="D33" s="25">
        <f>D15/$D$16</f>
        <v>1.7652617672094879E-2</v>
      </c>
    </row>
    <row r="34" spans="3:5" ht="18" thickBot="1" x14ac:dyDescent="0.45">
      <c r="C34" s="32" t="s">
        <v>16</v>
      </c>
      <c r="D34" s="26">
        <f>D16/$D$16</f>
        <v>1</v>
      </c>
    </row>
    <row r="36" spans="3:5" x14ac:dyDescent="0.4">
      <c r="C36" s="9" t="s">
        <v>39</v>
      </c>
      <c r="D36" s="47">
        <v>195291136</v>
      </c>
      <c r="E36" s="3" t="s">
        <v>57</v>
      </c>
    </row>
    <row r="37" spans="3:5" x14ac:dyDescent="0.4">
      <c r="C37" s="9" t="s">
        <v>55</v>
      </c>
      <c r="D37" s="48">
        <v>2.2999999999999998</v>
      </c>
      <c r="E37" s="3" t="s">
        <v>56</v>
      </c>
    </row>
    <row r="39" spans="3:5" x14ac:dyDescent="0.4">
      <c r="C39" s="3" t="s">
        <v>58</v>
      </c>
    </row>
    <row r="40" spans="3:5" x14ac:dyDescent="0.4">
      <c r="C40" s="9"/>
      <c r="D40" s="46" t="s">
        <v>53</v>
      </c>
      <c r="E40" s="46" t="s">
        <v>54</v>
      </c>
    </row>
    <row r="41" spans="3:5" x14ac:dyDescent="0.4">
      <c r="C41" s="9" t="s">
        <v>42</v>
      </c>
      <c r="D41" s="9">
        <v>0.7</v>
      </c>
      <c r="E41" s="9">
        <v>2.2999999999999998</v>
      </c>
    </row>
    <row r="42" spans="3:5" x14ac:dyDescent="0.4">
      <c r="C42" s="9" t="s">
        <v>44</v>
      </c>
      <c r="D42" s="9">
        <v>0.9</v>
      </c>
      <c r="E42" s="9">
        <v>1.6</v>
      </c>
    </row>
    <row r="43" spans="3:5" x14ac:dyDescent="0.4">
      <c r="C43" s="9" t="s">
        <v>11</v>
      </c>
      <c r="D43" s="9">
        <f>D41+D42</f>
        <v>1.6</v>
      </c>
      <c r="E43" s="9">
        <f>E41+E42</f>
        <v>3.9</v>
      </c>
    </row>
    <row r="45" spans="3:5" x14ac:dyDescent="0.4">
      <c r="C45" s="3" t="s">
        <v>59</v>
      </c>
    </row>
  </sheetData>
  <mergeCells count="5">
    <mergeCell ref="B5:B11"/>
    <mergeCell ref="B23:B29"/>
    <mergeCell ref="C27:D27"/>
    <mergeCell ref="B30:B32"/>
    <mergeCell ref="C31:D31"/>
  </mergeCells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5"/>
  <sheetViews>
    <sheetView zoomScale="70" zoomScaleNormal="70" workbookViewId="0">
      <selection activeCell="F26" activeCellId="2" sqref="F28:F29 F32 F23:F26"/>
    </sheetView>
  </sheetViews>
  <sheetFormatPr defaultColWidth="8.8984375" defaultRowHeight="17.399999999999999" x14ac:dyDescent="0.4"/>
  <cols>
    <col min="1" max="1" width="8.8984375" style="3"/>
    <col min="2" max="2" width="13" style="3" customWidth="1"/>
    <col min="3" max="3" width="27.09765625" style="3" bestFit="1" customWidth="1"/>
    <col min="4" max="4" width="21.69921875" style="3" bestFit="1" customWidth="1"/>
    <col min="5" max="5" width="22.8984375" style="3" bestFit="1" customWidth="1"/>
    <col min="6" max="6" width="15.3984375" style="3" customWidth="1"/>
    <col min="7" max="7" width="22.19921875" style="3" bestFit="1" customWidth="1"/>
    <col min="8" max="8" width="32.19921875" style="3" bestFit="1" customWidth="1"/>
    <col min="9" max="10" width="8.8984375" style="3"/>
    <col min="11" max="11" width="12.09765625" style="3" customWidth="1"/>
    <col min="12" max="12" width="42.3984375" style="3" customWidth="1"/>
    <col min="13" max="16384" width="8.8984375" style="3"/>
  </cols>
  <sheetData>
    <row r="2" spans="2:13" ht="18" thickBot="1" x14ac:dyDescent="0.45"/>
    <row r="3" spans="2:13" ht="18" thickBot="1" x14ac:dyDescent="0.45">
      <c r="C3" s="3" t="s">
        <v>19</v>
      </c>
      <c r="K3" s="40" t="s">
        <v>41</v>
      </c>
      <c r="L3" s="41"/>
    </row>
    <row r="4" spans="2:13" ht="18" thickBot="1" x14ac:dyDescent="0.45">
      <c r="C4" s="1" t="s">
        <v>18</v>
      </c>
      <c r="D4" s="2" t="s">
        <v>11</v>
      </c>
      <c r="E4" s="4" t="s">
        <v>38</v>
      </c>
      <c r="F4" s="5" t="s">
        <v>2</v>
      </c>
      <c r="G4" s="5" t="s">
        <v>3</v>
      </c>
      <c r="K4" s="42" t="s">
        <v>42</v>
      </c>
      <c r="L4" s="43" t="s">
        <v>43</v>
      </c>
    </row>
    <row r="5" spans="2:13" ht="18" thickBot="1" x14ac:dyDescent="0.45">
      <c r="B5" s="53"/>
      <c r="C5" s="6" t="s">
        <v>0</v>
      </c>
      <c r="D5" s="7">
        <f>SUM(E5:G5)</f>
        <v>1.0095E-2</v>
      </c>
      <c r="E5" s="8">
        <v>9.0200000000000002E-4</v>
      </c>
      <c r="F5" s="9">
        <v>6.3270000000000002E-3</v>
      </c>
      <c r="G5" s="9">
        <v>2.8660000000000001E-3</v>
      </c>
      <c r="K5" s="42" t="s">
        <v>44</v>
      </c>
      <c r="L5" s="43" t="s">
        <v>45</v>
      </c>
      <c r="M5" s="3" t="s">
        <v>52</v>
      </c>
    </row>
    <row r="6" spans="2:13" ht="18" thickBot="1" x14ac:dyDescent="0.45">
      <c r="B6" s="53"/>
      <c r="C6" s="6" t="s">
        <v>4</v>
      </c>
      <c r="D6" s="7">
        <f>SUM(E6:G6)</f>
        <v>1.0699999999999999E-2</v>
      </c>
      <c r="E6" s="8">
        <v>8.4900000000000004E-4</v>
      </c>
      <c r="F6" s="9">
        <v>6.5979999999999997E-3</v>
      </c>
      <c r="G6" s="49">
        <v>3.2529999999999998E-3</v>
      </c>
      <c r="K6" s="42" t="s">
        <v>46</v>
      </c>
      <c r="L6" s="43" t="s">
        <v>47</v>
      </c>
    </row>
    <row r="7" spans="2:13" ht="18" thickBot="1" x14ac:dyDescent="0.45">
      <c r="B7" s="53"/>
      <c r="C7" s="6" t="s">
        <v>5</v>
      </c>
      <c r="D7" s="7">
        <f>SUM(E7:G7)</f>
        <v>1.0813E-2</v>
      </c>
      <c r="E7" s="8">
        <v>8.0599999999999997E-4</v>
      </c>
      <c r="F7" s="9">
        <v>6.8910000000000004E-3</v>
      </c>
      <c r="G7" s="9">
        <v>3.1159999999999998E-3</v>
      </c>
      <c r="K7" s="42" t="s">
        <v>48</v>
      </c>
      <c r="L7" s="43" t="s">
        <v>49</v>
      </c>
    </row>
    <row r="8" spans="2:13" ht="18" thickBot="1" x14ac:dyDescent="0.45">
      <c r="B8" s="53"/>
      <c r="C8" s="10" t="s">
        <v>6</v>
      </c>
      <c r="D8" s="11">
        <f>SUM(E8:G8)</f>
        <v>1.0253E-2</v>
      </c>
      <c r="E8" s="8">
        <v>8.6799999999999996E-4</v>
      </c>
      <c r="F8" s="9">
        <v>6.5170000000000002E-3</v>
      </c>
      <c r="G8" s="9">
        <v>2.8679999999999999E-3</v>
      </c>
      <c r="K8" s="44" t="s">
        <v>50</v>
      </c>
      <c r="L8" s="45" t="s">
        <v>51</v>
      </c>
    </row>
    <row r="9" spans="2:13" x14ac:dyDescent="0.4">
      <c r="B9" s="53"/>
      <c r="C9" s="12"/>
      <c r="D9" s="13"/>
      <c r="E9" s="4" t="s">
        <v>37</v>
      </c>
      <c r="F9" s="5" t="s">
        <v>10</v>
      </c>
      <c r="G9" s="5" t="s">
        <v>3</v>
      </c>
    </row>
    <row r="10" spans="2:13" x14ac:dyDescent="0.4">
      <c r="B10" s="53"/>
      <c r="C10" s="6" t="s">
        <v>7</v>
      </c>
      <c r="D10" s="14">
        <f>SUM(E10:G10)</f>
        <v>4.5430000000000002E-3</v>
      </c>
      <c r="E10" s="50">
        <v>4.0400000000000001E-4</v>
      </c>
      <c r="F10" s="9">
        <v>1.8900000000000001E-4</v>
      </c>
      <c r="G10" s="9">
        <v>3.9500000000000004E-3</v>
      </c>
    </row>
    <row r="11" spans="2:13" ht="18" thickBot="1" x14ac:dyDescent="0.45">
      <c r="B11" s="53"/>
      <c r="C11" s="10" t="s">
        <v>8</v>
      </c>
      <c r="D11" s="11">
        <f>SUM(E11:G11)</f>
        <v>4.8210000000000006E-3</v>
      </c>
      <c r="E11" s="8">
        <v>4.64E-4</v>
      </c>
      <c r="F11" s="9">
        <v>2.1100000000000001E-4</v>
      </c>
      <c r="G11" s="9">
        <v>4.1460000000000004E-3</v>
      </c>
    </row>
    <row r="12" spans="2:13" ht="18" thickBot="1" x14ac:dyDescent="0.45">
      <c r="C12" s="15" t="s">
        <v>12</v>
      </c>
      <c r="D12" s="16">
        <v>5.3280000000000003E-3</v>
      </c>
    </row>
    <row r="13" spans="2:13" x14ac:dyDescent="0.4">
      <c r="C13" s="12"/>
      <c r="D13" s="13"/>
      <c r="E13" s="4" t="s">
        <v>38</v>
      </c>
      <c r="F13" s="5" t="s">
        <v>2</v>
      </c>
      <c r="G13" s="5" t="s">
        <v>14</v>
      </c>
      <c r="H13" s="5" t="s">
        <v>15</v>
      </c>
    </row>
    <row r="14" spans="2:13" ht="18" thickBot="1" x14ac:dyDescent="0.45">
      <c r="C14" s="10" t="s">
        <v>13</v>
      </c>
      <c r="D14" s="11">
        <f>SUM(E14:H14)</f>
        <v>0.279057</v>
      </c>
      <c r="E14" s="8">
        <v>1.0499999999999999E-3</v>
      </c>
      <c r="F14" s="9">
        <v>7.5969999999999996E-3</v>
      </c>
      <c r="G14" s="9">
        <v>4.0879999999999996E-3</v>
      </c>
      <c r="H14" s="9">
        <v>0.266322</v>
      </c>
    </row>
    <row r="15" spans="2:13" ht="18" thickBot="1" x14ac:dyDescent="0.45">
      <c r="C15" s="17" t="s">
        <v>20</v>
      </c>
      <c r="D15" s="18">
        <f>D16-SUM(D5:D14)</f>
        <v>9.2171000000000058E-2</v>
      </c>
    </row>
    <row r="16" spans="2:13" ht="18" thickBot="1" x14ac:dyDescent="0.45">
      <c r="C16" s="19" t="s">
        <v>16</v>
      </c>
      <c r="D16" s="16">
        <v>0.42778100000000002</v>
      </c>
    </row>
    <row r="21" spans="2:8" ht="18" thickBot="1" x14ac:dyDescent="0.45">
      <c r="C21" s="3" t="s">
        <v>17</v>
      </c>
    </row>
    <row r="22" spans="2:8" ht="18" thickBot="1" x14ac:dyDescent="0.45">
      <c r="B22" s="33" t="s">
        <v>36</v>
      </c>
      <c r="C22" s="36" t="s">
        <v>18</v>
      </c>
      <c r="D22" s="37" t="s">
        <v>11</v>
      </c>
      <c r="E22" s="4" t="s">
        <v>38</v>
      </c>
      <c r="F22" s="5" t="s">
        <v>2</v>
      </c>
      <c r="G22" s="5" t="s">
        <v>3</v>
      </c>
    </row>
    <row r="23" spans="2:8" x14ac:dyDescent="0.4">
      <c r="B23" s="54" t="s">
        <v>34</v>
      </c>
      <c r="C23" s="34" t="s">
        <v>0</v>
      </c>
      <c r="D23" s="35">
        <f t="shared" ref="D23:G26" si="0">D5/$D$16</f>
        <v>2.3598523543588892E-2</v>
      </c>
      <c r="E23" s="21">
        <f t="shared" si="0"/>
        <v>2.1085555459452385E-3</v>
      </c>
      <c r="F23" s="22">
        <f t="shared" si="0"/>
        <v>1.479027820309925E-2</v>
      </c>
      <c r="G23" s="22">
        <f t="shared" si="0"/>
        <v>6.6996897945444042E-3</v>
      </c>
    </row>
    <row r="24" spans="2:8" x14ac:dyDescent="0.4">
      <c r="B24" s="55"/>
      <c r="C24" s="28" t="s">
        <v>4</v>
      </c>
      <c r="D24" s="20">
        <f t="shared" si="0"/>
        <v>2.5012798604893624E-2</v>
      </c>
      <c r="E24" s="21">
        <f t="shared" si="0"/>
        <v>1.984660375285485E-3</v>
      </c>
      <c r="F24" s="22">
        <f t="shared" si="0"/>
        <v>1.5423779924774591E-2</v>
      </c>
      <c r="G24" s="22">
        <f t="shared" si="0"/>
        <v>7.6043583048335476E-3</v>
      </c>
    </row>
    <row r="25" spans="2:8" x14ac:dyDescent="0.4">
      <c r="B25" s="55"/>
      <c r="C25" s="28" t="s">
        <v>5</v>
      </c>
      <c r="D25" s="20">
        <f t="shared" si="0"/>
        <v>2.5276952459319137E-2</v>
      </c>
      <c r="E25" s="21">
        <f t="shared" si="0"/>
        <v>1.8841416519200242E-3</v>
      </c>
      <c r="F25" s="22">
        <f t="shared" si="0"/>
        <v>1.6108709830497382E-2</v>
      </c>
      <c r="G25" s="22">
        <f t="shared" si="0"/>
        <v>7.2841009769017313E-3</v>
      </c>
    </row>
    <row r="26" spans="2:8" ht="18" thickBot="1" x14ac:dyDescent="0.45">
      <c r="B26" s="55"/>
      <c r="C26" s="29" t="s">
        <v>6</v>
      </c>
      <c r="D26" s="23">
        <f t="shared" si="0"/>
        <v>2.3967871410838722E-2</v>
      </c>
      <c r="E26" s="21">
        <f t="shared" si="0"/>
        <v>2.0290756251446418E-3</v>
      </c>
      <c r="F26" s="22">
        <f t="shared" si="0"/>
        <v>1.5234430701690818E-2</v>
      </c>
      <c r="G26" s="22">
        <f t="shared" si="0"/>
        <v>6.704365084003263E-3</v>
      </c>
    </row>
    <row r="27" spans="2:8" x14ac:dyDescent="0.4">
      <c r="B27" s="55"/>
      <c r="C27" s="57"/>
      <c r="D27" s="58"/>
      <c r="E27" s="4" t="s">
        <v>9</v>
      </c>
      <c r="F27" s="5" t="s">
        <v>10</v>
      </c>
      <c r="G27" s="5" t="s">
        <v>3</v>
      </c>
    </row>
    <row r="28" spans="2:8" x14ac:dyDescent="0.4">
      <c r="B28" s="55"/>
      <c r="C28" s="28" t="s">
        <v>7</v>
      </c>
      <c r="D28" s="20">
        <f t="shared" ref="D28:G29" si="1">D10/$D$16</f>
        <v>1.0619920005797359E-2</v>
      </c>
      <c r="E28" s="21">
        <f t="shared" si="1"/>
        <v>9.4440847068944151E-4</v>
      </c>
      <c r="F28" s="22">
        <f t="shared" si="1"/>
        <v>4.4181485386213975E-4</v>
      </c>
      <c r="G28" s="22">
        <f t="shared" si="1"/>
        <v>9.2336966812457781E-3</v>
      </c>
    </row>
    <row r="29" spans="2:8" ht="18" thickBot="1" x14ac:dyDescent="0.45">
      <c r="B29" s="56"/>
      <c r="C29" s="29" t="s">
        <v>8</v>
      </c>
      <c r="D29" s="23">
        <f t="shared" si="1"/>
        <v>1.1269785240578709E-2</v>
      </c>
      <c r="E29" s="21">
        <f t="shared" si="1"/>
        <v>1.0846671544552002E-3</v>
      </c>
      <c r="F29" s="22">
        <f t="shared" si="1"/>
        <v>4.9324303790958452E-4</v>
      </c>
      <c r="G29" s="22">
        <f t="shared" si="1"/>
        <v>9.6918750482139233E-3</v>
      </c>
    </row>
    <row r="30" spans="2:8" ht="18" thickBot="1" x14ac:dyDescent="0.45">
      <c r="B30" s="54" t="s">
        <v>35</v>
      </c>
      <c r="C30" s="30" t="s">
        <v>12</v>
      </c>
      <c r="D30" s="24">
        <f>D12/$D$16</f>
        <v>1.2454971118399367E-2</v>
      </c>
    </row>
    <row r="31" spans="2:8" x14ac:dyDescent="0.4">
      <c r="B31" s="54"/>
      <c r="C31" s="57"/>
      <c r="D31" s="58"/>
      <c r="E31" s="4" t="s">
        <v>38</v>
      </c>
      <c r="F31" s="5" t="s">
        <v>2</v>
      </c>
      <c r="G31" s="5" t="s">
        <v>14</v>
      </c>
      <c r="H31" s="5" t="s">
        <v>15</v>
      </c>
    </row>
    <row r="32" spans="2:8" ht="18" thickBot="1" x14ac:dyDescent="0.45">
      <c r="B32" s="59"/>
      <c r="C32" s="29" t="s">
        <v>13</v>
      </c>
      <c r="D32" s="23">
        <f>D14/$D$16</f>
        <v>0.65233612526035512</v>
      </c>
      <c r="E32" s="21">
        <f>E14/$D$16</f>
        <v>2.4545269659007759E-3</v>
      </c>
      <c r="F32" s="22">
        <f>F14/$D$16</f>
        <v>1.7759087009474473E-2</v>
      </c>
      <c r="G32" s="22">
        <f>G14/$D$16</f>
        <v>9.5562916539070203E-3</v>
      </c>
      <c r="H32" s="22">
        <f>H14/$D$16</f>
        <v>0.62256621963107284</v>
      </c>
    </row>
    <row r="33" spans="3:5" ht="18" thickBot="1" x14ac:dyDescent="0.45">
      <c r="C33" s="31" t="s">
        <v>20</v>
      </c>
      <c r="D33" s="25">
        <f>D15/$D$16</f>
        <v>0.21546305235622912</v>
      </c>
    </row>
    <row r="34" spans="3:5" ht="18" thickBot="1" x14ac:dyDescent="0.45">
      <c r="C34" s="32" t="s">
        <v>16</v>
      </c>
      <c r="D34" s="26">
        <f>D16/$D$16</f>
        <v>1</v>
      </c>
    </row>
    <row r="36" spans="3:5" x14ac:dyDescent="0.4">
      <c r="C36" s="9" t="s">
        <v>39</v>
      </c>
      <c r="D36" s="47">
        <v>195291136</v>
      </c>
      <c r="E36" s="3" t="s">
        <v>57</v>
      </c>
    </row>
    <row r="37" spans="3:5" x14ac:dyDescent="0.4">
      <c r="C37" s="9" t="s">
        <v>55</v>
      </c>
      <c r="D37" s="48">
        <v>2.2999999999999998</v>
      </c>
      <c r="E37" s="3" t="s">
        <v>56</v>
      </c>
    </row>
    <row r="39" spans="3:5" x14ac:dyDescent="0.4">
      <c r="C39" s="3" t="s">
        <v>58</v>
      </c>
    </row>
    <row r="40" spans="3:5" x14ac:dyDescent="0.4">
      <c r="C40" s="9"/>
      <c r="D40" s="46" t="s">
        <v>53</v>
      </c>
      <c r="E40" s="46" t="s">
        <v>54</v>
      </c>
    </row>
    <row r="41" spans="3:5" x14ac:dyDescent="0.4">
      <c r="C41" s="9" t="s">
        <v>42</v>
      </c>
      <c r="D41" s="9">
        <v>0.45700000000000002</v>
      </c>
      <c r="E41" s="9">
        <v>2.1</v>
      </c>
    </row>
    <row r="42" spans="3:5" x14ac:dyDescent="0.4">
      <c r="C42" s="9" t="s">
        <v>44</v>
      </c>
      <c r="D42" s="9">
        <v>0</v>
      </c>
      <c r="E42" s="9">
        <v>0.7</v>
      </c>
    </row>
    <row r="43" spans="3:5" x14ac:dyDescent="0.4">
      <c r="C43" s="9" t="s">
        <v>11</v>
      </c>
      <c r="D43" s="9">
        <f>D41+D42</f>
        <v>0.45700000000000002</v>
      </c>
      <c r="E43" s="9">
        <f>E41+E42</f>
        <v>2.8</v>
      </c>
    </row>
    <row r="45" spans="3:5" x14ac:dyDescent="0.4">
      <c r="C45" s="3" t="s">
        <v>59</v>
      </c>
    </row>
  </sheetData>
  <mergeCells count="5">
    <mergeCell ref="B5:B11"/>
    <mergeCell ref="B23:B29"/>
    <mergeCell ref="C27:D27"/>
    <mergeCell ref="B30:B32"/>
    <mergeCell ref="C31:D31"/>
  </mergeCells>
  <phoneticPr fontId="6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3631CBB49FBE04388B7B42332C1650F" ma:contentTypeVersion="11" ma:contentTypeDescription="새 문서를 만듭니다." ma:contentTypeScope="" ma:versionID="8cd282d41857cb45c9ba0a551fff990a">
  <xsd:schema xmlns:xsd="http://www.w3.org/2001/XMLSchema" xmlns:xs="http://www.w3.org/2001/XMLSchema" xmlns:p="http://schemas.microsoft.com/office/2006/metadata/properties" xmlns:ns3="97d1888a-ce06-4b6f-83ce-942b0d0fc4fb" targetNamespace="http://schemas.microsoft.com/office/2006/metadata/properties" ma:root="true" ma:fieldsID="1dcadbc9c5edf158edaf69bfde8b4314" ns3:_="">
    <xsd:import namespace="97d1888a-ce06-4b6f-83ce-942b0d0fc4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d1888a-ce06-4b6f-83ce-942b0d0fc4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94DA92-A6B3-4494-B881-EC72B7D321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2DD668-8E50-487F-8800-745A11BF147A}">
  <ds:schemaRefs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97d1888a-ce06-4b6f-83ce-942b0d0fc4fb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A71306F-7A01-48B7-89FA-B19F59D7EF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d1888a-ce06-4b6f-83ce-942b0d0fc4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cpp_server</vt:lpstr>
      <vt:lpstr>torch_server</vt:lpstr>
      <vt:lpstr>tf_server</vt:lpstr>
      <vt:lpstr>torch_jetson</vt:lpstr>
      <vt:lpstr>torch_jetson_afterwarmup</vt:lpstr>
      <vt:lpstr>tf_jetson</vt:lpstr>
      <vt:lpstr>tflite_jetson</vt:lpstr>
      <vt:lpstr>edgetpu_jetson</vt:lpstr>
      <vt:lpstr>cuda_jetson_2ndImg</vt:lpstr>
      <vt:lpstr>Multiprocessing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milliman</dc:creator>
  <cp:lastModifiedBy>Keondo Park</cp:lastModifiedBy>
  <dcterms:created xsi:type="dcterms:W3CDTF">2021-01-26T10:07:18Z</dcterms:created>
  <dcterms:modified xsi:type="dcterms:W3CDTF">2021-08-22T08:51:07Z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0x010100A3631CBB49FBE04388B7B42332C1650F</vt:lpwstr>
  </property>
</Properties>
</file>