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Kerjox\Repos\2h\fol\"/>
    </mc:Choice>
  </mc:AlternateContent>
  <xr:revisionPtr revIDLastSave="0" documentId="13_ncr:1_{C19C68EE-A7A6-418A-A01C-B6A42177C974}" xr6:coauthVersionLast="47" xr6:coauthVersionMax="47" xr10:uidLastSave="{00000000-0000-0000-0000-000000000000}"/>
  <bookViews>
    <workbookView xWindow="-120" yWindow="285" windowWidth="38640" windowHeight="20865" activeTab="1" xr2:uid="{00000000-000D-0000-FFFF-FFFF00000000}"/>
  </bookViews>
  <sheets>
    <sheet name="Construcción edificio" sheetId="3" r:id="rId1"/>
    <sheet name="Materiales" sheetId="2" r:id="rId2"/>
    <sheet name="Otros Costes" sheetId="4" r:id="rId3"/>
  </sheets>
  <definedNames>
    <definedName name="xctoebpc5000_1" localSheetId="0">'Construcción edificio'!$C$16:$C$345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2" l="1"/>
  <c r="P14" i="2"/>
  <c r="P13" i="2"/>
  <c r="P12" i="2"/>
  <c r="P11" i="2"/>
  <c r="P10" i="2"/>
  <c r="P9" i="2"/>
  <c r="P8" i="2"/>
  <c r="P6" i="2"/>
  <c r="P7" i="2"/>
  <c r="AL9" i="3"/>
  <c r="AL8" i="3"/>
  <c r="AL7" i="3"/>
  <c r="AL6" i="3"/>
  <c r="L9" i="2"/>
  <c r="I6" i="2"/>
  <c r="AL10" i="3" l="1"/>
  <c r="P15" i="2"/>
  <c r="R6" i="3" l="1"/>
  <c r="O7" i="3" s="1"/>
  <c r="R7" i="3" s="1"/>
  <c r="O8" i="3" l="1"/>
  <c r="R8" i="3" s="1"/>
  <c r="F14" i="2"/>
  <c r="F12" i="2"/>
  <c r="F10" i="2"/>
  <c r="F9" i="2"/>
  <c r="F8" i="2"/>
  <c r="F7" i="2"/>
  <c r="O9" i="3" l="1"/>
  <c r="S10" i="2"/>
  <c r="I17" i="2"/>
  <c r="H17" i="2"/>
  <c r="F11" i="2"/>
  <c r="F15" i="2" s="1"/>
  <c r="L10" i="2"/>
  <c r="L11" i="2" s="1"/>
  <c r="I9" i="2"/>
  <c r="I8" i="2"/>
  <c r="P16" i="2" l="1"/>
  <c r="R9" i="3"/>
  <c r="O10" i="3" s="1"/>
  <c r="R10" i="3" s="1"/>
  <c r="I13" i="2"/>
  <c r="AI13" i="3" l="1"/>
  <c r="O11" i="3"/>
  <c r="R1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3346DC-2982-47C9-9839-1A04A4E7DAA7}" name="Conexión" type="4" refreshedVersion="0" deleted="1" background="1" saveData="1">
    <webPr sourceData="1" parsePre="1" consecutive="1" htmlTables="1"/>
  </connection>
</connections>
</file>

<file path=xl/sharedStrings.xml><?xml version="1.0" encoding="utf-8"?>
<sst xmlns="http://schemas.openxmlformats.org/spreadsheetml/2006/main" count="114" uniqueCount="104">
  <si>
    <t>CPD</t>
  </si>
  <si>
    <t>Armario RACK</t>
  </si>
  <si>
    <t>x3 Patch panels</t>
  </si>
  <si>
    <t>x2 Routers</t>
  </si>
  <si>
    <t>x4 Switches</t>
  </si>
  <si>
    <t>x2 NAS</t>
  </si>
  <si>
    <t>TOTAL</t>
  </si>
  <si>
    <t>SAI</t>
  </si>
  <si>
    <t>Distribuidor planta baja</t>
  </si>
  <si>
    <t>Regletas</t>
  </si>
  <si>
    <t>Patch panels</t>
  </si>
  <si>
    <t>x3 Servidores</t>
  </si>
  <si>
    <t>x70 Latiguillos + 25 Fibra</t>
  </si>
  <si>
    <t>x8 Latiguillos</t>
  </si>
  <si>
    <t>x2 Cables Fibra Plastica</t>
  </si>
  <si>
    <t>Cableado plantas</t>
  </si>
  <si>
    <t>Canaletas</t>
  </si>
  <si>
    <t>x38 Rosetas 2 bocas</t>
  </si>
  <si>
    <t>x6 Rosetas 1 boca</t>
  </si>
  <si>
    <t>Recepción</t>
  </si>
  <si>
    <t>Programadores</t>
  </si>
  <si>
    <t>Desarrolladores</t>
  </si>
  <si>
    <t>Dirección</t>
  </si>
  <si>
    <t>Comercial</t>
  </si>
  <si>
    <t>Contabilidad</t>
  </si>
  <si>
    <t>Call Center</t>
  </si>
  <si>
    <t>Monitores</t>
  </si>
  <si>
    <t>Monitor Dell 22 P2219H</t>
  </si>
  <si>
    <t>Monitor Dell 24: P2419H sin base</t>
  </si>
  <si>
    <t>Accesorios Monitores</t>
  </si>
  <si>
    <t>Base del brazo para un monitor Dell MSA14</t>
  </si>
  <si>
    <t>Ordenadores</t>
  </si>
  <si>
    <t>OptiPlex 3070 Micro Form Factor</t>
  </si>
  <si>
    <t>Portátil XPS 13</t>
  </si>
  <si>
    <t>Duronic DM252 Soporte para 2 Monitores</t>
  </si>
  <si>
    <t>Portátil 2 en 1 XPS de 13</t>
  </si>
  <si>
    <t>Accesorios Ordenadores</t>
  </si>
  <si>
    <t>Auriculares estéreo Dell Pro UC350</t>
  </si>
  <si>
    <t>Teclado y ratón inalámbricos Dell KM636</t>
  </si>
  <si>
    <t>Dell Vostro Desktop 3670 MT Prog</t>
  </si>
  <si>
    <t>Cable de par trenzado cat 7 100Metros = 91€</t>
  </si>
  <si>
    <t>Embedded Box PC 5000</t>
  </si>
  <si>
    <t>Dell Vostro Desktop 3670 MT 8 GB</t>
  </si>
  <si>
    <t>Dell Vostro Desktop 3670 MT 4 GB</t>
  </si>
  <si>
    <t>Salas de pruebas</t>
  </si>
  <si>
    <t>SOFTWARE</t>
  </si>
  <si>
    <t>Windows Server 2019 Datacenter</t>
  </si>
  <si>
    <t>Windows Server 2019 Standard</t>
  </si>
  <si>
    <t>Coste unitario</t>
  </si>
  <si>
    <t>Antivirus</t>
  </si>
  <si>
    <t>Ofimática</t>
  </si>
  <si>
    <t>x2 Regletas Rack</t>
  </si>
  <si>
    <t>Regleta Rack</t>
  </si>
  <si>
    <t>Patch panel</t>
  </si>
  <si>
    <t>Switch</t>
  </si>
  <si>
    <t>NAS</t>
  </si>
  <si>
    <t>Latiguillos RJ45</t>
  </si>
  <si>
    <t>Latiguillos Fibra</t>
  </si>
  <si>
    <t>Costes por hora</t>
  </si>
  <si>
    <t>Capataz</t>
  </si>
  <si>
    <t>Equipamiento</t>
  </si>
  <si>
    <t>Subcontrataciones</t>
  </si>
  <si>
    <t>Transporte / día</t>
  </si>
  <si>
    <t>Grua de carga / día</t>
  </si>
  <si>
    <t>Conectores RJ45</t>
  </si>
  <si>
    <t>Regletas Ordenadores</t>
  </si>
  <si>
    <t>Duración en Días</t>
  </si>
  <si>
    <t>Inicio</t>
  </si>
  <si>
    <t>Final</t>
  </si>
  <si>
    <t>FESTIVOS</t>
  </si>
  <si>
    <t>Actividad</t>
  </si>
  <si>
    <t>Cableado estructurado</t>
  </si>
  <si>
    <t>Reunión con empresa</t>
  </si>
  <si>
    <t>Conexión de equipos</t>
  </si>
  <si>
    <t>Pruebas</t>
  </si>
  <si>
    <t>Documentación</t>
  </si>
  <si>
    <t>Personal</t>
  </si>
  <si>
    <t>T</t>
  </si>
  <si>
    <t>R,T</t>
  </si>
  <si>
    <t>R,CAP</t>
  </si>
  <si>
    <t>R,T,CAP</t>
  </si>
  <si>
    <t>Salarios</t>
  </si>
  <si>
    <t>Técnicos de redes</t>
  </si>
  <si>
    <t>Técnicos de teleco</t>
  </si>
  <si>
    <t>Nº Personas</t>
  </si>
  <si>
    <t>Equipos informáticos</t>
  </si>
  <si>
    <t>x2 Impresoras</t>
  </si>
  <si>
    <t>Router (Unifi Dream Machine Pro)</t>
  </si>
  <si>
    <t>Switch Pro 48 PoE</t>
  </si>
  <si>
    <t>x8 Acces Points</t>
  </si>
  <si>
    <t>Networking</t>
  </si>
  <si>
    <t>Servidor</t>
  </si>
  <si>
    <t>Access Point WiFi 6 Lite</t>
  </si>
  <si>
    <t>Switch Pro 24 PoE</t>
  </si>
  <si>
    <t>Conf. Red</t>
  </si>
  <si>
    <t>Electricistas</t>
  </si>
  <si>
    <t>R,E,CAP</t>
  </si>
  <si>
    <t>R = Técnicos Redes, T = Técnocos Teleco, E = Electricistas, CAP = Capataz</t>
  </si>
  <si>
    <t>Técnico de redes</t>
  </si>
  <si>
    <t>Electricista</t>
  </si>
  <si>
    <t>Técnico teleco</t>
  </si>
  <si>
    <t>Costes de personal durante la construcción</t>
  </si>
  <si>
    <t>Puestos de trabajo</t>
  </si>
  <si>
    <t>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</si>
</sst>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444444"/>
      <name val="Arial"/>
      <family val="2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4" tint="0.59999389629810485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1" xfId="0" applyBorder="1"/>
    <xf numFmtId="0" fontId="0" fillId="0" borderId="6" xfId="0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  <xf numFmtId="0" fontId="2" fillId="0" borderId="8" xfId="0" applyFont="1" applyBorder="1"/>
    <xf numFmtId="0" fontId="0" fillId="0" borderId="6" xfId="0" applyFill="1" applyBorder="1"/>
    <xf numFmtId="0" fontId="0" fillId="0" borderId="0" xfId="0" applyFill="1" applyBorder="1"/>
    <xf numFmtId="0" fontId="0" fillId="0" borderId="14" xfId="0" applyBorder="1"/>
    <xf numFmtId="0" fontId="0" fillId="0" borderId="4" xfId="0" applyBorder="1"/>
    <xf numFmtId="0" fontId="6" fillId="0" borderId="19" xfId="1" applyBorder="1" applyAlignment="1">
      <alignment horizontal="left" vertical="center" wrapText="1"/>
    </xf>
    <xf numFmtId="44" fontId="7" fillId="0" borderId="20" xfId="0" applyNumberFormat="1" applyFont="1" applyBorder="1" applyAlignment="1">
      <alignment vertical="center"/>
    </xf>
    <xf numFmtId="0" fontId="6" fillId="0" borderId="21" xfId="1" applyBorder="1" applyAlignment="1">
      <alignment horizontal="left" vertical="center" wrapText="1"/>
    </xf>
    <xf numFmtId="44" fontId="7" fillId="0" borderId="22" xfId="0" applyNumberFormat="1" applyFont="1" applyBorder="1" applyAlignment="1">
      <alignment vertical="center"/>
    </xf>
    <xf numFmtId="0" fontId="6" fillId="0" borderId="21" xfId="1" applyBorder="1" applyAlignment="1">
      <alignment vertical="center"/>
    </xf>
    <xf numFmtId="44" fontId="7" fillId="0" borderId="22" xfId="0" applyNumberFormat="1" applyFont="1" applyBorder="1"/>
    <xf numFmtId="0" fontId="0" fillId="0" borderId="6" xfId="0" applyBorder="1" applyAlignment="1">
      <alignment vertical="center"/>
    </xf>
    <xf numFmtId="44" fontId="7" fillId="0" borderId="7" xfId="0" applyNumberFormat="1" applyFont="1" applyBorder="1" applyAlignment="1">
      <alignment vertical="center"/>
    </xf>
    <xf numFmtId="0" fontId="6" fillId="0" borderId="6" xfId="1" applyBorder="1" applyAlignment="1">
      <alignment vertical="center"/>
    </xf>
    <xf numFmtId="0" fontId="6" fillId="0" borderId="6" xfId="1" applyBorder="1"/>
    <xf numFmtId="0" fontId="0" fillId="0" borderId="21" xfId="0" applyBorder="1" applyAlignment="1">
      <alignment vertical="center"/>
    </xf>
    <xf numFmtId="0" fontId="11" fillId="2" borderId="6" xfId="1" applyFont="1" applyFill="1" applyBorder="1" applyAlignment="1">
      <alignment horizontal="left" vertical="center" wrapText="1"/>
    </xf>
    <xf numFmtId="0" fontId="12" fillId="2" borderId="7" xfId="0" applyFont="1" applyFill="1" applyBorder="1"/>
    <xf numFmtId="0" fontId="0" fillId="0" borderId="4" xfId="0" applyFill="1" applyBorder="1"/>
    <xf numFmtId="44" fontId="7" fillId="0" borderId="9" xfId="0" applyNumberFormat="1" applyFont="1" applyBorder="1" applyAlignment="1">
      <alignment vertical="center"/>
    </xf>
    <xf numFmtId="44" fontId="7" fillId="0" borderId="5" xfId="0" applyNumberFormat="1" applyFont="1" applyBorder="1" applyAlignment="1">
      <alignment vertical="center"/>
    </xf>
    <xf numFmtId="44" fontId="7" fillId="0" borderId="15" xfId="0" applyNumberFormat="1" applyFont="1" applyBorder="1" applyAlignment="1">
      <alignment vertical="center"/>
    </xf>
    <xf numFmtId="44" fontId="7" fillId="0" borderId="3" xfId="0" applyNumberFormat="1" applyFont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4" fillId="0" borderId="0" xfId="0" applyFont="1"/>
    <xf numFmtId="8" fontId="0" fillId="0" borderId="0" xfId="0" applyNumberFormat="1"/>
    <xf numFmtId="16" fontId="16" fillId="4" borderId="25" xfId="0" applyNumberFormat="1" applyFont="1" applyFill="1" applyBorder="1" applyAlignment="1">
      <alignment horizontal="center" vertical="center" textRotation="90"/>
    </xf>
    <xf numFmtId="14" fontId="17" fillId="0" borderId="2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44" fontId="19" fillId="0" borderId="38" xfId="0" applyNumberFormat="1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44" fontId="0" fillId="0" borderId="29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30" xfId="0" applyNumberFormat="1" applyBorder="1" applyAlignment="1">
      <alignment horizontal="center"/>
    </xf>
    <xf numFmtId="44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5" fillId="3" borderId="26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/>
    </xf>
    <xf numFmtId="14" fontId="17" fillId="0" borderId="31" xfId="0" applyNumberFormat="1" applyFont="1" applyBorder="1" applyAlignment="1">
      <alignment horizontal="center" vertical="center"/>
    </xf>
    <xf numFmtId="14" fontId="17" fillId="0" borderId="32" xfId="0" applyNumberFormat="1" applyFont="1" applyBorder="1" applyAlignment="1">
      <alignment horizontal="center" vertical="center"/>
    </xf>
    <xf numFmtId="14" fontId="17" fillId="0" borderId="36" xfId="0" applyNumberFormat="1" applyFont="1" applyBorder="1" applyAlignment="1">
      <alignment horizontal="center" vertical="center"/>
    </xf>
    <xf numFmtId="14" fontId="17" fillId="0" borderId="29" xfId="0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14" fontId="17" fillId="0" borderId="30" xfId="0" applyNumberFormat="1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8" fillId="5" borderId="25" xfId="0" applyFont="1" applyFill="1" applyBorder="1" applyAlignment="1">
      <alignment horizontal="center" vertical="center"/>
    </xf>
    <xf numFmtId="14" fontId="0" fillId="0" borderId="25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44" fontId="10" fillId="0" borderId="2" xfId="0" applyNumberFormat="1" applyFont="1" applyBorder="1" applyAlignment="1">
      <alignment horizontal="center"/>
    </xf>
    <xf numFmtId="44" fontId="10" fillId="0" borderId="3" xfId="0" applyNumberFormat="1" applyFont="1" applyBorder="1" applyAlignment="1">
      <alignment horizontal="center"/>
    </xf>
    <xf numFmtId="44" fontId="10" fillId="0" borderId="16" xfId="0" applyNumberFormat="1" applyFont="1" applyBorder="1" applyAlignment="1">
      <alignment horizontal="center"/>
    </xf>
    <xf numFmtId="44" fontId="10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1" fillId="2" borderId="23" xfId="1" applyFont="1" applyFill="1" applyBorder="1" applyAlignment="1">
      <alignment horizontal="center" vertical="center" wrapText="1"/>
    </xf>
    <xf numFmtId="0" fontId="11" fillId="2" borderId="24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6" fillId="0" borderId="6" xfId="1" applyFill="1" applyBorder="1"/>
    <xf numFmtId="0" fontId="15" fillId="3" borderId="31" xfId="0" applyFont="1" applyFill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0" fontId="22" fillId="0" borderId="26" xfId="0" applyFont="1" applyBorder="1" applyAlignment="1">
      <alignment horizontal="center" wrapText="1"/>
    </xf>
    <xf numFmtId="0" fontId="22" fillId="0" borderId="27" xfId="0" applyFont="1" applyBorder="1" applyAlignment="1">
      <alignment horizontal="center" wrapText="1"/>
    </xf>
    <xf numFmtId="0" fontId="22" fillId="0" borderId="28" xfId="0" applyFont="1" applyBorder="1" applyAlignment="1">
      <alignment horizontal="center" wrapText="1"/>
    </xf>
    <xf numFmtId="0" fontId="0" fillId="0" borderId="0" xfId="0" applyAlignment="1"/>
    <xf numFmtId="0" fontId="13" fillId="0" borderId="0" xfId="0" applyFont="1" applyAlignment="1">
      <alignment vertical="center"/>
    </xf>
    <xf numFmtId="0" fontId="13" fillId="0" borderId="46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0" fillId="0" borderId="6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44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6" xfId="0" applyFill="1" applyBorder="1"/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49" xfId="0" applyBorder="1"/>
    <xf numFmtId="0" fontId="0" fillId="0" borderId="51" xfId="0" applyBorder="1"/>
  </cellXfs>
  <cellStyles count="2">
    <cellStyle name="Hipervínculo" xfId="1" builtinId="8"/>
    <cellStyle name="Normal" xfId="0" builtinId="0"/>
  </cellStyles>
  <dxfs count="2">
    <dxf>
      <fill>
        <patternFill patternType="solid">
          <fgColor auto="1"/>
          <bgColor theme="4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22" fmlaLink="$I$18" inc="100" max="30000" min="100" page="10" val="10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14</xdr:row>
          <xdr:rowOff>0</xdr:rowOff>
        </xdr:from>
        <xdr:to>
          <xdr:col>10</xdr:col>
          <xdr:colOff>342900</xdr:colOff>
          <xdr:row>16</xdr:row>
          <xdr:rowOff>19050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ctoebpc5000_1" connectionId="1" xr16:uid="{D064FFC7-9546-4AE9-B5CC-7480053211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A372B70-E376-4998-A792-C0AE7F31215A}">
  <we:reference id="wa104380955" version="3.4.3.0" store="es-ES" storeType="OMEX"/>
  <we:alternateReferences>
    <we:reference id="wa104380955" version="3.4.3.0" store="es-E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ll.com/es-es/shop/teclado-y-rat%C3%B3n-inal%C3%A1mbricos-dell-km636-negro/apd/580-adfv/accesorios-para-pc" TargetMode="External"/><Relationship Id="rId13" Type="http://schemas.openxmlformats.org/officeDocument/2006/relationships/hyperlink" Target="https://eu.store.ui.com/collections/unifi-network-wireless/products/unifi-ap-6-lite" TargetMode="External"/><Relationship Id="rId18" Type="http://schemas.openxmlformats.org/officeDocument/2006/relationships/ctrlProp" Target="../ctrlProps/ctrlProp1.xml"/><Relationship Id="rId3" Type="http://schemas.openxmlformats.org/officeDocument/2006/relationships/hyperlink" Target="https://www.dell.com/es-es/work/shop/productdetails/optiplex-3070-micro/s010o3070mff" TargetMode="External"/><Relationship Id="rId7" Type="http://schemas.openxmlformats.org/officeDocument/2006/relationships/hyperlink" Target="https://www.dell.com/es-es/work/shop/auriculares-est%C3%A9reo-dell-pro-uc350-skype-empresarial/apd/520-aamc/accesorios-para-pc" TargetMode="External"/><Relationship Id="rId12" Type="http://schemas.openxmlformats.org/officeDocument/2006/relationships/hyperlink" Target="https://eu.store.ui.com/collections/unifi-network-routing-switching/products/usw-pro-48-poe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www.dell.com/es-es/work/shop/accessories/apd/482-10010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dell.com/es-es/work/shop/accessories/apd/210-APWV" TargetMode="External"/><Relationship Id="rId6" Type="http://schemas.openxmlformats.org/officeDocument/2006/relationships/hyperlink" Target="https://www.dell.com/es-es/shop/port%C3%A1tiles-2-en-1/xps-13-2in1/spd/xps-13-7390-2-in-1-laptop/cn73002?configurationid=873bf54e-5c83-4d33-84fc-7e121c453da7" TargetMode="External"/><Relationship Id="rId11" Type="http://schemas.openxmlformats.org/officeDocument/2006/relationships/hyperlink" Target="https://eu.store.ui.com/products/udm-pro" TargetMode="External"/><Relationship Id="rId5" Type="http://schemas.openxmlformats.org/officeDocument/2006/relationships/hyperlink" Target="amazon.es/Duronic-DM252-Soporte-Pulgadas-Pantallas/dp/B019LNW52C/ref=asc_df_B019LNW52C/?tag=googshopes-21&amp;linkCode=df0&amp;hvadid=82853729530&amp;hvpos=&amp;hvnetw=g&amp;hvrand=16389106233749826290&amp;hvpone=&amp;hvptwo=&amp;hvqmt=&amp;hvdev=c&amp;hvdvcmdl=&amp;hvlocint=&amp;hvlocphy=1005548&amp;hvtargid=pla-161055192970&amp;psc=1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dell.com/es-es/work/shop/accessories/apd/210-APWR" TargetMode="External"/><Relationship Id="rId4" Type="http://schemas.openxmlformats.org/officeDocument/2006/relationships/hyperlink" Target="https://www.dell.com/es-es/shop/port%C3%A1tiles-de-dell/nuevo-xps-13/spd/xps-13-9300-laptop/cnx93001?configurationid=58b1fbb4-6125-42a1-a679-9850cae851f1" TargetMode="External"/><Relationship Id="rId9" Type="http://schemas.openxmlformats.org/officeDocument/2006/relationships/hyperlink" Target="https://www.dell.com/es-es/work/shop/inform%C3%A1tica-integrada-y-puertas-de-enlace/embedded-box-pc-5000-configuraci%C3%B3n-personalizable/spd/embedded-box-pc-5000/xctoebpc5000" TargetMode="External"/><Relationship Id="rId14" Type="http://schemas.openxmlformats.org/officeDocument/2006/relationships/hyperlink" Target="https://eu.store.ui.com/collections/unifi-network-routing-switching/products/usw-pro-24-po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61A9-C307-498A-9ABC-0594443A472D}">
  <dimension ref="A1:BD256"/>
  <sheetViews>
    <sheetView zoomScale="130" zoomScaleNormal="130" workbookViewId="0">
      <selection activeCell="V14" sqref="V14"/>
    </sheetView>
  </sheetViews>
  <sheetFormatPr baseColWidth="10" defaultRowHeight="15" x14ac:dyDescent="0.25"/>
  <cols>
    <col min="1" max="1" width="6.85546875" customWidth="1"/>
    <col min="2" max="5" width="3.85546875" customWidth="1"/>
    <col min="6" max="38" width="3.42578125" customWidth="1"/>
    <col min="39" max="43" width="3.5703125" customWidth="1"/>
    <col min="44" max="44" width="3.7109375" customWidth="1"/>
    <col min="45" max="45" width="3.28515625" customWidth="1"/>
    <col min="46" max="47" width="3.5703125" customWidth="1"/>
    <col min="48" max="48" width="3.42578125" customWidth="1"/>
    <col min="49" max="49" width="3.28515625" customWidth="1"/>
    <col min="50" max="55" width="3.42578125" customWidth="1"/>
    <col min="56" max="56" width="3.140625" customWidth="1"/>
    <col min="57" max="60" width="3.42578125" customWidth="1"/>
  </cols>
  <sheetData>
    <row r="1" spans="1:55" x14ac:dyDescent="0.25">
      <c r="A1" s="34"/>
    </row>
    <row r="2" spans="1:55" ht="15.75" thickBot="1" x14ac:dyDescent="0.3"/>
    <row r="3" spans="1:55" ht="27" thickBot="1" x14ac:dyDescent="0.3">
      <c r="AC3" s="130" t="s">
        <v>101</v>
      </c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2"/>
      <c r="AP3" s="129"/>
      <c r="AQ3" s="129"/>
      <c r="AR3" s="129"/>
      <c r="AS3" s="129"/>
    </row>
    <row r="4" spans="1:55" ht="12.75" customHeight="1" x14ac:dyDescent="0.25"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</row>
    <row r="5" spans="1:55" ht="30.75" customHeight="1" x14ac:dyDescent="0.25">
      <c r="B5" s="82" t="s">
        <v>69</v>
      </c>
      <c r="C5" s="82"/>
      <c r="D5" s="82"/>
      <c r="E5" s="82"/>
      <c r="G5" s="48" t="s">
        <v>70</v>
      </c>
      <c r="H5" s="49"/>
      <c r="I5" s="49"/>
      <c r="J5" s="49"/>
      <c r="K5" s="50"/>
      <c r="L5" s="79" t="s">
        <v>66</v>
      </c>
      <c r="M5" s="80"/>
      <c r="N5" s="80"/>
      <c r="O5" s="48" t="s">
        <v>67</v>
      </c>
      <c r="P5" s="49"/>
      <c r="Q5" s="49"/>
      <c r="R5" s="48" t="s">
        <v>68</v>
      </c>
      <c r="S5" s="49"/>
      <c r="T5" s="50"/>
      <c r="U5" s="63" t="s">
        <v>76</v>
      </c>
      <c r="V5" s="64"/>
      <c r="W5" s="65"/>
      <c r="AI5" s="116" t="s">
        <v>84</v>
      </c>
      <c r="AJ5" s="117"/>
      <c r="AK5" s="118"/>
      <c r="AL5" s="119" t="s">
        <v>81</v>
      </c>
      <c r="AM5" s="120"/>
      <c r="AN5" s="120"/>
      <c r="AO5" s="121"/>
    </row>
    <row r="6" spans="1:55" x14ac:dyDescent="0.25">
      <c r="B6" s="83">
        <v>43930</v>
      </c>
      <c r="C6" s="61"/>
      <c r="D6" s="61"/>
      <c r="E6" s="61"/>
      <c r="G6" s="77" t="s">
        <v>72</v>
      </c>
      <c r="H6" s="78"/>
      <c r="I6" s="78"/>
      <c r="J6" s="78"/>
      <c r="K6" s="81"/>
      <c r="L6" s="77">
        <v>2</v>
      </c>
      <c r="M6" s="78"/>
      <c r="N6" s="78"/>
      <c r="O6" s="72">
        <v>43922</v>
      </c>
      <c r="P6" s="73"/>
      <c r="Q6" s="73"/>
      <c r="R6" s="72">
        <f t="shared" ref="R6:R11" si="0">WORKDAY(O6-1,L6,$B$6:$E$15)</f>
        <v>43923</v>
      </c>
      <c r="S6" s="73"/>
      <c r="T6" s="74"/>
      <c r="U6" s="51" t="s">
        <v>78</v>
      </c>
      <c r="V6" s="52"/>
      <c r="W6" s="53"/>
      <c r="AC6" s="51" t="s">
        <v>82</v>
      </c>
      <c r="AD6" s="52"/>
      <c r="AE6" s="52"/>
      <c r="AF6" s="52"/>
      <c r="AG6" s="52"/>
      <c r="AH6" s="53"/>
      <c r="AI6" s="51">
        <v>3</v>
      </c>
      <c r="AJ6" s="52"/>
      <c r="AK6" s="53"/>
      <c r="AL6" s="57">
        <f>SUM(IF(COUNTIF($U$6,"*R*"),(AI6*'Otros Costes'!G5)*$L$6,0),IF(COUNTIF($U$7,"*R*"),(AI6*'Otros Costes'!G5)*$L$7,0),IF(COUNTIF($U$8,"*R*"),(AI6*'Otros Costes'!G5)*$L$8,0),IF(COUNTIF($U$9,"*R*"),(AI6*'Otros Costes'!G5)*$L$9,0),IF(COUNTIF($U$10,"*R*"),(AI6*'Otros Costes'!G5)*$L$10,0),IF(COUNTIF($U$11,"*R*"),(AI6*'Otros Costes'!G5)*$L$11,0))</f>
        <v>2652</v>
      </c>
      <c r="AM6" s="58"/>
      <c r="AN6" s="58"/>
      <c r="AO6" s="59"/>
    </row>
    <row r="7" spans="1:55" x14ac:dyDescent="0.25">
      <c r="B7" s="83">
        <v>43931</v>
      </c>
      <c r="C7" s="61"/>
      <c r="D7" s="61"/>
      <c r="E7" s="61"/>
      <c r="G7" s="77" t="s">
        <v>71</v>
      </c>
      <c r="H7" s="78"/>
      <c r="I7" s="78"/>
      <c r="J7" s="78"/>
      <c r="K7" s="78"/>
      <c r="L7" s="77">
        <v>14</v>
      </c>
      <c r="M7" s="78"/>
      <c r="N7" s="78"/>
      <c r="O7" s="72">
        <f>R6+1</f>
        <v>43924</v>
      </c>
      <c r="P7" s="73"/>
      <c r="Q7" s="73"/>
      <c r="R7" s="72">
        <f t="shared" si="0"/>
        <v>43948</v>
      </c>
      <c r="S7" s="73"/>
      <c r="T7" s="74"/>
      <c r="U7" s="54" t="s">
        <v>96</v>
      </c>
      <c r="V7" s="55"/>
      <c r="W7" s="56"/>
      <c r="AC7" s="54" t="s">
        <v>95</v>
      </c>
      <c r="AD7" s="55"/>
      <c r="AE7" s="55"/>
      <c r="AF7" s="55"/>
      <c r="AG7" s="55"/>
      <c r="AH7" s="56"/>
      <c r="AI7" s="54">
        <v>3</v>
      </c>
      <c r="AJ7" s="55"/>
      <c r="AK7" s="56"/>
      <c r="AL7" s="57">
        <f>SUM(IF(COUNTIF($U$6,"*E*"),(AI7*'Otros Costes'!G6)*$L$6,0),IF(COUNTIF($U$7,"*E*"),(AI7*'Otros Costes'!G6)*$L$7,0),IF(COUNTIF($U$8,"*E*"),(AI7*'Otros Costes'!G6)*$L$8,0),IF(COUNTIF($U$9,"*E*"),(AI7*'Otros Costes'!G6)*$L$9,0),IF(COUNTIF($U$10,"*E*"),(AI7*'Otros Costes'!G6)*$L$10,0),IF(COUNTIF($U$11,"*E*"),(AI7*'Otros Costes'!G6)*$L$11,0))</f>
        <v>2016</v>
      </c>
      <c r="AM7" s="58"/>
      <c r="AN7" s="58"/>
      <c r="AO7" s="59"/>
    </row>
    <row r="8" spans="1:55" x14ac:dyDescent="0.25">
      <c r="B8" s="83">
        <v>43934</v>
      </c>
      <c r="C8" s="61"/>
      <c r="D8" s="61"/>
      <c r="E8" s="61"/>
      <c r="G8" s="77" t="s">
        <v>73</v>
      </c>
      <c r="H8" s="78"/>
      <c r="I8" s="78"/>
      <c r="J8" s="78"/>
      <c r="K8" s="81"/>
      <c r="L8" s="77">
        <v>7</v>
      </c>
      <c r="M8" s="78"/>
      <c r="N8" s="78"/>
      <c r="O8" s="72">
        <f>R7+1</f>
        <v>43949</v>
      </c>
      <c r="P8" s="73"/>
      <c r="Q8" s="73"/>
      <c r="R8" s="72">
        <f t="shared" si="0"/>
        <v>43957</v>
      </c>
      <c r="S8" s="73"/>
      <c r="T8" s="74"/>
      <c r="U8" s="54" t="s">
        <v>96</v>
      </c>
      <c r="V8" s="55"/>
      <c r="W8" s="56"/>
      <c r="AC8" s="54" t="s">
        <v>83</v>
      </c>
      <c r="AD8" s="55"/>
      <c r="AE8" s="55"/>
      <c r="AF8" s="55"/>
      <c r="AG8" s="55"/>
      <c r="AH8" s="56"/>
      <c r="AI8" s="54">
        <v>3</v>
      </c>
      <c r="AJ8" s="55"/>
      <c r="AK8" s="56"/>
      <c r="AL8" s="57">
        <f>SUM(IF(COUNTIF($U$6,"*T*"),(AI8*'Otros Costes'!G7)*$L$6,0),IF(COUNTIF($U$7,"*T*"),(AI8*'Otros Costes'!G7)*$L$7,0),IF(COUNTIF($U$8,"*T*"),(AI8*'Otros Costes'!G7)*$L$8,0),IF(COUNTIF($U$9,"*T*"),(AI8*'Otros Costes'!G7)*$L$9,0),IF(COUNTIF($U$10,"*T*"),(AI8*'Otros Costes'!G7)*$L$10,0),IF(COUNTIF($U$11,"*T*"),(AI8*'Otros Costes'!G7)*$L$11,0))</f>
        <v>672</v>
      </c>
      <c r="AM8" s="58"/>
      <c r="AN8" s="58"/>
      <c r="AO8" s="59"/>
    </row>
    <row r="9" spans="1:55" x14ac:dyDescent="0.25">
      <c r="B9" s="84">
        <v>43974</v>
      </c>
      <c r="C9" s="85"/>
      <c r="D9" s="85"/>
      <c r="E9" s="86"/>
      <c r="G9" s="77" t="s">
        <v>94</v>
      </c>
      <c r="H9" s="78"/>
      <c r="I9" s="78"/>
      <c r="J9" s="78"/>
      <c r="K9" s="78"/>
      <c r="L9" s="77">
        <v>7</v>
      </c>
      <c r="M9" s="78"/>
      <c r="N9" s="78"/>
      <c r="O9" s="72">
        <f>R8+1</f>
        <v>43958</v>
      </c>
      <c r="P9" s="73"/>
      <c r="Q9" s="73"/>
      <c r="R9" s="72">
        <f t="shared" si="0"/>
        <v>43966</v>
      </c>
      <c r="S9" s="73"/>
      <c r="T9" s="74"/>
      <c r="U9" s="54" t="s">
        <v>79</v>
      </c>
      <c r="V9" s="55"/>
      <c r="W9" s="56"/>
      <c r="AC9" s="66" t="s">
        <v>59</v>
      </c>
      <c r="AD9" s="67"/>
      <c r="AE9" s="67"/>
      <c r="AF9" s="67"/>
      <c r="AG9" s="67"/>
      <c r="AH9" s="67"/>
      <c r="AI9" s="66">
        <v>1</v>
      </c>
      <c r="AJ9" s="67"/>
      <c r="AK9" s="68"/>
      <c r="AL9" s="58">
        <f>SUM(IF(COUNTIF($U$6,"*CAP*"),(AI9*'Otros Costes'!G8)*$L$6,0),IF(COUNTIF($U$7,"*CAP*"),(AI9*'Otros Costes'!G8)*$L$7,0),IF(COUNTIF($U$8,"*CAP*"),(AI9*'Otros Costes'!G8)*$L$8,0),IF(COUNTIF($U$9,"*CAP*"),(AI9*'Otros Costes'!G8)*$L$9,0),IF(COUNTIF($U$10,"*CAP*"),(AI9*'Otros Costes'!G8)*$L$10,0),IF(COUNTIF($U$11,"*CAP*"),(AI9*'Otros Costes'!G8)*$L$11,0))</f>
        <v>736</v>
      </c>
      <c r="AM9" s="58"/>
      <c r="AN9" s="58"/>
      <c r="AO9" s="59"/>
    </row>
    <row r="10" spans="1:55" x14ac:dyDescent="0.25">
      <c r="B10" s="84"/>
      <c r="C10" s="85"/>
      <c r="D10" s="85"/>
      <c r="E10" s="86"/>
      <c r="G10" s="77" t="s">
        <v>74</v>
      </c>
      <c r="H10" s="78"/>
      <c r="I10" s="78"/>
      <c r="J10" s="78"/>
      <c r="K10" s="78"/>
      <c r="L10" s="77">
        <v>4</v>
      </c>
      <c r="M10" s="78"/>
      <c r="N10" s="78"/>
      <c r="O10" s="72">
        <f>R9+1</f>
        <v>43967</v>
      </c>
      <c r="P10" s="73"/>
      <c r="Q10" s="73"/>
      <c r="R10" s="72">
        <f t="shared" si="0"/>
        <v>43972</v>
      </c>
      <c r="S10" s="73"/>
      <c r="T10" s="74"/>
      <c r="U10" s="54" t="s">
        <v>80</v>
      </c>
      <c r="V10" s="55"/>
      <c r="W10" s="56"/>
      <c r="AI10" s="62" t="s">
        <v>6</v>
      </c>
      <c r="AJ10" s="62"/>
      <c r="AK10" s="62"/>
      <c r="AL10" s="60">
        <f>SUM(AL6:AO9)</f>
        <v>6076</v>
      </c>
      <c r="AM10" s="61"/>
      <c r="AN10" s="61"/>
      <c r="AO10" s="61"/>
    </row>
    <row r="11" spans="1:55" x14ac:dyDescent="0.25">
      <c r="B11" s="61"/>
      <c r="C11" s="61"/>
      <c r="D11" s="61"/>
      <c r="E11" s="61"/>
      <c r="G11" s="75" t="s">
        <v>75</v>
      </c>
      <c r="H11" s="76"/>
      <c r="I11" s="76"/>
      <c r="J11" s="76"/>
      <c r="K11" s="76"/>
      <c r="L11" s="75">
        <v>2</v>
      </c>
      <c r="M11" s="76"/>
      <c r="N11" s="76"/>
      <c r="O11" s="69">
        <f>R10+1</f>
        <v>43973</v>
      </c>
      <c r="P11" s="70"/>
      <c r="Q11" s="70"/>
      <c r="R11" s="69">
        <f t="shared" si="0"/>
        <v>43976</v>
      </c>
      <c r="S11" s="70"/>
      <c r="T11" s="71"/>
      <c r="U11" s="66" t="s">
        <v>77</v>
      </c>
      <c r="V11" s="67"/>
      <c r="W11" s="68"/>
      <c r="AT11" s="125"/>
    </row>
    <row r="12" spans="1:55" ht="15.75" thickBot="1" x14ac:dyDescent="0.3">
      <c r="B12" s="61"/>
      <c r="C12" s="61"/>
      <c r="D12" s="61"/>
      <c r="E12" s="61"/>
      <c r="G12" s="122" t="s">
        <v>97</v>
      </c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4"/>
    </row>
    <row r="13" spans="1:55" ht="15.75" customHeight="1" thickTop="1" x14ac:dyDescent="0.25">
      <c r="B13" s="61"/>
      <c r="C13" s="61"/>
      <c r="D13" s="61"/>
      <c r="E13" s="61"/>
      <c r="Z13" s="38" t="s">
        <v>6</v>
      </c>
      <c r="AA13" s="39"/>
      <c r="AB13" s="39"/>
      <c r="AC13" s="39"/>
      <c r="AD13" s="39"/>
      <c r="AE13" s="39"/>
      <c r="AF13" s="39"/>
      <c r="AG13" s="39"/>
      <c r="AH13" s="39"/>
      <c r="AI13" s="44">
        <f>SUM(AL10,Materiales!J20)</f>
        <v>68116.069999999992</v>
      </c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45"/>
      <c r="AW13" s="133"/>
      <c r="AX13" s="134"/>
      <c r="AY13" s="134"/>
      <c r="AZ13" s="134"/>
      <c r="BA13" s="134"/>
      <c r="BB13" s="134"/>
      <c r="BC13" s="134"/>
    </row>
    <row r="14" spans="1:55" x14ac:dyDescent="0.25">
      <c r="B14" s="61"/>
      <c r="C14" s="61"/>
      <c r="D14" s="61"/>
      <c r="E14" s="61"/>
      <c r="Z14" s="40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6"/>
      <c r="AW14" s="133"/>
      <c r="AX14" s="134"/>
      <c r="AY14" s="134"/>
      <c r="AZ14" s="134"/>
      <c r="BA14" s="134"/>
      <c r="BB14" s="134"/>
      <c r="BC14" s="134"/>
    </row>
    <row r="15" spans="1:55" ht="15.75" thickBot="1" x14ac:dyDescent="0.3">
      <c r="B15" s="61"/>
      <c r="C15" s="61"/>
      <c r="D15" s="61"/>
      <c r="E15" s="61"/>
      <c r="Z15" s="42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7"/>
      <c r="AW15" s="133"/>
      <c r="AX15" s="134"/>
      <c r="AY15" s="134"/>
      <c r="AZ15" s="134"/>
      <c r="BA15" s="134"/>
      <c r="BB15" s="134"/>
      <c r="BC15" s="134"/>
    </row>
    <row r="16" spans="1:55" ht="15.75" thickTop="1" x14ac:dyDescent="0.25"/>
    <row r="17" spans="2:56" ht="34.5" x14ac:dyDescent="0.25">
      <c r="B17" s="35">
        <v>43922</v>
      </c>
      <c r="C17" s="35">
        <v>43923</v>
      </c>
      <c r="D17" s="35">
        <v>43924</v>
      </c>
      <c r="E17" s="35">
        <v>43925</v>
      </c>
      <c r="F17" s="35">
        <v>43926</v>
      </c>
      <c r="G17" s="35">
        <v>43927</v>
      </c>
      <c r="H17" s="35">
        <v>43928</v>
      </c>
      <c r="I17" s="35">
        <v>43929</v>
      </c>
      <c r="J17" s="35">
        <v>43930</v>
      </c>
      <c r="K17" s="35">
        <v>43931</v>
      </c>
      <c r="L17" s="35">
        <v>43932</v>
      </c>
      <c r="M17" s="35">
        <v>43933</v>
      </c>
      <c r="N17" s="35">
        <v>43934</v>
      </c>
      <c r="O17" s="35">
        <v>43935</v>
      </c>
      <c r="P17" s="35">
        <v>43936</v>
      </c>
      <c r="Q17" s="35">
        <v>43937</v>
      </c>
      <c r="R17" s="35">
        <v>43938</v>
      </c>
      <c r="S17" s="35">
        <v>43939</v>
      </c>
      <c r="T17" s="35">
        <v>43940</v>
      </c>
      <c r="U17" s="35">
        <v>43941</v>
      </c>
      <c r="V17" s="35">
        <v>43942</v>
      </c>
      <c r="W17" s="35">
        <v>43943</v>
      </c>
      <c r="X17" s="35">
        <v>43944</v>
      </c>
      <c r="Y17" s="35">
        <v>43945</v>
      </c>
      <c r="Z17" s="35">
        <v>43946</v>
      </c>
      <c r="AA17" s="35">
        <v>43947</v>
      </c>
      <c r="AB17" s="35">
        <v>43948</v>
      </c>
      <c r="AC17" s="35">
        <v>43949</v>
      </c>
      <c r="AD17" s="35">
        <v>43950</v>
      </c>
      <c r="AE17" s="35">
        <v>43951</v>
      </c>
      <c r="AF17" s="35">
        <v>43952</v>
      </c>
      <c r="AG17" s="35">
        <v>43953</v>
      </c>
      <c r="AH17" s="35">
        <v>43954</v>
      </c>
      <c r="AI17" s="35">
        <v>43955</v>
      </c>
      <c r="AJ17" s="35">
        <v>43956</v>
      </c>
      <c r="AK17" s="35">
        <v>43957</v>
      </c>
      <c r="AL17" s="35">
        <v>43958</v>
      </c>
      <c r="AM17" s="35">
        <v>43959</v>
      </c>
      <c r="AN17" s="35">
        <v>43960</v>
      </c>
      <c r="AO17" s="35">
        <v>43961</v>
      </c>
      <c r="AP17" s="35">
        <v>43962</v>
      </c>
      <c r="AQ17" s="35">
        <v>43963</v>
      </c>
      <c r="AR17" s="35">
        <v>43964</v>
      </c>
      <c r="AS17" s="35">
        <v>43965</v>
      </c>
      <c r="AT17" s="35">
        <v>43966</v>
      </c>
      <c r="AU17" s="35">
        <v>43967</v>
      </c>
      <c r="AV17" s="35">
        <v>43968</v>
      </c>
      <c r="AW17" s="35">
        <v>43969</v>
      </c>
      <c r="AX17" s="35">
        <v>43970</v>
      </c>
      <c r="AY17" s="35">
        <v>43971</v>
      </c>
      <c r="AZ17" s="35">
        <v>43972</v>
      </c>
      <c r="BA17" s="35">
        <v>43973</v>
      </c>
      <c r="BB17" s="35">
        <v>43974</v>
      </c>
      <c r="BC17" s="35">
        <v>43975</v>
      </c>
      <c r="BD17" s="35">
        <v>43976</v>
      </c>
    </row>
    <row r="18" spans="2:56" x14ac:dyDescent="0.25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2:56" x14ac:dyDescent="0.25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</row>
    <row r="20" spans="2:56" x14ac:dyDescent="0.25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2:56" x14ac:dyDescent="0.25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2:56" x14ac:dyDescent="0.25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2:56" x14ac:dyDescent="0.25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</row>
    <row r="48" spans="1:1" x14ac:dyDescent="0.25">
      <c r="A48" s="34"/>
    </row>
    <row r="49" spans="1:3" x14ac:dyDescent="0.25">
      <c r="A49" s="34"/>
    </row>
    <row r="61" spans="1:3" x14ac:dyDescent="0.25">
      <c r="C61" s="34"/>
    </row>
    <row r="64" spans="1:3" x14ac:dyDescent="0.25">
      <c r="A64" s="34"/>
    </row>
    <row r="66" spans="1:3" x14ac:dyDescent="0.25">
      <c r="A66" s="34"/>
    </row>
    <row r="68" spans="1:3" x14ac:dyDescent="0.25">
      <c r="A68" s="34"/>
    </row>
    <row r="70" spans="1:3" x14ac:dyDescent="0.25">
      <c r="A70" s="34"/>
    </row>
    <row r="72" spans="1:3" x14ac:dyDescent="0.25">
      <c r="A72" s="34"/>
    </row>
    <row r="74" spans="1:3" x14ac:dyDescent="0.25">
      <c r="A74" s="34"/>
    </row>
    <row r="76" spans="1:3" x14ac:dyDescent="0.25">
      <c r="A76" s="34"/>
    </row>
    <row r="77" spans="1:3" x14ac:dyDescent="0.25">
      <c r="C77" s="34"/>
    </row>
    <row r="79" spans="1:3" x14ac:dyDescent="0.25">
      <c r="C79" s="34"/>
    </row>
    <row r="81" spans="1:3" x14ac:dyDescent="0.25">
      <c r="C81" s="34"/>
    </row>
    <row r="82" spans="1:3" x14ac:dyDescent="0.25">
      <c r="A82" s="34"/>
    </row>
    <row r="83" spans="1:3" x14ac:dyDescent="0.25">
      <c r="C83" s="34"/>
    </row>
    <row r="84" spans="1:3" x14ac:dyDescent="0.25">
      <c r="A84" s="34"/>
    </row>
    <row r="85" spans="1:3" x14ac:dyDescent="0.25">
      <c r="C85" s="34"/>
    </row>
    <row r="86" spans="1:3" x14ac:dyDescent="0.25">
      <c r="A86" s="34"/>
    </row>
    <row r="87" spans="1:3" x14ac:dyDescent="0.25">
      <c r="C87" s="34"/>
    </row>
    <row r="88" spans="1:3" x14ac:dyDescent="0.25">
      <c r="A88" s="34"/>
    </row>
    <row r="89" spans="1:3" x14ac:dyDescent="0.25">
      <c r="C89" s="34"/>
    </row>
    <row r="90" spans="1:3" x14ac:dyDescent="0.25">
      <c r="A90" s="34"/>
    </row>
    <row r="92" spans="1:3" x14ac:dyDescent="0.25">
      <c r="A92" s="34"/>
    </row>
    <row r="94" spans="1:3" x14ac:dyDescent="0.25">
      <c r="A94" s="34"/>
    </row>
    <row r="95" spans="1:3" x14ac:dyDescent="0.25">
      <c r="C95" s="34"/>
    </row>
    <row r="97" spans="1:3" x14ac:dyDescent="0.25">
      <c r="C97" s="34"/>
    </row>
    <row r="99" spans="1:3" x14ac:dyDescent="0.25">
      <c r="C99" s="34"/>
    </row>
    <row r="101" spans="1:3" x14ac:dyDescent="0.25">
      <c r="C101" s="34"/>
    </row>
    <row r="103" spans="1:3" x14ac:dyDescent="0.25">
      <c r="A103" s="34"/>
      <c r="C103" s="34"/>
    </row>
    <row r="105" spans="1:3" x14ac:dyDescent="0.25">
      <c r="A105" s="34"/>
      <c r="C105" s="34"/>
    </row>
    <row r="107" spans="1:3" x14ac:dyDescent="0.25">
      <c r="C107" s="34"/>
    </row>
    <row r="111" spans="1:3" x14ac:dyDescent="0.25">
      <c r="A111" s="34"/>
    </row>
    <row r="113" spans="1:3" x14ac:dyDescent="0.25">
      <c r="A113" s="34"/>
    </row>
    <row r="116" spans="1:3" x14ac:dyDescent="0.25">
      <c r="C116" s="34"/>
    </row>
    <row r="117" spans="1:3" x14ac:dyDescent="0.25">
      <c r="A117" s="34"/>
    </row>
    <row r="118" spans="1:3" x14ac:dyDescent="0.25">
      <c r="C118" s="34"/>
    </row>
    <row r="119" spans="1:3" x14ac:dyDescent="0.25">
      <c r="A119" s="34"/>
    </row>
    <row r="121" spans="1:3" x14ac:dyDescent="0.25">
      <c r="A121" s="34"/>
    </row>
    <row r="123" spans="1:3" x14ac:dyDescent="0.25">
      <c r="A123" s="34"/>
    </row>
    <row r="124" spans="1:3" x14ac:dyDescent="0.25">
      <c r="C124" s="34"/>
    </row>
    <row r="126" spans="1:3" x14ac:dyDescent="0.25">
      <c r="A126" s="34"/>
      <c r="C126" s="34"/>
    </row>
    <row r="128" spans="1:3" x14ac:dyDescent="0.25">
      <c r="A128" s="34"/>
    </row>
    <row r="130" spans="1:3" x14ac:dyDescent="0.25">
      <c r="C130" s="34"/>
    </row>
    <row r="132" spans="1:3" x14ac:dyDescent="0.25">
      <c r="A132" s="34"/>
      <c r="C132" s="34"/>
    </row>
    <row r="134" spans="1:3" x14ac:dyDescent="0.25">
      <c r="A134" s="34"/>
      <c r="C134" s="34"/>
    </row>
    <row r="136" spans="1:3" x14ac:dyDescent="0.25">
      <c r="A136" s="34"/>
      <c r="C136" s="34"/>
    </row>
    <row r="138" spans="1:3" x14ac:dyDescent="0.25">
      <c r="A138" s="34"/>
    </row>
    <row r="139" spans="1:3" x14ac:dyDescent="0.25">
      <c r="C139" s="34"/>
    </row>
    <row r="140" spans="1:3" x14ac:dyDescent="0.25">
      <c r="A140" s="34"/>
    </row>
    <row r="141" spans="1:3" x14ac:dyDescent="0.25">
      <c r="C141" s="34"/>
    </row>
    <row r="145" spans="1:3" x14ac:dyDescent="0.25">
      <c r="C145" s="34"/>
    </row>
    <row r="147" spans="1:3" x14ac:dyDescent="0.25">
      <c r="C147" s="34"/>
    </row>
    <row r="148" spans="1:3" x14ac:dyDescent="0.25">
      <c r="A148" s="34"/>
    </row>
    <row r="149" spans="1:3" x14ac:dyDescent="0.25">
      <c r="C149" s="34"/>
    </row>
    <row r="151" spans="1:3" x14ac:dyDescent="0.25">
      <c r="C151" s="34"/>
    </row>
    <row r="153" spans="1:3" x14ac:dyDescent="0.25">
      <c r="C153" s="34"/>
    </row>
    <row r="155" spans="1:3" x14ac:dyDescent="0.25">
      <c r="A155" s="34"/>
    </row>
    <row r="157" spans="1:3" x14ac:dyDescent="0.25">
      <c r="A157" s="34"/>
    </row>
    <row r="161" spans="1:3" x14ac:dyDescent="0.25">
      <c r="C161" s="34"/>
    </row>
    <row r="166" spans="1:3" x14ac:dyDescent="0.25">
      <c r="A166" s="34"/>
    </row>
    <row r="168" spans="1:3" x14ac:dyDescent="0.25">
      <c r="C168" s="34"/>
    </row>
    <row r="170" spans="1:3" x14ac:dyDescent="0.25">
      <c r="C170" s="34"/>
    </row>
    <row r="175" spans="1:3" x14ac:dyDescent="0.25">
      <c r="A175" s="34"/>
    </row>
    <row r="177" spans="1:3" x14ac:dyDescent="0.25">
      <c r="A177" s="34"/>
    </row>
    <row r="179" spans="1:3" x14ac:dyDescent="0.25">
      <c r="C179" s="34"/>
    </row>
    <row r="181" spans="1:3" x14ac:dyDescent="0.25">
      <c r="A181" s="34"/>
    </row>
    <row r="184" spans="1:3" x14ac:dyDescent="0.25">
      <c r="A184" s="34"/>
    </row>
    <row r="187" spans="1:3" x14ac:dyDescent="0.25">
      <c r="A187" s="34"/>
    </row>
    <row r="188" spans="1:3" x14ac:dyDescent="0.25">
      <c r="C188" s="34"/>
    </row>
    <row r="189" spans="1:3" x14ac:dyDescent="0.25">
      <c r="A189" s="34"/>
    </row>
    <row r="190" spans="1:3" x14ac:dyDescent="0.25">
      <c r="C190" s="34"/>
    </row>
    <row r="191" spans="1:3" x14ac:dyDescent="0.25">
      <c r="A191" s="34"/>
    </row>
    <row r="194" spans="1:3" x14ac:dyDescent="0.25">
      <c r="A194" s="34"/>
      <c r="C194" s="34"/>
    </row>
    <row r="197" spans="1:3" x14ac:dyDescent="0.25">
      <c r="C197" s="34"/>
    </row>
    <row r="200" spans="1:3" x14ac:dyDescent="0.25">
      <c r="C200" s="34"/>
    </row>
    <row r="201" spans="1:3" x14ac:dyDescent="0.25">
      <c r="A201" s="34"/>
    </row>
    <row r="202" spans="1:3" x14ac:dyDescent="0.25">
      <c r="C202" s="34"/>
    </row>
    <row r="203" spans="1:3" x14ac:dyDescent="0.25">
      <c r="A203" s="34"/>
    </row>
    <row r="204" spans="1:3" x14ac:dyDescent="0.25">
      <c r="C204" s="34"/>
    </row>
    <row r="205" spans="1:3" x14ac:dyDescent="0.25">
      <c r="A205" s="34"/>
    </row>
    <row r="207" spans="1:3" x14ac:dyDescent="0.25">
      <c r="A207" s="34"/>
      <c r="C207" s="34"/>
    </row>
    <row r="209" spans="1:3" x14ac:dyDescent="0.25">
      <c r="A209" s="34"/>
    </row>
    <row r="211" spans="1:3" x14ac:dyDescent="0.25">
      <c r="A211" s="34"/>
    </row>
    <row r="213" spans="1:3" x14ac:dyDescent="0.25">
      <c r="A213" s="34"/>
    </row>
    <row r="214" spans="1:3" x14ac:dyDescent="0.25">
      <c r="C214" s="34"/>
    </row>
    <row r="215" spans="1:3" x14ac:dyDescent="0.25">
      <c r="A215" s="34"/>
    </row>
    <row r="216" spans="1:3" x14ac:dyDescent="0.25">
      <c r="C216" s="34"/>
    </row>
    <row r="217" spans="1:3" x14ac:dyDescent="0.25">
      <c r="A217" s="34"/>
    </row>
    <row r="218" spans="1:3" x14ac:dyDescent="0.25">
      <c r="C218" s="34"/>
    </row>
    <row r="220" spans="1:3" x14ac:dyDescent="0.25">
      <c r="C220" s="34"/>
    </row>
    <row r="222" spans="1:3" x14ac:dyDescent="0.25">
      <c r="A222" s="34"/>
      <c r="C222" s="34"/>
    </row>
    <row r="224" spans="1:3" x14ac:dyDescent="0.25">
      <c r="C224" s="34"/>
    </row>
    <row r="226" spans="1:3" x14ac:dyDescent="0.25">
      <c r="C226" s="34"/>
    </row>
    <row r="228" spans="1:3" x14ac:dyDescent="0.25">
      <c r="C228" s="34"/>
    </row>
    <row r="230" spans="1:3" x14ac:dyDescent="0.25">
      <c r="C230" s="34"/>
    </row>
    <row r="235" spans="1:3" x14ac:dyDescent="0.25">
      <c r="C235" s="34"/>
    </row>
    <row r="239" spans="1:3" x14ac:dyDescent="0.25">
      <c r="A239" s="34"/>
    </row>
    <row r="241" spans="1:3" x14ac:dyDescent="0.25">
      <c r="A241" s="34"/>
    </row>
    <row r="243" spans="1:3" x14ac:dyDescent="0.25">
      <c r="A243" s="34"/>
    </row>
    <row r="252" spans="1:3" x14ac:dyDescent="0.25">
      <c r="C252" s="34"/>
    </row>
    <row r="254" spans="1:3" x14ac:dyDescent="0.25">
      <c r="C254" s="34"/>
    </row>
    <row r="256" spans="1:3" x14ac:dyDescent="0.25">
      <c r="C256" s="34"/>
    </row>
  </sheetData>
  <mergeCells count="66">
    <mergeCell ref="G12:W12"/>
    <mergeCell ref="AC3:AO3"/>
    <mergeCell ref="B12:E12"/>
    <mergeCell ref="B13:E13"/>
    <mergeCell ref="B14:E14"/>
    <mergeCell ref="B15:E15"/>
    <mergeCell ref="B5:E5"/>
    <mergeCell ref="B6:E6"/>
    <mergeCell ref="B7:E7"/>
    <mergeCell ref="B8:E8"/>
    <mergeCell ref="B9:E9"/>
    <mergeCell ref="B10:E10"/>
    <mergeCell ref="L5:N5"/>
    <mergeCell ref="O5:Q5"/>
    <mergeCell ref="R5:T5"/>
    <mergeCell ref="R6:T6"/>
    <mergeCell ref="B11:E11"/>
    <mergeCell ref="G5:K5"/>
    <mergeCell ref="G6:K6"/>
    <mergeCell ref="G7:K7"/>
    <mergeCell ref="G8:K8"/>
    <mergeCell ref="G9:K9"/>
    <mergeCell ref="G10:K10"/>
    <mergeCell ref="G11:K11"/>
    <mergeCell ref="O6:Q6"/>
    <mergeCell ref="O7:Q7"/>
    <mergeCell ref="O8:Q8"/>
    <mergeCell ref="O9:Q9"/>
    <mergeCell ref="O10:Q10"/>
    <mergeCell ref="O11:Q11"/>
    <mergeCell ref="L11:N11"/>
    <mergeCell ref="L6:N6"/>
    <mergeCell ref="L7:N7"/>
    <mergeCell ref="L8:N8"/>
    <mergeCell ref="L9:N9"/>
    <mergeCell ref="L10:N10"/>
    <mergeCell ref="AL7:AO7"/>
    <mergeCell ref="R11:T11"/>
    <mergeCell ref="U6:W6"/>
    <mergeCell ref="U7:W7"/>
    <mergeCell ref="U8:W8"/>
    <mergeCell ref="U9:W9"/>
    <mergeCell ref="U10:W10"/>
    <mergeCell ref="U11:W11"/>
    <mergeCell ref="R7:T7"/>
    <mergeCell ref="R8:T8"/>
    <mergeCell ref="R9:T9"/>
    <mergeCell ref="R10:T10"/>
    <mergeCell ref="U5:W5"/>
    <mergeCell ref="AI6:AK6"/>
    <mergeCell ref="AI7:AK7"/>
    <mergeCell ref="AI8:AK8"/>
    <mergeCell ref="AI9:AK9"/>
    <mergeCell ref="AC7:AH7"/>
    <mergeCell ref="AC6:AH6"/>
    <mergeCell ref="AC8:AH8"/>
    <mergeCell ref="AC9:AH9"/>
    <mergeCell ref="AI5:AK5"/>
    <mergeCell ref="Z13:AH15"/>
    <mergeCell ref="AI13:AV15"/>
    <mergeCell ref="AL8:AO8"/>
    <mergeCell ref="AL9:AO9"/>
    <mergeCell ref="AL6:AO6"/>
    <mergeCell ref="AL10:AO10"/>
    <mergeCell ref="AI10:AK10"/>
    <mergeCell ref="AL5:AO5"/>
  </mergeCells>
  <conditionalFormatting sqref="B18:BD23">
    <cfRule type="expression" dxfId="1" priority="15">
      <formula>AND(OR(B$17=$B$6:$B$12,WEEKDAY(B$17,2)&gt;=6),AND(B$17&gt;=$O6,B$17&lt;=$R6))</formula>
    </cfRule>
    <cfRule type="expression" dxfId="0" priority="16">
      <formula>AND(B$17&gt;=$O6,B$17&lt;=$R6)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B2AB-6A6F-45AD-8EE8-E01836CACEB7}">
  <dimension ref="B2:S38"/>
  <sheetViews>
    <sheetView tabSelected="1" workbookViewId="0">
      <selection activeCell="H30" sqref="H30"/>
    </sheetView>
  </sheetViews>
  <sheetFormatPr baseColWidth="10" defaultRowHeight="15" x14ac:dyDescent="0.25"/>
  <cols>
    <col min="2" max="2" width="41" customWidth="1"/>
    <col min="3" max="3" width="15.5703125" customWidth="1"/>
    <col min="5" max="5" width="37.5703125" customWidth="1"/>
    <col min="6" max="6" width="16.42578125" customWidth="1"/>
    <col min="8" max="8" width="40.42578125" customWidth="1"/>
    <col min="9" max="9" width="19.140625" customWidth="1"/>
    <col min="11" max="11" width="15.85546875" customWidth="1"/>
    <col min="12" max="12" width="20.85546875" customWidth="1"/>
    <col min="14" max="14" width="12" customWidth="1"/>
    <col min="15" max="15" width="24.85546875" customWidth="1"/>
    <col min="16" max="16" width="14.7109375" bestFit="1" customWidth="1"/>
    <col min="17" max="17" width="14.5703125" customWidth="1"/>
    <col min="18" max="18" width="33.140625" bestFit="1" customWidth="1"/>
    <col min="19" max="19" width="13.42578125" bestFit="1" customWidth="1"/>
    <col min="20" max="20" width="33.140625" bestFit="1" customWidth="1"/>
    <col min="21" max="21" width="13.5703125" bestFit="1" customWidth="1"/>
  </cols>
  <sheetData>
    <row r="2" spans="2:19" ht="15.75" thickBot="1" x14ac:dyDescent="0.3"/>
    <row r="3" spans="2:19" ht="16.5" thickTop="1" thickBot="1" x14ac:dyDescent="0.3">
      <c r="B3" s="99" t="s">
        <v>48</v>
      </c>
      <c r="C3" s="100"/>
    </row>
    <row r="4" spans="2:19" ht="16.5" customHeight="1" thickTop="1" thickBot="1" x14ac:dyDescent="0.3">
      <c r="B4" s="101"/>
      <c r="C4" s="102"/>
      <c r="E4" s="99" t="s">
        <v>0</v>
      </c>
      <c r="F4" s="100"/>
      <c r="G4" s="1"/>
      <c r="H4" s="103" t="s">
        <v>15</v>
      </c>
      <c r="I4" s="104"/>
      <c r="K4" s="91" t="s">
        <v>8</v>
      </c>
      <c r="L4" s="92"/>
      <c r="N4" s="139" t="s">
        <v>102</v>
      </c>
      <c r="O4" s="136" t="s">
        <v>85</v>
      </c>
      <c r="P4" s="92"/>
      <c r="R4" s="91" t="s">
        <v>45</v>
      </c>
      <c r="S4" s="92"/>
    </row>
    <row r="5" spans="2:19" ht="15" customHeight="1" thickTop="1" thickBot="1" x14ac:dyDescent="0.3">
      <c r="B5" s="109"/>
      <c r="C5" s="110"/>
      <c r="E5" s="101"/>
      <c r="F5" s="102"/>
      <c r="G5" s="1"/>
      <c r="H5" s="105"/>
      <c r="I5" s="106"/>
      <c r="K5" s="93"/>
      <c r="L5" s="94"/>
      <c r="N5" s="140"/>
      <c r="O5" s="137"/>
      <c r="P5" s="94"/>
      <c r="R5" s="93"/>
      <c r="S5" s="94"/>
    </row>
    <row r="6" spans="2:19" ht="22.5" thickTop="1" thickBot="1" x14ac:dyDescent="0.4">
      <c r="B6" s="107" t="s">
        <v>26</v>
      </c>
      <c r="C6" s="108"/>
      <c r="E6" s="2" t="s">
        <v>1</v>
      </c>
      <c r="F6" s="20">
        <v>377.53</v>
      </c>
      <c r="H6" s="2" t="s">
        <v>89</v>
      </c>
      <c r="I6" s="20">
        <f>C35*8</f>
        <v>720</v>
      </c>
      <c r="K6" s="2" t="s">
        <v>1</v>
      </c>
      <c r="L6" s="20">
        <v>99</v>
      </c>
      <c r="N6" s="141">
        <v>1</v>
      </c>
      <c r="O6" s="4" t="s">
        <v>19</v>
      </c>
      <c r="P6" s="20">
        <f>N6*(C15+C7+C25)</f>
        <v>648.93999999999994</v>
      </c>
      <c r="R6" s="2" t="s">
        <v>47</v>
      </c>
      <c r="S6" s="20">
        <v>149.99</v>
      </c>
    </row>
    <row r="7" spans="2:19" ht="15.75" x14ac:dyDescent="0.25">
      <c r="B7" s="13" t="s">
        <v>27</v>
      </c>
      <c r="C7" s="14">
        <v>146.30000000000001</v>
      </c>
      <c r="E7" s="3" t="s">
        <v>51</v>
      </c>
      <c r="F7" s="20">
        <f>C28*2</f>
        <v>39.94</v>
      </c>
      <c r="H7" s="3" t="s">
        <v>14</v>
      </c>
      <c r="I7" s="20">
        <v>64.88</v>
      </c>
      <c r="K7" s="3" t="s">
        <v>9</v>
      </c>
      <c r="L7" s="20">
        <v>19.97</v>
      </c>
      <c r="N7" s="142">
        <v>6</v>
      </c>
      <c r="O7" s="6" t="s">
        <v>20</v>
      </c>
      <c r="P7" s="20">
        <f xml:space="preserve"> N7*(Materiales!C16+Materiales!C25+Materiales!C8*2+Materiales!C12)</f>
        <v>5922.0599999999995</v>
      </c>
      <c r="R7" s="3" t="s">
        <v>46</v>
      </c>
      <c r="S7" s="20">
        <v>19.97</v>
      </c>
    </row>
    <row r="8" spans="2:19" ht="16.5" thickBot="1" x14ac:dyDescent="0.3">
      <c r="B8" s="15" t="s">
        <v>28</v>
      </c>
      <c r="C8" s="16">
        <v>141.19</v>
      </c>
      <c r="E8" s="3" t="s">
        <v>2</v>
      </c>
      <c r="F8" s="20">
        <f>C29*3</f>
        <v>76.5</v>
      </c>
      <c r="H8" s="3" t="s">
        <v>18</v>
      </c>
      <c r="I8" s="20">
        <f>14.4*6</f>
        <v>86.4</v>
      </c>
      <c r="K8" s="3" t="s">
        <v>10</v>
      </c>
      <c r="L8" s="20">
        <v>25.5</v>
      </c>
      <c r="N8" s="142">
        <v>6</v>
      </c>
      <c r="O8" s="6" t="s">
        <v>21</v>
      </c>
      <c r="P8" s="20">
        <f xml:space="preserve"> N8*(Materiales!C17+Materiales!C25+Materiales!C8+Materiales!C11)</f>
        <v>5079.7799999999988</v>
      </c>
      <c r="R8" s="3" t="s">
        <v>49</v>
      </c>
      <c r="S8" s="20">
        <v>500</v>
      </c>
    </row>
    <row r="9" spans="2:19" ht="16.5" thickBot="1" x14ac:dyDescent="0.3">
      <c r="B9" s="24"/>
      <c r="C9" s="25"/>
      <c r="E9" s="3" t="s">
        <v>3</v>
      </c>
      <c r="F9" s="20">
        <f>C30*2</f>
        <v>691</v>
      </c>
      <c r="H9" s="3" t="s">
        <v>17</v>
      </c>
      <c r="I9" s="20">
        <f>13.53*38</f>
        <v>514.14</v>
      </c>
      <c r="K9" s="3" t="s">
        <v>54</v>
      </c>
      <c r="L9" s="20">
        <f>C36</f>
        <v>637</v>
      </c>
      <c r="N9" s="142">
        <v>1</v>
      </c>
      <c r="O9" s="6" t="s">
        <v>22</v>
      </c>
      <c r="P9" s="20">
        <f>N9*Materiales!C18</f>
        <v>1558.29</v>
      </c>
      <c r="R9" s="26" t="s">
        <v>50</v>
      </c>
      <c r="S9" s="20">
        <v>360</v>
      </c>
    </row>
    <row r="10" spans="2:19" ht="22.5" thickTop="1" thickBot="1" x14ac:dyDescent="0.4">
      <c r="B10" s="107" t="s">
        <v>29</v>
      </c>
      <c r="C10" s="108"/>
      <c r="E10" s="3" t="s">
        <v>4</v>
      </c>
      <c r="F10" s="20">
        <f>C31*4</f>
        <v>4008</v>
      </c>
      <c r="H10" s="3" t="s">
        <v>65</v>
      </c>
      <c r="I10" s="20">
        <v>400</v>
      </c>
      <c r="K10" s="9" t="s">
        <v>13</v>
      </c>
      <c r="L10" s="20">
        <f>10.99*8</f>
        <v>87.92</v>
      </c>
      <c r="N10" s="142">
        <v>2</v>
      </c>
      <c r="O10" s="6" t="s">
        <v>23</v>
      </c>
      <c r="P10" s="20">
        <f>N10*Materiales!C19</f>
        <v>3216.6</v>
      </c>
      <c r="R10" s="8" t="s">
        <v>6</v>
      </c>
      <c r="S10" s="27">
        <f>SUM(S6:S9)</f>
        <v>1029.96</v>
      </c>
    </row>
    <row r="11" spans="2:19" ht="15" customHeight="1" thickTop="1" thickBot="1" x14ac:dyDescent="0.3">
      <c r="B11" s="13" t="s">
        <v>30</v>
      </c>
      <c r="C11" s="14">
        <v>91.8</v>
      </c>
      <c r="E11" s="3" t="s">
        <v>5</v>
      </c>
      <c r="F11" s="20">
        <f>4674*2</f>
        <v>9348</v>
      </c>
      <c r="H11" s="9" t="s">
        <v>16</v>
      </c>
      <c r="I11" s="20">
        <v>220</v>
      </c>
      <c r="K11" s="8" t="s">
        <v>6</v>
      </c>
      <c r="L11" s="27">
        <f>SUM(L6:L10)</f>
        <v>869.39</v>
      </c>
      <c r="N11" s="142">
        <v>2</v>
      </c>
      <c r="O11" s="6" t="s">
        <v>24</v>
      </c>
      <c r="P11" s="20">
        <f>N11*(Materiales!C21+Materiales!C25+Materiales!C11+Materiales!C8)</f>
        <v>1571.2599999999998</v>
      </c>
    </row>
    <row r="12" spans="2:19" ht="24.75" thickTop="1" thickBot="1" x14ac:dyDescent="0.3">
      <c r="B12" s="17" t="s">
        <v>34</v>
      </c>
      <c r="C12" s="18">
        <v>40.99</v>
      </c>
      <c r="E12" s="3" t="s">
        <v>11</v>
      </c>
      <c r="F12" s="20">
        <f>C33*3</f>
        <v>9000</v>
      </c>
      <c r="H12" s="12" t="s">
        <v>64</v>
      </c>
      <c r="I12" s="20">
        <v>20.99</v>
      </c>
      <c r="K12" s="4"/>
      <c r="L12" s="5"/>
      <c r="N12" s="142">
        <v>3</v>
      </c>
      <c r="O12" s="6" t="s">
        <v>25</v>
      </c>
      <c r="P12" s="20">
        <f>N12*(Materiales!C21+Materiales!C11+Materiales!C8+Materiales!C25+Materiales!C24)</f>
        <v>2533.9499999999998</v>
      </c>
      <c r="R12" s="37"/>
    </row>
    <row r="13" spans="2:19" ht="24.75" thickTop="1" thickBot="1" x14ac:dyDescent="0.3">
      <c r="B13" s="109"/>
      <c r="C13" s="110"/>
      <c r="E13" s="9" t="s">
        <v>7</v>
      </c>
      <c r="F13" s="20">
        <v>7178</v>
      </c>
      <c r="H13" s="8" t="s">
        <v>6</v>
      </c>
      <c r="I13" s="27">
        <f>SUM(I6:I12)</f>
        <v>2026.41</v>
      </c>
      <c r="K13" s="6"/>
      <c r="L13" s="6"/>
      <c r="N13" s="142">
        <v>2</v>
      </c>
      <c r="O13" s="6" t="s">
        <v>44</v>
      </c>
      <c r="P13" s="20">
        <f>N13*(Materiales!C20+Materiales!C25+Materiales!C11+Materiales!C8)</f>
        <v>2781.42</v>
      </c>
      <c r="R13" s="37"/>
    </row>
    <row r="14" spans="2:19" ht="23.25" customHeight="1" thickBot="1" x14ac:dyDescent="0.4">
      <c r="B14" s="107" t="s">
        <v>31</v>
      </c>
      <c r="C14" s="108"/>
      <c r="E14" s="9" t="s">
        <v>12</v>
      </c>
      <c r="F14" s="20">
        <f>C34*70+C37*25</f>
        <v>981.80000000000007</v>
      </c>
      <c r="K14" s="10"/>
      <c r="L14" s="7"/>
      <c r="N14" s="142">
        <v>2</v>
      </c>
      <c r="O14" s="6" t="s">
        <v>103</v>
      </c>
      <c r="P14" s="20">
        <f>N14*(Materiales!C21+Materiales!C25+Materiales!C11+Materiales!C8)</f>
        <v>1571.2599999999998</v>
      </c>
      <c r="Q14" s="37"/>
    </row>
    <row r="15" spans="2:19" ht="16.5" customHeight="1" thickTop="1" thickBot="1" x14ac:dyDescent="0.3">
      <c r="B15" s="13" t="s">
        <v>32</v>
      </c>
      <c r="C15" s="14">
        <v>459</v>
      </c>
      <c r="E15" s="8" t="s">
        <v>6</v>
      </c>
      <c r="F15" s="27">
        <f>SUM(F6:F14)</f>
        <v>31700.77</v>
      </c>
      <c r="H15" s="95" t="s">
        <v>40</v>
      </c>
      <c r="I15" s="96"/>
      <c r="K15" s="10"/>
      <c r="L15" s="7"/>
      <c r="N15" s="142"/>
      <c r="O15" s="138" t="s">
        <v>86</v>
      </c>
      <c r="P15" s="20">
        <f>2*309.99</f>
        <v>619.98</v>
      </c>
      <c r="Q15" s="37"/>
    </row>
    <row r="16" spans="2:19" ht="17.25" thickTop="1" thickBot="1" x14ac:dyDescent="0.3">
      <c r="B16" s="19" t="s">
        <v>39</v>
      </c>
      <c r="C16" s="20">
        <v>620</v>
      </c>
      <c r="H16" s="97"/>
      <c r="I16" s="98"/>
      <c r="N16" s="12"/>
      <c r="O16" s="8" t="s">
        <v>6</v>
      </c>
      <c r="P16" s="27">
        <f>SUM(P6:P15)</f>
        <v>25503.539999999994</v>
      </c>
    </row>
    <row r="17" spans="2:12" ht="17.25" thickTop="1" thickBot="1" x14ac:dyDescent="0.3">
      <c r="B17" s="19" t="s">
        <v>42</v>
      </c>
      <c r="C17" s="20">
        <v>570</v>
      </c>
      <c r="H17" s="11" t="str">
        <f>CONCATENATE(Materiales!I18," Metros")</f>
        <v>1000 Metros</v>
      </c>
      <c r="I17" s="29">
        <f>91*(I18/100)</f>
        <v>910</v>
      </c>
    </row>
    <row r="18" spans="2:12" ht="15.75" x14ac:dyDescent="0.25">
      <c r="B18" s="21" t="s">
        <v>33</v>
      </c>
      <c r="C18" s="20">
        <v>1558.29</v>
      </c>
      <c r="I18" s="33">
        <v>1000</v>
      </c>
    </row>
    <row r="19" spans="2:12" ht="16.5" thickBot="1" x14ac:dyDescent="0.3">
      <c r="B19" s="21" t="s">
        <v>35</v>
      </c>
      <c r="C19" s="20">
        <v>1608.3</v>
      </c>
    </row>
    <row r="20" spans="2:12" ht="16.5" thickTop="1" x14ac:dyDescent="0.25">
      <c r="B20" s="22" t="s">
        <v>41</v>
      </c>
      <c r="C20" s="20">
        <v>1114.08</v>
      </c>
      <c r="H20" s="111" t="s">
        <v>6</v>
      </c>
      <c r="I20" s="112"/>
      <c r="J20" s="87">
        <f>SUM(F15,I13,I17,L11,P16,S10)</f>
        <v>62040.069999999992</v>
      </c>
      <c r="K20" s="88"/>
    </row>
    <row r="21" spans="2:12" ht="16.5" thickBot="1" x14ac:dyDescent="0.3">
      <c r="B21" s="23" t="s">
        <v>43</v>
      </c>
      <c r="C21" s="16">
        <v>509</v>
      </c>
      <c r="H21" s="113"/>
      <c r="I21" s="114"/>
      <c r="J21" s="89"/>
      <c r="K21" s="90"/>
    </row>
    <row r="22" spans="2:12" ht="16.5" thickTop="1" thickBot="1" x14ac:dyDescent="0.3">
      <c r="B22" s="109"/>
      <c r="C22" s="110"/>
    </row>
    <row r="23" spans="2:12" ht="21.75" thickBot="1" x14ac:dyDescent="0.4">
      <c r="B23" s="107" t="s">
        <v>36</v>
      </c>
      <c r="C23" s="108"/>
    </row>
    <row r="24" spans="2:12" ht="15.75" x14ac:dyDescent="0.25">
      <c r="B24" s="13" t="s">
        <v>37</v>
      </c>
      <c r="C24" s="14">
        <v>59.02</v>
      </c>
    </row>
    <row r="25" spans="2:12" ht="16.5" thickBot="1" x14ac:dyDescent="0.3">
      <c r="B25" s="17" t="s">
        <v>38</v>
      </c>
      <c r="C25" s="16">
        <v>43.64</v>
      </c>
      <c r="K25" s="135"/>
      <c r="L25" s="135"/>
    </row>
    <row r="26" spans="2:12" ht="16.5" thickTop="1" thickBot="1" x14ac:dyDescent="0.3">
      <c r="B26" s="109"/>
      <c r="C26" s="110"/>
      <c r="K26" s="135"/>
    </row>
    <row r="27" spans="2:12" ht="21.75" thickBot="1" x14ac:dyDescent="0.4">
      <c r="B27" s="107" t="s">
        <v>90</v>
      </c>
      <c r="C27" s="108"/>
    </row>
    <row r="28" spans="2:12" ht="15.75" x14ac:dyDescent="0.25">
      <c r="B28" s="3" t="s">
        <v>52</v>
      </c>
      <c r="C28" s="20">
        <v>19.97</v>
      </c>
    </row>
    <row r="29" spans="2:12" ht="15.75" x14ac:dyDescent="0.25">
      <c r="B29" s="3" t="s">
        <v>53</v>
      </c>
      <c r="C29" s="20">
        <v>25.5</v>
      </c>
    </row>
    <row r="30" spans="2:12" ht="15.75" x14ac:dyDescent="0.25">
      <c r="B30" s="22" t="s">
        <v>87</v>
      </c>
      <c r="C30" s="20">
        <v>345.5</v>
      </c>
    </row>
    <row r="31" spans="2:12" ht="15.75" x14ac:dyDescent="0.25">
      <c r="B31" s="22" t="s">
        <v>88</v>
      </c>
      <c r="C31" s="20">
        <v>1002</v>
      </c>
    </row>
    <row r="32" spans="2:12" ht="15.75" x14ac:dyDescent="0.25">
      <c r="B32" s="3" t="s">
        <v>55</v>
      </c>
      <c r="C32" s="20">
        <v>2000</v>
      </c>
    </row>
    <row r="33" spans="2:3" ht="15.75" x14ac:dyDescent="0.25">
      <c r="B33" s="3" t="s">
        <v>91</v>
      </c>
      <c r="C33" s="20">
        <v>3000</v>
      </c>
    </row>
    <row r="34" spans="2:3" ht="15.75" x14ac:dyDescent="0.25">
      <c r="B34" s="9" t="s">
        <v>56</v>
      </c>
      <c r="C34" s="20">
        <v>10.99</v>
      </c>
    </row>
    <row r="35" spans="2:3" ht="15.75" x14ac:dyDescent="0.25">
      <c r="B35" s="115" t="s">
        <v>92</v>
      </c>
      <c r="C35" s="20">
        <v>90</v>
      </c>
    </row>
    <row r="36" spans="2:3" ht="15.75" x14ac:dyDescent="0.25">
      <c r="B36" s="115" t="s">
        <v>93</v>
      </c>
      <c r="C36" s="20">
        <v>637</v>
      </c>
    </row>
    <row r="37" spans="2:3" ht="16.5" thickBot="1" x14ac:dyDescent="0.3">
      <c r="B37" s="26" t="s">
        <v>57</v>
      </c>
      <c r="C37" s="28">
        <v>8.5</v>
      </c>
    </row>
    <row r="38" spans="2:3" ht="16.5" thickTop="1" thickBot="1" x14ac:dyDescent="0.3">
      <c r="B38" s="109"/>
      <c r="C38" s="110"/>
    </row>
  </sheetData>
  <mergeCells count="20">
    <mergeCell ref="R4:S5"/>
    <mergeCell ref="O4:P5"/>
    <mergeCell ref="N4:N5"/>
    <mergeCell ref="B38:C38"/>
    <mergeCell ref="B27:C27"/>
    <mergeCell ref="B3:C4"/>
    <mergeCell ref="H4:I5"/>
    <mergeCell ref="B10:C10"/>
    <mergeCell ref="B14:C14"/>
    <mergeCell ref="B5:C5"/>
    <mergeCell ref="B13:C13"/>
    <mergeCell ref="B22:C22"/>
    <mergeCell ref="B26:C26"/>
    <mergeCell ref="H20:I21"/>
    <mergeCell ref="E4:F5"/>
    <mergeCell ref="B23:C23"/>
    <mergeCell ref="B6:C6"/>
    <mergeCell ref="J20:K21"/>
    <mergeCell ref="K4:L5"/>
    <mergeCell ref="H15:I16"/>
  </mergeCells>
  <hyperlinks>
    <hyperlink ref="B8" r:id="rId1" display="https://www.dell.com/es-es/work/shop/accessories/apd/210-APWV" xr:uid="{A7CA1EDC-A29D-41BB-84C7-1EC45A4421FB}"/>
    <hyperlink ref="B11" r:id="rId2" display="https://www.dell.com/es-es/work/shop/accessories/apd/482-10010" xr:uid="{1B36C32D-4B5F-4C19-B7A5-1271F389E638}"/>
    <hyperlink ref="B15" r:id="rId3" display="https://www.dell.com/es-es/work/shop/productdetails/optiplex-3070-micro/s010o3070mff" xr:uid="{D08ABF90-D5B0-48C6-8707-3E303F663B8B}"/>
    <hyperlink ref="B18" r:id="rId4" xr:uid="{FB7564BE-960E-4210-BD5D-395945F62372}"/>
    <hyperlink ref="B12" r:id="rId5" xr:uid="{0C8886D4-224F-4AD5-91FE-14B8638C56D3}"/>
    <hyperlink ref="B19" r:id="rId6" xr:uid="{2B263548-2A66-4EBA-A832-C1F8316D1520}"/>
    <hyperlink ref="B24" r:id="rId7" xr:uid="{9A0B9EB4-A0B7-40DC-BF8D-08B62A9702FC}"/>
    <hyperlink ref="B25" r:id="rId8" xr:uid="{81D25083-4635-4D83-BDAB-A396E407F0F5}"/>
    <hyperlink ref="B20" r:id="rId9" xr:uid="{1F974A4F-673D-48E5-956D-34227C595FA6}"/>
    <hyperlink ref="B7" r:id="rId10" display="https://www.dell.com/es-es/work/shop/accessories/apd/210-APWR" xr:uid="{C52C1151-DDBE-4822-9CFB-02F7AD879B8D}"/>
    <hyperlink ref="B30" r:id="rId11" xr:uid="{FB405C0A-6795-4B78-AF46-09C9FD35C4C6}"/>
    <hyperlink ref="B31" r:id="rId12" xr:uid="{C891238F-A572-464A-9BD4-F48980CA9E0D}"/>
    <hyperlink ref="B35" r:id="rId13" xr:uid="{60CE022A-60DE-4060-9422-A4B2D84A494D}"/>
    <hyperlink ref="B36" r:id="rId14" xr:uid="{BA17B201-15FB-446A-93B9-13386CAAF80C}"/>
  </hyperlinks>
  <pageMargins left="0.7" right="0.7" top="0.75" bottom="0.75" header="0.3" footer="0.3"/>
  <pageSetup paperSize="9" orientation="portrait" r:id="rId15"/>
  <ignoredErrors>
    <ignoredError sqref="F8" formula="1"/>
  </ignoredErrors>
  <drawing r:id="rId16"/>
  <legacyDrawing r:id="rId1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18" name="Spinner 1">
              <controlPr defaultSize="0" autoPict="0">
                <anchor moveWithCells="1" siz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342900</xdr:colOff>
                    <xdr:row>16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B08C-6C56-4C52-A558-3115F4F8B44E}">
  <dimension ref="C1:G8"/>
  <sheetViews>
    <sheetView workbookViewId="0">
      <selection activeCell="H21" sqref="H21"/>
    </sheetView>
  </sheetViews>
  <sheetFormatPr baseColWidth="10" defaultRowHeight="15" x14ac:dyDescent="0.25"/>
  <cols>
    <col min="3" max="3" width="22.28515625" customWidth="1"/>
    <col min="4" max="4" width="17.85546875" customWidth="1"/>
    <col min="6" max="6" width="23.140625" customWidth="1"/>
    <col min="8" max="8" width="21.7109375" customWidth="1"/>
    <col min="9" max="9" width="29.42578125" customWidth="1"/>
  </cols>
  <sheetData>
    <row r="1" spans="3:7" ht="15.75" thickBot="1" x14ac:dyDescent="0.3"/>
    <row r="2" spans="3:7" ht="26.25" customHeight="1" thickBot="1" x14ac:dyDescent="0.3">
      <c r="C2" s="127" t="s">
        <v>60</v>
      </c>
      <c r="D2" s="128"/>
      <c r="E2" s="126"/>
      <c r="F2" s="127" t="s">
        <v>61</v>
      </c>
      <c r="G2" s="128"/>
    </row>
    <row r="3" spans="3:7" ht="15" customHeight="1" thickBot="1" x14ac:dyDescent="0.3">
      <c r="C3" s="126"/>
      <c r="D3" s="126"/>
      <c r="E3" s="126"/>
      <c r="F3" s="126"/>
      <c r="G3" s="126"/>
    </row>
    <row r="4" spans="3:7" ht="22.5" thickTop="1" thickBot="1" x14ac:dyDescent="0.4">
      <c r="C4" s="2" t="s">
        <v>63</v>
      </c>
      <c r="D4" s="30">
        <v>2300</v>
      </c>
      <c r="F4" s="107" t="s">
        <v>58</v>
      </c>
      <c r="G4" s="108"/>
    </row>
    <row r="5" spans="3:7" ht="16.5" thickBot="1" x14ac:dyDescent="0.3">
      <c r="C5" s="12" t="s">
        <v>62</v>
      </c>
      <c r="D5" s="28">
        <v>150</v>
      </c>
      <c r="F5" s="31" t="s">
        <v>98</v>
      </c>
      <c r="G5" s="14">
        <v>26</v>
      </c>
    </row>
    <row r="6" spans="3:7" ht="16.5" thickTop="1" x14ac:dyDescent="0.25">
      <c r="F6" s="32" t="s">
        <v>99</v>
      </c>
      <c r="G6" s="20">
        <v>32</v>
      </c>
    </row>
    <row r="7" spans="3:7" ht="15.75" x14ac:dyDescent="0.25">
      <c r="F7" s="32" t="s">
        <v>100</v>
      </c>
      <c r="G7" s="20">
        <v>28</v>
      </c>
    </row>
    <row r="8" spans="3:7" ht="16.5" thickBot="1" x14ac:dyDescent="0.3">
      <c r="F8" s="11" t="s">
        <v>59</v>
      </c>
      <c r="G8" s="16">
        <v>23</v>
      </c>
    </row>
  </sheetData>
  <mergeCells count="3">
    <mergeCell ref="C2:D2"/>
    <mergeCell ref="F2:G2"/>
    <mergeCell ref="F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H H B U G W s O k i n A A A A + A A A A B I A H A B D b 2 5 m a W c v U G F j a 2 F n Z S 5 4 b W w g o h g A K K A U A A A A A A A A A A A A A A A A A A A A A A A A A A A A h Y / B C o J A F E V / R W b v v F E J T J 7 j I t o l B E K 0 l X H S I R 3 D G R v / r U W f 1 C 8 k l N W u 5 b 2 c C + c + b n f M p q 7 1 r n I w q t c p C S g j n t S i r 5 S u U z L a k x + T j O O + F O e y l t 4 M a 5 N M R q W k s f a S A D j n q I t o P 9 Q Q M h b A M d 8 V o p F d 6 S t t b K m F J J 9 V 9 X 9 F O B 5 e M j y k M a O r m E V 0 z Q K E p c Z c 6 S 8 S z s a U I f y U u B l b O w 6 S S + N v C 4 Q l I r x f 8 C d Q S w M E F A A C A A g A n H H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x w V A o i k e 4 D g A A A B E A A A A T A B w A R m 9 y b X V s Y X M v U 2 V j d G l v b j E u b S C i G A A o o B Q A A A A A A A A A A A A A A A A A A A A A A A A A A A A r T k 0 u y c z P U w i G 0 I b W A F B L A Q I t A B Q A A g A I A J x x w V B l r D p I p w A A A P g A A A A S A A A A A A A A A A A A A A A A A A A A A A B D b 2 5 m a W c v U G F j a 2 F n Z S 5 4 b W x Q S w E C L Q A U A A I A C A C c c c F Q D 8 r p q 6 Q A A A D p A A A A E w A A A A A A A A A A A A A A A A D z A A A A W 0 N v b n R l b n R f V H l w Z X N d L n h t b F B L A Q I t A B Q A A g A I A J x x w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v 9 v Q U a g f Q r + s 3 h v e i I r D A A A A A A I A A A A A A B B m A A A A A Q A A I A A A A L n 8 d p c o w b a Z 8 F W g Y e / 9 s 0 g Q e u E + U V d H B A R I J I 3 a C S + z A A A A A A 6 A A A A A A g A A I A A A A H a C 3 Z J a w 8 B t L i Y 6 r 7 S l z g K S d G b E R 6 i v Z O i 5 7 U F q r 6 H G U A A A A F 8 Y 5 1 W / 9 B f r k B Q T b A 1 K C a v X 6 I 7 K G p c H C 7 g i y X P N C 5 M R l + b 3 g d b 7 A 3 G k Y b C a 5 7 C 4 t / 8 z s U Z 5 D P u s N r P u T I K A o L Q l 0 j 9 n 1 K a s N E z w P r P r R p n u Q A A A A D f / I 5 v k n p p 5 Q V A h t P 0 9 k k F S L F U 8 e r 4 p D E 7 s X l h b V 2 / 2 a / q E W U d B H V A p r B v b g l 3 k e H C q N F 5 g w c v u 6 + R m S k 3 N l Q k = < / D a t a M a s h u p > 
</file>

<file path=customXml/itemProps1.xml><?xml version="1.0" encoding="utf-8"?>
<ds:datastoreItem xmlns:ds="http://schemas.openxmlformats.org/officeDocument/2006/customXml" ds:itemID="{74343100-8CD5-4CED-985F-EF8AC30BF7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Construcción edificio</vt:lpstr>
      <vt:lpstr>Materiales</vt:lpstr>
      <vt:lpstr>Otros Costes</vt:lpstr>
      <vt:lpstr>'Construcción edificio'!xctoebpc5000_1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Kerjox</dc:creator>
  <cp:lastModifiedBy>Kerjox</cp:lastModifiedBy>
  <dcterms:created xsi:type="dcterms:W3CDTF">2015-06-05T18:19:34Z</dcterms:created>
  <dcterms:modified xsi:type="dcterms:W3CDTF">2022-05-01T10:48:35Z</dcterms:modified>
</cp:coreProperties>
</file>