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Quant\01_SwProj\04_VectorBT\02_Lima\Lima_Gen1\01_RawData\02_ASharesPro\"/>
    </mc:Choice>
  </mc:AlternateContent>
  <xr:revisionPtr revIDLastSave="0" documentId="13_ncr:1_{C59C9DA4-42B7-4D1C-9567-0DAD1A9631E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37" i="1" l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<sst xmlns="http://schemas.openxmlformats.org/spreadsheetml/2006/main" count="9675" uniqueCount="4966">
  <si>
    <t>悦达投资</t>
  </si>
  <si>
    <t>鲁银投资</t>
  </si>
  <si>
    <t>宁波富达</t>
  </si>
  <si>
    <t>上海三毛</t>
  </si>
  <si>
    <t>东阳光</t>
  </si>
  <si>
    <t>天宸股份</t>
  </si>
  <si>
    <t>宁波联合</t>
  </si>
  <si>
    <t>粤桂股份</t>
  </si>
  <si>
    <t>漳州发展</t>
  </si>
  <si>
    <t>顺发恒业</t>
  </si>
  <si>
    <t>特 力Ａ</t>
  </si>
  <si>
    <t>南大环境</t>
  </si>
  <si>
    <t>力合科技</t>
  </si>
  <si>
    <t>雪迪龙</t>
  </si>
  <si>
    <t>正和生态</t>
  </si>
  <si>
    <t>永清环保</t>
  </si>
  <si>
    <t>绿茵生态</t>
  </si>
  <si>
    <t>高能环境</t>
  </si>
  <si>
    <t>伟明环保</t>
  </si>
  <si>
    <t>三峰环境</t>
  </si>
  <si>
    <t>绿色动力</t>
  </si>
  <si>
    <t>上海环境</t>
  </si>
  <si>
    <t>永兴股份</t>
  </si>
  <si>
    <t>瀚蓝环境</t>
  </si>
  <si>
    <t>飞南资源</t>
  </si>
  <si>
    <t>朗坤科技</t>
  </si>
  <si>
    <t>华新环保</t>
  </si>
  <si>
    <t>中科环保</t>
  </si>
  <si>
    <t>军信股份</t>
  </si>
  <si>
    <t>大地海洋</t>
  </si>
  <si>
    <t>圣元环保</t>
  </si>
  <si>
    <t>中兰环保</t>
  </si>
  <si>
    <t>玉禾田</t>
  </si>
  <si>
    <t>节能环境</t>
  </si>
  <si>
    <t>侨银股份</t>
  </si>
  <si>
    <t>浙富控股</t>
  </si>
  <si>
    <t>旺能环境</t>
  </si>
  <si>
    <t>劲旅环境</t>
  </si>
  <si>
    <t>城发环境</t>
  </si>
  <si>
    <t>山高环能</t>
  </si>
  <si>
    <t>中国天楹</t>
  </si>
  <si>
    <t>中持股份</t>
  </si>
  <si>
    <t>海峡环保</t>
  </si>
  <si>
    <t>联泰环保</t>
  </si>
  <si>
    <t>上海洗霸</t>
  </si>
  <si>
    <t>创业环保</t>
  </si>
  <si>
    <t>钱江生化</t>
  </si>
  <si>
    <t>科净源</t>
  </si>
  <si>
    <t>艾布鲁</t>
  </si>
  <si>
    <t>国泰环保</t>
  </si>
  <si>
    <t>嘉戎技术</t>
  </si>
  <si>
    <t>武汉天源</t>
  </si>
  <si>
    <t>深水海纳</t>
  </si>
  <si>
    <t>华骐环保</t>
  </si>
  <si>
    <t>倍杰特</t>
  </si>
  <si>
    <t>中环环保</t>
  </si>
  <si>
    <t>鹏鹞环保</t>
  </si>
  <si>
    <t>节能国祯</t>
  </si>
  <si>
    <t>中电环保</t>
  </si>
  <si>
    <t>碧水源</t>
  </si>
  <si>
    <t>中晟高科</t>
  </si>
  <si>
    <t>清新环境</t>
  </si>
  <si>
    <t>中原环保</t>
  </si>
  <si>
    <t>福鞍股份</t>
  </si>
  <si>
    <t>德创环保</t>
  </si>
  <si>
    <t>远达环保</t>
  </si>
  <si>
    <t>同兴科技</t>
  </si>
  <si>
    <t>凯美特气</t>
  </si>
  <si>
    <t>福龙马</t>
  </si>
  <si>
    <t>盛剑科技</t>
  </si>
  <si>
    <t>景津装备</t>
  </si>
  <si>
    <t>宇通重工</t>
  </si>
  <si>
    <t>菲达环保</t>
  </si>
  <si>
    <t>龙净环保</t>
  </si>
  <si>
    <t>严牌股份</t>
  </si>
  <si>
    <t>仕净科技</t>
  </si>
  <si>
    <t>久吾高科</t>
  </si>
  <si>
    <t>津膜科技</t>
  </si>
  <si>
    <t>华宏科技</t>
  </si>
  <si>
    <t>恒大高新</t>
  </si>
  <si>
    <t>盈峰环境</t>
  </si>
  <si>
    <t>创元科技</t>
  </si>
  <si>
    <t>海天股份</t>
  </si>
  <si>
    <t>联合水务</t>
  </si>
  <si>
    <t>绿城水务</t>
  </si>
  <si>
    <t>江南水务</t>
  </si>
  <si>
    <t>重庆水务</t>
  </si>
  <si>
    <t>祥龙电业</t>
  </si>
  <si>
    <t>洪城环境</t>
  </si>
  <si>
    <t>钱江水利</t>
  </si>
  <si>
    <t>首创环保</t>
  </si>
  <si>
    <t>顺控发展</t>
  </si>
  <si>
    <t>中山公用</t>
  </si>
  <si>
    <t>渤海股份</t>
  </si>
  <si>
    <t>兴蓉环境</t>
  </si>
  <si>
    <t>蓝天燃气</t>
  </si>
  <si>
    <t>洪通燃气</t>
  </si>
  <si>
    <t>九丰能源</t>
  </si>
  <si>
    <t>东方环宇</t>
  </si>
  <si>
    <t>皖天然气</t>
  </si>
  <si>
    <t>新天然气</t>
  </si>
  <si>
    <t>水发燃气</t>
  </si>
  <si>
    <t>新疆火炬</t>
  </si>
  <si>
    <t>成都燃气</t>
  </si>
  <si>
    <t>深圳燃气</t>
  </si>
  <si>
    <t>新奥股份</t>
  </si>
  <si>
    <t>百川能源</t>
  </si>
  <si>
    <t>大众公用</t>
  </si>
  <si>
    <t>国新能源</t>
  </si>
  <si>
    <t>中泰股份</t>
  </si>
  <si>
    <t>天壕能源</t>
  </si>
  <si>
    <t>佛燃能源</t>
  </si>
  <si>
    <t>陕天然气</t>
  </si>
  <si>
    <t>升达林业</t>
  </si>
  <si>
    <t>美能能源</t>
  </si>
  <si>
    <t>德龙汇能</t>
  </si>
  <si>
    <t>南京公用</t>
  </si>
  <si>
    <t>胜利股份</t>
  </si>
  <si>
    <t>九洲集团</t>
  </si>
  <si>
    <t>南网能源</t>
  </si>
  <si>
    <t>长青集团</t>
  </si>
  <si>
    <t>协鑫能科</t>
  </si>
  <si>
    <t>中国核电</t>
  </si>
  <si>
    <t>中国广核</t>
  </si>
  <si>
    <t>芯能科技</t>
  </si>
  <si>
    <t>林洋能源</t>
  </si>
  <si>
    <t>金开新能</t>
  </si>
  <si>
    <t>浙江新能</t>
  </si>
  <si>
    <t>珈伟新能</t>
  </si>
  <si>
    <t>兆新股份</t>
  </si>
  <si>
    <t>太阳能</t>
  </si>
  <si>
    <t>江苏新能</t>
  </si>
  <si>
    <t>嘉泽新能</t>
  </si>
  <si>
    <t>节能风电</t>
  </si>
  <si>
    <t>三峡能源</t>
  </si>
  <si>
    <t>中闽能源</t>
  </si>
  <si>
    <t>龙源电力</t>
  </si>
  <si>
    <t>博菲电气</t>
  </si>
  <si>
    <t>银星能源</t>
  </si>
  <si>
    <t>中绿电</t>
  </si>
  <si>
    <t>川能动力</t>
  </si>
  <si>
    <t>南网储能</t>
  </si>
  <si>
    <t>广安爱众</t>
  </si>
  <si>
    <t>郴电国际</t>
  </si>
  <si>
    <t>长江电力</t>
  </si>
  <si>
    <t>国投电力</t>
  </si>
  <si>
    <t>川投能源</t>
  </si>
  <si>
    <t>西昌电力</t>
  </si>
  <si>
    <t>涪陵电力</t>
  </si>
  <si>
    <t>桂冠电力</t>
  </si>
  <si>
    <t>明星电力</t>
  </si>
  <si>
    <t>华能水电</t>
  </si>
  <si>
    <t>黔源电力</t>
  </si>
  <si>
    <t>闽东电力</t>
  </si>
  <si>
    <t>湖北能源</t>
  </si>
  <si>
    <t>甘肃能源</t>
  </si>
  <si>
    <t>湖南发展</t>
  </si>
  <si>
    <t>韶能股份</t>
  </si>
  <si>
    <t>长久物流</t>
  </si>
  <si>
    <t>恒通股份</t>
  </si>
  <si>
    <t>胜通能源</t>
  </si>
  <si>
    <t>密尔克卫</t>
  </si>
  <si>
    <t>音飞储存</t>
  </si>
  <si>
    <t>保税科技</t>
  </si>
  <si>
    <t>中储股份</t>
  </si>
  <si>
    <t>宏川智慧</t>
  </si>
  <si>
    <t>恒基达鑫</t>
  </si>
  <si>
    <t>中创物流</t>
  </si>
  <si>
    <t>嘉友国际</t>
  </si>
  <si>
    <t>嘉诚国际</t>
  </si>
  <si>
    <t>华贸物流</t>
  </si>
  <si>
    <t>万林物流</t>
  </si>
  <si>
    <t>中国外运</t>
  </si>
  <si>
    <t>东航物流</t>
  </si>
  <si>
    <t>国货航</t>
  </si>
  <si>
    <t>圆通速递</t>
  </si>
  <si>
    <t>申通快递</t>
  </si>
  <si>
    <t>顺丰控股</t>
  </si>
  <si>
    <t>韵达股份</t>
  </si>
  <si>
    <t>福然德</t>
  </si>
  <si>
    <t>上海雅仕</t>
  </si>
  <si>
    <t>厦门国贸</t>
  </si>
  <si>
    <t>物产中大</t>
  </si>
  <si>
    <t>瑞茂通</t>
  </si>
  <si>
    <t>建发股份</t>
  </si>
  <si>
    <t>厦门象屿</t>
  </si>
  <si>
    <t>海晨股份</t>
  </si>
  <si>
    <t>飞力达</t>
  </si>
  <si>
    <t>新宁物流</t>
  </si>
  <si>
    <t>东方嘉盛</t>
  </si>
  <si>
    <t>天顺股份</t>
  </si>
  <si>
    <t>普路通</t>
  </si>
  <si>
    <t>怡 亚 通</t>
  </si>
  <si>
    <t>传化智联</t>
  </si>
  <si>
    <t>永泰运</t>
  </si>
  <si>
    <t>炬申股份</t>
  </si>
  <si>
    <t>中国铁物</t>
  </si>
  <si>
    <t>浙商中拓</t>
  </si>
  <si>
    <t>中谷物流</t>
  </si>
  <si>
    <t>兴通股份</t>
  </si>
  <si>
    <t>渤海轮渡</t>
  </si>
  <si>
    <t>海通发展</t>
  </si>
  <si>
    <t>招商南油</t>
  </si>
  <si>
    <t>中远海控</t>
  </si>
  <si>
    <t>招商轮船</t>
  </si>
  <si>
    <t>中远海发</t>
  </si>
  <si>
    <t>锦江航运</t>
  </si>
  <si>
    <t>宁波远洋</t>
  </si>
  <si>
    <t>海航科技</t>
  </si>
  <si>
    <t>中远海特</t>
  </si>
  <si>
    <t>安通控股</t>
  </si>
  <si>
    <t>中远海能</t>
  </si>
  <si>
    <t>海峡股份</t>
  </si>
  <si>
    <t>盛航股份</t>
  </si>
  <si>
    <t>辽港股份</t>
  </si>
  <si>
    <t>秦港股份</t>
  </si>
  <si>
    <t>青岛港</t>
  </si>
  <si>
    <t>广州港</t>
  </si>
  <si>
    <t>宁波港</t>
  </si>
  <si>
    <t>连云港</t>
  </si>
  <si>
    <t>唐山港</t>
  </si>
  <si>
    <t>天津港</t>
  </si>
  <si>
    <t>上港集团</t>
  </si>
  <si>
    <t>日照港</t>
  </si>
  <si>
    <t>南 京 港</t>
  </si>
  <si>
    <t>招商港口</t>
  </si>
  <si>
    <t>厦门港务</t>
  </si>
  <si>
    <t>北部湾港</t>
  </si>
  <si>
    <t>珠海港</t>
  </si>
  <si>
    <t>盐 田 港</t>
  </si>
  <si>
    <t>厦门空港</t>
  </si>
  <si>
    <t>海南机场</t>
  </si>
  <si>
    <t>上海机场</t>
  </si>
  <si>
    <t>白云机场</t>
  </si>
  <si>
    <t>深圳机场</t>
  </si>
  <si>
    <t>吉祥航空</t>
  </si>
  <si>
    <t>春秋航空</t>
  </si>
  <si>
    <t>海航控股</t>
  </si>
  <si>
    <t>华夏航空</t>
  </si>
  <si>
    <t>中信海直</t>
  </si>
  <si>
    <t>申通地铁</t>
  </si>
  <si>
    <t>锦江在线</t>
  </si>
  <si>
    <t>富临运业</t>
  </si>
  <si>
    <t>吉林高速</t>
  </si>
  <si>
    <t>龙江交通</t>
  </si>
  <si>
    <t>四川成渝</t>
  </si>
  <si>
    <t>深高速</t>
  </si>
  <si>
    <t>宁沪高速</t>
  </si>
  <si>
    <t>五洲交通</t>
  </si>
  <si>
    <t>山东高速</t>
  </si>
  <si>
    <t>赣粤高速</t>
  </si>
  <si>
    <t>重庆路桥</t>
  </si>
  <si>
    <t>楚天高速</t>
  </si>
  <si>
    <t>福建高速</t>
  </si>
  <si>
    <t>中原高速</t>
  </si>
  <si>
    <t>皖通高速</t>
  </si>
  <si>
    <t>招商公路</t>
  </si>
  <si>
    <t>现代投资</t>
  </si>
  <si>
    <t>东莞控股</t>
  </si>
  <si>
    <t>山西高速</t>
  </si>
  <si>
    <t>湖南投资</t>
  </si>
  <si>
    <t>粤高速Ａ</t>
  </si>
  <si>
    <t>京沪高铁</t>
  </si>
  <si>
    <t>广深铁路</t>
  </si>
  <si>
    <t>大秦铁路</t>
  </si>
  <si>
    <t>铁龙物流</t>
  </si>
  <si>
    <t>中铁特货</t>
  </si>
  <si>
    <t>西部创业</t>
  </si>
  <si>
    <t>中安科</t>
  </si>
  <si>
    <t>中机认检</t>
  </si>
  <si>
    <t>国缆检测</t>
  </si>
  <si>
    <t>联检科技</t>
  </si>
  <si>
    <t>信测标准</t>
  </si>
  <si>
    <t>钢研纳克</t>
  </si>
  <si>
    <t>苏试试验</t>
  </si>
  <si>
    <t>华测检测</t>
  </si>
  <si>
    <t>开普检测</t>
  </si>
  <si>
    <t>中国中免</t>
  </si>
  <si>
    <t>众信旅游</t>
  </si>
  <si>
    <t>三特索道</t>
  </si>
  <si>
    <t>岭南控股</t>
  </si>
  <si>
    <t>九华旅游</t>
  </si>
  <si>
    <t>天目湖</t>
  </si>
  <si>
    <t>长白山</t>
  </si>
  <si>
    <t>祥源文旅</t>
  </si>
  <si>
    <t>黄山旅游</t>
  </si>
  <si>
    <t>宋城演艺</t>
  </si>
  <si>
    <t>三峡旅游</t>
  </si>
  <si>
    <t>丽江股份</t>
  </si>
  <si>
    <t>峨眉山Ａ</t>
  </si>
  <si>
    <t>天府文旅</t>
  </si>
  <si>
    <t>同庆楼</t>
  </si>
  <si>
    <t>全 聚 德</t>
  </si>
  <si>
    <t>金陵饭店</t>
  </si>
  <si>
    <t>锦江酒店</t>
  </si>
  <si>
    <t>首旅酒店</t>
  </si>
  <si>
    <t>君亭酒店</t>
  </si>
  <si>
    <t>力盛体育</t>
  </si>
  <si>
    <t>南都物业</t>
  </si>
  <si>
    <t>特发服务</t>
  </si>
  <si>
    <t>新大正</t>
  </si>
  <si>
    <t>中天服务</t>
  </si>
  <si>
    <t>招商积余</t>
  </si>
  <si>
    <t>深物业A</t>
  </si>
  <si>
    <t>中新集团</t>
  </si>
  <si>
    <t>张江高科</t>
  </si>
  <si>
    <t>上海临港</t>
  </si>
  <si>
    <t>外高桥</t>
  </si>
  <si>
    <t>浦东金桥</t>
  </si>
  <si>
    <t>空港股份</t>
  </si>
  <si>
    <t>南京高科</t>
  </si>
  <si>
    <t>陆家嘴</t>
  </si>
  <si>
    <t>中国国贸</t>
  </si>
  <si>
    <t>上海港湾</t>
  </si>
  <si>
    <t>罗曼股份</t>
  </si>
  <si>
    <t>亚翔集成</t>
  </si>
  <si>
    <t>圣晖集成</t>
  </si>
  <si>
    <t>中国中冶</t>
  </si>
  <si>
    <t>柏诚股份</t>
  </si>
  <si>
    <t>中铝国际</t>
  </si>
  <si>
    <t>经纬股份</t>
  </si>
  <si>
    <t>能辉科技</t>
  </si>
  <si>
    <t>志特新材</t>
  </si>
  <si>
    <t>永福股份</t>
  </si>
  <si>
    <t>大禹节水</t>
  </si>
  <si>
    <t>中岩大地</t>
  </si>
  <si>
    <t>中国海诚</t>
  </si>
  <si>
    <t>中材国际</t>
  </si>
  <si>
    <t>中工国际</t>
  </si>
  <si>
    <t>中钢国际</t>
  </si>
  <si>
    <t>北方国际</t>
  </si>
  <si>
    <t>利柏特</t>
  </si>
  <si>
    <t>镇海股份</t>
  </si>
  <si>
    <t>中国化学</t>
  </si>
  <si>
    <t>三联虹普</t>
  </si>
  <si>
    <t>东华科技</t>
  </si>
  <si>
    <t>大千生态</t>
  </si>
  <si>
    <t>诚邦股份</t>
  </si>
  <si>
    <t>金埔园林</t>
  </si>
  <si>
    <t>汇绿生态</t>
  </si>
  <si>
    <t>拉卡拉</t>
  </si>
  <si>
    <t>海德股份</t>
  </si>
  <si>
    <t>爱建集团</t>
  </si>
  <si>
    <t>五矿资本</t>
  </si>
  <si>
    <t>浙江东方</t>
  </si>
  <si>
    <t>中粮资本</t>
  </si>
  <si>
    <t>越秀资本</t>
  </si>
  <si>
    <t>电投产融</t>
  </si>
  <si>
    <t>中油资本</t>
  </si>
  <si>
    <t>海南华铁</t>
  </si>
  <si>
    <t>香溢融通</t>
  </si>
  <si>
    <t>渤海租赁</t>
  </si>
  <si>
    <t>南华期货</t>
  </si>
  <si>
    <t>瑞达期货</t>
  </si>
  <si>
    <t>弘业期货</t>
  </si>
  <si>
    <t>华金资本</t>
  </si>
  <si>
    <t>建元信托</t>
  </si>
  <si>
    <t>国网英大</t>
  </si>
  <si>
    <t>陕国投Ａ</t>
  </si>
  <si>
    <t>江苏金租</t>
  </si>
  <si>
    <t>新力金融</t>
  </si>
  <si>
    <t>中国人寿</t>
  </si>
  <si>
    <t>中国太保</t>
  </si>
  <si>
    <t>新华保险</t>
  </si>
  <si>
    <t>中国人保</t>
  </si>
  <si>
    <t>中国平安</t>
  </si>
  <si>
    <t>中金公司</t>
  </si>
  <si>
    <t>南京证券</t>
  </si>
  <si>
    <t>方正证券</t>
  </si>
  <si>
    <t>中国银河</t>
  </si>
  <si>
    <t>浙商证券</t>
  </si>
  <si>
    <t>光大证券</t>
  </si>
  <si>
    <t>中银证券</t>
  </si>
  <si>
    <t>华泰证券</t>
  </si>
  <si>
    <t>东吴证券</t>
  </si>
  <si>
    <t>国联民生</t>
  </si>
  <si>
    <t>兴业证券</t>
  </si>
  <si>
    <t>中原证券</t>
  </si>
  <si>
    <t>红塔证券</t>
  </si>
  <si>
    <t>国泰海通</t>
  </si>
  <si>
    <t>东兴证券</t>
  </si>
  <si>
    <t>天风证券</t>
  </si>
  <si>
    <t>首创证券</t>
  </si>
  <si>
    <t>财通证券</t>
  </si>
  <si>
    <t>太平洋</t>
  </si>
  <si>
    <t>中信建投</t>
  </si>
  <si>
    <t>信达证券</t>
  </si>
  <si>
    <t>招商证券</t>
  </si>
  <si>
    <t>东方证券</t>
  </si>
  <si>
    <t>中泰证券</t>
  </si>
  <si>
    <t>华安证券</t>
  </si>
  <si>
    <t>财达证券</t>
  </si>
  <si>
    <t>哈投股份</t>
  </si>
  <si>
    <t>华鑫股份</t>
  </si>
  <si>
    <t>西南证券</t>
  </si>
  <si>
    <t>国金证券</t>
  </si>
  <si>
    <t>湘财股份</t>
  </si>
  <si>
    <t>国投资本</t>
  </si>
  <si>
    <t>中信证券</t>
  </si>
  <si>
    <t>东方财富</t>
  </si>
  <si>
    <t>华林证券</t>
  </si>
  <si>
    <t>长城证券</t>
  </si>
  <si>
    <t>华西证券</t>
  </si>
  <si>
    <t>第一创业</t>
  </si>
  <si>
    <t>国信证券</t>
  </si>
  <si>
    <t>西部证券</t>
  </si>
  <si>
    <t>国盛金控</t>
  </si>
  <si>
    <t>山西证券</t>
  </si>
  <si>
    <t>长江证券</t>
  </si>
  <si>
    <t>广发证券</t>
  </si>
  <si>
    <t>国海证券</t>
  </si>
  <si>
    <t>国元证券</t>
  </si>
  <si>
    <t>东北证券</t>
  </si>
  <si>
    <t>申万宏源</t>
  </si>
  <si>
    <t>中信银行</t>
  </si>
  <si>
    <t>浙商银行</t>
  </si>
  <si>
    <t>光大银行</t>
  </si>
  <si>
    <t>兴业银行</t>
  </si>
  <si>
    <t>招商银行</t>
  </si>
  <si>
    <t>民生银行</t>
  </si>
  <si>
    <t>华夏银行</t>
  </si>
  <si>
    <t>浦发银行</t>
  </si>
  <si>
    <t>平安银行</t>
  </si>
  <si>
    <t>中国银行</t>
  </si>
  <si>
    <t>建设银行</t>
  </si>
  <si>
    <t>邮储银行</t>
  </si>
  <si>
    <t>工商银行</t>
  </si>
  <si>
    <t>交通银行</t>
  </si>
  <si>
    <t>农业银行</t>
  </si>
  <si>
    <t>江苏有线</t>
  </si>
  <si>
    <t>东方明珠</t>
  </si>
  <si>
    <t>歌华有线</t>
  </si>
  <si>
    <t>无线传媒</t>
  </si>
  <si>
    <t>海看股份</t>
  </si>
  <si>
    <t>新媒股份</t>
  </si>
  <si>
    <t>华数传媒</t>
  </si>
  <si>
    <t>中国科传</t>
  </si>
  <si>
    <t>读者传媒</t>
  </si>
  <si>
    <t>内蒙新华</t>
  </si>
  <si>
    <t>新经典</t>
  </si>
  <si>
    <t>出版传媒</t>
  </si>
  <si>
    <t>浙版传媒</t>
  </si>
  <si>
    <t>皖新传媒</t>
  </si>
  <si>
    <t>新华传媒</t>
  </si>
  <si>
    <t>时代出版</t>
  </si>
  <si>
    <t>中文传媒</t>
  </si>
  <si>
    <t>城市传媒</t>
  </si>
  <si>
    <t>荣信文化</t>
  </si>
  <si>
    <t>读客文化</t>
  </si>
  <si>
    <t>中信出版</t>
  </si>
  <si>
    <t>粤 传 媒</t>
  </si>
  <si>
    <t>中原传媒</t>
  </si>
  <si>
    <t>龙版传媒</t>
  </si>
  <si>
    <t>凤凰传媒</t>
  </si>
  <si>
    <t>南方传媒</t>
  </si>
  <si>
    <t>新华文轩</t>
  </si>
  <si>
    <t>中南传媒</t>
  </si>
  <si>
    <t>山东出版</t>
  </si>
  <si>
    <t>长江传媒</t>
  </si>
  <si>
    <t>世纪天鸿</t>
  </si>
  <si>
    <t>天舟文化</t>
  </si>
  <si>
    <t>风语筑</t>
  </si>
  <si>
    <t>新华网</t>
  </si>
  <si>
    <t>川网传媒</t>
  </si>
  <si>
    <t>平治信息</t>
  </si>
  <si>
    <t>视觉中国</t>
  </si>
  <si>
    <t>国脉文化</t>
  </si>
  <si>
    <t>芒果超媒</t>
  </si>
  <si>
    <t>横店影视</t>
  </si>
  <si>
    <t>上海电影</t>
  </si>
  <si>
    <t>文投控股</t>
  </si>
  <si>
    <t>幸福蓝海</t>
  </si>
  <si>
    <t>金逸影视</t>
  </si>
  <si>
    <t>万达电影</t>
  </si>
  <si>
    <t>光线传媒</t>
  </si>
  <si>
    <t>捷成股份</t>
  </si>
  <si>
    <t>华策影视</t>
  </si>
  <si>
    <t>华谊兄弟</t>
  </si>
  <si>
    <t>奥飞娱乐</t>
  </si>
  <si>
    <t>兆讯传媒</t>
  </si>
  <si>
    <t>电声股份</t>
  </si>
  <si>
    <t>因赛集团</t>
  </si>
  <si>
    <t>旗天科技</t>
  </si>
  <si>
    <t>元隆雅图</t>
  </si>
  <si>
    <t>分众传媒</t>
  </si>
  <si>
    <t>电广传媒</t>
  </si>
  <si>
    <t>三人行</t>
  </si>
  <si>
    <t>引力传媒</t>
  </si>
  <si>
    <t>浙文互联</t>
  </si>
  <si>
    <t>天下秀</t>
  </si>
  <si>
    <t>蜂助手</t>
  </si>
  <si>
    <t>易点天下</t>
  </si>
  <si>
    <t>天龙集团</t>
  </si>
  <si>
    <t>蓝色光标</t>
  </si>
  <si>
    <t>省广集团</t>
  </si>
  <si>
    <t>天娱数科</t>
  </si>
  <si>
    <t>利欧股份</t>
  </si>
  <si>
    <t>三维通信</t>
  </si>
  <si>
    <t>智度股份</t>
  </si>
  <si>
    <t>吉比特</t>
  </si>
  <si>
    <t>电魂网络</t>
  </si>
  <si>
    <t>浙数文化</t>
  </si>
  <si>
    <t>冰川网络</t>
  </si>
  <si>
    <t>盛天网络</t>
  </si>
  <si>
    <t>迅游科技</t>
  </si>
  <si>
    <t>汤姆猫</t>
  </si>
  <si>
    <t>掌趣科技</t>
  </si>
  <si>
    <t>富春股份</t>
  </si>
  <si>
    <t>顺网科技</t>
  </si>
  <si>
    <t>宝通科技</t>
  </si>
  <si>
    <t>神州泰岳</t>
  </si>
  <si>
    <t>名臣健康</t>
  </si>
  <si>
    <t>完美世界</t>
  </si>
  <si>
    <t>姚记科技</t>
  </si>
  <si>
    <t>巨人网络</t>
  </si>
  <si>
    <t>三七互娱</t>
  </si>
  <si>
    <t>恺英网络</t>
  </si>
  <si>
    <t>游族网络</t>
  </si>
  <si>
    <t>岩山科技</t>
  </si>
  <si>
    <t>国联股份</t>
  </si>
  <si>
    <t>上海钢联</t>
  </si>
  <si>
    <t>生 意 宝</t>
  </si>
  <si>
    <t>卓创资讯</t>
  </si>
  <si>
    <t>新炬网络</t>
  </si>
  <si>
    <t>电科数字</t>
  </si>
  <si>
    <t>华胜天成</t>
  </si>
  <si>
    <t>亚康股份</t>
  </si>
  <si>
    <t>天阳科技</t>
  </si>
  <si>
    <t>赛意信息</t>
  </si>
  <si>
    <t>神州数码</t>
  </si>
  <si>
    <t>法本信息</t>
  </si>
  <si>
    <t>广联达</t>
  </si>
  <si>
    <t>拓维信息</t>
  </si>
  <si>
    <t>石基信息</t>
  </si>
  <si>
    <t>汉得信息</t>
  </si>
  <si>
    <t>城地香江</t>
  </si>
  <si>
    <t>数据港</t>
  </si>
  <si>
    <t>云赛智联</t>
  </si>
  <si>
    <t>大位科技</t>
  </si>
  <si>
    <t>国网信通</t>
  </si>
  <si>
    <t>奥飞数据</t>
  </si>
  <si>
    <t>润泽科技</t>
  </si>
  <si>
    <t>光环新网</t>
  </si>
  <si>
    <t>网宿科技</t>
  </si>
  <si>
    <t>麦迪科技</t>
  </si>
  <si>
    <t>能科科技</t>
  </si>
  <si>
    <t>多伦科技</t>
  </si>
  <si>
    <t>顶点软件</t>
  </si>
  <si>
    <t>网达软件</t>
  </si>
  <si>
    <t>税友股份</t>
  </si>
  <si>
    <t>大智慧</t>
  </si>
  <si>
    <t>宝信软件</t>
  </si>
  <si>
    <t>佳都科技</t>
  </si>
  <si>
    <t>恒生电子</t>
  </si>
  <si>
    <t>湘邮科技</t>
  </si>
  <si>
    <t>托普云农</t>
  </si>
  <si>
    <t>宏景科技</t>
  </si>
  <si>
    <t>威士顿</t>
  </si>
  <si>
    <t>汉仪股份</t>
  </si>
  <si>
    <t>杰创智能</t>
  </si>
  <si>
    <t>中亦科技</t>
  </si>
  <si>
    <t>工大科雅</t>
  </si>
  <si>
    <t>北路智控</t>
  </si>
  <si>
    <t>鸥玛软件</t>
  </si>
  <si>
    <t>天亿马</t>
  </si>
  <si>
    <t>君逸数码</t>
  </si>
  <si>
    <t>国能日新</t>
  </si>
  <si>
    <t>指南针</t>
  </si>
  <si>
    <t>中科信息</t>
  </si>
  <si>
    <t>宇信科技</t>
  </si>
  <si>
    <t>彩讯股份</t>
  </si>
  <si>
    <t>先进数通</t>
  </si>
  <si>
    <t>今天国际</t>
  </si>
  <si>
    <t>维宏股份</t>
  </si>
  <si>
    <t>中科创达</t>
  </si>
  <si>
    <t>四方精创</t>
  </si>
  <si>
    <t>天利科技</t>
  </si>
  <si>
    <t>恒华科技</t>
  </si>
  <si>
    <t>润和软件</t>
  </si>
  <si>
    <t>朗玛信息</t>
  </si>
  <si>
    <t>佳创视讯</t>
  </si>
  <si>
    <t>卫宁健康</t>
  </si>
  <si>
    <t>初灵信息</t>
  </si>
  <si>
    <t>方直科技</t>
  </si>
  <si>
    <t>银信科技</t>
  </si>
  <si>
    <t>世纪瑞尔</t>
  </si>
  <si>
    <t>数字政通</t>
  </si>
  <si>
    <t>天源迪科</t>
  </si>
  <si>
    <t>同花顺</t>
  </si>
  <si>
    <t>盛视科技</t>
  </si>
  <si>
    <t>京北方</t>
  </si>
  <si>
    <t>德生科技</t>
  </si>
  <si>
    <t>久远银海</t>
  </si>
  <si>
    <t>博彦科技</t>
  </si>
  <si>
    <t>荣联科技</t>
  </si>
  <si>
    <t>捷顺科技</t>
  </si>
  <si>
    <t>中远海科</t>
  </si>
  <si>
    <t>科远智慧</t>
  </si>
  <si>
    <t>千方科技</t>
  </si>
  <si>
    <t>太极股份</t>
  </si>
  <si>
    <t>理工能科</t>
  </si>
  <si>
    <t>东华软件</t>
  </si>
  <si>
    <t>远光软件</t>
  </si>
  <si>
    <t>云鼎科技</t>
  </si>
  <si>
    <t>泛微网络</t>
  </si>
  <si>
    <t>迪普科技</t>
  </si>
  <si>
    <t>恒银科技</t>
  </si>
  <si>
    <t>中科曙光</t>
  </si>
  <si>
    <t>诺瓦星云</t>
  </si>
  <si>
    <t>智迪科技</t>
  </si>
  <si>
    <t>卡莱特</t>
  </si>
  <si>
    <t>通行宝</t>
  </si>
  <si>
    <t>创识科技</t>
  </si>
  <si>
    <t>智莱科技</t>
  </si>
  <si>
    <t>天地数码</t>
  </si>
  <si>
    <t>优博讯</t>
  </si>
  <si>
    <t>航天智装</t>
  </si>
  <si>
    <t>飞天诚信</t>
  </si>
  <si>
    <t>依米康</t>
  </si>
  <si>
    <t>新国都</t>
  </si>
  <si>
    <t>锐明技术</t>
  </si>
  <si>
    <t>雷柏科技</t>
  </si>
  <si>
    <t>新北洋</t>
  </si>
  <si>
    <t>纳思达</t>
  </si>
  <si>
    <t>广电运通</t>
  </si>
  <si>
    <t>智微智能</t>
  </si>
  <si>
    <t>魅视科技</t>
  </si>
  <si>
    <t>新 大 陆</t>
  </si>
  <si>
    <t>浪潮信息</t>
  </si>
  <si>
    <t>紫光股份</t>
  </si>
  <si>
    <t>思维列控</t>
  </si>
  <si>
    <t>熵基科技</t>
  </si>
  <si>
    <t>维海德</t>
  </si>
  <si>
    <t>安联锐视</t>
  </si>
  <si>
    <t>同为股份</t>
  </si>
  <si>
    <t>海康威视</t>
  </si>
  <si>
    <t>大华股份</t>
  </si>
  <si>
    <t>超讯通信</t>
  </si>
  <si>
    <t>元道通信</t>
  </si>
  <si>
    <t>中富通</t>
  </si>
  <si>
    <t>世纪鼎利</t>
  </si>
  <si>
    <t>纵横通信</t>
  </si>
  <si>
    <t>中贝通信</t>
  </si>
  <si>
    <t>嘉环科技</t>
  </si>
  <si>
    <t>润建股份</t>
  </si>
  <si>
    <t>世纪恒通</t>
  </si>
  <si>
    <t>挖金客</t>
  </si>
  <si>
    <t>线上线下</t>
  </si>
  <si>
    <t>南凌科技</t>
  </si>
  <si>
    <t>会畅通讯</t>
  </si>
  <si>
    <t>吴通控股</t>
  </si>
  <si>
    <t>二六三</t>
  </si>
  <si>
    <t>梦网科技</t>
  </si>
  <si>
    <t>中国电信</t>
  </si>
  <si>
    <t>中国移动</t>
  </si>
  <si>
    <t>中国联通</t>
  </si>
  <si>
    <t>阿莱德</t>
  </si>
  <si>
    <t>广哈通信</t>
  </si>
  <si>
    <t>华测导航</t>
  </si>
  <si>
    <t>中光防雷</t>
  </si>
  <si>
    <t>东软载波</t>
  </si>
  <si>
    <t>数码视讯</t>
  </si>
  <si>
    <t>海能达</t>
  </si>
  <si>
    <t>合众思壮</t>
  </si>
  <si>
    <t>辉煌科技</t>
  </si>
  <si>
    <t>龙旗科技</t>
  </si>
  <si>
    <t>移远通信</t>
  </si>
  <si>
    <t>共进股份</t>
  </si>
  <si>
    <t>剑桥科技</t>
  </si>
  <si>
    <t>博实结</t>
  </si>
  <si>
    <t>慧翰股份</t>
  </si>
  <si>
    <t>澄天伟业</t>
  </si>
  <si>
    <t>广和通</t>
  </si>
  <si>
    <t>亿联网络</t>
  </si>
  <si>
    <t>移为通信</t>
  </si>
  <si>
    <t>楚天龙</t>
  </si>
  <si>
    <t>恒宝股份</t>
  </si>
  <si>
    <t>东信和平</t>
  </si>
  <si>
    <t>烽火通信</t>
  </si>
  <si>
    <t>星网锐捷</t>
  </si>
  <si>
    <t>中兴通讯</t>
  </si>
  <si>
    <t>联特科技</t>
  </si>
  <si>
    <t>菲菱科思</t>
  </si>
  <si>
    <t>锐捷网络</t>
  </si>
  <si>
    <t>万马科技</t>
  </si>
  <si>
    <t>光库科技</t>
  </si>
  <si>
    <t>太辰光</t>
  </si>
  <si>
    <t>新易盛</t>
  </si>
  <si>
    <t>天孚通信</t>
  </si>
  <si>
    <t>中际旭创</t>
  </si>
  <si>
    <t>意华股份</t>
  </si>
  <si>
    <t>通宇通讯</t>
  </si>
  <si>
    <t>光迅科技</t>
  </si>
  <si>
    <t>武汉凡谷</t>
  </si>
  <si>
    <t>长飞光纤</t>
  </si>
  <si>
    <t>中天科技</t>
  </si>
  <si>
    <t>亨通光电</t>
  </si>
  <si>
    <t>永鼎股份</t>
  </si>
  <si>
    <t>兆龙互连</t>
  </si>
  <si>
    <t>神宇股份</t>
  </si>
  <si>
    <t>通鼎互联</t>
  </si>
  <si>
    <t>汇源通信</t>
  </si>
  <si>
    <t>睿能科技</t>
  </si>
  <si>
    <t>联创光电</t>
  </si>
  <si>
    <t>旭光电子</t>
  </si>
  <si>
    <t>辰奕智能</t>
  </si>
  <si>
    <t>美信科技</t>
  </si>
  <si>
    <t>国科天成</t>
  </si>
  <si>
    <t>东南电子</t>
  </si>
  <si>
    <t>维峰电子</t>
  </si>
  <si>
    <t>唯特偶</t>
  </si>
  <si>
    <t>科瑞思</t>
  </si>
  <si>
    <t>汉朔科技</t>
  </si>
  <si>
    <t>瑞德智能</t>
  </si>
  <si>
    <t>雅创电子</t>
  </si>
  <si>
    <t>商络电子</t>
  </si>
  <si>
    <t>朗特智能</t>
  </si>
  <si>
    <t>贝仕达克</t>
  </si>
  <si>
    <t>中石科技</t>
  </si>
  <si>
    <t>民德电子</t>
  </si>
  <si>
    <t>太龙股份</t>
  </si>
  <si>
    <t>朗科智能</t>
  </si>
  <si>
    <t>润欣科技</t>
  </si>
  <si>
    <t>香农芯创</t>
  </si>
  <si>
    <t>力源信息</t>
  </si>
  <si>
    <t>英唐智控</t>
  </si>
  <si>
    <t>中瓷电子</t>
  </si>
  <si>
    <t>振邦智能</t>
  </si>
  <si>
    <t>京泉华</t>
  </si>
  <si>
    <t>好利科技</t>
  </si>
  <si>
    <t>和而泰</t>
  </si>
  <si>
    <t>拓邦股份</t>
  </si>
  <si>
    <t>沃尔核材</t>
  </si>
  <si>
    <t>好上好</t>
  </si>
  <si>
    <t>中电港</t>
  </si>
  <si>
    <t>深圳华强</t>
  </si>
  <si>
    <t>艾华集团</t>
  </si>
  <si>
    <t>泰晶科技</t>
  </si>
  <si>
    <t>法拉电子</t>
  </si>
  <si>
    <t>铜峰电子</t>
  </si>
  <si>
    <t>达利凯普</t>
  </si>
  <si>
    <t>钧崴电子</t>
  </si>
  <si>
    <t>三环集团</t>
  </si>
  <si>
    <t>麦捷科技</t>
  </si>
  <si>
    <t>洁美科技</t>
  </si>
  <si>
    <t>江海股份</t>
  </si>
  <si>
    <t>顺络电子</t>
  </si>
  <si>
    <t>风华高科</t>
  </si>
  <si>
    <t>协和电子</t>
  </si>
  <si>
    <t>澳弘电子</t>
  </si>
  <si>
    <t>博敏电子</t>
  </si>
  <si>
    <t>世运电路</t>
  </si>
  <si>
    <t>骏亚科技</t>
  </si>
  <si>
    <t>依顿电子</t>
  </si>
  <si>
    <t>景旺电子</t>
  </si>
  <si>
    <t>华正新材</t>
  </si>
  <si>
    <t>方正科技</t>
  </si>
  <si>
    <t>生益科技</t>
  </si>
  <si>
    <t>强达电路</t>
  </si>
  <si>
    <t>金禄电子</t>
  </si>
  <si>
    <t>威尔高</t>
  </si>
  <si>
    <t>满坤科技</t>
  </si>
  <si>
    <t>本川智能</t>
  </si>
  <si>
    <t>四会富仕</t>
  </si>
  <si>
    <t>中富电路</t>
  </si>
  <si>
    <t>明阳电路</t>
  </si>
  <si>
    <t>弘信电子</t>
  </si>
  <si>
    <t>胜宏科技</t>
  </si>
  <si>
    <t>鹏鼎控股</t>
  </si>
  <si>
    <t>深南电路</t>
  </si>
  <si>
    <t>奥士康</t>
  </si>
  <si>
    <t>崇达技术</t>
  </si>
  <si>
    <t>金安国纪</t>
  </si>
  <si>
    <t>宝鼎科技</t>
  </si>
  <si>
    <t>沪电股份</t>
  </si>
  <si>
    <t>东山精密</t>
  </si>
  <si>
    <t>广合科技</t>
  </si>
  <si>
    <t>超声电子</t>
  </si>
  <si>
    <t>立达信</t>
  </si>
  <si>
    <t>伟时电子</t>
  </si>
  <si>
    <t>欧普照明</t>
  </si>
  <si>
    <t>得邦照明</t>
  </si>
  <si>
    <t>三安光电</t>
  </si>
  <si>
    <t>飞乐音响</t>
  </si>
  <si>
    <t>阳光照明</t>
  </si>
  <si>
    <t>民爆光电</t>
  </si>
  <si>
    <t>南极光</t>
  </si>
  <si>
    <t>隆利科技</t>
  </si>
  <si>
    <t>聚灿光电</t>
  </si>
  <si>
    <t>光莆股份</t>
  </si>
  <si>
    <t>英飞特</t>
  </si>
  <si>
    <t>艾比森</t>
  </si>
  <si>
    <t>聚飞光电</t>
  </si>
  <si>
    <t>利亚德</t>
  </si>
  <si>
    <t>瑞丰光电</t>
  </si>
  <si>
    <t>洲明科技</t>
  </si>
  <si>
    <t>鸿利智汇</t>
  </si>
  <si>
    <t>雷曼光电</t>
  </si>
  <si>
    <t>乾照光电</t>
  </si>
  <si>
    <t>芯瑞达</t>
  </si>
  <si>
    <t>木林森</t>
  </si>
  <si>
    <t>海洋王</t>
  </si>
  <si>
    <t>奥拓电子</t>
  </si>
  <si>
    <t>国星光电</t>
  </si>
  <si>
    <t>实益达</t>
  </si>
  <si>
    <t>联域股份</t>
  </si>
  <si>
    <t>佛山照明</t>
  </si>
  <si>
    <t>力鼎光电</t>
  </si>
  <si>
    <t>凤凰光学</t>
  </si>
  <si>
    <t>弘景光电</t>
  </si>
  <si>
    <t>波长光电</t>
  </si>
  <si>
    <t>东田微</t>
  </si>
  <si>
    <t>天禄科技</t>
  </si>
  <si>
    <t>汇创达</t>
  </si>
  <si>
    <t>宇瞳光学</t>
  </si>
  <si>
    <t>森霸传感</t>
  </si>
  <si>
    <t>激智科技</t>
  </si>
  <si>
    <t>苏大维格</t>
  </si>
  <si>
    <t>长信科技</t>
  </si>
  <si>
    <t>日久光电</t>
  </si>
  <si>
    <t>五方光电</t>
  </si>
  <si>
    <t>三利谱</t>
  </si>
  <si>
    <t>水晶光电</t>
  </si>
  <si>
    <t>福晶科技</t>
  </si>
  <si>
    <t>莱宝高科</t>
  </si>
  <si>
    <t>深纺织Ａ</t>
  </si>
  <si>
    <t>盛洋科技</t>
  </si>
  <si>
    <t>彩虹股份</t>
  </si>
  <si>
    <t>凯盛科技</t>
  </si>
  <si>
    <t>天山电子</t>
  </si>
  <si>
    <t>骏成科技</t>
  </si>
  <si>
    <t>秋田微</t>
  </si>
  <si>
    <t>经纬辉开</t>
  </si>
  <si>
    <t>宸展光电</t>
  </si>
  <si>
    <t>亚世光电</t>
  </si>
  <si>
    <t>蓝黛科技</t>
  </si>
  <si>
    <t>京东方Ａ</t>
  </si>
  <si>
    <t>华塑控股</t>
  </si>
  <si>
    <t>TCL科技</t>
  </si>
  <si>
    <t>深天马Ａ</t>
  </si>
  <si>
    <t>深华发Ａ</t>
  </si>
  <si>
    <t>绿联科技</t>
  </si>
  <si>
    <t>安克创新</t>
  </si>
  <si>
    <t>鸿合科技</t>
  </si>
  <si>
    <t>视源股份</t>
  </si>
  <si>
    <t>康冠科技</t>
  </si>
  <si>
    <t>春秋电子</t>
  </si>
  <si>
    <t>利通电子</t>
  </si>
  <si>
    <t>东尼电子</t>
  </si>
  <si>
    <t>易德龙</t>
  </si>
  <si>
    <t>福蓉科技</t>
  </si>
  <si>
    <t>华勤技术</t>
  </si>
  <si>
    <t>可川科技</t>
  </si>
  <si>
    <t>环旭电子</t>
  </si>
  <si>
    <t>工业富联</t>
  </si>
  <si>
    <t>壹连科技</t>
  </si>
  <si>
    <t>苏州天脉</t>
  </si>
  <si>
    <t>贝隆精密</t>
  </si>
  <si>
    <t>思泉新材</t>
  </si>
  <si>
    <t>致尚科技</t>
  </si>
  <si>
    <t>隆扬电子</t>
  </si>
  <si>
    <t>光大同创</t>
  </si>
  <si>
    <t>天键股份</t>
  </si>
  <si>
    <t>信音电子</t>
  </si>
  <si>
    <t>珠城科技</t>
  </si>
  <si>
    <t>万祥科技</t>
  </si>
  <si>
    <t>鸿富瀚</t>
  </si>
  <si>
    <t>显盈科技</t>
  </si>
  <si>
    <t>创益通</t>
  </si>
  <si>
    <t>达瑞电子</t>
  </si>
  <si>
    <t>英力股份</t>
  </si>
  <si>
    <t>博硕科技</t>
  </si>
  <si>
    <t>协创数据</t>
  </si>
  <si>
    <t>胜蓝股份</t>
  </si>
  <si>
    <t>佳禾智能</t>
  </si>
  <si>
    <t>海能实业</t>
  </si>
  <si>
    <t>光弘科技</t>
  </si>
  <si>
    <t>电连技术</t>
  </si>
  <si>
    <t>飞荣达</t>
  </si>
  <si>
    <t>蓝思科技</t>
  </si>
  <si>
    <t>硕贝德</t>
  </si>
  <si>
    <t>和晶科技</t>
  </si>
  <si>
    <t>信维通信</t>
  </si>
  <si>
    <t>长盈精密</t>
  </si>
  <si>
    <t>金龙机电</t>
  </si>
  <si>
    <t>奥海科技</t>
  </si>
  <si>
    <t>朝阳科技</t>
  </si>
  <si>
    <t>恒铭达</t>
  </si>
  <si>
    <t>兴瑞科技</t>
  </si>
  <si>
    <t>盈趣科技</t>
  </si>
  <si>
    <t>惠威科技</t>
  </si>
  <si>
    <t>美格智能</t>
  </si>
  <si>
    <t>传艺科技</t>
  </si>
  <si>
    <t>可立克</t>
  </si>
  <si>
    <t>奋达科技</t>
  </si>
  <si>
    <t>共达电声</t>
  </si>
  <si>
    <t>安洁科技</t>
  </si>
  <si>
    <t>领益智造</t>
  </si>
  <si>
    <t>立讯精密</t>
  </si>
  <si>
    <t>漫步者</t>
  </si>
  <si>
    <t>歌尔股份</t>
  </si>
  <si>
    <t>得润电子</t>
  </si>
  <si>
    <t>国光电器</t>
  </si>
  <si>
    <t>深科技</t>
  </si>
  <si>
    <t>晶方科技</t>
  </si>
  <si>
    <t>太极实业</t>
  </si>
  <si>
    <t>长电科技</t>
  </si>
  <si>
    <t>通富微电</t>
  </si>
  <si>
    <t>大港股份</t>
  </si>
  <si>
    <t>新洁能</t>
  </si>
  <si>
    <t>斯达半导</t>
  </si>
  <si>
    <t>闻泰科技</t>
  </si>
  <si>
    <t>士兰微</t>
  </si>
  <si>
    <t>派瑞股份</t>
  </si>
  <si>
    <t>捷捷微电</t>
  </si>
  <si>
    <t>扬杰科技</t>
  </si>
  <si>
    <t>台基股份</t>
  </si>
  <si>
    <t>兆易创新</t>
  </si>
  <si>
    <t>瑞芯微</t>
  </si>
  <si>
    <t>盛景微</t>
  </si>
  <si>
    <t>汇顶科技</t>
  </si>
  <si>
    <t>博通集成</t>
  </si>
  <si>
    <t>电科芯片</t>
  </si>
  <si>
    <t>上海贝岭</t>
  </si>
  <si>
    <t>星宸科技</t>
  </si>
  <si>
    <t>华大九天</t>
  </si>
  <si>
    <t>国科微</t>
  </si>
  <si>
    <t>圣邦股份</t>
  </si>
  <si>
    <t>全志科技</t>
  </si>
  <si>
    <t>中颖电子</t>
  </si>
  <si>
    <t>北京君正</t>
  </si>
  <si>
    <t>紫光国微</t>
  </si>
  <si>
    <t>至纯科技</t>
  </si>
  <si>
    <t>金海通</t>
  </si>
  <si>
    <t>矽电股份</t>
  </si>
  <si>
    <t>富乐德</t>
  </si>
  <si>
    <t>长川科技</t>
  </si>
  <si>
    <t>华亚智能</t>
  </si>
  <si>
    <t>北方华创</t>
  </si>
  <si>
    <t>格林达</t>
  </si>
  <si>
    <t>江化微</t>
  </si>
  <si>
    <t>有研新材</t>
  </si>
  <si>
    <t>珂玛科技</t>
  </si>
  <si>
    <t>黄山谷捷</t>
  </si>
  <si>
    <t>江丰电子</t>
  </si>
  <si>
    <t>晶瑞电材</t>
  </si>
  <si>
    <t>容大感光</t>
  </si>
  <si>
    <t>广信材料</t>
  </si>
  <si>
    <t>飞凯材料</t>
  </si>
  <si>
    <t>南大光电</t>
  </si>
  <si>
    <t>上海新阳</t>
  </si>
  <si>
    <t>鼎龙股份</t>
  </si>
  <si>
    <t>中晶科技</t>
  </si>
  <si>
    <t>光华科技</t>
  </si>
  <si>
    <t>万润股份</t>
  </si>
  <si>
    <t>雅克科技</t>
  </si>
  <si>
    <t>康强电子</t>
  </si>
  <si>
    <t>健麾信息</t>
  </si>
  <si>
    <t>北自科技</t>
  </si>
  <si>
    <t>智立方</t>
  </si>
  <si>
    <t>锐科激光</t>
  </si>
  <si>
    <t>光智科技</t>
  </si>
  <si>
    <t>光韵达</t>
  </si>
  <si>
    <t>金运激光</t>
  </si>
  <si>
    <t>大族激光</t>
  </si>
  <si>
    <t>华工科技</t>
  </si>
  <si>
    <t>凯迪股份</t>
  </si>
  <si>
    <t>捷昌驱动</t>
  </si>
  <si>
    <t>信捷电气</t>
  </si>
  <si>
    <t>赛腾股份</t>
  </si>
  <si>
    <t>众辰科技</t>
  </si>
  <si>
    <t>大豪科技</t>
  </si>
  <si>
    <t>弘讯科技</t>
  </si>
  <si>
    <t>金自天正</t>
  </si>
  <si>
    <t>固高科技</t>
  </si>
  <si>
    <t>协昌科技</t>
  </si>
  <si>
    <t>豪江智能</t>
  </si>
  <si>
    <t>宏德股份</t>
  </si>
  <si>
    <t>矩子科技</t>
  </si>
  <si>
    <t>蓝海华腾</t>
  </si>
  <si>
    <t>诚益通</t>
  </si>
  <si>
    <t>华昌达</t>
  </si>
  <si>
    <t>汇川技术</t>
  </si>
  <si>
    <t>雷赛智能</t>
  </si>
  <si>
    <t>科瑞技术</t>
  </si>
  <si>
    <t>英威腾</t>
  </si>
  <si>
    <t>宏英智能</t>
  </si>
  <si>
    <t>亿嘉和</t>
  </si>
  <si>
    <t>迈赫股份</t>
  </si>
  <si>
    <t>拓斯达</t>
  </si>
  <si>
    <t>埃斯顿</t>
  </si>
  <si>
    <t>长龄液压</t>
  </si>
  <si>
    <t>艾迪精密</t>
  </si>
  <si>
    <t>恒立液压</t>
  </si>
  <si>
    <t>福事特</t>
  </si>
  <si>
    <t>金道科技</t>
  </si>
  <si>
    <t>唯万密封</t>
  </si>
  <si>
    <t>邵阳液压</t>
  </si>
  <si>
    <t>永达股份</t>
  </si>
  <si>
    <t>拓山重工</t>
  </si>
  <si>
    <t>中际联合</t>
  </si>
  <si>
    <t>浙江鼎力</t>
  </si>
  <si>
    <t>杭叉集团</t>
  </si>
  <si>
    <t>南方路机</t>
  </si>
  <si>
    <t>厦工股份</t>
  </si>
  <si>
    <t>安徽合力</t>
  </si>
  <si>
    <t>三一重工</t>
  </si>
  <si>
    <t>海伦哲</t>
  </si>
  <si>
    <t>山河智能</t>
  </si>
  <si>
    <t>山推股份</t>
  </si>
  <si>
    <t>柳 工</t>
  </si>
  <si>
    <t>徐工机械</t>
  </si>
  <si>
    <t>中联重科</t>
  </si>
  <si>
    <t>天永智能</t>
  </si>
  <si>
    <t>华荣股份</t>
  </si>
  <si>
    <t>泰禾智能</t>
  </si>
  <si>
    <t>诺力股份</t>
  </si>
  <si>
    <t>泰瑞机器</t>
  </si>
  <si>
    <t>亚光股份</t>
  </si>
  <si>
    <t>天元智能</t>
  </si>
  <si>
    <t>快克智能</t>
  </si>
  <si>
    <t>福斯达</t>
  </si>
  <si>
    <t>上海亚虹</t>
  </si>
  <si>
    <t>中重科技</t>
  </si>
  <si>
    <t>大丰实业</t>
  </si>
  <si>
    <t>乐惠国际</t>
  </si>
  <si>
    <t>合锻智能</t>
  </si>
  <si>
    <t>科达制造</t>
  </si>
  <si>
    <t>国机通用</t>
  </si>
  <si>
    <t>天通股份</t>
  </si>
  <si>
    <t>宏工科技</t>
  </si>
  <si>
    <t>惠通科技</t>
  </si>
  <si>
    <t>博科测试</t>
  </si>
  <si>
    <t>思泰克</t>
  </si>
  <si>
    <t>博盈特焊</t>
  </si>
  <si>
    <t>汇成真空</t>
  </si>
  <si>
    <t>凯格精机</t>
  </si>
  <si>
    <t>曼恩斯特</t>
  </si>
  <si>
    <t>大族数控</t>
  </si>
  <si>
    <t>唯科科技</t>
  </si>
  <si>
    <t>超达装备</t>
  </si>
  <si>
    <t>强瑞技术</t>
  </si>
  <si>
    <t>信邦智能</t>
  </si>
  <si>
    <t>百胜智能</t>
  </si>
  <si>
    <t>怡合达</t>
  </si>
  <si>
    <t>海泰科</t>
  </si>
  <si>
    <t>宁波方正</t>
  </si>
  <si>
    <t>德固特</t>
  </si>
  <si>
    <t>国安达</t>
  </si>
  <si>
    <t>佰奥智能</t>
  </si>
  <si>
    <t>浩洋股份</t>
  </si>
  <si>
    <t>易天股份</t>
  </si>
  <si>
    <t>优德精密</t>
  </si>
  <si>
    <t>联得装备</t>
  </si>
  <si>
    <t>高澜股份</t>
  </si>
  <si>
    <t>东杰智能</t>
  </si>
  <si>
    <t>厚普股份</t>
  </si>
  <si>
    <t>五洋自控</t>
  </si>
  <si>
    <t>伊之密</t>
  </si>
  <si>
    <t>劲拓股份</t>
  </si>
  <si>
    <t>金明精机</t>
  </si>
  <si>
    <t>三丰智能</t>
  </si>
  <si>
    <t>富瑞特装</t>
  </si>
  <si>
    <t>森远股份</t>
  </si>
  <si>
    <t>昌红科技</t>
  </si>
  <si>
    <t>瑞鹄模具</t>
  </si>
  <si>
    <t>英维克</t>
  </si>
  <si>
    <t>弘亚数控</t>
  </si>
  <si>
    <t>南兴股份</t>
  </si>
  <si>
    <t>博实股份</t>
  </si>
  <si>
    <t>美亚光电</t>
  </si>
  <si>
    <t>北玻股份</t>
  </si>
  <si>
    <t>豪迈科技</t>
  </si>
  <si>
    <t>天沃科技</t>
  </si>
  <si>
    <t>杭氧股份</t>
  </si>
  <si>
    <t>赛象科技</t>
  </si>
  <si>
    <t>软控股份</t>
  </si>
  <si>
    <t>天奇股份</t>
  </si>
  <si>
    <t>亚联机械</t>
  </si>
  <si>
    <t>运机集团</t>
  </si>
  <si>
    <t>和泰机电</t>
  </si>
  <si>
    <t>欧克科技</t>
  </si>
  <si>
    <t>天鹅股份</t>
  </si>
  <si>
    <t>一拖股份</t>
  </si>
  <si>
    <t>威马农机</t>
  </si>
  <si>
    <t>格力博</t>
  </si>
  <si>
    <t>大叶股份</t>
  </si>
  <si>
    <t>弘宇股份</t>
  </si>
  <si>
    <t>中坚科技</t>
  </si>
  <si>
    <t>杰克股份</t>
  </si>
  <si>
    <t>越剑智能</t>
  </si>
  <si>
    <t>远信工业</t>
  </si>
  <si>
    <t>慈星股份</t>
  </si>
  <si>
    <t>泰坦股份</t>
  </si>
  <si>
    <t>中捷资源</t>
  </si>
  <si>
    <t>精工科技</t>
  </si>
  <si>
    <t>永创智能</t>
  </si>
  <si>
    <t>华研精机</t>
  </si>
  <si>
    <t>鸿铭股份</t>
  </si>
  <si>
    <t>中亚股份</t>
  </si>
  <si>
    <t>新美星</t>
  </si>
  <si>
    <t>斯莱克</t>
  </si>
  <si>
    <t>长荣股份</t>
  </si>
  <si>
    <t>东方精工</t>
  </si>
  <si>
    <t>达 意 隆</t>
  </si>
  <si>
    <t>炜冈科技</t>
  </si>
  <si>
    <t>法兰泰克</t>
  </si>
  <si>
    <t>航天工程</t>
  </si>
  <si>
    <t>力聚热能</t>
  </si>
  <si>
    <t>博隆技术</t>
  </si>
  <si>
    <t>兰石重装</t>
  </si>
  <si>
    <t>如通股份</t>
  </si>
  <si>
    <t>创力集团</t>
  </si>
  <si>
    <t>蓝科高新</t>
  </si>
  <si>
    <t>中信重工</t>
  </si>
  <si>
    <t>国机重装</t>
  </si>
  <si>
    <t>北矿科技</t>
  </si>
  <si>
    <t>天地科技</t>
  </si>
  <si>
    <t>振华重工</t>
  </si>
  <si>
    <t>北方股份</t>
  </si>
  <si>
    <t>太原重工</t>
  </si>
  <si>
    <t>德石股份</t>
  </si>
  <si>
    <t>大宏立</t>
  </si>
  <si>
    <t>浙矿股份</t>
  </si>
  <si>
    <t>光力科技</t>
  </si>
  <si>
    <t>梅安森</t>
  </si>
  <si>
    <t>尤洛卡</t>
  </si>
  <si>
    <t>华伍股份</t>
  </si>
  <si>
    <t>科新机电</t>
  </si>
  <si>
    <t>电光科技</t>
  </si>
  <si>
    <t>林州重机</t>
  </si>
  <si>
    <t>山东矿机</t>
  </si>
  <si>
    <t>天桥起重</t>
  </si>
  <si>
    <t>润邦股份</t>
  </si>
  <si>
    <t>融发核电</t>
  </si>
  <si>
    <t>杰瑞股份</t>
  </si>
  <si>
    <t>神开股份</t>
  </si>
  <si>
    <t>大连重工</t>
  </si>
  <si>
    <t>南矿集团</t>
  </si>
  <si>
    <t>锡装股份</t>
  </si>
  <si>
    <t>速达股份</t>
  </si>
  <si>
    <t>石化机械</t>
  </si>
  <si>
    <t>绿田机械</t>
  </si>
  <si>
    <t>海鸥股份</t>
  </si>
  <si>
    <t>上海沪工</t>
  </si>
  <si>
    <t>宏盛股份</t>
  </si>
  <si>
    <t>陕鼓动力</t>
  </si>
  <si>
    <t>开创电气</t>
  </si>
  <si>
    <t>普莱得</t>
  </si>
  <si>
    <t>鑫磊股份</t>
  </si>
  <si>
    <t>瑜欣电子</t>
  </si>
  <si>
    <t>绿岛风</t>
  </si>
  <si>
    <t>东亚机械</t>
  </si>
  <si>
    <t>金盾股份</t>
  </si>
  <si>
    <t>隆华科技</t>
  </si>
  <si>
    <t>开山股份</t>
  </si>
  <si>
    <t>佳士科技</t>
  </si>
  <si>
    <t>新锦动力</t>
  </si>
  <si>
    <t>瑞凌股份</t>
  </si>
  <si>
    <t>锐奇股份</t>
  </si>
  <si>
    <t>南风股份</t>
  </si>
  <si>
    <t>亿利达</t>
  </si>
  <si>
    <t>山东章鼓</t>
  </si>
  <si>
    <t>金财互联</t>
  </si>
  <si>
    <t>巨星科技</t>
  </si>
  <si>
    <t>宗申动力</t>
  </si>
  <si>
    <t>江顺科技</t>
  </si>
  <si>
    <t>美畅股份</t>
  </si>
  <si>
    <t>耐普矿机</t>
  </si>
  <si>
    <t>金太阳</t>
  </si>
  <si>
    <t>四方达</t>
  </si>
  <si>
    <t>凤形股份</t>
  </si>
  <si>
    <t>博深股份</t>
  </si>
  <si>
    <t>四方科技</t>
  </si>
  <si>
    <t>百达精工</t>
  </si>
  <si>
    <t>银都股份</t>
  </si>
  <si>
    <t>海容冷链</t>
  </si>
  <si>
    <t>英特科技</t>
  </si>
  <si>
    <t>同星科技</t>
  </si>
  <si>
    <t>申菱环境</t>
  </si>
  <si>
    <t>同飞股份</t>
  </si>
  <si>
    <t>鲍斯股份</t>
  </si>
  <si>
    <t>汉钟精机</t>
  </si>
  <si>
    <t>冰轮环境</t>
  </si>
  <si>
    <t>冰山冷热</t>
  </si>
  <si>
    <t>银龙股份</t>
  </si>
  <si>
    <t>大业股份</t>
  </si>
  <si>
    <t>金帝股份</t>
  </si>
  <si>
    <t>华翔股份</t>
  </si>
  <si>
    <t>大西洋</t>
  </si>
  <si>
    <t>东睦股份</t>
  </si>
  <si>
    <t>中集环科</t>
  </si>
  <si>
    <t>鼎泰高科</t>
  </si>
  <si>
    <t>万得凯</t>
  </si>
  <si>
    <t>朗威股份</t>
  </si>
  <si>
    <t>翔楼新材</t>
  </si>
  <si>
    <t>哈焊华通</t>
  </si>
  <si>
    <t>津荣天宇</t>
  </si>
  <si>
    <t>恒而达</t>
  </si>
  <si>
    <t>锐新科技</t>
  </si>
  <si>
    <t>恒锋工具</t>
  </si>
  <si>
    <t>宝色股份</t>
  </si>
  <si>
    <t>新莱应材</t>
  </si>
  <si>
    <t>泰嘉股份</t>
  </si>
  <si>
    <t>物产金轮</t>
  </si>
  <si>
    <t>中南文化</t>
  </si>
  <si>
    <t>巨力索具</t>
  </si>
  <si>
    <t>通润装备</t>
  </si>
  <si>
    <t>恒星科技</t>
  </si>
  <si>
    <t>腾达科技</t>
  </si>
  <si>
    <t>中集集团</t>
  </si>
  <si>
    <t>华丰股份</t>
  </si>
  <si>
    <t>联德股份</t>
  </si>
  <si>
    <t>国茂股份</t>
  </si>
  <si>
    <t>纽威股份</t>
  </si>
  <si>
    <t>五洲新春</t>
  </si>
  <si>
    <t>君禾股份</t>
  </si>
  <si>
    <t>应流股份</t>
  </si>
  <si>
    <t>杭齿前进</t>
  </si>
  <si>
    <t>晋亿实业</t>
  </si>
  <si>
    <t>龙溪股份</t>
  </si>
  <si>
    <t>浙江华业</t>
  </si>
  <si>
    <t>瑞迪智驱</t>
  </si>
  <si>
    <t>崇德科技</t>
  </si>
  <si>
    <t>丰立智能</t>
  </si>
  <si>
    <t>恒工精密</t>
  </si>
  <si>
    <t>通力科技</t>
  </si>
  <si>
    <t>冠龙节能</t>
  </si>
  <si>
    <t>泰福泵业</t>
  </si>
  <si>
    <t>金沃股份</t>
  </si>
  <si>
    <t>博亚精工</t>
  </si>
  <si>
    <t>春晖智控</t>
  </si>
  <si>
    <t>海昌新材</t>
  </si>
  <si>
    <t>浙江力诺</t>
  </si>
  <si>
    <t>双飞集团</t>
  </si>
  <si>
    <t>长盛轴承</t>
  </si>
  <si>
    <t>昊志机电</t>
  </si>
  <si>
    <t>中密控股</t>
  </si>
  <si>
    <t>力星股份</t>
  </si>
  <si>
    <t>南方泵业</t>
  </si>
  <si>
    <t>锋龙股份</t>
  </si>
  <si>
    <t>中大力德</t>
  </si>
  <si>
    <t>凌霄泵业</t>
  </si>
  <si>
    <t>智能自控</t>
  </si>
  <si>
    <t>伟隆股份</t>
  </si>
  <si>
    <t>申科股份</t>
  </si>
  <si>
    <t>江苏神通</t>
  </si>
  <si>
    <t>宁波东力</t>
  </si>
  <si>
    <t>国机精工</t>
  </si>
  <si>
    <t>山东威达</t>
  </si>
  <si>
    <t>夏厦精密</t>
  </si>
  <si>
    <t>联合精密</t>
  </si>
  <si>
    <t>中核科技</t>
  </si>
  <si>
    <t>宁波精达</t>
  </si>
  <si>
    <t>海天精工</t>
  </si>
  <si>
    <t>乔锋智能</t>
  </si>
  <si>
    <t>华辰装备</t>
  </si>
  <si>
    <t>创世纪</t>
  </si>
  <si>
    <t>思进智能</t>
  </si>
  <si>
    <t>宇环数控</t>
  </si>
  <si>
    <t>华东重机</t>
  </si>
  <si>
    <t>亚威股份</t>
  </si>
  <si>
    <t>华东数控</t>
  </si>
  <si>
    <t>汇洲智能</t>
  </si>
  <si>
    <t>秦川机床</t>
  </si>
  <si>
    <t>咸亨国际</t>
  </si>
  <si>
    <t>宁水集团</t>
  </si>
  <si>
    <t>柯力传感</t>
  </si>
  <si>
    <t>川仪股份</t>
  </si>
  <si>
    <t>多浦乐</t>
  </si>
  <si>
    <t>安培龙</t>
  </si>
  <si>
    <t>真兰仪表</t>
  </si>
  <si>
    <t>迈拓股份</t>
  </si>
  <si>
    <t>山科智能</t>
  </si>
  <si>
    <t>海川智能</t>
  </si>
  <si>
    <t>精测电子</t>
  </si>
  <si>
    <t>理工光科</t>
  </si>
  <si>
    <t>集智股份</t>
  </si>
  <si>
    <t>三德科技</t>
  </si>
  <si>
    <t>康斯特</t>
  </si>
  <si>
    <t>汇中股份</t>
  </si>
  <si>
    <t>东华测试</t>
  </si>
  <si>
    <t>金卡智能</t>
  </si>
  <si>
    <t>远方信息</t>
  </si>
  <si>
    <t>新天科技</t>
  </si>
  <si>
    <t>三川智慧</t>
  </si>
  <si>
    <t>汉威科技</t>
  </si>
  <si>
    <t>威星智能</t>
  </si>
  <si>
    <t>先锋电子</t>
  </si>
  <si>
    <t>东方智造</t>
  </si>
  <si>
    <t>必得科技</t>
  </si>
  <si>
    <t>威奥股份</t>
  </si>
  <si>
    <t>今创集团</t>
  </si>
  <si>
    <t>祥和实业</t>
  </si>
  <si>
    <t>康尼机电</t>
  </si>
  <si>
    <t>中国中车</t>
  </si>
  <si>
    <t>中铁工业</t>
  </si>
  <si>
    <t>晋西车轴</t>
  </si>
  <si>
    <t>金鹰重工</t>
  </si>
  <si>
    <t>雷尔伟</t>
  </si>
  <si>
    <t>研奥股份</t>
  </si>
  <si>
    <t>日月明</t>
  </si>
  <si>
    <t>唐源电气</t>
  </si>
  <si>
    <t>永贵电器</t>
  </si>
  <si>
    <t>科安达</t>
  </si>
  <si>
    <t>长青科技</t>
  </si>
  <si>
    <t>火炬电子</t>
  </si>
  <si>
    <t>鸿远电子</t>
  </si>
  <si>
    <t>泰豪科技</t>
  </si>
  <si>
    <t>国睿科技</t>
  </si>
  <si>
    <t>中航成飞</t>
  </si>
  <si>
    <t>观想科技</t>
  </si>
  <si>
    <t>雷电微力</t>
  </si>
  <si>
    <t>宏达电子</t>
  </si>
  <si>
    <t>全信股份</t>
  </si>
  <si>
    <t>振芯科技</t>
  </si>
  <si>
    <t>天箭科技</t>
  </si>
  <si>
    <t>海格通信</t>
  </si>
  <si>
    <t>盛路通信</t>
  </si>
  <si>
    <t>高德红外</t>
  </si>
  <si>
    <t>奥普光电</t>
  </si>
  <si>
    <t>中航光电</t>
  </si>
  <si>
    <t>航天电器</t>
  </si>
  <si>
    <t>振华科技</t>
  </si>
  <si>
    <t>中国重工</t>
  </si>
  <si>
    <t>亚星锚链</t>
  </si>
  <si>
    <t>中国海防</t>
  </si>
  <si>
    <t>中船防务</t>
  </si>
  <si>
    <t>中国动力</t>
  </si>
  <si>
    <t>中国船舶</t>
  </si>
  <si>
    <t>海兰信</t>
  </si>
  <si>
    <t>天海防务</t>
  </si>
  <si>
    <t>中国卫通</t>
  </si>
  <si>
    <t>航天电子</t>
  </si>
  <si>
    <t>新余国科</t>
  </si>
  <si>
    <t>派克新材</t>
  </si>
  <si>
    <t>航发动力</t>
  </si>
  <si>
    <t>中航高科</t>
  </si>
  <si>
    <t>中航重机</t>
  </si>
  <si>
    <t>中航沈飞</t>
  </si>
  <si>
    <t>航发科技</t>
  </si>
  <si>
    <t>中航机载</t>
  </si>
  <si>
    <t>中直股份</t>
  </si>
  <si>
    <t>佳力奇</t>
  </si>
  <si>
    <t>恒宇信通</t>
  </si>
  <si>
    <t>广联航空</t>
  </si>
  <si>
    <t>三角防务</t>
  </si>
  <si>
    <t>爱乐达</t>
  </si>
  <si>
    <t>航新科技</t>
  </si>
  <si>
    <t>钢研高纳</t>
  </si>
  <si>
    <t>北摩高科</t>
  </si>
  <si>
    <t>新兴装备</t>
  </si>
  <si>
    <t>利君股份</t>
  </si>
  <si>
    <t>光启技术</t>
  </si>
  <si>
    <t>博云新材</t>
  </si>
  <si>
    <t>威海广泰</t>
  </si>
  <si>
    <t>海特高新</t>
  </si>
  <si>
    <t>中航西飞</t>
  </si>
  <si>
    <t>航发控制</t>
  </si>
  <si>
    <t>内蒙一机</t>
  </si>
  <si>
    <t>光电股份</t>
  </si>
  <si>
    <t>天秦装备</t>
  </si>
  <si>
    <t>建设工业</t>
  </si>
  <si>
    <t>甘化科工</t>
  </si>
  <si>
    <t>上海电气</t>
  </si>
  <si>
    <t>东方电气</t>
  </si>
  <si>
    <t>华光环能</t>
  </si>
  <si>
    <t>优优绿能</t>
  </si>
  <si>
    <t>华塑科技</t>
  </si>
  <si>
    <t>欧陆通</t>
  </si>
  <si>
    <t>英杰电气</t>
  </si>
  <si>
    <t>盛弘股份</t>
  </si>
  <si>
    <t>科泰电源</t>
  </si>
  <si>
    <t>龙源技术</t>
  </si>
  <si>
    <t>麦格米特</t>
  </si>
  <si>
    <t>西子洁能</t>
  </si>
  <si>
    <t>科士达</t>
  </si>
  <si>
    <t>中恒电气</t>
  </si>
  <si>
    <t>科华数据</t>
  </si>
  <si>
    <t>海陆重工</t>
  </si>
  <si>
    <t>恒润股份</t>
  </si>
  <si>
    <t>振江股份</t>
  </si>
  <si>
    <t>日月股份</t>
  </si>
  <si>
    <t>禾望电气</t>
  </si>
  <si>
    <t>吉鑫科技</t>
  </si>
  <si>
    <t>时代新材</t>
  </si>
  <si>
    <t>常友科技</t>
  </si>
  <si>
    <t>盘古智能</t>
  </si>
  <si>
    <t>海力风电</t>
  </si>
  <si>
    <t>海锅股份</t>
  </si>
  <si>
    <t>新强联</t>
  </si>
  <si>
    <t>双一科技</t>
  </si>
  <si>
    <t>天能重工</t>
  </si>
  <si>
    <t>金雷股份</t>
  </si>
  <si>
    <t>通裕重工</t>
  </si>
  <si>
    <t>泰胜风能</t>
  </si>
  <si>
    <t>天顺风能</t>
  </si>
  <si>
    <t>大金重工</t>
  </si>
  <si>
    <t>明阳智能</t>
  </si>
  <si>
    <t>运达股份</t>
  </si>
  <si>
    <t>金风科技</t>
  </si>
  <si>
    <t>金辰股份</t>
  </si>
  <si>
    <t>帝尔激光</t>
  </si>
  <si>
    <t>迈为股份</t>
  </si>
  <si>
    <t>捷佳伟创</t>
  </si>
  <si>
    <t>晶盛机电</t>
  </si>
  <si>
    <t>京山轻机</t>
  </si>
  <si>
    <t>福斯特</t>
  </si>
  <si>
    <t>清源股份</t>
  </si>
  <si>
    <t>永臻股份</t>
  </si>
  <si>
    <t>福莱特</t>
  </si>
  <si>
    <t>泽润新能</t>
  </si>
  <si>
    <t>快可电子</t>
  </si>
  <si>
    <t>宇邦新材</t>
  </si>
  <si>
    <t>通灵股份</t>
  </si>
  <si>
    <t>帝科股份</t>
  </si>
  <si>
    <t>联泓新科</t>
  </si>
  <si>
    <t>亚玛顿</t>
  </si>
  <si>
    <t>苏州固锝</t>
  </si>
  <si>
    <t>德业股份</t>
  </si>
  <si>
    <t>首航新能</t>
  </si>
  <si>
    <t>上能电气</t>
  </si>
  <si>
    <t>锦浪科技</t>
  </si>
  <si>
    <t>阳光电源</t>
  </si>
  <si>
    <t>横店东磁</t>
  </si>
  <si>
    <t>起帆电缆</t>
  </si>
  <si>
    <t>华通线缆</t>
  </si>
  <si>
    <t>长城科技</t>
  </si>
  <si>
    <t>杭电股份</t>
  </si>
  <si>
    <t>东方电缆</t>
  </si>
  <si>
    <t>汇金通</t>
  </si>
  <si>
    <t>神马电力</t>
  </si>
  <si>
    <t>宝胜股份</t>
  </si>
  <si>
    <t>远东股份</t>
  </si>
  <si>
    <t>精达股份</t>
  </si>
  <si>
    <t>冠城新材</t>
  </si>
  <si>
    <t>泓淋电力</t>
  </si>
  <si>
    <t>中辰股份</t>
  </si>
  <si>
    <t>安靠智电</t>
  </si>
  <si>
    <t>通光线缆</t>
  </si>
  <si>
    <t>日丰股份</t>
  </si>
  <si>
    <t>金龙羽</t>
  </si>
  <si>
    <t>长缆科技</t>
  </si>
  <si>
    <t>远程股份</t>
  </si>
  <si>
    <t>露笑科技</t>
  </si>
  <si>
    <t>大连电瓷</t>
  </si>
  <si>
    <t>通达股份</t>
  </si>
  <si>
    <t>金杯电工</t>
  </si>
  <si>
    <t>汉缆股份</t>
  </si>
  <si>
    <t>摩恩电气</t>
  </si>
  <si>
    <t>太阳电缆</t>
  </si>
  <si>
    <t>万马股份</t>
  </si>
  <si>
    <t>新亚电缆</t>
  </si>
  <si>
    <t>华菱线缆</t>
  </si>
  <si>
    <t>新能泰山</t>
  </si>
  <si>
    <t>天正电气</t>
  </si>
  <si>
    <t>白云电器</t>
  </si>
  <si>
    <t>洛凯股份</t>
  </si>
  <si>
    <t>万控智造</t>
  </si>
  <si>
    <t>新宏泰</t>
  </si>
  <si>
    <t>正泰电器</t>
  </si>
  <si>
    <t>广电电气</t>
  </si>
  <si>
    <t>三星医疗</t>
  </si>
  <si>
    <t>百利电气</t>
  </si>
  <si>
    <t>欣灵电气</t>
  </si>
  <si>
    <t>未来电器</t>
  </si>
  <si>
    <t>众智科技</t>
  </si>
  <si>
    <t>中熔电气</t>
  </si>
  <si>
    <t>三友联众</t>
  </si>
  <si>
    <t>泰永长征</t>
  </si>
  <si>
    <t>良信股份</t>
  </si>
  <si>
    <t>众业达</t>
  </si>
  <si>
    <t>北京科锐</t>
  </si>
  <si>
    <t>柘中股份</t>
  </si>
  <si>
    <t>西典新能</t>
  </si>
  <si>
    <t>望变电气</t>
  </si>
  <si>
    <t>江苏华辰</t>
  </si>
  <si>
    <t>中国西电</t>
  </si>
  <si>
    <t>宏发股份</t>
  </si>
  <si>
    <t>保变电气</t>
  </si>
  <si>
    <t>宝光股份</t>
  </si>
  <si>
    <t>平高电气</t>
  </si>
  <si>
    <t>特变电工</t>
  </si>
  <si>
    <t>美硕科技</t>
  </si>
  <si>
    <t>明阳电气</t>
  </si>
  <si>
    <t>新特电气</t>
  </si>
  <si>
    <t>扬电科技</t>
  </si>
  <si>
    <t>双杰电气</t>
  </si>
  <si>
    <t>麦克奥迪</t>
  </si>
  <si>
    <t>合康新能</t>
  </si>
  <si>
    <t>特锐德</t>
  </si>
  <si>
    <t>伊戈尔</t>
  </si>
  <si>
    <t>长高电新</t>
  </si>
  <si>
    <t>森源电气</t>
  </si>
  <si>
    <t>中电鑫龙</t>
  </si>
  <si>
    <t>华明装备</t>
  </si>
  <si>
    <t>三变科技</t>
  </si>
  <si>
    <t>思源电气</t>
  </si>
  <si>
    <t>顺钠股份</t>
  </si>
  <si>
    <t>科林电气</t>
  </si>
  <si>
    <t>四方股份</t>
  </si>
  <si>
    <t>国电南瑞</t>
  </si>
  <si>
    <t>国电南自</t>
  </si>
  <si>
    <t>泽宇智能</t>
  </si>
  <si>
    <t>红相股份</t>
  </si>
  <si>
    <t>凯发电气</t>
  </si>
  <si>
    <t>科大智能</t>
  </si>
  <si>
    <t>中元股份</t>
  </si>
  <si>
    <t>金智科技</t>
  </si>
  <si>
    <t>东方电子</t>
  </si>
  <si>
    <t>许继电气</t>
  </si>
  <si>
    <t>海兴电力</t>
  </si>
  <si>
    <t>万胜智能</t>
  </si>
  <si>
    <t>迦南智能</t>
  </si>
  <si>
    <t>友讯达</t>
  </si>
  <si>
    <t>炬华科技</t>
  </si>
  <si>
    <t>安科瑞</t>
  </si>
  <si>
    <t>华盛昌</t>
  </si>
  <si>
    <t>新联电子</t>
  </si>
  <si>
    <t>科陆电子</t>
  </si>
  <si>
    <t>野马电池</t>
  </si>
  <si>
    <t>安孚科技</t>
  </si>
  <si>
    <t>骆驼股份</t>
  </si>
  <si>
    <t>浙江恒威</t>
  </si>
  <si>
    <t>圣阳股份</t>
  </si>
  <si>
    <t>雄韬股份</t>
  </si>
  <si>
    <t>赢合科技</t>
  </si>
  <si>
    <t>先导智能</t>
  </si>
  <si>
    <t>正业科技</t>
  </si>
  <si>
    <t>福能东方</t>
  </si>
  <si>
    <t>璞泰来</t>
  </si>
  <si>
    <t>杉杉股份</t>
  </si>
  <si>
    <t>湖南裕能</t>
  </si>
  <si>
    <t>信德新材</t>
  </si>
  <si>
    <t>瑞泰新材</t>
  </si>
  <si>
    <t>中伟股份</t>
  </si>
  <si>
    <t>星源材质</t>
  </si>
  <si>
    <t>道氏技术</t>
  </si>
  <si>
    <t>科恒股份</t>
  </si>
  <si>
    <t>当升科技</t>
  </si>
  <si>
    <t>新宙邦</t>
  </si>
  <si>
    <t>中科电气</t>
  </si>
  <si>
    <t>恩捷股份</t>
  </si>
  <si>
    <t>天赐材料</t>
  </si>
  <si>
    <t>格林美</t>
  </si>
  <si>
    <t>尚太科技</t>
  </si>
  <si>
    <t>中国宝安</t>
  </si>
  <si>
    <t>科力远</t>
  </si>
  <si>
    <t>时代万恒</t>
  </si>
  <si>
    <t>中瑞股份</t>
  </si>
  <si>
    <t>德福科技</t>
  </si>
  <si>
    <t>华宝新能</t>
  </si>
  <si>
    <t>金杨股份</t>
  </si>
  <si>
    <t>震裕科技</t>
  </si>
  <si>
    <t>宁德时代</t>
  </si>
  <si>
    <t>欣旺达</t>
  </si>
  <si>
    <t>亿纬锂能</t>
  </si>
  <si>
    <t>科达利</t>
  </si>
  <si>
    <t>蔚蓝锂芯</t>
  </si>
  <si>
    <t>国轩高科</t>
  </si>
  <si>
    <t>豪鹏科技</t>
  </si>
  <si>
    <t>德赛电池</t>
  </si>
  <si>
    <t>中电电机</t>
  </si>
  <si>
    <t>鸣志电器</t>
  </si>
  <si>
    <t>八方股份</t>
  </si>
  <si>
    <t>安乃达</t>
  </si>
  <si>
    <t>星德胜</t>
  </si>
  <si>
    <t>迪贝电气</t>
  </si>
  <si>
    <t>神驰机电</t>
  </si>
  <si>
    <t>卧龙电驱</t>
  </si>
  <si>
    <t>湘电股份</t>
  </si>
  <si>
    <t>华阳智能</t>
  </si>
  <si>
    <t>祥明智能</t>
  </si>
  <si>
    <t>江南奕帆</t>
  </si>
  <si>
    <t>康平科技</t>
  </si>
  <si>
    <t>江苏雷利</t>
  </si>
  <si>
    <t>华瑞股份</t>
  </si>
  <si>
    <t>兆威机电</t>
  </si>
  <si>
    <t>科力尔</t>
  </si>
  <si>
    <t>凯中精密</t>
  </si>
  <si>
    <t>微光股份</t>
  </si>
  <si>
    <t>通达动力</t>
  </si>
  <si>
    <t>大洋电机</t>
  </si>
  <si>
    <t>佳电股份</t>
  </si>
  <si>
    <t>爱美客</t>
  </si>
  <si>
    <t>方盛制药</t>
  </si>
  <si>
    <t>寿仙谷</t>
  </si>
  <si>
    <t>步长制药</t>
  </si>
  <si>
    <t>珍宝岛</t>
  </si>
  <si>
    <t>贵州三力</t>
  </si>
  <si>
    <t>马应龙</t>
  </si>
  <si>
    <t>健民集团</t>
  </si>
  <si>
    <t>广誉远</t>
  </si>
  <si>
    <t>江中药业</t>
  </si>
  <si>
    <t>天目药业</t>
  </si>
  <si>
    <t>神奇制药</t>
  </si>
  <si>
    <t>康恩贝</t>
  </si>
  <si>
    <t>济川药业</t>
  </si>
  <si>
    <t>康缘药业</t>
  </si>
  <si>
    <t>天士力</t>
  </si>
  <si>
    <t>康美药业</t>
  </si>
  <si>
    <t>千金药业</t>
  </si>
  <si>
    <t>片仔癀</t>
  </si>
  <si>
    <t>昆药集团</t>
  </si>
  <si>
    <t>亚宝药业</t>
  </si>
  <si>
    <t>白云山</t>
  </si>
  <si>
    <t>达仁堂</t>
  </si>
  <si>
    <t>羚锐制药</t>
  </si>
  <si>
    <t>中恒集团</t>
  </si>
  <si>
    <t>太龙药业</t>
  </si>
  <si>
    <t>太极集团</t>
  </si>
  <si>
    <t>同仁堂</t>
  </si>
  <si>
    <t>金花股份</t>
  </si>
  <si>
    <t>恩威医药</t>
  </si>
  <si>
    <t>陇神戎发</t>
  </si>
  <si>
    <t>新光药业</t>
  </si>
  <si>
    <t>佐力药业</t>
  </si>
  <si>
    <t>上海凯宝</t>
  </si>
  <si>
    <t>红日药业</t>
  </si>
  <si>
    <t>华森制药</t>
  </si>
  <si>
    <t>新天药业</t>
  </si>
  <si>
    <t>盘龙药业</t>
  </si>
  <si>
    <t>葵花药业</t>
  </si>
  <si>
    <t>特一药业</t>
  </si>
  <si>
    <t>佛慈制药</t>
  </si>
  <si>
    <t>以岭药业</t>
  </si>
  <si>
    <t>益盛药业</t>
  </si>
  <si>
    <t>汉森制药</t>
  </si>
  <si>
    <t>精华制药</t>
  </si>
  <si>
    <t>众生药业</t>
  </si>
  <si>
    <t>奇正藏药</t>
  </si>
  <si>
    <t>桂林三金</t>
  </si>
  <si>
    <t>嘉应制药</t>
  </si>
  <si>
    <t>莱茵生物</t>
  </si>
  <si>
    <t>沃华医药</t>
  </si>
  <si>
    <t>万邦德</t>
  </si>
  <si>
    <t>华润三九</t>
  </si>
  <si>
    <t>九芝堂</t>
  </si>
  <si>
    <t>仁和药业</t>
  </si>
  <si>
    <t>吉林敖东</t>
  </si>
  <si>
    <t>云南白药</t>
  </si>
  <si>
    <t>东阿阿胶</t>
  </si>
  <si>
    <t>柳药集团</t>
  </si>
  <si>
    <t>上海医药</t>
  </si>
  <si>
    <t>九州通</t>
  </si>
  <si>
    <t>人民同泰</t>
  </si>
  <si>
    <t>南京医药</t>
  </si>
  <si>
    <t>国发股份</t>
  </si>
  <si>
    <t>国药股份</t>
  </si>
  <si>
    <t>开开实业</t>
  </si>
  <si>
    <t>中国医药</t>
  </si>
  <si>
    <t>华人健康</t>
  </si>
  <si>
    <t>泰恩康</t>
  </si>
  <si>
    <t>达嘉维康</t>
  </si>
  <si>
    <t>百洋医药</t>
  </si>
  <si>
    <t>药易购</t>
  </si>
  <si>
    <t>鹭燕医药</t>
  </si>
  <si>
    <t>瑞康医药</t>
  </si>
  <si>
    <t>嘉事堂</t>
  </si>
  <si>
    <t>信邦制药</t>
  </si>
  <si>
    <t>重药控股</t>
  </si>
  <si>
    <t>浙江震元</t>
  </si>
  <si>
    <t>英特集团</t>
  </si>
  <si>
    <t>海王生物</t>
  </si>
  <si>
    <t>国药一致</t>
  </si>
  <si>
    <t>尚荣医疗</t>
  </si>
  <si>
    <t>通策医疗</t>
  </si>
  <si>
    <t>大东方</t>
  </si>
  <si>
    <t>三博脑科</t>
  </si>
  <si>
    <t>华厦眼科</t>
  </si>
  <si>
    <t>普瑞眼科</t>
  </si>
  <si>
    <t>何氏眼科</t>
  </si>
  <si>
    <t>盈康生命</t>
  </si>
  <si>
    <t>爱尔眼科</t>
  </si>
  <si>
    <t>光正眼科</t>
  </si>
  <si>
    <t>新里程</t>
  </si>
  <si>
    <t>澳洋健康</t>
  </si>
  <si>
    <t>九洲药业</t>
  </si>
  <si>
    <t>药明康德</t>
  </si>
  <si>
    <t>昭衍新药</t>
  </si>
  <si>
    <t>百花医药</t>
  </si>
  <si>
    <t>万邦医药</t>
  </si>
  <si>
    <t>金凯生科</t>
  </si>
  <si>
    <t>诺思格</t>
  </si>
  <si>
    <t>普蕊斯</t>
  </si>
  <si>
    <t>泓博医药</t>
  </si>
  <si>
    <t>康龙化成</t>
  </si>
  <si>
    <t>药石科技</t>
  </si>
  <si>
    <t>博济医药</t>
  </si>
  <si>
    <t>泰格医药</t>
  </si>
  <si>
    <t>睿智医药</t>
  </si>
  <si>
    <t>凯莱英</t>
  </si>
  <si>
    <t>中金辐照</t>
  </si>
  <si>
    <t>泰林生物</t>
  </si>
  <si>
    <t>东富龙</t>
  </si>
  <si>
    <t>万孚生物</t>
  </si>
  <si>
    <t>迪瑞医疗</t>
  </si>
  <si>
    <t>拱东医疗</t>
  </si>
  <si>
    <t>康德莱</t>
  </si>
  <si>
    <t>正川股份</t>
  </si>
  <si>
    <t>维力医疗</t>
  </si>
  <si>
    <t>振德医疗</t>
  </si>
  <si>
    <t>健尔康</t>
  </si>
  <si>
    <t>山东药玻</t>
  </si>
  <si>
    <t>爱迪特</t>
  </si>
  <si>
    <t>东星医疗</t>
  </si>
  <si>
    <t>五洲医疗</t>
  </si>
  <si>
    <t>采纳股份</t>
  </si>
  <si>
    <t>天益医疗</t>
  </si>
  <si>
    <t>华兰股份</t>
  </si>
  <si>
    <t>迈普医学</t>
  </si>
  <si>
    <t>中红医疗</t>
  </si>
  <si>
    <t>稳健医疗</t>
  </si>
  <si>
    <t>英科医疗</t>
  </si>
  <si>
    <t>正海生物</t>
  </si>
  <si>
    <t>欧普康视</t>
  </si>
  <si>
    <t>健帆生物</t>
  </si>
  <si>
    <t>三鑫医疗</t>
  </si>
  <si>
    <t>冠昊生物</t>
  </si>
  <si>
    <t>乐普医疗</t>
  </si>
  <si>
    <t>奥美医疗</t>
  </si>
  <si>
    <t>大博医疗</t>
  </si>
  <si>
    <t>蓝帆医疗</t>
  </si>
  <si>
    <t>威高血净</t>
  </si>
  <si>
    <t>新华医疗</t>
  </si>
  <si>
    <t>万东医疗</t>
  </si>
  <si>
    <t>超研股份</t>
  </si>
  <si>
    <t>港通医疗</t>
  </si>
  <si>
    <t>瑞迈特</t>
  </si>
  <si>
    <t>美好医疗</t>
  </si>
  <si>
    <t>康泰医学</t>
  </si>
  <si>
    <t>迈瑞医疗</t>
  </si>
  <si>
    <t>开立医疗</t>
  </si>
  <si>
    <t>戴维医疗</t>
  </si>
  <si>
    <t>宝莱特</t>
  </si>
  <si>
    <t>理邦仪器</t>
  </si>
  <si>
    <t>福瑞股份</t>
  </si>
  <si>
    <t>阳普医疗</t>
  </si>
  <si>
    <t>可孚医疗</t>
  </si>
  <si>
    <t>乐心医疗</t>
  </si>
  <si>
    <t>三诺生物</t>
  </si>
  <si>
    <t>九安医疗</t>
  </si>
  <si>
    <t>鱼跃医疗</t>
  </si>
  <si>
    <t>健友股份</t>
  </si>
  <si>
    <t>康辰药业</t>
  </si>
  <si>
    <t>南京新百</t>
  </si>
  <si>
    <t>西藏药业</t>
  </si>
  <si>
    <t>百普赛斯</t>
  </si>
  <si>
    <t>义翘神州</t>
  </si>
  <si>
    <t>我武生物</t>
  </si>
  <si>
    <t>常山药业</t>
  </si>
  <si>
    <t>东宝生物</t>
  </si>
  <si>
    <t>千红制药</t>
  </si>
  <si>
    <t>万泽股份</t>
  </si>
  <si>
    <t>甘李药业</t>
  </si>
  <si>
    <t>通化东宝</t>
  </si>
  <si>
    <t>安科生物</t>
  </si>
  <si>
    <t>双鹭药业</t>
  </si>
  <si>
    <t>长春高新</t>
  </si>
  <si>
    <t>安图生物</t>
  </si>
  <si>
    <t>基蛋生物</t>
  </si>
  <si>
    <t>中源协和</t>
  </si>
  <si>
    <t>新产业</t>
  </si>
  <si>
    <t>艾德生物</t>
  </si>
  <si>
    <t>迈克生物</t>
  </si>
  <si>
    <t>美康生物</t>
  </si>
  <si>
    <t>九强生物</t>
  </si>
  <si>
    <t>达安基因</t>
  </si>
  <si>
    <t>赛升药业</t>
  </si>
  <si>
    <t>辽宁成大</t>
  </si>
  <si>
    <t>华兰疫苗</t>
  </si>
  <si>
    <t>康华生物</t>
  </si>
  <si>
    <t>康泰生物</t>
  </si>
  <si>
    <t>天坛生物</t>
  </si>
  <si>
    <t>博雅生物</t>
  </si>
  <si>
    <t>卫光生物</t>
  </si>
  <si>
    <t>上海莱士</t>
  </si>
  <si>
    <t>华兰生物</t>
  </si>
  <si>
    <t>派林生物</t>
  </si>
  <si>
    <t>国邦医药</t>
  </si>
  <si>
    <t>奥锐特</t>
  </si>
  <si>
    <t>美诺华</t>
  </si>
  <si>
    <t>司太立</t>
  </si>
  <si>
    <t>威尔药业</t>
  </si>
  <si>
    <t>天新药业</t>
  </si>
  <si>
    <t>奥翔药业</t>
  </si>
  <si>
    <t>津药药业</t>
  </si>
  <si>
    <t>浙江医药</t>
  </si>
  <si>
    <t>川宁生物</t>
  </si>
  <si>
    <t>科源制药</t>
  </si>
  <si>
    <t>新天地</t>
  </si>
  <si>
    <t>富士莱</t>
  </si>
  <si>
    <t>宏源药业</t>
  </si>
  <si>
    <t>亨迪药业</t>
  </si>
  <si>
    <t>本立科技</t>
  </si>
  <si>
    <t>天宇股份</t>
  </si>
  <si>
    <t>同和药业</t>
  </si>
  <si>
    <t>富祥药业</t>
  </si>
  <si>
    <t>山河药辅</t>
  </si>
  <si>
    <t>花园生物</t>
  </si>
  <si>
    <t>溢多利</t>
  </si>
  <si>
    <t>尔康制药</t>
  </si>
  <si>
    <t>黄山胶囊</t>
  </si>
  <si>
    <t>海普瑞</t>
  </si>
  <si>
    <t>能特科技</t>
  </si>
  <si>
    <t>海翔药业</t>
  </si>
  <si>
    <t>海森药业</t>
  </si>
  <si>
    <t>河化股份</t>
  </si>
  <si>
    <t>新华制药</t>
  </si>
  <si>
    <t>普洛药业</t>
  </si>
  <si>
    <t>诚意药业</t>
  </si>
  <si>
    <t>卫信康</t>
  </si>
  <si>
    <t>辰欣药业</t>
  </si>
  <si>
    <t>小方制药</t>
  </si>
  <si>
    <t>莎普爱思</t>
  </si>
  <si>
    <t>福元医药</t>
  </si>
  <si>
    <t>海欣股份</t>
  </si>
  <si>
    <t>华北制药</t>
  </si>
  <si>
    <t>鲁抗医药</t>
  </si>
  <si>
    <t>哈药股份</t>
  </si>
  <si>
    <t>华海药业</t>
  </si>
  <si>
    <t>联环药业</t>
  </si>
  <si>
    <t>国药现代</t>
  </si>
  <si>
    <t>健康元</t>
  </si>
  <si>
    <t>恒瑞医药</t>
  </si>
  <si>
    <t>海正药业</t>
  </si>
  <si>
    <t>复星医药</t>
  </si>
  <si>
    <t>人福医药</t>
  </si>
  <si>
    <t>华润双鹤</t>
  </si>
  <si>
    <t>民生健康</t>
  </si>
  <si>
    <t>西点药业</t>
  </si>
  <si>
    <t>一品红</t>
  </si>
  <si>
    <t>九典制药</t>
  </si>
  <si>
    <t>海辰药业</t>
  </si>
  <si>
    <t>兴齐眼药</t>
  </si>
  <si>
    <t>贝达药业</t>
  </si>
  <si>
    <t>金石亚药</t>
  </si>
  <si>
    <t>仟源医药</t>
  </si>
  <si>
    <t>金城医药</t>
  </si>
  <si>
    <t>翰宇药业</t>
  </si>
  <si>
    <t>福安药业</t>
  </si>
  <si>
    <t>振东制药</t>
  </si>
  <si>
    <t>向日葵</t>
  </si>
  <si>
    <t>华仁药业</t>
  </si>
  <si>
    <t>北陆药业</t>
  </si>
  <si>
    <t>立方制药</t>
  </si>
  <si>
    <t>昂利康</t>
  </si>
  <si>
    <t>润都股份</t>
  </si>
  <si>
    <t>易明医药</t>
  </si>
  <si>
    <t>罗欣药业</t>
  </si>
  <si>
    <t>康弘药业</t>
  </si>
  <si>
    <t>奥赛康</t>
  </si>
  <si>
    <t>东诚药业</t>
  </si>
  <si>
    <t>海思科</t>
  </si>
  <si>
    <t>誉衡药业</t>
  </si>
  <si>
    <t>科伦药业</t>
  </si>
  <si>
    <t>力生制药</t>
  </si>
  <si>
    <t>仙琚制药</t>
  </si>
  <si>
    <t>信立泰</t>
  </si>
  <si>
    <t>恩华药业</t>
  </si>
  <si>
    <t>京新药业</t>
  </si>
  <si>
    <t>亿帆医药</t>
  </si>
  <si>
    <t>华东医药</t>
  </si>
  <si>
    <t>中 关 村</t>
  </si>
  <si>
    <t>金陵药业</t>
  </si>
  <si>
    <t>华特达因</t>
  </si>
  <si>
    <t>北大医药</t>
  </si>
  <si>
    <t>通化金马</t>
  </si>
  <si>
    <t>东北制药</t>
  </si>
  <si>
    <t>丽珠集团</t>
  </si>
  <si>
    <t>丰原药业</t>
  </si>
  <si>
    <t>爱玛科技</t>
  </si>
  <si>
    <t>上海凤凰</t>
  </si>
  <si>
    <t>林海股份</t>
  </si>
  <si>
    <t>涛涛车业</t>
  </si>
  <si>
    <t>绿通科技</t>
  </si>
  <si>
    <t>久祺股份</t>
  </si>
  <si>
    <t>新日股份</t>
  </si>
  <si>
    <t>隆鑫通用</t>
  </si>
  <si>
    <t>春风动力</t>
  </si>
  <si>
    <t>千里科技</t>
  </si>
  <si>
    <t>钱江摩托</t>
  </si>
  <si>
    <t>中国汽研</t>
  </si>
  <si>
    <t>中汽股份</t>
  </si>
  <si>
    <t>阿尔特</t>
  </si>
  <si>
    <t>浩物股份</t>
  </si>
  <si>
    <t>上海物贸</t>
  </si>
  <si>
    <t>国机汽车</t>
  </si>
  <si>
    <t>沪光股份</t>
  </si>
  <si>
    <t>合兴股份</t>
  </si>
  <si>
    <t>克来机电</t>
  </si>
  <si>
    <t>科博达</t>
  </si>
  <si>
    <t>徕木股份</t>
  </si>
  <si>
    <t>通达电气</t>
  </si>
  <si>
    <t>天有为</t>
  </si>
  <si>
    <t>保隆科技</t>
  </si>
  <si>
    <t>新泉股份</t>
  </si>
  <si>
    <t>均胜电子</t>
  </si>
  <si>
    <t>富特科技</t>
  </si>
  <si>
    <t>维科精密</t>
  </si>
  <si>
    <t>豪恩汽电</t>
  </si>
  <si>
    <t>光庭信息</t>
  </si>
  <si>
    <t>恒帅股份</t>
  </si>
  <si>
    <t>卡倍亿</t>
  </si>
  <si>
    <t>英搏尔</t>
  </si>
  <si>
    <t>云意电气</t>
  </si>
  <si>
    <t>德赛西威</t>
  </si>
  <si>
    <t>华阳集团</t>
  </si>
  <si>
    <t>索菱股份</t>
  </si>
  <si>
    <t>信质集团</t>
  </si>
  <si>
    <t>松芝股份</t>
  </si>
  <si>
    <t>奥特佳</t>
  </si>
  <si>
    <t>无锡振华</t>
  </si>
  <si>
    <t>合力科技</t>
  </si>
  <si>
    <t>朗博科技</t>
  </si>
  <si>
    <t>汇通控股</t>
  </si>
  <si>
    <t>文灿股份</t>
  </si>
  <si>
    <t>天龙股份</t>
  </si>
  <si>
    <t>晋拓股份</t>
  </si>
  <si>
    <t>泰鸿万立</t>
  </si>
  <si>
    <t>常润股份</t>
  </si>
  <si>
    <t>亚通精工</t>
  </si>
  <si>
    <t>浙江荣泰</t>
  </si>
  <si>
    <t>凌云股份</t>
  </si>
  <si>
    <t>东风科技</t>
  </si>
  <si>
    <t>新铝时代</t>
  </si>
  <si>
    <t>浙江华远</t>
  </si>
  <si>
    <t>鑫宏业</t>
  </si>
  <si>
    <t>纽泰格</t>
  </si>
  <si>
    <t>恒勃股份</t>
  </si>
  <si>
    <t>标榜股份</t>
  </si>
  <si>
    <t>超捷股份</t>
  </si>
  <si>
    <t>肇民科技</t>
  </si>
  <si>
    <t>致远新能</t>
  </si>
  <si>
    <t>东箭科技</t>
  </si>
  <si>
    <t>博俊科技</t>
  </si>
  <si>
    <t>松原安全</t>
  </si>
  <si>
    <t>艾可蓝</t>
  </si>
  <si>
    <t>万通智控</t>
  </si>
  <si>
    <t>美力科技</t>
  </si>
  <si>
    <t>征和工业</t>
  </si>
  <si>
    <t>瑞玛精密</t>
  </si>
  <si>
    <t>祥鑫科技</t>
  </si>
  <si>
    <t>天汽模</t>
  </si>
  <si>
    <t>成飞集成</t>
  </si>
  <si>
    <t>多利科技</t>
  </si>
  <si>
    <t>三联锻造</t>
  </si>
  <si>
    <t>中鼎股份</t>
  </si>
  <si>
    <t>中策橡胶</t>
  </si>
  <si>
    <t>玲珑轮胎</t>
  </si>
  <si>
    <t>通用股份</t>
  </si>
  <si>
    <t>三角轮胎</t>
  </si>
  <si>
    <t>赛轮轮胎</t>
  </si>
  <si>
    <t>风神股份</t>
  </si>
  <si>
    <t>S佳通</t>
  </si>
  <si>
    <t>斯菱股份</t>
  </si>
  <si>
    <t>宏鑫科技</t>
  </si>
  <si>
    <t>兆丰股份</t>
  </si>
  <si>
    <t>雷迪克</t>
  </si>
  <si>
    <t>立中集团</t>
  </si>
  <si>
    <t>森麒麟</t>
  </si>
  <si>
    <t>今飞凯达</t>
  </si>
  <si>
    <t>跃岭股份</t>
  </si>
  <si>
    <t>金固股份</t>
  </si>
  <si>
    <t>兴民智通</t>
  </si>
  <si>
    <t>万丰奥威</t>
  </si>
  <si>
    <t>贵州轮胎</t>
  </si>
  <si>
    <t>天普股份</t>
  </si>
  <si>
    <t>嵘泰股份</t>
  </si>
  <si>
    <t>冠盛股份</t>
  </si>
  <si>
    <t>长源东谷</t>
  </si>
  <si>
    <t>雪龙集团</t>
  </si>
  <si>
    <t>铁流股份</t>
  </si>
  <si>
    <t>豪能股份</t>
  </si>
  <si>
    <t>宁波高发</t>
  </si>
  <si>
    <t>中马传动</t>
  </si>
  <si>
    <t>秦安股份</t>
  </si>
  <si>
    <t>德宏股份</t>
  </si>
  <si>
    <t>伯特利</t>
  </si>
  <si>
    <t>金麒麟</t>
  </si>
  <si>
    <t>美湖股份</t>
  </si>
  <si>
    <t>旭升集团</t>
  </si>
  <si>
    <t>福达股份</t>
  </si>
  <si>
    <t>科华控股</t>
  </si>
  <si>
    <t>腾龙股份</t>
  </si>
  <si>
    <t>华培动力</t>
  </si>
  <si>
    <t>上海汽配</t>
  </si>
  <si>
    <t>正裕工业</t>
  </si>
  <si>
    <t>浙江黎明</t>
  </si>
  <si>
    <t>新坐标</t>
  </si>
  <si>
    <t>凯众股份</t>
  </si>
  <si>
    <t>亚普股份</t>
  </si>
  <si>
    <t>北特科技</t>
  </si>
  <si>
    <t>渤海汽车</t>
  </si>
  <si>
    <t>爱柯迪</t>
  </si>
  <si>
    <t>湖南天雁</t>
  </si>
  <si>
    <t>东安动力</t>
  </si>
  <si>
    <t>长春一东</t>
  </si>
  <si>
    <t>众捷汽车</t>
  </si>
  <si>
    <t>丰茂股份</t>
  </si>
  <si>
    <t>溯联股份</t>
  </si>
  <si>
    <t>东利机械</t>
  </si>
  <si>
    <t>锡南科技</t>
  </si>
  <si>
    <t>正强股份</t>
  </si>
  <si>
    <t>密封科技</t>
  </si>
  <si>
    <t>德迈仕</t>
  </si>
  <si>
    <t>西菱动力</t>
  </si>
  <si>
    <t>蠡湖股份</t>
  </si>
  <si>
    <t>隆盛科技</t>
  </si>
  <si>
    <t>贝斯特</t>
  </si>
  <si>
    <t>川环科技</t>
  </si>
  <si>
    <t>苏奥传感</t>
  </si>
  <si>
    <t>德尔股份</t>
  </si>
  <si>
    <t>富临精工</t>
  </si>
  <si>
    <t>鹏翎股份</t>
  </si>
  <si>
    <t>精锻科技</t>
  </si>
  <si>
    <t>鸿特科技</t>
  </si>
  <si>
    <t>登云股份</t>
  </si>
  <si>
    <t>光洋股份</t>
  </si>
  <si>
    <t>浙江世宝</t>
  </si>
  <si>
    <t>万安科技</t>
  </si>
  <si>
    <t>南方精工</t>
  </si>
  <si>
    <t>飞龙股份</t>
  </si>
  <si>
    <t>双环传动</t>
  </si>
  <si>
    <t>中原内配</t>
  </si>
  <si>
    <t>万里扬</t>
  </si>
  <si>
    <t>远东传动</t>
  </si>
  <si>
    <t>隆基机械</t>
  </si>
  <si>
    <t>亚太股份</t>
  </si>
  <si>
    <t>天润工业</t>
  </si>
  <si>
    <t>银轮股份</t>
  </si>
  <si>
    <t>华纬科技</t>
  </si>
  <si>
    <t>山子高科</t>
  </si>
  <si>
    <t>威孚高科</t>
  </si>
  <si>
    <t>万向钱潮</t>
  </si>
  <si>
    <t>潍柴动力</t>
  </si>
  <si>
    <t>富奥股份</t>
  </si>
  <si>
    <t>神通科技</t>
  </si>
  <si>
    <t>上海沿浦</t>
  </si>
  <si>
    <t>明新旭腾</t>
  </si>
  <si>
    <t>继峰股份</t>
  </si>
  <si>
    <t>金鸿顺</t>
  </si>
  <si>
    <t>常青股份</t>
  </si>
  <si>
    <t>岱美股份</t>
  </si>
  <si>
    <t>华达科技</t>
  </si>
  <si>
    <t>华懋科技</t>
  </si>
  <si>
    <t>浙江仙通</t>
  </si>
  <si>
    <t>天成自控</t>
  </si>
  <si>
    <t>常熟汽饰</t>
  </si>
  <si>
    <t>联明股份</t>
  </si>
  <si>
    <t>星宇股份</t>
  </si>
  <si>
    <t>拓普集团</t>
  </si>
  <si>
    <t>富维股份</t>
  </si>
  <si>
    <t>华域汽车</t>
  </si>
  <si>
    <t>福耀玻璃</t>
  </si>
  <si>
    <t>金杯汽车</t>
  </si>
  <si>
    <t>科力装备</t>
  </si>
  <si>
    <t>福赛科技</t>
  </si>
  <si>
    <t>星源卓镁</t>
  </si>
  <si>
    <t>盛帮股份</t>
  </si>
  <si>
    <t>毓恬冠佳</t>
  </si>
  <si>
    <t>金钟股份</t>
  </si>
  <si>
    <t>航天智造</t>
  </si>
  <si>
    <t>双林股份</t>
  </si>
  <si>
    <t>香山股份</t>
  </si>
  <si>
    <t>峰璟股份</t>
  </si>
  <si>
    <t>海联金汇</t>
  </si>
  <si>
    <t>旷达科技</t>
  </si>
  <si>
    <t>新朋股份</t>
  </si>
  <si>
    <t>广东鸿图</t>
  </si>
  <si>
    <t>宁波华翔</t>
  </si>
  <si>
    <t>铭科精技</t>
  </si>
  <si>
    <t>坤泰股份</t>
  </si>
  <si>
    <t>模塑科技</t>
  </si>
  <si>
    <t>金龙汽车</t>
  </si>
  <si>
    <t>宇通客车</t>
  </si>
  <si>
    <t>中通客车</t>
  </si>
  <si>
    <t>安凯客车</t>
  </si>
  <si>
    <t>汉马科技</t>
  </si>
  <si>
    <t>福田汽车</t>
  </si>
  <si>
    <t>东风股份</t>
  </si>
  <si>
    <t>中集车辆</t>
  </si>
  <si>
    <t>中国重汽</t>
  </si>
  <si>
    <t>江铃汽车</t>
  </si>
  <si>
    <t>长城汽车</t>
  </si>
  <si>
    <t>赛力斯</t>
  </si>
  <si>
    <t>上汽集团</t>
  </si>
  <si>
    <t>长安汽车</t>
  </si>
  <si>
    <t>比亚迪</t>
  </si>
  <si>
    <t>狮头股份</t>
  </si>
  <si>
    <t>青木科技</t>
  </si>
  <si>
    <t>凯淳股份</t>
  </si>
  <si>
    <t>壹网壹创</t>
  </si>
  <si>
    <t>若羽臣</t>
  </si>
  <si>
    <t>新 华 都</t>
  </si>
  <si>
    <t>华鼎股份</t>
  </si>
  <si>
    <t>三态股份</t>
  </si>
  <si>
    <t>赛维时代</t>
  </si>
  <si>
    <t>有棵树</t>
  </si>
  <si>
    <t>吉宏股份</t>
  </si>
  <si>
    <t>焦点科技</t>
  </si>
  <si>
    <t>物产环能</t>
  </si>
  <si>
    <t>中信金属</t>
  </si>
  <si>
    <t>苏美达</t>
  </si>
  <si>
    <t>东方创业</t>
  </si>
  <si>
    <t>南京商旅</t>
  </si>
  <si>
    <t>苏豪弘业</t>
  </si>
  <si>
    <t>五矿发展</t>
  </si>
  <si>
    <t>浙农股份</t>
  </si>
  <si>
    <t>江苏国泰</t>
  </si>
  <si>
    <t>润贝航科</t>
  </si>
  <si>
    <t>厦门信达</t>
  </si>
  <si>
    <t>远大控股</t>
  </si>
  <si>
    <t>爱婴室</t>
  </si>
  <si>
    <t>孩子王</t>
  </si>
  <si>
    <t>华致酒行</t>
  </si>
  <si>
    <t>博士眼镜</t>
  </si>
  <si>
    <t>吉峰科技</t>
  </si>
  <si>
    <t>爱施德</t>
  </si>
  <si>
    <t>利群股份</t>
  </si>
  <si>
    <t>银座股份</t>
  </si>
  <si>
    <t>上海九百</t>
  </si>
  <si>
    <t>百联股份</t>
  </si>
  <si>
    <t>益民集团</t>
  </si>
  <si>
    <t>新华百货</t>
  </si>
  <si>
    <t>友好集团</t>
  </si>
  <si>
    <t>重庆百货</t>
  </si>
  <si>
    <t>欧亚集团</t>
  </si>
  <si>
    <t>大商股份</t>
  </si>
  <si>
    <t>通程控股</t>
  </si>
  <si>
    <t>朗迪集团</t>
  </si>
  <si>
    <t>奇精机械</t>
  </si>
  <si>
    <t>春光科技</t>
  </si>
  <si>
    <t>三星新材</t>
  </si>
  <si>
    <t>立霸股份</t>
  </si>
  <si>
    <t>金海高科</t>
  </si>
  <si>
    <t>热威股份</t>
  </si>
  <si>
    <t>东贝集团</t>
  </si>
  <si>
    <t>海立股份</t>
  </si>
  <si>
    <t>儒竞科技</t>
  </si>
  <si>
    <t>宏昌科技</t>
  </si>
  <si>
    <t>汉宇集团</t>
  </si>
  <si>
    <t>天银机电</t>
  </si>
  <si>
    <t>东方电热</t>
  </si>
  <si>
    <t>秀强股份</t>
  </si>
  <si>
    <t>星帅尔</t>
  </si>
  <si>
    <t>顺威股份</t>
  </si>
  <si>
    <t>毅昌科技</t>
  </si>
  <si>
    <t>康盛股份</t>
  </si>
  <si>
    <t>禾盛新材</t>
  </si>
  <si>
    <t>三花智控</t>
  </si>
  <si>
    <t>盾安环境</t>
  </si>
  <si>
    <t>长虹华意</t>
  </si>
  <si>
    <t>奥普科技</t>
  </si>
  <si>
    <t>浙江美大</t>
  </si>
  <si>
    <t>万和电气</t>
  </si>
  <si>
    <t>老板电器</t>
  </si>
  <si>
    <t>华帝股份</t>
  </si>
  <si>
    <t>飞科电器</t>
  </si>
  <si>
    <t>荣泰健康</t>
  </si>
  <si>
    <t>融捷健康</t>
  </si>
  <si>
    <t>彩虹集团</t>
  </si>
  <si>
    <t>奥佳华</t>
  </si>
  <si>
    <t>德昌股份</t>
  </si>
  <si>
    <t>科沃斯</t>
  </si>
  <si>
    <t>莱克电气</t>
  </si>
  <si>
    <t>富佳股份</t>
  </si>
  <si>
    <t>德尔玛</t>
  </si>
  <si>
    <t>欧圣电气</t>
  </si>
  <si>
    <t>比依股份</t>
  </si>
  <si>
    <t>北鼎股份</t>
  </si>
  <si>
    <t>开能健康</t>
  </si>
  <si>
    <t>小熊电器</t>
  </si>
  <si>
    <t>新宝股份</t>
  </si>
  <si>
    <t>爱仕达</t>
  </si>
  <si>
    <t>九阳股份</t>
  </si>
  <si>
    <t>苏 泊 尔</t>
  </si>
  <si>
    <t>利仁科技</t>
  </si>
  <si>
    <t>四川九洲</t>
  </si>
  <si>
    <t>四川长虹</t>
  </si>
  <si>
    <t>海信视像</t>
  </si>
  <si>
    <t>兆驰股份</t>
  </si>
  <si>
    <t>深康佳Ａ</t>
  </si>
  <si>
    <t>惠而浦</t>
  </si>
  <si>
    <t>海尔智家</t>
  </si>
  <si>
    <t>澳柯玛</t>
  </si>
  <si>
    <t>TCL智家</t>
  </si>
  <si>
    <t>雪祺电气</t>
  </si>
  <si>
    <t>长虹美菱</t>
  </si>
  <si>
    <t>春兰股份</t>
  </si>
  <si>
    <t>海信家电</t>
  </si>
  <si>
    <t>格力电器</t>
  </si>
  <si>
    <t>美的集团</t>
  </si>
  <si>
    <t>舒华体育</t>
  </si>
  <si>
    <t>浙江自然</t>
  </si>
  <si>
    <t>扬州金泉</t>
  </si>
  <si>
    <t>天元宠物</t>
  </si>
  <si>
    <t>康力源</t>
  </si>
  <si>
    <t>华立科技</t>
  </si>
  <si>
    <t>英派斯</t>
  </si>
  <si>
    <t>实丰文化</t>
  </si>
  <si>
    <t>通达创智</t>
  </si>
  <si>
    <t>三柏硕</t>
  </si>
  <si>
    <t>源飞宠物</t>
  </si>
  <si>
    <t>晨光股份</t>
  </si>
  <si>
    <t>明月镜片</t>
  </si>
  <si>
    <t>创源股份</t>
  </si>
  <si>
    <t>齐心集团</t>
  </si>
  <si>
    <t>广博股份</t>
  </si>
  <si>
    <t>王力安防</t>
  </si>
  <si>
    <t>西大门</t>
  </si>
  <si>
    <t>共创草坪</t>
  </si>
  <si>
    <t>松霖科技</t>
  </si>
  <si>
    <t>好太太</t>
  </si>
  <si>
    <t>建霖家居</t>
  </si>
  <si>
    <t>惠达卫浴</t>
  </si>
  <si>
    <t>联翔股份</t>
  </si>
  <si>
    <t>公牛集团</t>
  </si>
  <si>
    <t>众鑫股份</t>
  </si>
  <si>
    <t>恒鑫生活</t>
  </si>
  <si>
    <t>张小泉</t>
  </si>
  <si>
    <t>嘉益股份</t>
  </si>
  <si>
    <t>玉马科技</t>
  </si>
  <si>
    <t>德艺文创</t>
  </si>
  <si>
    <t>瑞尔特</t>
  </si>
  <si>
    <t>哈尔斯</t>
  </si>
  <si>
    <t>华瓷股份</t>
  </si>
  <si>
    <t>双枪科技</t>
  </si>
  <si>
    <t>好莱客</t>
  </si>
  <si>
    <t>欧派家居</t>
  </si>
  <si>
    <t>顾家家居</t>
  </si>
  <si>
    <t>志邦家居</t>
  </si>
  <si>
    <t>麒盛科技</t>
  </si>
  <si>
    <t>永艺股份</t>
  </si>
  <si>
    <t>我乐家居</t>
  </si>
  <si>
    <t>梦百合</t>
  </si>
  <si>
    <t>爱丽家居</t>
  </si>
  <si>
    <t>梦天家居</t>
  </si>
  <si>
    <t>江山欧派</t>
  </si>
  <si>
    <t>金牌家居</t>
  </si>
  <si>
    <t>华立股份</t>
  </si>
  <si>
    <t>喜临门</t>
  </si>
  <si>
    <t>美克家居</t>
  </si>
  <si>
    <t>美新科技</t>
  </si>
  <si>
    <t>致欧科技</t>
  </si>
  <si>
    <t>天振股份</t>
  </si>
  <si>
    <t>趣睡科技</t>
  </si>
  <si>
    <t>匠心家居</t>
  </si>
  <si>
    <t>顶固集创</t>
  </si>
  <si>
    <t>乐歌股份</t>
  </si>
  <si>
    <t>海象新材</t>
  </si>
  <si>
    <t>索菲亚</t>
  </si>
  <si>
    <t>浙江永强</t>
  </si>
  <si>
    <t>慕思股份</t>
  </si>
  <si>
    <t>浙江正特</t>
  </si>
  <si>
    <t>京华激光</t>
  </si>
  <si>
    <t>新通联</t>
  </si>
  <si>
    <t>海顺新材</t>
  </si>
  <si>
    <t>天元股份</t>
  </si>
  <si>
    <t>大胜达</t>
  </si>
  <si>
    <t>翔港科技</t>
  </si>
  <si>
    <t>集友股份</t>
  </si>
  <si>
    <t>永吉股份</t>
  </si>
  <si>
    <t>南王科技</t>
  </si>
  <si>
    <t>新巨丰</t>
  </si>
  <si>
    <t>中荣股份</t>
  </si>
  <si>
    <t>龙利得</t>
  </si>
  <si>
    <t>新宏泽</t>
  </si>
  <si>
    <t>裕同科技</t>
  </si>
  <si>
    <t>顺灏股份</t>
  </si>
  <si>
    <t>美盈森</t>
  </si>
  <si>
    <t>合兴包装</t>
  </si>
  <si>
    <t>劲嘉股份</t>
  </si>
  <si>
    <t>陕西金叶</t>
  </si>
  <si>
    <t>紫江企业</t>
  </si>
  <si>
    <t>金富科技</t>
  </si>
  <si>
    <t>王子新材</t>
  </si>
  <si>
    <t>永新股份</t>
  </si>
  <si>
    <t>宝钢包装</t>
  </si>
  <si>
    <t>嘉美包装</t>
  </si>
  <si>
    <t>英联股份</t>
  </si>
  <si>
    <t>华源控股</t>
  </si>
  <si>
    <t>昇兴股份</t>
  </si>
  <si>
    <t>奥瑞金</t>
  </si>
  <si>
    <t>鸿博股份</t>
  </si>
  <si>
    <t>东港股份</t>
  </si>
  <si>
    <t>强邦新材</t>
  </si>
  <si>
    <t>华旺科技</t>
  </si>
  <si>
    <t>五洲特纸</t>
  </si>
  <si>
    <t>仙鹤股份</t>
  </si>
  <si>
    <t>宜宾纸业</t>
  </si>
  <si>
    <t>冠豪高新</t>
  </si>
  <si>
    <t>恒丰纸业</t>
  </si>
  <si>
    <t>民丰特纸</t>
  </si>
  <si>
    <t>青山纸业</t>
  </si>
  <si>
    <t>恒达新材</t>
  </si>
  <si>
    <t>齐峰新材</t>
  </si>
  <si>
    <t>安妮股份</t>
  </si>
  <si>
    <t>凯恩股份</t>
  </si>
  <si>
    <t>豪悦护理</t>
  </si>
  <si>
    <t>可靠股份</t>
  </si>
  <si>
    <t>百亚股份</t>
  </si>
  <si>
    <t>中顺洁柔</t>
  </si>
  <si>
    <t>依依股份</t>
  </si>
  <si>
    <t>森林包装</t>
  </si>
  <si>
    <t>荣晟环保</t>
  </si>
  <si>
    <t>博汇纸业</t>
  </si>
  <si>
    <t>岳阳林纸</t>
  </si>
  <si>
    <t>山鹰国际</t>
  </si>
  <si>
    <t>华泰股份</t>
  </si>
  <si>
    <t>太阳纸业</t>
  </si>
  <si>
    <t>美利云</t>
  </si>
  <si>
    <t>新华锦</t>
  </si>
  <si>
    <t>瑞贝卡</t>
  </si>
  <si>
    <t>莱绅通灵</t>
  </si>
  <si>
    <t>中国黄金</t>
  </si>
  <si>
    <t>老凤祥</t>
  </si>
  <si>
    <t>迪阿股份</t>
  </si>
  <si>
    <t>曼卡龙</t>
  </si>
  <si>
    <t>周大生</t>
  </si>
  <si>
    <t>萃华珠宝</t>
  </si>
  <si>
    <t>潮宏基</t>
  </si>
  <si>
    <t>飞亚达</t>
  </si>
  <si>
    <t>深中华A</t>
  </si>
  <si>
    <t>盛泰集团</t>
  </si>
  <si>
    <t>太平鸟</t>
  </si>
  <si>
    <t>安正时尚</t>
  </si>
  <si>
    <t>歌力思</t>
  </si>
  <si>
    <t>地素时尚</t>
  </si>
  <si>
    <t>锦泓集团</t>
  </si>
  <si>
    <t>日播时尚</t>
  </si>
  <si>
    <t>际华集团</t>
  </si>
  <si>
    <t>九牧王</t>
  </si>
  <si>
    <t>龙头股份</t>
  </si>
  <si>
    <t>海澜之家</t>
  </si>
  <si>
    <t>雅戈尔</t>
  </si>
  <si>
    <t>嘉曼服饰</t>
  </si>
  <si>
    <t>戎美股份</t>
  </si>
  <si>
    <t>酷特智能</t>
  </si>
  <si>
    <t>欣贺股份</t>
  </si>
  <si>
    <t>乔治白</t>
  </si>
  <si>
    <t>朗姿股份</t>
  </si>
  <si>
    <t>森马服饰</t>
  </si>
  <si>
    <t>华斯股份</t>
  </si>
  <si>
    <t>嘉麟杰</t>
  </si>
  <si>
    <t>美邦服饰</t>
  </si>
  <si>
    <t>报 喜 鸟</t>
  </si>
  <si>
    <t>七 匹 狼</t>
  </si>
  <si>
    <t>洪兴股份</t>
  </si>
  <si>
    <t>探路者</t>
  </si>
  <si>
    <t>比音勒芬</t>
  </si>
  <si>
    <t>三夫户外</t>
  </si>
  <si>
    <t>泰慕士</t>
  </si>
  <si>
    <t>哈森股份</t>
  </si>
  <si>
    <t>牧高笛</t>
  </si>
  <si>
    <t>康隆达</t>
  </si>
  <si>
    <t>爱慕股份</t>
  </si>
  <si>
    <t>红蜻蜓</t>
  </si>
  <si>
    <t>浪莎股份</t>
  </si>
  <si>
    <t>恒辉安防</t>
  </si>
  <si>
    <t>汇洁股份</t>
  </si>
  <si>
    <t>众望布艺</t>
  </si>
  <si>
    <t>水星家纺</t>
  </si>
  <si>
    <t>真爱美家</t>
  </si>
  <si>
    <t>梦洁股份</t>
  </si>
  <si>
    <t>富安娜</t>
  </si>
  <si>
    <t>罗莱生活</t>
  </si>
  <si>
    <t>孚日股份</t>
  </si>
  <si>
    <t>华利集团</t>
  </si>
  <si>
    <t>华生科技</t>
  </si>
  <si>
    <t>新澳股份</t>
  </si>
  <si>
    <t>诺邦股份</t>
  </si>
  <si>
    <t>云中马</t>
  </si>
  <si>
    <t>彩蝶实业</t>
  </si>
  <si>
    <t>台华新材</t>
  </si>
  <si>
    <t>浙文影业</t>
  </si>
  <si>
    <t>万事利</t>
  </si>
  <si>
    <t>南山智尚</t>
  </si>
  <si>
    <t>金春股份</t>
  </si>
  <si>
    <t>聚杰微纤</t>
  </si>
  <si>
    <t>延江股份</t>
  </si>
  <si>
    <t>开润股份</t>
  </si>
  <si>
    <t>嘉欣丝绸</t>
  </si>
  <si>
    <t>宏达高科</t>
  </si>
  <si>
    <t>古麒绒材</t>
  </si>
  <si>
    <t>兴业科技</t>
  </si>
  <si>
    <t>浔兴股份</t>
  </si>
  <si>
    <t>伟星股份</t>
  </si>
  <si>
    <t>富春染织</t>
  </si>
  <si>
    <t>航民股份</t>
  </si>
  <si>
    <t>华纺股份</t>
  </si>
  <si>
    <t>健盛集团</t>
  </si>
  <si>
    <t>百隆东方</t>
  </si>
  <si>
    <t>凤竹纺织</t>
  </si>
  <si>
    <t>联发股份</t>
  </si>
  <si>
    <t>华孚时尚</t>
  </si>
  <si>
    <t>鲁 泰Ａ</t>
  </si>
  <si>
    <t>西麦食品</t>
  </si>
  <si>
    <t>黑芝麻</t>
  </si>
  <si>
    <t>百合股份</t>
  </si>
  <si>
    <t>仙乐健康</t>
  </si>
  <si>
    <t>汤臣倍健</t>
  </si>
  <si>
    <t>金达威</t>
  </si>
  <si>
    <t>巴比食品</t>
  </si>
  <si>
    <t>味知香</t>
  </si>
  <si>
    <t>安井食品</t>
  </si>
  <si>
    <t>海欣食品</t>
  </si>
  <si>
    <t>三全食品</t>
  </si>
  <si>
    <t>千味央厨</t>
  </si>
  <si>
    <t>华康股份</t>
  </si>
  <si>
    <t>中粮糖业</t>
  </si>
  <si>
    <t>华资实业</t>
  </si>
  <si>
    <t>三元生物</t>
  </si>
  <si>
    <t>保龄宝</t>
  </si>
  <si>
    <t>广农糖业</t>
  </si>
  <si>
    <t>红棉股份</t>
  </si>
  <si>
    <t>春雪食品</t>
  </si>
  <si>
    <t>光明肉业</t>
  </si>
  <si>
    <t>华统股份</t>
  </si>
  <si>
    <t>龙大美食</t>
  </si>
  <si>
    <t>金字火腿</t>
  </si>
  <si>
    <t>得利斯</t>
  </si>
  <si>
    <t>双汇发展</t>
  </si>
  <si>
    <t>广弘控股</t>
  </si>
  <si>
    <t>绝味食品</t>
  </si>
  <si>
    <t>紫燕食品</t>
  </si>
  <si>
    <t>煌上煌</t>
  </si>
  <si>
    <t>南侨食品</t>
  </si>
  <si>
    <t>桃李面包</t>
  </si>
  <si>
    <t>广州酒家</t>
  </si>
  <si>
    <t>立高食品</t>
  </si>
  <si>
    <t>桂发祥</t>
  </si>
  <si>
    <t>青岛食品</t>
  </si>
  <si>
    <t>来伊份</t>
  </si>
  <si>
    <t>有友食品</t>
  </si>
  <si>
    <t>万辰集团</t>
  </si>
  <si>
    <t>三只松鼠</t>
  </si>
  <si>
    <t>劲仔食品</t>
  </si>
  <si>
    <t>甘源食品</t>
  </si>
  <si>
    <t>盐津铺子</t>
  </si>
  <si>
    <t>好想你</t>
  </si>
  <si>
    <t>洽洽食品</t>
  </si>
  <si>
    <t>日辰股份</t>
  </si>
  <si>
    <t>安记食品</t>
  </si>
  <si>
    <t>天味食品</t>
  </si>
  <si>
    <t>海天味业</t>
  </si>
  <si>
    <t>宝立食品</t>
  </si>
  <si>
    <t>千禾味业</t>
  </si>
  <si>
    <t>爱普股份</t>
  </si>
  <si>
    <t>梅花生物</t>
  </si>
  <si>
    <t>中炬高新</t>
  </si>
  <si>
    <t>恒顺醋业</t>
  </si>
  <si>
    <t>安琪酵母</t>
  </si>
  <si>
    <t>莲花控股</t>
  </si>
  <si>
    <t>仲景食品</t>
  </si>
  <si>
    <t>涪陵榨菜</t>
  </si>
  <si>
    <t>佳隆股份</t>
  </si>
  <si>
    <t>均瑶健康</t>
  </si>
  <si>
    <t>佳禾食品</t>
  </si>
  <si>
    <t>一鸣食品</t>
  </si>
  <si>
    <t>伊利股份</t>
  </si>
  <si>
    <t>妙可蓝多</t>
  </si>
  <si>
    <t>光明乳业</t>
  </si>
  <si>
    <t>三元股份</t>
  </si>
  <si>
    <t>海融科技</t>
  </si>
  <si>
    <t>熊猫乳品</t>
  </si>
  <si>
    <t>品渥食品</t>
  </si>
  <si>
    <t>新乳业</t>
  </si>
  <si>
    <t>燕塘乳业</t>
  </si>
  <si>
    <t>麦趣尔</t>
  </si>
  <si>
    <t>贝因美</t>
  </si>
  <si>
    <t>皇氏集团</t>
  </si>
  <si>
    <t>阳光乳业</t>
  </si>
  <si>
    <t>东鹏饮料</t>
  </si>
  <si>
    <t>安德利</t>
  </si>
  <si>
    <t>养元饮品</t>
  </si>
  <si>
    <t>国投中鲁</t>
  </si>
  <si>
    <t>维维股份</t>
  </si>
  <si>
    <t>泉阳泉</t>
  </si>
  <si>
    <t>欢乐家</t>
  </si>
  <si>
    <t>承德露露</t>
  </si>
  <si>
    <t>金徽酒</t>
  </si>
  <si>
    <t>口子窖</t>
  </si>
  <si>
    <t>今世缘</t>
  </si>
  <si>
    <t>迎驾贡酒</t>
  </si>
  <si>
    <t>山西汾酒</t>
  </si>
  <si>
    <t>水井坊</t>
  </si>
  <si>
    <t>舍得酒业</t>
  </si>
  <si>
    <t>老白干酒</t>
  </si>
  <si>
    <t>贵州茅台</t>
  </si>
  <si>
    <t>伊力特</t>
  </si>
  <si>
    <t>天佑德酒</t>
  </si>
  <si>
    <t>洋河股份</t>
  </si>
  <si>
    <t>皇台酒业</t>
  </si>
  <si>
    <t>顺鑫农业</t>
  </si>
  <si>
    <t>五 粮 液</t>
  </si>
  <si>
    <t>酒鬼酒</t>
  </si>
  <si>
    <t>古井贡酒</t>
  </si>
  <si>
    <t>泸州老窖</t>
  </si>
  <si>
    <t>百润股份</t>
  </si>
  <si>
    <t>会稽山</t>
  </si>
  <si>
    <t>金枫酒业</t>
  </si>
  <si>
    <t>古越龙山</t>
  </si>
  <si>
    <t>威龙股份</t>
  </si>
  <si>
    <t>中信尼雅</t>
  </si>
  <si>
    <t>张 裕Ａ</t>
  </si>
  <si>
    <t>青岛啤酒</t>
  </si>
  <si>
    <t>惠泉啤酒</t>
  </si>
  <si>
    <t>重庆啤酒</t>
  </si>
  <si>
    <t>珠江啤酒</t>
  </si>
  <si>
    <t>永顺泰</t>
  </si>
  <si>
    <t>燕京啤酒</t>
  </si>
  <si>
    <t>蔚蓝生物</t>
  </si>
  <si>
    <t>海利生物</t>
  </si>
  <si>
    <t>普莱柯</t>
  </si>
  <si>
    <t>生物股份</t>
  </si>
  <si>
    <t>中牧股份</t>
  </si>
  <si>
    <t>回盛生物</t>
  </si>
  <si>
    <t>瑞普生物</t>
  </si>
  <si>
    <t>金河生物</t>
  </si>
  <si>
    <t>嘉华股份</t>
  </si>
  <si>
    <t>晨光生物</t>
  </si>
  <si>
    <t>克明食品</t>
  </si>
  <si>
    <t>双塔食品</t>
  </si>
  <si>
    <t>中粮科技</t>
  </si>
  <si>
    <t>宏辉果蔬</t>
  </si>
  <si>
    <t>冠农股份</t>
  </si>
  <si>
    <t>索宝蛋白</t>
  </si>
  <si>
    <t>金健米业</t>
  </si>
  <si>
    <t>金龙鱼</t>
  </si>
  <si>
    <t>道道全</t>
  </si>
  <si>
    <t>京粮控股</t>
  </si>
  <si>
    <t>深粮控股</t>
  </si>
  <si>
    <t>乖宝宠物</t>
  </si>
  <si>
    <t>佩蒂股份</t>
  </si>
  <si>
    <t>中宠股份</t>
  </si>
  <si>
    <t>天马科技</t>
  </si>
  <si>
    <t>百洋股份</t>
  </si>
  <si>
    <t>海大集团</t>
  </si>
  <si>
    <t>禾丰股份</t>
  </si>
  <si>
    <t>傲农生物</t>
  </si>
  <si>
    <t>邦基科技</t>
  </si>
  <si>
    <t>星湖科技</t>
  </si>
  <si>
    <t>大北农</t>
  </si>
  <si>
    <t>天康生物</t>
  </si>
  <si>
    <t>新 希 望</t>
  </si>
  <si>
    <t>开创国际</t>
  </si>
  <si>
    <t>好当家</t>
  </si>
  <si>
    <t>国联水产</t>
  </si>
  <si>
    <t>平潭发展</t>
  </si>
  <si>
    <t>福成股份</t>
  </si>
  <si>
    <t>晓鸣股份</t>
  </si>
  <si>
    <t>立华股份</t>
  </si>
  <si>
    <t>湘佳股份</t>
  </si>
  <si>
    <t>仙坛股份</t>
  </si>
  <si>
    <t>圣农发展</t>
  </si>
  <si>
    <t>神农集团</t>
  </si>
  <si>
    <t>天域生物</t>
  </si>
  <si>
    <t>巨星农牧</t>
  </si>
  <si>
    <t>新五丰</t>
  </si>
  <si>
    <t>温氏股份</t>
  </si>
  <si>
    <t>牧原股份</t>
  </si>
  <si>
    <t>正邦科技</t>
  </si>
  <si>
    <t>天邦食品</t>
  </si>
  <si>
    <t>罗 牛 山</t>
  </si>
  <si>
    <t>新赛股份</t>
  </si>
  <si>
    <t>新农开发</t>
  </si>
  <si>
    <t>亚盛集团</t>
  </si>
  <si>
    <t>万向德农</t>
  </si>
  <si>
    <t>敦煌种业</t>
  </si>
  <si>
    <t>农发种业</t>
  </si>
  <si>
    <t>登海种业</t>
  </si>
  <si>
    <t>博闻科技</t>
  </si>
  <si>
    <t>华绿生物</t>
  </si>
  <si>
    <t>雪榕生物</t>
  </si>
  <si>
    <t>众兴菌业</t>
  </si>
  <si>
    <t>苏垦农发</t>
  </si>
  <si>
    <t>北大荒</t>
  </si>
  <si>
    <t>森泰股份</t>
  </si>
  <si>
    <t>晶雪节能</t>
  </si>
  <si>
    <t>万里石</t>
  </si>
  <si>
    <t>友邦吊顶</t>
  </si>
  <si>
    <t>垒知集团</t>
  </si>
  <si>
    <t>国创高新</t>
  </si>
  <si>
    <t>罗普斯金</t>
  </si>
  <si>
    <t>聚力文化</t>
  </si>
  <si>
    <t>兔 宝 宝</t>
  </si>
  <si>
    <t>北新建材</t>
  </si>
  <si>
    <t>方大集团</t>
  </si>
  <si>
    <t>三棵树</t>
  </si>
  <si>
    <t>科顺股份</t>
  </si>
  <si>
    <t>凯伦股份</t>
  </si>
  <si>
    <t>东方雨虹</t>
  </si>
  <si>
    <t>北京利尔</t>
  </si>
  <si>
    <t>濮耐股份</t>
  </si>
  <si>
    <t>鲁阳节能</t>
  </si>
  <si>
    <t>瑞泰科技</t>
  </si>
  <si>
    <t>东宏股份</t>
  </si>
  <si>
    <t>雄塑科技</t>
  </si>
  <si>
    <t>顾地科技</t>
  </si>
  <si>
    <t>伟星新材</t>
  </si>
  <si>
    <t>沧州明珠</t>
  </si>
  <si>
    <t>开尔新材</t>
  </si>
  <si>
    <t>山东玻纤</t>
  </si>
  <si>
    <t>再升科技</t>
  </si>
  <si>
    <t>宏和科技</t>
  </si>
  <si>
    <t>中国巨石</t>
  </si>
  <si>
    <t>国际复材</t>
  </si>
  <si>
    <t>长海股份</t>
  </si>
  <si>
    <t>九鼎新材</t>
  </si>
  <si>
    <t>中材科技</t>
  </si>
  <si>
    <t>旗滨集团</t>
  </si>
  <si>
    <t>耀皮玻璃</t>
  </si>
  <si>
    <t>金晶科技</t>
  </si>
  <si>
    <t>三峡新材</t>
  </si>
  <si>
    <t>力诺药包</t>
  </si>
  <si>
    <t>菲利华</t>
  </si>
  <si>
    <t>南 玻Ａ</t>
  </si>
  <si>
    <t>深圳新星</t>
  </si>
  <si>
    <t>江南新材</t>
  </si>
  <si>
    <t>博威合金</t>
  </si>
  <si>
    <t>鑫科材料</t>
  </si>
  <si>
    <t>上大股份</t>
  </si>
  <si>
    <t>中洲特材</t>
  </si>
  <si>
    <t>屹通新材</t>
  </si>
  <si>
    <t>图南股份</t>
  </si>
  <si>
    <t>安泰科技</t>
  </si>
  <si>
    <t>合金投资</t>
  </si>
  <si>
    <t>天和磁材</t>
  </si>
  <si>
    <t>宁波韵升</t>
  </si>
  <si>
    <t>英思特</t>
  </si>
  <si>
    <t>中科磁业</t>
  </si>
  <si>
    <t>龙磁科技</t>
  </si>
  <si>
    <t>铂科新材</t>
  </si>
  <si>
    <t>金力永磁</t>
  </si>
  <si>
    <t>正海磁材</t>
  </si>
  <si>
    <t>银河磁体</t>
  </si>
  <si>
    <t>中钢天源</t>
  </si>
  <si>
    <t>中科三环</t>
  </si>
  <si>
    <t>英洛华</t>
  </si>
  <si>
    <t>三祥新材</t>
  </si>
  <si>
    <t>贵研铂业</t>
  </si>
  <si>
    <t>华锡有色</t>
  </si>
  <si>
    <t>浩通科技</t>
  </si>
  <si>
    <t>云南锗业</t>
  </si>
  <si>
    <t>宝武镁业</t>
  </si>
  <si>
    <t>东方锆业</t>
  </si>
  <si>
    <t>东方钽业</t>
  </si>
  <si>
    <t>锡业股份</t>
  </si>
  <si>
    <t>宝钛股份</t>
  </si>
  <si>
    <t>安宁股份</t>
  </si>
  <si>
    <t>西部材料</t>
  </si>
  <si>
    <t>洛阳钼业</t>
  </si>
  <si>
    <t>金钼股份</t>
  </si>
  <si>
    <t>厦门钨业</t>
  </si>
  <si>
    <t>翔鹭钨业</t>
  </si>
  <si>
    <t>章源钨业</t>
  </si>
  <si>
    <t>中钨高新</t>
  </si>
  <si>
    <t>盛和资源</t>
  </si>
  <si>
    <t>广晟有色</t>
  </si>
  <si>
    <t>北方稀土</t>
  </si>
  <si>
    <t>中国稀土</t>
  </si>
  <si>
    <t>华友钴业</t>
  </si>
  <si>
    <t>腾远钴业</t>
  </si>
  <si>
    <t>寒锐钴业</t>
  </si>
  <si>
    <t>博迁新材</t>
  </si>
  <si>
    <t>天华新能</t>
  </si>
  <si>
    <t>永兴材料</t>
  </si>
  <si>
    <t>中矿资源</t>
  </si>
  <si>
    <t>雅化集团</t>
  </si>
  <si>
    <t>天齐锂业</t>
  </si>
  <si>
    <t>融捷股份</t>
  </si>
  <si>
    <t>湖南白银</t>
  </si>
  <si>
    <t>盛达资源</t>
  </si>
  <si>
    <t>西部黄金</t>
  </si>
  <si>
    <t>赤峰黄金</t>
  </si>
  <si>
    <t>山东黄金</t>
  </si>
  <si>
    <t>中金黄金</t>
  </si>
  <si>
    <t>晓程科技</t>
  </si>
  <si>
    <t>恒邦股份</t>
  </si>
  <si>
    <t>湖南黄金</t>
  </si>
  <si>
    <t>四川黄金</t>
  </si>
  <si>
    <t>山金国际</t>
  </si>
  <si>
    <t>金徽股份</t>
  </si>
  <si>
    <t>华钰矿业</t>
  </si>
  <si>
    <t>株冶集团</t>
  </si>
  <si>
    <t>豫光金铅</t>
  </si>
  <si>
    <t>驰宏锌锗</t>
  </si>
  <si>
    <t>西藏珠峰</t>
  </si>
  <si>
    <t>中色股份</t>
  </si>
  <si>
    <t>锌业股份</t>
  </si>
  <si>
    <t>国城矿业</t>
  </si>
  <si>
    <t>兴业银锡</t>
  </si>
  <si>
    <t>中金岭南</t>
  </si>
  <si>
    <t>永茂泰</t>
  </si>
  <si>
    <t>鼎胜新材</t>
  </si>
  <si>
    <t>永杰新材</t>
  </si>
  <si>
    <t>海星股份</t>
  </si>
  <si>
    <t>华峰铝业</t>
  </si>
  <si>
    <t>明泰铝业</t>
  </si>
  <si>
    <t>中国铝业</t>
  </si>
  <si>
    <t>怡球资源</t>
  </si>
  <si>
    <t>新疆众和</t>
  </si>
  <si>
    <t>宁波富邦</t>
  </si>
  <si>
    <t>丰华股份</t>
  </si>
  <si>
    <t>中孚实业</t>
  </si>
  <si>
    <t>创新新材</t>
  </si>
  <si>
    <t>南山铝业</t>
  </si>
  <si>
    <t>银邦股份</t>
  </si>
  <si>
    <t>鑫铂股份</t>
  </si>
  <si>
    <t>顺博合金</t>
  </si>
  <si>
    <t>豪美新材</t>
  </si>
  <si>
    <t>和胜股份</t>
  </si>
  <si>
    <t>闽发铝业</t>
  </si>
  <si>
    <t>亚太科技</t>
  </si>
  <si>
    <t>天山铝业</t>
  </si>
  <si>
    <t>常铝股份</t>
  </si>
  <si>
    <t>电投能源</t>
  </si>
  <si>
    <t>神火股份</t>
  </si>
  <si>
    <t>云铝股份</t>
  </si>
  <si>
    <t>焦作万方</t>
  </si>
  <si>
    <t>金诚信</t>
  </si>
  <si>
    <t>众源新材</t>
  </si>
  <si>
    <t>紫金矿业</t>
  </si>
  <si>
    <t>金田股份</t>
  </si>
  <si>
    <t>西部矿业</t>
  </si>
  <si>
    <t>鹏欣资源</t>
  </si>
  <si>
    <t>江西铜业</t>
  </si>
  <si>
    <t>铜冠铜箔</t>
  </si>
  <si>
    <t>电工合金</t>
  </si>
  <si>
    <t>精艺股份</t>
  </si>
  <si>
    <t>海亮股份</t>
  </si>
  <si>
    <t>楚江新材</t>
  </si>
  <si>
    <t>云南铜业</t>
  </si>
  <si>
    <t>北方铜业</t>
  </si>
  <si>
    <t>铜陵有色</t>
  </si>
  <si>
    <t>甬金股份</t>
  </si>
  <si>
    <t>方大特钢</t>
  </si>
  <si>
    <t>盛德鑫泰</t>
  </si>
  <si>
    <t>常宝股份</t>
  </si>
  <si>
    <t>金洲管道</t>
  </si>
  <si>
    <t>久立特材</t>
  </si>
  <si>
    <t>沙钢股份</t>
  </si>
  <si>
    <t>太钢不锈</t>
  </si>
  <si>
    <t>中信特钢</t>
  </si>
  <si>
    <t>武进不锈</t>
  </si>
  <si>
    <t>友发集团</t>
  </si>
  <si>
    <t>新兴铸管</t>
  </si>
  <si>
    <t>华达新材</t>
  </si>
  <si>
    <t>柳钢股份</t>
  </si>
  <si>
    <t>新钢股份</t>
  </si>
  <si>
    <t>安阳钢铁</t>
  </si>
  <si>
    <t>南钢股份</t>
  </si>
  <si>
    <t>宝钢股份</t>
  </si>
  <si>
    <t>包钢股份</t>
  </si>
  <si>
    <t>首钢股份</t>
  </si>
  <si>
    <t>华菱钢铁</t>
  </si>
  <si>
    <t>河钢股份</t>
  </si>
  <si>
    <t>三钢闽光</t>
  </si>
  <si>
    <t>方大炭素</t>
  </si>
  <si>
    <t>鄂尔多斯</t>
  </si>
  <si>
    <t>海南矿业</t>
  </si>
  <si>
    <t>宝地矿业</t>
  </si>
  <si>
    <t>广东明珠</t>
  </si>
  <si>
    <t>大中矿业</t>
  </si>
  <si>
    <t>河钢资源</t>
  </si>
  <si>
    <t>金岭矿业</t>
  </si>
  <si>
    <t>龙高股份</t>
  </si>
  <si>
    <t>坤彩科技</t>
  </si>
  <si>
    <t>石英股份</t>
  </si>
  <si>
    <t>索通发展</t>
  </si>
  <si>
    <t>力量钻石</t>
  </si>
  <si>
    <t>平安电工</t>
  </si>
  <si>
    <t>长江材料</t>
  </si>
  <si>
    <t>红四方</t>
  </si>
  <si>
    <t>富邦科技</t>
  </si>
  <si>
    <t>天禾股份</t>
  </si>
  <si>
    <t>史丹利</t>
  </si>
  <si>
    <t>辉隆股份</t>
  </si>
  <si>
    <t>云图控股</t>
  </si>
  <si>
    <t>司尔特</t>
  </si>
  <si>
    <t>金正大</t>
  </si>
  <si>
    <t>华昌化工</t>
  </si>
  <si>
    <t>芭田股份</t>
  </si>
  <si>
    <t>新洋丰</t>
  </si>
  <si>
    <t>东方铁塔</t>
  </si>
  <si>
    <t>亚钾国际</t>
  </si>
  <si>
    <t>盐湖股份</t>
  </si>
  <si>
    <t>藏格矿业</t>
  </si>
  <si>
    <t>兴发集团</t>
  </si>
  <si>
    <t>云天化</t>
  </si>
  <si>
    <t>川金诺</t>
  </si>
  <si>
    <t>川恒股份</t>
  </si>
  <si>
    <t>川发龙蟒</t>
  </si>
  <si>
    <t>湖北宜化</t>
  </si>
  <si>
    <t>泸天化</t>
  </si>
  <si>
    <t>美邦股份</t>
  </si>
  <si>
    <t>中农立华</t>
  </si>
  <si>
    <t>丰山集团</t>
  </si>
  <si>
    <t>海利尔</t>
  </si>
  <si>
    <t>广信股份</t>
  </si>
  <si>
    <t>苏利股份</t>
  </si>
  <si>
    <t>百傲化学</t>
  </si>
  <si>
    <t>先达股份</t>
  </si>
  <si>
    <t>湖南海利</t>
  </si>
  <si>
    <t>扬农化工</t>
  </si>
  <si>
    <t>江山股份</t>
  </si>
  <si>
    <t>泰禾股份</t>
  </si>
  <si>
    <t>润丰股份</t>
  </si>
  <si>
    <t>广康生化</t>
  </si>
  <si>
    <t>贝斯美</t>
  </si>
  <si>
    <t>中农联合</t>
  </si>
  <si>
    <t>新农股份</t>
  </si>
  <si>
    <t>国光股份</t>
  </si>
  <si>
    <t>利民股份</t>
  </si>
  <si>
    <t>长青股份</t>
  </si>
  <si>
    <t>利尔化学</t>
  </si>
  <si>
    <t>联化科技</t>
  </si>
  <si>
    <t>诺 普 信</t>
  </si>
  <si>
    <t>华邦健康</t>
  </si>
  <si>
    <t>农心科技</t>
  </si>
  <si>
    <t>安道麦A</t>
  </si>
  <si>
    <t>三维股份</t>
  </si>
  <si>
    <t>太力科技</t>
  </si>
  <si>
    <t>新莱福</t>
  </si>
  <si>
    <t>科创新源</t>
  </si>
  <si>
    <t>天铁科技</t>
  </si>
  <si>
    <t>海达股份</t>
  </si>
  <si>
    <t>双箭股份</t>
  </si>
  <si>
    <t>三 力 士</t>
  </si>
  <si>
    <t>确成股份</t>
  </si>
  <si>
    <t>永东股份</t>
  </si>
  <si>
    <t>龙星科技</t>
  </si>
  <si>
    <t>联科科技</t>
  </si>
  <si>
    <t>彤程新材</t>
  </si>
  <si>
    <t>阳谷华泰</t>
  </si>
  <si>
    <t>福莱新材</t>
  </si>
  <si>
    <t>万朗磁塑</t>
  </si>
  <si>
    <t>肯特股份</t>
  </si>
  <si>
    <t>祥源新材</t>
  </si>
  <si>
    <t>润阳科技</t>
  </si>
  <si>
    <t>利安科技</t>
  </si>
  <si>
    <t>华信新材</t>
  </si>
  <si>
    <t>横河精密</t>
  </si>
  <si>
    <t>永利股份</t>
  </si>
  <si>
    <t>纳尔股份</t>
  </si>
  <si>
    <t>富岭股份</t>
  </si>
  <si>
    <t>沃顿科技</t>
  </si>
  <si>
    <t>宿迁联盛</t>
  </si>
  <si>
    <t>万盛股份</t>
  </si>
  <si>
    <t>江苏索普</t>
  </si>
  <si>
    <t>宁波色母</t>
  </si>
  <si>
    <t>利安隆</t>
  </si>
  <si>
    <t>美联新材</t>
  </si>
  <si>
    <t>瑞丰高材</t>
  </si>
  <si>
    <t>世龙实业</t>
  </si>
  <si>
    <t>同大股份</t>
  </si>
  <si>
    <t>安利股份</t>
  </si>
  <si>
    <t>华峰超纤</t>
  </si>
  <si>
    <t>双象股份</t>
  </si>
  <si>
    <t>天安新材</t>
  </si>
  <si>
    <t>金发科技</t>
  </si>
  <si>
    <t>骏鼎达</t>
  </si>
  <si>
    <t>聚赛龙</t>
  </si>
  <si>
    <t>江苏博云</t>
  </si>
  <si>
    <t>奇德新材</t>
  </si>
  <si>
    <t>南京聚隆</t>
  </si>
  <si>
    <t>同益股份</t>
  </si>
  <si>
    <t>银禧科技</t>
  </si>
  <si>
    <t>沃特股份</t>
  </si>
  <si>
    <t>道恩股份</t>
  </si>
  <si>
    <t>国恩股份</t>
  </si>
  <si>
    <t>普利特</t>
  </si>
  <si>
    <t>东材科技</t>
  </si>
  <si>
    <t>中仑新材</t>
  </si>
  <si>
    <t>斯迪克</t>
  </si>
  <si>
    <t>道明光学</t>
  </si>
  <si>
    <t>浙江众成</t>
  </si>
  <si>
    <t>大东南</t>
  </si>
  <si>
    <t>德冠新材</t>
  </si>
  <si>
    <t>佛塑科技</t>
  </si>
  <si>
    <t>圣泉集团</t>
  </si>
  <si>
    <t>兴业股份</t>
  </si>
  <si>
    <t>宏昌电子</t>
  </si>
  <si>
    <t>惠柏新材</t>
  </si>
  <si>
    <t>仁信新材</t>
  </si>
  <si>
    <t>万凯新材</t>
  </si>
  <si>
    <t>争光股份</t>
  </si>
  <si>
    <t>星辉环材</t>
  </si>
  <si>
    <t>蓝晓科技</t>
  </si>
  <si>
    <t>洪汇新材</t>
  </si>
  <si>
    <t>神剑股份</t>
  </si>
  <si>
    <t>大庆华科</t>
  </si>
  <si>
    <t>苏博特</t>
  </si>
  <si>
    <t>键邦股份</t>
  </si>
  <si>
    <t>皇马科技</t>
  </si>
  <si>
    <t>肯特催化</t>
  </si>
  <si>
    <t>鼎龙科技</t>
  </si>
  <si>
    <t>博苑股份</t>
  </si>
  <si>
    <t>长华化学</t>
  </si>
  <si>
    <t>侨源股份</t>
  </si>
  <si>
    <t>亚香股份</t>
  </si>
  <si>
    <t>联盛化学</t>
  </si>
  <si>
    <t>隆华新材</t>
  </si>
  <si>
    <t>星华新材</t>
  </si>
  <si>
    <t>新瀚新材</t>
  </si>
  <si>
    <t>瑞丰新材</t>
  </si>
  <si>
    <t>华业香料</t>
  </si>
  <si>
    <t>中船汉光</t>
  </si>
  <si>
    <t>泰和科技</t>
  </si>
  <si>
    <t>扬帆新材</t>
  </si>
  <si>
    <t>晨化股份</t>
  </si>
  <si>
    <t>达威股份</t>
  </si>
  <si>
    <t>国瓷材料</t>
  </si>
  <si>
    <t>元力股份</t>
  </si>
  <si>
    <t>新开源</t>
  </si>
  <si>
    <t>和远气体</t>
  </si>
  <si>
    <t>山东赫达</t>
  </si>
  <si>
    <t>红墙股份</t>
  </si>
  <si>
    <t>德联集团</t>
  </si>
  <si>
    <t>西陇科学</t>
  </si>
  <si>
    <t>宝莫股份</t>
  </si>
  <si>
    <t>兴欣新材</t>
  </si>
  <si>
    <t>光华股份</t>
  </si>
  <si>
    <t>丽臣实业</t>
  </si>
  <si>
    <t>晶华新材</t>
  </si>
  <si>
    <t>永冠新材</t>
  </si>
  <si>
    <t>鹿山新材</t>
  </si>
  <si>
    <t>聚胶股份</t>
  </si>
  <si>
    <t>高盟新材</t>
  </si>
  <si>
    <t>回天新材</t>
  </si>
  <si>
    <t>康达新材</t>
  </si>
  <si>
    <t>江瀚新材</t>
  </si>
  <si>
    <t>合盛硅业</t>
  </si>
  <si>
    <t>新亚强</t>
  </si>
  <si>
    <t>新安股份</t>
  </si>
  <si>
    <t>东岳硅材</t>
  </si>
  <si>
    <t>润禾材料</t>
  </si>
  <si>
    <t>硅宝科技</t>
  </si>
  <si>
    <t>百龙创园</t>
  </si>
  <si>
    <t>圣达生物</t>
  </si>
  <si>
    <t>安迪苏</t>
  </si>
  <si>
    <t>美农生物</t>
  </si>
  <si>
    <t>科拓生物</t>
  </si>
  <si>
    <t>金丹科技</t>
  </si>
  <si>
    <t>华宝股份</t>
  </si>
  <si>
    <t>金禾实业</t>
  </si>
  <si>
    <t>兄弟科技</t>
  </si>
  <si>
    <t>新 和 成</t>
  </si>
  <si>
    <t>永和股份</t>
  </si>
  <si>
    <t>金石资源</t>
  </si>
  <si>
    <t>三美股份</t>
  </si>
  <si>
    <t>巍华新材</t>
  </si>
  <si>
    <t>昊华科技</t>
  </si>
  <si>
    <t>巨化股份</t>
  </si>
  <si>
    <t>中欣氟材</t>
  </si>
  <si>
    <t>多氟多</t>
  </si>
  <si>
    <t>永太科技</t>
  </si>
  <si>
    <t>福莱蒽特</t>
  </si>
  <si>
    <t>雅运股份</t>
  </si>
  <si>
    <t>亚邦股份</t>
  </si>
  <si>
    <t>浙江龙盛</t>
  </si>
  <si>
    <t>长联科技</t>
  </si>
  <si>
    <t>蓝宇股份</t>
  </si>
  <si>
    <t>善水科技</t>
  </si>
  <si>
    <t>宝丽迪</t>
  </si>
  <si>
    <t>建新股份</t>
  </si>
  <si>
    <t>闰土股份</t>
  </si>
  <si>
    <t>德美化工</t>
  </si>
  <si>
    <t>国泰集团</t>
  </si>
  <si>
    <t>雪峰科技</t>
  </si>
  <si>
    <t>壶化股份</t>
  </si>
  <si>
    <t>金奥博</t>
  </si>
  <si>
    <t>高争民爆</t>
  </si>
  <si>
    <t>凯龙股份</t>
  </si>
  <si>
    <t>广东宏大</t>
  </si>
  <si>
    <t>同德化工</t>
  </si>
  <si>
    <t>北化股份</t>
  </si>
  <si>
    <t>江南化工</t>
  </si>
  <si>
    <t>易普力</t>
  </si>
  <si>
    <t>百合花</t>
  </si>
  <si>
    <t>东方材料</t>
  </si>
  <si>
    <t>麦加芯彩</t>
  </si>
  <si>
    <t>联合化学</t>
  </si>
  <si>
    <t>双乐股份</t>
  </si>
  <si>
    <t>七彩化学</t>
  </si>
  <si>
    <t>世名科技</t>
  </si>
  <si>
    <t>渝三峡Ａ</t>
  </si>
  <si>
    <t>汇得科技</t>
  </si>
  <si>
    <t>美思德</t>
  </si>
  <si>
    <t>万华化学</t>
  </si>
  <si>
    <t>沧州大化</t>
  </si>
  <si>
    <t>美瑞新材</t>
  </si>
  <si>
    <t>红 宝 丽</t>
  </si>
  <si>
    <t>三孚股份</t>
  </si>
  <si>
    <t>凌玮科技</t>
  </si>
  <si>
    <t>远翔新材</t>
  </si>
  <si>
    <t>华融化学</t>
  </si>
  <si>
    <t>凯盛新材</t>
  </si>
  <si>
    <t>金三江</t>
  </si>
  <si>
    <t>湘潭电化</t>
  </si>
  <si>
    <t>信凯科技</t>
  </si>
  <si>
    <t>华尔泰</t>
  </si>
  <si>
    <t>建业股份</t>
  </si>
  <si>
    <t>新化股份</t>
  </si>
  <si>
    <t>恒兴新材</t>
  </si>
  <si>
    <t>元利科技</t>
  </si>
  <si>
    <t>常青科技</t>
  </si>
  <si>
    <t>中毅达</t>
  </si>
  <si>
    <t>柳化股份</t>
  </si>
  <si>
    <t>嘉化能源</t>
  </si>
  <si>
    <t>皖维高新</t>
  </si>
  <si>
    <t>昊帆生物</t>
  </si>
  <si>
    <t>江天化学</t>
  </si>
  <si>
    <t>正丹股份</t>
  </si>
  <si>
    <t>濮阳惠成</t>
  </si>
  <si>
    <t>宇新股份</t>
  </si>
  <si>
    <t>卫星化学</t>
  </si>
  <si>
    <t>三维化学</t>
  </si>
  <si>
    <t>百川股份</t>
  </si>
  <si>
    <t>齐翔腾达</t>
  </si>
  <si>
    <t>苏盐井神</t>
  </si>
  <si>
    <t>振华股份</t>
  </si>
  <si>
    <t>江盐集团</t>
  </si>
  <si>
    <t>雪天盐业</t>
  </si>
  <si>
    <t>金瑞矿业</t>
  </si>
  <si>
    <t>红星发展</t>
  </si>
  <si>
    <t>中盐化工</t>
  </si>
  <si>
    <t>大洋生物</t>
  </si>
  <si>
    <t>云南能投</t>
  </si>
  <si>
    <t>和邦生物</t>
  </si>
  <si>
    <t>博源化工</t>
  </si>
  <si>
    <t>镇洋发展</t>
  </si>
  <si>
    <t>滨化股份</t>
  </si>
  <si>
    <t>北元集团</t>
  </si>
  <si>
    <t>君正集团</t>
  </si>
  <si>
    <t>氯碱化工</t>
  </si>
  <si>
    <t>恒光股份</t>
  </si>
  <si>
    <t>天原股份</t>
  </si>
  <si>
    <t>航锦科技</t>
  </si>
  <si>
    <t>鲁北化工</t>
  </si>
  <si>
    <t>惠云钛业</t>
  </si>
  <si>
    <t>龙佰集团</t>
  </si>
  <si>
    <t>中核钛白</t>
  </si>
  <si>
    <t>江南高纤</t>
  </si>
  <si>
    <t>中简科技</t>
  </si>
  <si>
    <t>光威复材</t>
  </si>
  <si>
    <t>聚合顺</t>
  </si>
  <si>
    <t>恒申新材</t>
  </si>
  <si>
    <t>吉林化纤</t>
  </si>
  <si>
    <t>泰和新材</t>
  </si>
  <si>
    <t>华峰化学</t>
  </si>
  <si>
    <t>新乡化纤</t>
  </si>
  <si>
    <t>苏州龙杰</t>
  </si>
  <si>
    <t>新凤鸣</t>
  </si>
  <si>
    <t>桐昆股份</t>
  </si>
  <si>
    <t>汇隆新材</t>
  </si>
  <si>
    <t>优彩资源</t>
  </si>
  <si>
    <t>荣盛石化</t>
  </si>
  <si>
    <t>尤夫股份</t>
  </si>
  <si>
    <t>海 利 得</t>
  </si>
  <si>
    <t>华西股份</t>
  </si>
  <si>
    <t>恒逸石化</t>
  </si>
  <si>
    <t>恒天海龙</t>
  </si>
  <si>
    <t>东方盛虹</t>
  </si>
  <si>
    <t>丸美生物</t>
  </si>
  <si>
    <t>珀莱雅</t>
  </si>
  <si>
    <t>福瑞达</t>
  </si>
  <si>
    <t>敷尔佳</t>
  </si>
  <si>
    <t>贝泰妮</t>
  </si>
  <si>
    <t>科思股份</t>
  </si>
  <si>
    <t>水羊股份</t>
  </si>
  <si>
    <t>青松股份</t>
  </si>
  <si>
    <t>青岛金王</t>
  </si>
  <si>
    <t>拉芳家化</t>
  </si>
  <si>
    <t>润本股份</t>
  </si>
  <si>
    <t>倍加洁</t>
  </si>
  <si>
    <t>上海家化</t>
  </si>
  <si>
    <t>洁雅股份</t>
  </si>
  <si>
    <t>赞宇科技</t>
  </si>
  <si>
    <t>登康口腔</t>
  </si>
  <si>
    <t>康普顿</t>
  </si>
  <si>
    <t>统一股份</t>
  </si>
  <si>
    <t>宝利国际</t>
  </si>
  <si>
    <t>万邦达</t>
  </si>
  <si>
    <t>东华能源</t>
  </si>
  <si>
    <t>岳阳兴长</t>
  </si>
  <si>
    <t>机器人</t>
  </si>
  <si>
    <t>股票代码</t>
    <phoneticPr fontId="1" type="noConversion"/>
  </si>
  <si>
    <t>股票名称</t>
    <phoneticPr fontId="1" type="noConversion"/>
  </si>
  <si>
    <t>细分行业</t>
    <phoneticPr fontId="1" type="noConversion"/>
  </si>
  <si>
    <t>九号公司-WD</t>
  </si>
  <si>
    <t>中芯国际</t>
  </si>
  <si>
    <t>天能股份</t>
  </si>
  <si>
    <t>瑞可达</t>
  </si>
  <si>
    <t>华纳药厂</t>
  </si>
  <si>
    <t>艾为电子</t>
  </si>
  <si>
    <t>倍轻松</t>
  </si>
  <si>
    <t>宏华数科</t>
  </si>
  <si>
    <t>科思科技</t>
  </si>
  <si>
    <t>海天瑞声</t>
  </si>
  <si>
    <t>悦安新材</t>
  </si>
  <si>
    <t>五矿新能</t>
  </si>
  <si>
    <t>厦钨新能</t>
  </si>
  <si>
    <t>中控技术</t>
  </si>
  <si>
    <t>国光电气</t>
  </si>
  <si>
    <t>影石创新</t>
  </si>
  <si>
    <t>珠海冠宇</t>
  </si>
  <si>
    <t>容知日新</t>
  </si>
  <si>
    <t>博拓生物</t>
  </si>
  <si>
    <t>普冉股份</t>
  </si>
  <si>
    <t>赛分科技</t>
  </si>
  <si>
    <t>胜科纳米</t>
  </si>
  <si>
    <t>汉邦科技</t>
  </si>
  <si>
    <t>金天钛业</t>
  </si>
  <si>
    <t>成大生物</t>
  </si>
  <si>
    <t>中自科技</t>
  </si>
  <si>
    <t>壹石通</t>
  </si>
  <si>
    <t>屹唐股份</t>
  </si>
  <si>
    <t>格科微</t>
  </si>
  <si>
    <t>拉普拉斯</t>
  </si>
  <si>
    <t>同益中</t>
  </si>
  <si>
    <t>龙图光罩</t>
  </si>
  <si>
    <t>艾森股份</t>
  </si>
  <si>
    <t>爱科赛博</t>
  </si>
  <si>
    <t>唯赛勃</t>
  </si>
  <si>
    <t>艾罗能源</t>
  </si>
  <si>
    <t>中研股份</t>
  </si>
  <si>
    <t>宏微科技</t>
  </si>
  <si>
    <t>益诺思</t>
  </si>
  <si>
    <t>成都华微</t>
  </si>
  <si>
    <t>佳驰科技</t>
  </si>
  <si>
    <t>盛科通信-U</t>
  </si>
  <si>
    <t>卓锦股份</t>
  </si>
  <si>
    <t>东威科技</t>
  </si>
  <si>
    <t>明微电子</t>
  </si>
  <si>
    <t>伟创电气</t>
  </si>
  <si>
    <t>纽威数控</t>
  </si>
  <si>
    <t>极米科技</t>
  </si>
  <si>
    <t>中创股份</t>
  </si>
  <si>
    <t>锴威特</t>
  </si>
  <si>
    <t>达梦数据</t>
  </si>
  <si>
    <t>灿芯股份</t>
  </si>
  <si>
    <t>纳微科技</t>
  </si>
  <si>
    <t>银河微电</t>
  </si>
  <si>
    <t>凯因科技</t>
  </si>
  <si>
    <t>奥普特</t>
  </si>
  <si>
    <t>迈信林</t>
  </si>
  <si>
    <t>莱尔科技</t>
  </si>
  <si>
    <t>霍莱沃</t>
  </si>
  <si>
    <t>科汇股份</t>
  </si>
  <si>
    <t>通源环境</t>
  </si>
  <si>
    <t>福立旺</t>
  </si>
  <si>
    <t>海泰新光</t>
  </si>
  <si>
    <t>金盘科技</t>
  </si>
  <si>
    <t>碧兴物联</t>
  </si>
  <si>
    <t>金迪克</t>
  </si>
  <si>
    <t>聚石化学</t>
  </si>
  <si>
    <t>鼎通科技</t>
  </si>
  <si>
    <t>菱电电控</t>
  </si>
  <si>
    <t>四方光电</t>
  </si>
  <si>
    <t>新风光</t>
  </si>
  <si>
    <t>富信科技</t>
  </si>
  <si>
    <t>和林微纳</t>
  </si>
  <si>
    <t>电气风电</t>
  </si>
  <si>
    <t>元琛科技</t>
  </si>
  <si>
    <t>悦康药业</t>
  </si>
  <si>
    <t>浩辰软件</t>
  </si>
  <si>
    <t>浩欧博</t>
  </si>
  <si>
    <t>迅捷兴</t>
  </si>
  <si>
    <t>康希通信</t>
  </si>
  <si>
    <t>京仪装备</t>
  </si>
  <si>
    <t>盛邦安全</t>
  </si>
  <si>
    <t>中邮科技</t>
  </si>
  <si>
    <t>华恒生物</t>
  </si>
  <si>
    <t>誉辰智能</t>
  </si>
  <si>
    <t>智明达</t>
  </si>
  <si>
    <t>星球石墨</t>
  </si>
  <si>
    <t>莱斯信息</t>
  </si>
  <si>
    <t>芯碁微装</t>
  </si>
  <si>
    <t>华丰科技</t>
  </si>
  <si>
    <t>优利德</t>
  </si>
  <si>
    <t>精智达</t>
  </si>
  <si>
    <t>翔宇医疗</t>
  </si>
  <si>
    <t>呈和科技</t>
  </si>
  <si>
    <t>双元科技</t>
  </si>
  <si>
    <t>禾信仪器</t>
  </si>
  <si>
    <t>阳光诺和</t>
  </si>
  <si>
    <t>安凯微</t>
  </si>
  <si>
    <t>罗普特</t>
  </si>
  <si>
    <t>三旺通信</t>
  </si>
  <si>
    <t>惠泰医疗</t>
  </si>
  <si>
    <t>西力科技</t>
  </si>
  <si>
    <t>合合信息</t>
  </si>
  <si>
    <t>奥精医疗</t>
  </si>
  <si>
    <t>威迈斯</t>
  </si>
  <si>
    <t>杭州柯林</t>
  </si>
  <si>
    <t>埃科光电</t>
  </si>
  <si>
    <t>九联科技</t>
  </si>
  <si>
    <t>恒玄科技</t>
  </si>
  <si>
    <t>康众医疗</t>
  </si>
  <si>
    <t>奥泰生物</t>
  </si>
  <si>
    <t>先锋精科</t>
  </si>
  <si>
    <t>天承科技</t>
  </si>
  <si>
    <t>康鹏科技</t>
  </si>
  <si>
    <t>力芯微</t>
  </si>
  <si>
    <t>皖仪科技</t>
  </si>
  <si>
    <t>天合光能</t>
  </si>
  <si>
    <t>煜邦电力</t>
  </si>
  <si>
    <t>正帆科技</t>
  </si>
  <si>
    <t>芯海科技</t>
  </si>
  <si>
    <t>新相微</t>
  </si>
  <si>
    <t>司南导航</t>
  </si>
  <si>
    <t>泰凌微</t>
  </si>
  <si>
    <t>新致软件</t>
  </si>
  <si>
    <t>力合微</t>
  </si>
  <si>
    <t>凌志软件</t>
  </si>
  <si>
    <t>江航装备</t>
  </si>
  <si>
    <t>上纬新材</t>
  </si>
  <si>
    <t>上海合晶</t>
  </si>
  <si>
    <t>思看科技</t>
  </si>
  <si>
    <t>芯动联科</t>
  </si>
  <si>
    <t>安杰思</t>
  </si>
  <si>
    <t>伟思医疗</t>
  </si>
  <si>
    <t>山大地纬</t>
  </si>
  <si>
    <t>艾力斯</t>
  </si>
  <si>
    <t>浙海德曼</t>
  </si>
  <si>
    <t>西山科技</t>
  </si>
  <si>
    <t>亚辉龙</t>
  </si>
  <si>
    <t>信宇人</t>
  </si>
  <si>
    <t>杭华股份</t>
  </si>
  <si>
    <t>天玛智控</t>
  </si>
  <si>
    <t>铁科轨道</t>
  </si>
  <si>
    <t>中科星图</t>
  </si>
  <si>
    <t>孚能科技</t>
  </si>
  <si>
    <t>吉贝尔</t>
  </si>
  <si>
    <t>力源科技</t>
  </si>
  <si>
    <t>航材股份</t>
  </si>
  <si>
    <t>航天软件</t>
  </si>
  <si>
    <t>奇安信-U</t>
  </si>
  <si>
    <t>明冠新材</t>
  </si>
  <si>
    <t>海目星</t>
  </si>
  <si>
    <t>国盛智科</t>
  </si>
  <si>
    <t>兰剑智能</t>
  </si>
  <si>
    <t>高测股份</t>
  </si>
  <si>
    <t>汇宇制药-W</t>
  </si>
  <si>
    <t>航天南湖</t>
  </si>
  <si>
    <t>科威尔</t>
  </si>
  <si>
    <t>瑞联新材</t>
  </si>
  <si>
    <t>中巨芯-U</t>
  </si>
  <si>
    <t>广钢气体</t>
  </si>
  <si>
    <t>兴福电子</t>
  </si>
  <si>
    <t>国科军工</t>
  </si>
  <si>
    <t>高华科技</t>
  </si>
  <si>
    <t>思瑞浦</t>
  </si>
  <si>
    <t>华海诚科</t>
  </si>
  <si>
    <t>上声电子</t>
  </si>
  <si>
    <t>日联科技</t>
  </si>
  <si>
    <t>欧莱新材</t>
  </si>
  <si>
    <t>豪森智能</t>
  </si>
  <si>
    <t>秦川物联</t>
  </si>
  <si>
    <t>科前生物</t>
  </si>
  <si>
    <t>佰维存储</t>
  </si>
  <si>
    <t>航天环宇</t>
  </si>
  <si>
    <t>纳睿雷达</t>
  </si>
  <si>
    <t>芯原股份</t>
  </si>
  <si>
    <t>神州细胞</t>
  </si>
  <si>
    <t>南亚新材</t>
  </si>
  <si>
    <t>联赢激光</t>
  </si>
  <si>
    <t>金冠电气</t>
  </si>
  <si>
    <t>奥特维</t>
  </si>
  <si>
    <t>裕太微-U</t>
  </si>
  <si>
    <t>苑东生物</t>
  </si>
  <si>
    <t>慧智微-U</t>
  </si>
  <si>
    <t>航亚科技</t>
  </si>
  <si>
    <t>正元地信</t>
  </si>
  <si>
    <t>芯朋微</t>
  </si>
  <si>
    <t>索辰科技</t>
  </si>
  <si>
    <t>百利天恒</t>
  </si>
  <si>
    <t>复旦张江</t>
  </si>
  <si>
    <t>聚和材料</t>
  </si>
  <si>
    <t>茂莱光学</t>
  </si>
  <si>
    <t>青达环保</t>
  </si>
  <si>
    <t>慧辰股份</t>
  </si>
  <si>
    <t>利元亨</t>
  </si>
  <si>
    <t>源杰科技</t>
  </si>
  <si>
    <t>清越科技</t>
  </si>
  <si>
    <t>三未信安</t>
  </si>
  <si>
    <t>艾迪药业</t>
  </si>
  <si>
    <t>龙迅股份</t>
  </si>
  <si>
    <t>九州一轨</t>
  </si>
  <si>
    <t>南芯科技</t>
  </si>
  <si>
    <t>赛恩斯</t>
  </si>
  <si>
    <t>友车科技</t>
  </si>
  <si>
    <t>晶升股份</t>
  </si>
  <si>
    <t>萤石网络</t>
  </si>
  <si>
    <t>阿特斯</t>
  </si>
  <si>
    <t>芯联集成-U</t>
  </si>
  <si>
    <t>科美诊断</t>
  </si>
  <si>
    <t>金科环境</t>
  </si>
  <si>
    <t>哈铁科技</t>
  </si>
  <si>
    <t>美芯晟</t>
  </si>
  <si>
    <t>有研粉材</t>
  </si>
  <si>
    <t>科捷智能</t>
  </si>
  <si>
    <t>光格科技</t>
  </si>
  <si>
    <t>联芸科技</t>
  </si>
  <si>
    <t>磁谷科技</t>
  </si>
  <si>
    <t>智翔金泰-U</t>
  </si>
  <si>
    <t>振华风光</t>
  </si>
  <si>
    <t>英方软件</t>
  </si>
  <si>
    <t>华曙高科</t>
  </si>
  <si>
    <t>有研硅</t>
  </si>
  <si>
    <t>诺诚健华-U</t>
  </si>
  <si>
    <t>康为世纪</t>
  </si>
  <si>
    <t>铁建重工</t>
  </si>
  <si>
    <t>美腾科技</t>
  </si>
  <si>
    <t>耐科装备</t>
  </si>
  <si>
    <t>震有科技</t>
  </si>
  <si>
    <t>恒烁股份</t>
  </si>
  <si>
    <t>海博思创</t>
  </si>
  <si>
    <t>山外山</t>
  </si>
  <si>
    <t>富创精密</t>
  </si>
  <si>
    <t>中信博</t>
  </si>
  <si>
    <t>汇成股份</t>
  </si>
  <si>
    <t>路维光电</t>
  </si>
  <si>
    <t>凌云光</t>
  </si>
  <si>
    <t>硕世生物</t>
  </si>
  <si>
    <t>赛特新材</t>
  </si>
  <si>
    <t>华润微</t>
  </si>
  <si>
    <t>正弦电气</t>
  </si>
  <si>
    <t>安必平</t>
  </si>
  <si>
    <t>骄成超声</t>
  </si>
  <si>
    <t>钜泉科技</t>
  </si>
  <si>
    <t>固德威</t>
  </si>
  <si>
    <t>普门科技</t>
  </si>
  <si>
    <t>嘉元科技</t>
  </si>
  <si>
    <t>信科移动-U</t>
  </si>
  <si>
    <t>泛亚微透</t>
  </si>
  <si>
    <t>复旦微电</t>
  </si>
  <si>
    <t>新益昌</t>
  </si>
  <si>
    <t>益方生物-U</t>
  </si>
  <si>
    <t>帝奥微</t>
  </si>
  <si>
    <t>中微半导</t>
  </si>
  <si>
    <t>华光新材</t>
  </si>
  <si>
    <t>奥来德</t>
  </si>
  <si>
    <t>迪威尔</t>
  </si>
  <si>
    <t>美埃科技</t>
  </si>
  <si>
    <t>国博电子</t>
  </si>
  <si>
    <t>盟科药业-U</t>
  </si>
  <si>
    <t>伟测科技</t>
  </si>
  <si>
    <t>菲沃泰</t>
  </si>
  <si>
    <t>丛麟科技</t>
  </si>
  <si>
    <t>致远互联</t>
  </si>
  <si>
    <t>晶丰明源</t>
  </si>
  <si>
    <t>工大高科</t>
  </si>
  <si>
    <t>昊海生科</t>
  </si>
  <si>
    <t>光云科技</t>
  </si>
  <si>
    <t>华熙生物</t>
  </si>
  <si>
    <t>甬矽电子</t>
  </si>
  <si>
    <t>中科飞测</t>
  </si>
  <si>
    <t>德马科技</t>
  </si>
  <si>
    <t>三孚新科</t>
  </si>
  <si>
    <t>祥生医疗</t>
  </si>
  <si>
    <t>建龙微纳</t>
  </si>
  <si>
    <t>键凯科技</t>
  </si>
  <si>
    <t>明志科技</t>
  </si>
  <si>
    <t>颀中科技</t>
  </si>
  <si>
    <t>微电生理</t>
  </si>
  <si>
    <t>富淼科技</t>
  </si>
  <si>
    <t>三一重能</t>
  </si>
  <si>
    <t>昱能科技</t>
  </si>
  <si>
    <t>华虹公司</t>
  </si>
  <si>
    <t>博力威</t>
  </si>
  <si>
    <t>云天励飞-U</t>
  </si>
  <si>
    <t>赛科希德</t>
  </si>
  <si>
    <t>普源精电</t>
  </si>
  <si>
    <t>三生国健</t>
  </si>
  <si>
    <t>复洁环保</t>
  </si>
  <si>
    <t>西高院</t>
  </si>
  <si>
    <t>铂力特</t>
  </si>
  <si>
    <t>中科蓝讯</t>
  </si>
  <si>
    <t>荣昌生物</t>
  </si>
  <si>
    <t>宏力达</t>
  </si>
  <si>
    <t>艾隆科技</t>
  </si>
  <si>
    <t>深科达</t>
  </si>
  <si>
    <t>云从科技-UW</t>
  </si>
  <si>
    <t>经纬恒润-W</t>
  </si>
  <si>
    <t>赛微微电</t>
  </si>
  <si>
    <t>瑞华泰</t>
  </si>
  <si>
    <t>奥比中光-UW</t>
  </si>
  <si>
    <t>微芯生物</t>
  </si>
  <si>
    <t>禾川科技</t>
  </si>
  <si>
    <t>欧林生物</t>
  </si>
  <si>
    <t>财富趋势</t>
  </si>
  <si>
    <t>之江生物</t>
  </si>
  <si>
    <t>青云科技-U</t>
  </si>
  <si>
    <t>诺禾致源</t>
  </si>
  <si>
    <t>康拓医疗</t>
  </si>
  <si>
    <t>仕佳光子</t>
  </si>
  <si>
    <t>燕麦科技</t>
  </si>
  <si>
    <t>盟升电子</t>
  </si>
  <si>
    <t>迈得医疗</t>
  </si>
  <si>
    <t>恒誉环保</t>
  </si>
  <si>
    <t>欧科亿</t>
  </si>
  <si>
    <t>中润光学</t>
  </si>
  <si>
    <t>均普智能</t>
  </si>
  <si>
    <t>科德数控</t>
  </si>
  <si>
    <t>海创药业-U</t>
  </si>
  <si>
    <t>奕瑞科技</t>
  </si>
  <si>
    <t>联瑞新材</t>
  </si>
  <si>
    <t>长阳科技</t>
  </si>
  <si>
    <t>东方生物</t>
  </si>
  <si>
    <t>中无人机</t>
  </si>
  <si>
    <t>和达科技</t>
  </si>
  <si>
    <t>中复神鹰</t>
  </si>
  <si>
    <t>奥浦迈</t>
  </si>
  <si>
    <t>浩瀚深度</t>
  </si>
  <si>
    <t>金橙子</t>
  </si>
  <si>
    <t>景业智能</t>
  </si>
  <si>
    <t>圣湘生物</t>
  </si>
  <si>
    <t>鸿泉物联</t>
  </si>
  <si>
    <t>敏芯股份</t>
  </si>
  <si>
    <t>高铁电气</t>
  </si>
  <si>
    <t>坤恒顺维</t>
  </si>
  <si>
    <t>华秦科技</t>
  </si>
  <si>
    <t>精进电动-UW</t>
  </si>
  <si>
    <t>峰岹科技</t>
  </si>
  <si>
    <t>特宝生物</t>
  </si>
  <si>
    <t>天智航-U</t>
  </si>
  <si>
    <t>百克生物</t>
  </si>
  <si>
    <t>万润新能</t>
  </si>
  <si>
    <t>麦澜德</t>
  </si>
  <si>
    <t>富吉瑞</t>
  </si>
  <si>
    <t>联影医疗</t>
  </si>
  <si>
    <t>臻镭科技</t>
  </si>
  <si>
    <t>凯立新材</t>
  </si>
  <si>
    <t>华特气体</t>
  </si>
  <si>
    <t>中触媒</t>
  </si>
  <si>
    <t>泽璟制药-U</t>
  </si>
  <si>
    <t>南模生物</t>
  </si>
  <si>
    <t>国芯科技</t>
  </si>
  <si>
    <t>东微半导</t>
  </si>
  <si>
    <t>昀冢科技</t>
  </si>
  <si>
    <t>创耀科技</t>
  </si>
  <si>
    <t>卓易信息</t>
  </si>
  <si>
    <t>新锐股份</t>
  </si>
  <si>
    <t>寒武纪-U</t>
  </si>
  <si>
    <t>凯尔达</t>
  </si>
  <si>
    <t>英诺特</t>
  </si>
  <si>
    <t>天德钰</t>
  </si>
  <si>
    <t>井松智能</t>
  </si>
  <si>
    <t>晶合集成</t>
  </si>
  <si>
    <t>南网科技</t>
  </si>
  <si>
    <t>宣泰医药</t>
  </si>
  <si>
    <t>嘉和美康</t>
  </si>
  <si>
    <t>永信至诚</t>
  </si>
  <si>
    <t>航宇科技</t>
  </si>
  <si>
    <t>超卓航科</t>
  </si>
  <si>
    <t>春立医疗</t>
  </si>
  <si>
    <t>百济神州-U</t>
  </si>
  <si>
    <t>天岳先进</t>
  </si>
  <si>
    <t>神工股份</t>
  </si>
  <si>
    <t>新点软件</t>
  </si>
  <si>
    <t>隆达股份</t>
  </si>
  <si>
    <t>芯导科技</t>
  </si>
  <si>
    <t>博睿数据</t>
  </si>
  <si>
    <t>开普云</t>
  </si>
  <si>
    <t>品高股份</t>
  </si>
  <si>
    <t>威腾电气</t>
  </si>
  <si>
    <t>亚信安全</t>
  </si>
  <si>
    <t>晶科能源</t>
  </si>
  <si>
    <t>成都先导</t>
  </si>
  <si>
    <t>前沿生物-U</t>
  </si>
  <si>
    <t>翱捷科技-U</t>
  </si>
  <si>
    <t>会通股份</t>
  </si>
  <si>
    <t>江苏北人</t>
  </si>
  <si>
    <t>睿昂基因</t>
  </si>
  <si>
    <t>瑞晟智能</t>
  </si>
  <si>
    <t>思特威-W</t>
  </si>
  <si>
    <t>澳华内镜</t>
  </si>
  <si>
    <t>中科微至</t>
  </si>
  <si>
    <t>统联精密</t>
  </si>
  <si>
    <t>英集芯</t>
  </si>
  <si>
    <t>道通科技</t>
  </si>
  <si>
    <t>格灵深瞳</t>
  </si>
  <si>
    <t>概伦电子</t>
  </si>
  <si>
    <t>德科立</t>
  </si>
  <si>
    <t>海正生材</t>
  </si>
  <si>
    <t>美迪西</t>
  </si>
  <si>
    <t>信安世纪</t>
  </si>
  <si>
    <t>华峰测控</t>
  </si>
  <si>
    <t>久日新材</t>
  </si>
  <si>
    <t>佰仁医疗</t>
  </si>
  <si>
    <t>首药控股-U</t>
  </si>
  <si>
    <t>卓越新能</t>
  </si>
  <si>
    <t>腾景科技</t>
  </si>
  <si>
    <t>仁度生物</t>
  </si>
  <si>
    <t>迪哲医药-U</t>
  </si>
  <si>
    <t>智洋创新</t>
  </si>
  <si>
    <t>云路股份</t>
  </si>
  <si>
    <t>南新制药</t>
  </si>
  <si>
    <t>柏楚电子</t>
  </si>
  <si>
    <t>时代电气</t>
  </si>
  <si>
    <t>广大特材</t>
  </si>
  <si>
    <t>康希诺</t>
  </si>
  <si>
    <t>生益电子</t>
  </si>
  <si>
    <t>灿勤科技</t>
  </si>
  <si>
    <t>八亿时空</t>
  </si>
  <si>
    <t>君实生物-U</t>
  </si>
  <si>
    <t>阿拉丁</t>
  </si>
  <si>
    <t>万德斯</t>
  </si>
  <si>
    <t>百奥泰</t>
  </si>
  <si>
    <t>亚虹医药-U</t>
  </si>
  <si>
    <t>高凌信息</t>
  </si>
  <si>
    <t>希荻微</t>
  </si>
  <si>
    <t>燕东微</t>
  </si>
  <si>
    <t>纬德信息</t>
  </si>
  <si>
    <t>德龙激光</t>
  </si>
  <si>
    <t>石头科技</t>
  </si>
  <si>
    <t>安博通</t>
  </si>
  <si>
    <t>炬光科技</t>
  </si>
  <si>
    <t>博瑞医药</t>
  </si>
  <si>
    <t>埃夫特-U</t>
  </si>
  <si>
    <t>赛伦生物</t>
  </si>
  <si>
    <t>巨一科技</t>
  </si>
  <si>
    <t>威高骨科</t>
  </si>
  <si>
    <t>步科股份</t>
  </si>
  <si>
    <t>有方科技</t>
  </si>
  <si>
    <t>优刻得-W</t>
  </si>
  <si>
    <t>松井股份</t>
  </si>
  <si>
    <t>路德环境</t>
  </si>
  <si>
    <t>先惠技术</t>
  </si>
  <si>
    <t>唯捷创芯</t>
  </si>
  <si>
    <t>麒麟信安</t>
  </si>
  <si>
    <t>华强科技</t>
  </si>
  <si>
    <t>莱特光电</t>
  </si>
  <si>
    <t>微导纳米</t>
  </si>
  <si>
    <t>中船特气</t>
  </si>
  <si>
    <t>长盈通</t>
  </si>
  <si>
    <t>杰华特</t>
  </si>
  <si>
    <t>海尔生物</t>
  </si>
  <si>
    <t>清溢光电</t>
  </si>
  <si>
    <t>近岸蛋白</t>
  </si>
  <si>
    <t>科兴制药</t>
  </si>
  <si>
    <t>利扬芯片</t>
  </si>
  <si>
    <t>泰坦科技</t>
  </si>
  <si>
    <t>邦彦技术</t>
  </si>
  <si>
    <t>皓元医药</t>
  </si>
  <si>
    <t>晶华微</t>
  </si>
  <si>
    <t>东来技术</t>
  </si>
  <si>
    <t>中国电研</t>
  </si>
  <si>
    <t>蓝特光学</t>
  </si>
  <si>
    <t>安达智能</t>
  </si>
  <si>
    <t>聚辰股份</t>
  </si>
  <si>
    <t>西部超导</t>
  </si>
  <si>
    <t>卓然股份</t>
  </si>
  <si>
    <t>华海清科</t>
  </si>
  <si>
    <t>中钢洛耐</t>
  </si>
  <si>
    <t>普元信息</t>
  </si>
  <si>
    <t>圣诺生物</t>
  </si>
  <si>
    <t>天奈科技</t>
  </si>
  <si>
    <t>思林杰</t>
  </si>
  <si>
    <t>华大智造</t>
  </si>
  <si>
    <t>联测科技</t>
  </si>
  <si>
    <t>鼎阳科技</t>
  </si>
  <si>
    <t>金山办公</t>
  </si>
  <si>
    <t>东芯股份</t>
  </si>
  <si>
    <t>品茗科技</t>
  </si>
  <si>
    <t>赛诺医疗</t>
  </si>
  <si>
    <t>安路科技</t>
  </si>
  <si>
    <t>金宏气体</t>
  </si>
  <si>
    <t>诺唯赞</t>
  </si>
  <si>
    <t>国力股份</t>
  </si>
  <si>
    <t>斯瑞新材</t>
  </si>
  <si>
    <t>三达膜</t>
  </si>
  <si>
    <t>威胜信息</t>
  </si>
  <si>
    <t>晶晨股份</t>
  </si>
  <si>
    <t>申联生物</t>
  </si>
  <si>
    <t>博众精工</t>
  </si>
  <si>
    <t>京源环保</t>
  </si>
  <si>
    <t>福昕软件</t>
  </si>
  <si>
    <t>世华科技</t>
  </si>
  <si>
    <t>爱科科技</t>
  </si>
  <si>
    <t>上海谊众</t>
  </si>
  <si>
    <t>瑞松科技</t>
  </si>
  <si>
    <t>嘉必优</t>
  </si>
  <si>
    <t>虹软科技</t>
  </si>
  <si>
    <t>英科再生</t>
  </si>
  <si>
    <t>三友医疗</t>
  </si>
  <si>
    <t>晶品特装</t>
  </si>
  <si>
    <t>中望软件</t>
  </si>
  <si>
    <t>盛美上海</t>
  </si>
  <si>
    <t>兴图新科</t>
  </si>
  <si>
    <t>映翰通</t>
  </si>
  <si>
    <t>美迪凯</t>
  </si>
  <si>
    <t>龙软科技</t>
  </si>
  <si>
    <t>大地熊</t>
  </si>
  <si>
    <t>安旭生物</t>
  </si>
  <si>
    <t>毕得医药</t>
  </si>
  <si>
    <t>拓荆科技</t>
  </si>
  <si>
    <t>华依科技</t>
  </si>
  <si>
    <t>纵横股份</t>
  </si>
  <si>
    <t>德林海</t>
  </si>
  <si>
    <t>热景生物</t>
  </si>
  <si>
    <t>爱威科技</t>
  </si>
  <si>
    <t>航天宏图</t>
  </si>
  <si>
    <t>凯赛生物</t>
  </si>
  <si>
    <t>派能科技</t>
  </si>
  <si>
    <t>迈威生物-U</t>
  </si>
  <si>
    <t>灿瑞科技</t>
  </si>
  <si>
    <t>云涌科技</t>
  </si>
  <si>
    <t>华锐精密</t>
  </si>
  <si>
    <t>宝兰德</t>
  </si>
  <si>
    <t>金达莱</t>
  </si>
  <si>
    <t>莱伯泰科</t>
  </si>
  <si>
    <t>龙腾光电</t>
  </si>
  <si>
    <t>思科瑞</t>
  </si>
  <si>
    <t>纳芯微</t>
  </si>
  <si>
    <t>佳华科技</t>
  </si>
  <si>
    <t>爱博医疗</t>
  </si>
  <si>
    <t>炬芯科技</t>
  </si>
  <si>
    <t>长光华芯</t>
  </si>
  <si>
    <t>龙芯中科</t>
  </si>
  <si>
    <t>药康生物</t>
  </si>
  <si>
    <t>必易微</t>
  </si>
  <si>
    <t>海光信息</t>
  </si>
  <si>
    <t>当虹科技</t>
  </si>
  <si>
    <t>中科通达</t>
  </si>
  <si>
    <t>芯源微</t>
  </si>
  <si>
    <t>传音控股</t>
  </si>
  <si>
    <t>德邦科技</t>
  </si>
  <si>
    <t>禾迈股份</t>
  </si>
  <si>
    <t>星环科技-U</t>
  </si>
  <si>
    <t>山石网科</t>
  </si>
  <si>
    <t>南微医学</t>
  </si>
  <si>
    <t>沃尔德</t>
  </si>
  <si>
    <t>国盾量子</t>
  </si>
  <si>
    <t>洁特生物</t>
  </si>
  <si>
    <t>杰普特</t>
  </si>
  <si>
    <t>安恒信息</t>
  </si>
  <si>
    <t>瀚川智能</t>
  </si>
  <si>
    <t>奥福科技</t>
  </si>
  <si>
    <t>方邦股份</t>
  </si>
  <si>
    <t>安集科技</t>
  </si>
  <si>
    <t>乐鑫科技</t>
  </si>
  <si>
    <t>绿的谐波</t>
  </si>
  <si>
    <t>心脉医疗</t>
  </si>
  <si>
    <t>交控科技</t>
  </si>
  <si>
    <t>天臣医疗</t>
  </si>
  <si>
    <t>中微公司</t>
  </si>
  <si>
    <t>福光股份</t>
  </si>
  <si>
    <t>中国通号</t>
  </si>
  <si>
    <t>澜起科技</t>
  </si>
  <si>
    <t>光峰科技</t>
  </si>
  <si>
    <t>杭可科技</t>
  </si>
  <si>
    <t>容百科技</t>
  </si>
  <si>
    <t>博汇科技</t>
  </si>
  <si>
    <t>天准科技</t>
  </si>
  <si>
    <t>睿创微纳</t>
  </si>
  <si>
    <t>华兴源创</t>
  </si>
  <si>
    <t>菜百股份</t>
  </si>
  <si>
    <t>冠石科技</t>
  </si>
  <si>
    <t>恒盛能源</t>
  </si>
  <si>
    <t>晨光新材</t>
  </si>
  <si>
    <t>宏柏新材</t>
  </si>
  <si>
    <t>立昂微</t>
  </si>
  <si>
    <t>李子园</t>
  </si>
  <si>
    <t>帅丰电器</t>
  </si>
  <si>
    <t>法狮龙</t>
  </si>
  <si>
    <t>园林股份</t>
  </si>
  <si>
    <t>德才股份</t>
  </si>
  <si>
    <t>同力日升</t>
  </si>
  <si>
    <t>新亚电子</t>
  </si>
  <si>
    <t>健之佳</t>
  </si>
  <si>
    <t>国光连锁</t>
  </si>
  <si>
    <t>东亚药业</t>
  </si>
  <si>
    <t>新中港</t>
  </si>
  <si>
    <t>西上海</t>
  </si>
  <si>
    <t>丽人丽妆</t>
  </si>
  <si>
    <t>四方新材</t>
  </si>
  <si>
    <t>行动教育</t>
  </si>
  <si>
    <t>迎丰股份</t>
  </si>
  <si>
    <t>世茂能源</t>
  </si>
  <si>
    <t>长华集团</t>
  </si>
  <si>
    <t>杭州热电</t>
  </si>
  <si>
    <t>长鸿高科</t>
  </si>
  <si>
    <t>至正股份</t>
  </si>
  <si>
    <t>泉峰汽车</t>
  </si>
  <si>
    <t>吉华集团</t>
  </si>
  <si>
    <t>醋化股份</t>
  </si>
  <si>
    <t>百利科技</t>
  </si>
  <si>
    <t>益丰药房</t>
  </si>
  <si>
    <t>丽岛新材</t>
  </si>
  <si>
    <t>中科软</t>
  </si>
  <si>
    <t>金桥信息</t>
  </si>
  <si>
    <t>佳力图</t>
  </si>
  <si>
    <t>建发合诚</t>
  </si>
  <si>
    <t>龙蟠科技</t>
  </si>
  <si>
    <t>元祖股份</t>
  </si>
  <si>
    <t>老百姓</t>
  </si>
  <si>
    <t>金域医学</t>
  </si>
  <si>
    <t>南卫股份</t>
  </si>
  <si>
    <t>永悦科技</t>
  </si>
  <si>
    <t>中公高科</t>
  </si>
  <si>
    <t>海程邦达</t>
  </si>
  <si>
    <t>华扬联众</t>
  </si>
  <si>
    <t>神力股份</t>
  </si>
  <si>
    <t>曲美家居</t>
  </si>
  <si>
    <t>交建股份</t>
  </si>
  <si>
    <t>瑞斯康达</t>
  </si>
  <si>
    <t>洪田股份</t>
  </si>
  <si>
    <t>沃格光电</t>
  </si>
  <si>
    <t>大元泵业</t>
  </si>
  <si>
    <t>龙韵股份</t>
  </si>
  <si>
    <t>博迈科</t>
  </si>
  <si>
    <t>阿科力</t>
  </si>
  <si>
    <t>良品铺子</t>
  </si>
  <si>
    <t>塞力医疗</t>
  </si>
  <si>
    <t>七一二</t>
  </si>
  <si>
    <t>香飘飘</t>
  </si>
  <si>
    <t>中源家居</t>
  </si>
  <si>
    <t>家家悦</t>
  </si>
  <si>
    <t>晨丰科技</t>
  </si>
  <si>
    <t>锦和商管</t>
  </si>
  <si>
    <t>华体科技</t>
  </si>
  <si>
    <t>恒林股份</t>
  </si>
  <si>
    <t>苏州科达</t>
  </si>
  <si>
    <t>XD畅联股</t>
  </si>
  <si>
    <t>南威软件</t>
  </si>
  <si>
    <t>科森科技</t>
  </si>
  <si>
    <t>中曼石油</t>
  </si>
  <si>
    <t>韩建河山</t>
  </si>
  <si>
    <t>茶花股份</t>
  </si>
  <si>
    <t>天创时尚</t>
  </si>
  <si>
    <t>惠发食品</t>
  </si>
  <si>
    <t>掌阅科技</t>
  </si>
  <si>
    <t>豪威集团</t>
  </si>
  <si>
    <t>恒为科技</t>
  </si>
  <si>
    <t>勘设股份</t>
  </si>
  <si>
    <t>天富龙</t>
  </si>
  <si>
    <t>华之杰</t>
  </si>
  <si>
    <t>永杉锂业</t>
  </si>
  <si>
    <t>万泰生物</t>
  </si>
  <si>
    <t>海阳科技</t>
  </si>
  <si>
    <t>安邦护卫</t>
  </si>
  <si>
    <t>华新精科</t>
  </si>
  <si>
    <t>日出东方</t>
  </si>
  <si>
    <t>东珠生态</t>
  </si>
  <si>
    <t>设计总院</t>
  </si>
  <si>
    <t>华菱精工</t>
  </si>
  <si>
    <t>和顺石油</t>
  </si>
  <si>
    <t>迪生力</t>
  </si>
  <si>
    <t>尚纬股份</t>
  </si>
  <si>
    <t>天洋新材</t>
  </si>
  <si>
    <t>苏农银行</t>
  </si>
  <si>
    <t>梅轮电梯</t>
  </si>
  <si>
    <t>永新光学</t>
  </si>
  <si>
    <t>日盈电子</t>
  </si>
  <si>
    <t>技源集团</t>
  </si>
  <si>
    <t>中国瑞林</t>
  </si>
  <si>
    <t>鼎际得</t>
  </si>
  <si>
    <t>五芳斋</t>
  </si>
  <si>
    <t>大参林</t>
  </si>
  <si>
    <t>济民健康</t>
  </si>
  <si>
    <t>赛伍技术</t>
  </si>
  <si>
    <t>中力股份</t>
  </si>
  <si>
    <t>弘元绿能</t>
  </si>
  <si>
    <t>建研院</t>
  </si>
  <si>
    <t>圣龙股份</t>
  </si>
  <si>
    <t>汇通集团</t>
  </si>
  <si>
    <t>万丰股份</t>
  </si>
  <si>
    <t>上海建科</t>
  </si>
  <si>
    <t>康惠制药</t>
  </si>
  <si>
    <t>海量数据</t>
  </si>
  <si>
    <t>恒尚节能</t>
  </si>
  <si>
    <t>中材节能</t>
  </si>
  <si>
    <t>翠微股份</t>
  </si>
  <si>
    <t>合富中国</t>
  </si>
  <si>
    <t>金能科技</t>
  </si>
  <si>
    <t>润达医疗</t>
  </si>
  <si>
    <t>汇嘉时代</t>
  </si>
  <si>
    <t>森特股份</t>
  </si>
  <si>
    <t>海汽集团</t>
  </si>
  <si>
    <t>国检集团</t>
  </si>
  <si>
    <t>德邦股份</t>
  </si>
  <si>
    <t>福达合金</t>
  </si>
  <si>
    <t>华脉科技</t>
  </si>
  <si>
    <t>德新科技</t>
  </si>
  <si>
    <t>全筑股份</t>
  </si>
  <si>
    <t>赛福天</t>
  </si>
  <si>
    <t>石大胜华</t>
  </si>
  <si>
    <t>威帝股份</t>
  </si>
  <si>
    <t>华设集团</t>
  </si>
  <si>
    <t>中衡设计</t>
  </si>
  <si>
    <t>奥康国际</t>
  </si>
  <si>
    <t>人民网</t>
  </si>
  <si>
    <t>贵阳银行</t>
  </si>
  <si>
    <t>金隅集团</t>
  </si>
  <si>
    <t>大唐发电</t>
  </si>
  <si>
    <t>重庆银行</t>
  </si>
  <si>
    <t>中国出版</t>
  </si>
  <si>
    <t>永辉超市</t>
  </si>
  <si>
    <t>吉视传媒</t>
  </si>
  <si>
    <t>新集能源</t>
  </si>
  <si>
    <t>京运通</t>
  </si>
  <si>
    <t>中煤能源</t>
  </si>
  <si>
    <t>江河集团</t>
  </si>
  <si>
    <t>中国能建</t>
  </si>
  <si>
    <t>紫金银行</t>
  </si>
  <si>
    <t>中国石油</t>
  </si>
  <si>
    <t>成都银行</t>
  </si>
  <si>
    <t>沪农商行</t>
  </si>
  <si>
    <t>中海油服</t>
  </si>
  <si>
    <t>中国交建</t>
  </si>
  <si>
    <t>宁波建工</t>
  </si>
  <si>
    <t>晶科科技</t>
  </si>
  <si>
    <t>中创智领</t>
  </si>
  <si>
    <t>风范股份</t>
  </si>
  <si>
    <t>潞安环能</t>
  </si>
  <si>
    <t>中国电建</t>
  </si>
  <si>
    <t>中国建筑</t>
  </si>
  <si>
    <t>平煤股份</t>
  </si>
  <si>
    <t>齐鲁银行</t>
  </si>
  <si>
    <t>中国核建</t>
  </si>
  <si>
    <t>北辰实业</t>
  </si>
  <si>
    <t>长沙银行</t>
  </si>
  <si>
    <t>瑞丰银行</t>
  </si>
  <si>
    <t>东峰集团</t>
  </si>
  <si>
    <t>中国中铁</t>
  </si>
  <si>
    <t>三六零</t>
  </si>
  <si>
    <t>英利汽车</t>
  </si>
  <si>
    <t>广汽集团</t>
  </si>
  <si>
    <t>上海银行</t>
  </si>
  <si>
    <t>华电科工</t>
  </si>
  <si>
    <t>陕西煤业</t>
  </si>
  <si>
    <t>白银有色</t>
  </si>
  <si>
    <t>厦门银行</t>
  </si>
  <si>
    <t>中国铁建</t>
  </si>
  <si>
    <t>北京银行</t>
  </si>
  <si>
    <t>新城控股</t>
  </si>
  <si>
    <t>常熟银行</t>
  </si>
  <si>
    <t>海南橡胶</t>
  </si>
  <si>
    <t>三江购物</t>
  </si>
  <si>
    <t>中国国航</t>
  </si>
  <si>
    <t>中国一重</t>
  </si>
  <si>
    <t>昊华能源</t>
  </si>
  <si>
    <t>宏盛华源</t>
  </si>
  <si>
    <t>中国神华</t>
  </si>
  <si>
    <t>国芳集团</t>
  </si>
  <si>
    <t>渝农商行</t>
  </si>
  <si>
    <t>隆基绿能</t>
  </si>
  <si>
    <t>文峰股份</t>
  </si>
  <si>
    <t>南京银行</t>
  </si>
  <si>
    <t>重庆钢铁</t>
  </si>
  <si>
    <t>晋控煤业</t>
  </si>
  <si>
    <t>开滦股份</t>
  </si>
  <si>
    <t>贵绳股份</t>
  </si>
  <si>
    <t>四创电子</t>
  </si>
  <si>
    <t>宝丰能源</t>
  </si>
  <si>
    <t>淮北矿业</t>
  </si>
  <si>
    <t>宁波能源</t>
  </si>
  <si>
    <t>汇鸿集团</t>
  </si>
  <si>
    <t>恒源煤电</t>
  </si>
  <si>
    <t>海油发展</t>
  </si>
  <si>
    <t>XD新天绿</t>
  </si>
  <si>
    <t>重庆建工</t>
  </si>
  <si>
    <t>中国海油</t>
  </si>
  <si>
    <t>华塑股份</t>
  </si>
  <si>
    <t>华电新能</t>
  </si>
  <si>
    <t>西安银行</t>
  </si>
  <si>
    <t>杭州银行</t>
  </si>
  <si>
    <t>苏能股份</t>
  </si>
  <si>
    <t>江苏银行</t>
  </si>
  <si>
    <t>重庆燃气</t>
  </si>
  <si>
    <t>无锡银行</t>
  </si>
  <si>
    <t>贵州燃气</t>
  </si>
  <si>
    <t>广日股份</t>
  </si>
  <si>
    <t>博瑞传播</t>
  </si>
  <si>
    <t>石化油服</t>
  </si>
  <si>
    <t>百大集团</t>
  </si>
  <si>
    <t>内蒙华电</t>
  </si>
  <si>
    <t>北京人力</t>
  </si>
  <si>
    <t>京城股份</t>
  </si>
  <si>
    <t>王府井</t>
  </si>
  <si>
    <t>宁波中百</t>
  </si>
  <si>
    <t>龙建股份</t>
  </si>
  <si>
    <t>万里股份</t>
  </si>
  <si>
    <t>同济科技</t>
  </si>
  <si>
    <t>上工申贝</t>
  </si>
  <si>
    <t>动力新科</t>
  </si>
  <si>
    <t>上海机电</t>
  </si>
  <si>
    <t>第一医药</t>
  </si>
  <si>
    <t>茂业商业</t>
  </si>
  <si>
    <t>兰生股份</t>
  </si>
  <si>
    <t>隧道股份</t>
  </si>
  <si>
    <t>中路股份</t>
  </si>
  <si>
    <t>杭州解百</t>
  </si>
  <si>
    <t>神马股份</t>
  </si>
  <si>
    <t>马钢股份</t>
  </si>
  <si>
    <t>济高发展</t>
  </si>
  <si>
    <t>福建水泥</t>
  </si>
  <si>
    <t>华新水泥</t>
  </si>
  <si>
    <t>浙大网新</t>
  </si>
  <si>
    <t>国电电力</t>
  </si>
  <si>
    <t>轻纺城</t>
  </si>
  <si>
    <t>通宝能源</t>
  </si>
  <si>
    <t>东方通信</t>
  </si>
  <si>
    <t>南京熊猫</t>
  </si>
  <si>
    <t>汉商集团</t>
  </si>
  <si>
    <t>西藏城投</t>
  </si>
  <si>
    <t>综艺股份</t>
  </si>
  <si>
    <t>洲际油气</t>
  </si>
  <si>
    <t>辽宁能源</t>
  </si>
  <si>
    <t>浪潮软件</t>
  </si>
  <si>
    <t>上实发展</t>
  </si>
  <si>
    <t>华银电力</t>
  </si>
  <si>
    <t>华远控股</t>
  </si>
  <si>
    <t>丽尚国潮</t>
  </si>
  <si>
    <t>苏州高新</t>
  </si>
  <si>
    <t>北汽蓝谷</t>
  </si>
  <si>
    <t>爱旭股份</t>
  </si>
  <si>
    <t>中国高科</t>
  </si>
  <si>
    <t>华电能源</t>
  </si>
  <si>
    <t>云维股份</t>
  </si>
  <si>
    <t>金牛化工</t>
  </si>
  <si>
    <t>XD中交设</t>
  </si>
  <si>
    <t>大连热电</t>
  </si>
  <si>
    <t>东软集团</t>
  </si>
  <si>
    <t>凤凰股份</t>
  </si>
  <si>
    <t>南宁百货</t>
  </si>
  <si>
    <t>盛屯矿业</t>
  </si>
  <si>
    <t>光明地产</t>
  </si>
  <si>
    <t>曲江文旅</t>
  </si>
  <si>
    <t>东百集团</t>
  </si>
  <si>
    <t>亚通股份</t>
  </si>
  <si>
    <t>阳煤化工</t>
  </si>
  <si>
    <t>上海石化</t>
  </si>
  <si>
    <t>珠江股份</t>
  </si>
  <si>
    <t>四川金顶</t>
  </si>
  <si>
    <t>交运股份</t>
  </si>
  <si>
    <t>中华企业</t>
  </si>
  <si>
    <t>尖峰集团</t>
  </si>
  <si>
    <t>奥瑞德</t>
  </si>
  <si>
    <t>天地源</t>
  </si>
  <si>
    <t>外服控股</t>
  </si>
  <si>
    <t>昂立教育</t>
  </si>
  <si>
    <t>电子城</t>
  </si>
  <si>
    <t>豫园股份</t>
  </si>
  <si>
    <t>申华控股</t>
  </si>
  <si>
    <t>城投控股</t>
  </si>
  <si>
    <t>乐山电力</t>
  </si>
  <si>
    <t>申能股份</t>
  </si>
  <si>
    <t>万业企业</t>
  </si>
  <si>
    <t>新黄浦</t>
  </si>
  <si>
    <t>华建集团</t>
  </si>
  <si>
    <t>新世界</t>
  </si>
  <si>
    <t>申达股份</t>
  </si>
  <si>
    <t>复旦复华</t>
  </si>
  <si>
    <t>华谊集团</t>
  </si>
  <si>
    <t>大众交通</t>
  </si>
  <si>
    <t>绿地控股</t>
  </si>
  <si>
    <t>汇通能源</t>
  </si>
  <si>
    <t>市北高新</t>
  </si>
  <si>
    <t>益佰制药</t>
  </si>
  <si>
    <t>大连圣亚</t>
  </si>
  <si>
    <t>海螺水泥</t>
  </si>
  <si>
    <t>海油工程</t>
  </si>
  <si>
    <t>中化装备</t>
  </si>
  <si>
    <t>京能电力</t>
  </si>
  <si>
    <t>淮河能源</t>
  </si>
  <si>
    <t>信雅达</t>
  </si>
  <si>
    <t>山煤国际</t>
  </si>
  <si>
    <t>卓郎智能</t>
  </si>
  <si>
    <t>莫高股份</t>
  </si>
  <si>
    <t>亿晶光电</t>
  </si>
  <si>
    <t>中国软件</t>
  </si>
  <si>
    <t>栖霞建设</t>
  </si>
  <si>
    <t>交大昂立</t>
  </si>
  <si>
    <t>贵航股份</t>
  </si>
  <si>
    <t>三佳科技</t>
  </si>
  <si>
    <t>腾达建设</t>
  </si>
  <si>
    <t>黑牡丹</t>
  </si>
  <si>
    <t>天富能源</t>
  </si>
  <si>
    <t>上海能源</t>
  </si>
  <si>
    <t>华丽家族</t>
  </si>
  <si>
    <t>安徽建工</t>
  </si>
  <si>
    <t>中化国际</t>
  </si>
  <si>
    <t>精工钢构</t>
  </si>
  <si>
    <t>龙元建设</t>
  </si>
  <si>
    <t>福能股份</t>
  </si>
  <si>
    <t>双良节能</t>
  </si>
  <si>
    <t>杭萧钢构</t>
  </si>
  <si>
    <t>六国化工</t>
  </si>
  <si>
    <t>博通股份</t>
  </si>
  <si>
    <t>宁夏建材</t>
  </si>
  <si>
    <t>金证股份</t>
  </si>
  <si>
    <t>北方导航</t>
  </si>
  <si>
    <t>华鲁恒升</t>
  </si>
  <si>
    <t>青松建化</t>
  </si>
  <si>
    <t>天润乳业</t>
  </si>
  <si>
    <t>江淮汽车</t>
  </si>
  <si>
    <t>小商品城</t>
  </si>
  <si>
    <t>三友化工</t>
  </si>
  <si>
    <t>安泰集团</t>
  </si>
  <si>
    <t>大有能源</t>
  </si>
  <si>
    <t>红豆股份</t>
  </si>
  <si>
    <t>抚顺特钢</t>
  </si>
  <si>
    <t>华电辽能</t>
  </si>
  <si>
    <t>盘江股份</t>
  </si>
  <si>
    <t>北巴传媒</t>
  </si>
  <si>
    <t>金地集团</t>
  </si>
  <si>
    <t>首开股份</t>
  </si>
  <si>
    <t>三房巷</t>
  </si>
  <si>
    <t>华阳股份</t>
  </si>
  <si>
    <t>恒力石化</t>
  </si>
  <si>
    <t>长江通信</t>
  </si>
  <si>
    <t>航天动力</t>
  </si>
  <si>
    <t>中油工程</t>
  </si>
  <si>
    <t>长春燃气</t>
  </si>
  <si>
    <t>宏达股份</t>
  </si>
  <si>
    <t>华发股份</t>
  </si>
  <si>
    <t>洪都航空</t>
  </si>
  <si>
    <t>广西能源</t>
  </si>
  <si>
    <t>酒钢宏兴</t>
  </si>
  <si>
    <t>曙光股份</t>
  </si>
  <si>
    <t>标准股份</t>
  </si>
  <si>
    <t>大恒科技</t>
  </si>
  <si>
    <t>江苏舜天</t>
  </si>
  <si>
    <t>浦东建设</t>
  </si>
  <si>
    <t>中央商场</t>
  </si>
  <si>
    <t>重庆港</t>
  </si>
  <si>
    <t>城建发展</t>
  </si>
  <si>
    <t>大湖股份</t>
  </si>
  <si>
    <t>广汇能源</t>
  </si>
  <si>
    <t>XD两面针</t>
  </si>
  <si>
    <t>陕建股份</t>
  </si>
  <si>
    <t>万通发展</t>
  </si>
  <si>
    <t>云南城投</t>
  </si>
  <si>
    <t>科新发展</t>
  </si>
  <si>
    <t>金鹰股份</t>
  </si>
  <si>
    <t>赤天化</t>
  </si>
  <si>
    <t>亨通股份</t>
  </si>
  <si>
    <t>全柴动力</t>
  </si>
  <si>
    <t>中再资环</t>
  </si>
  <si>
    <t>派斯林</t>
  </si>
  <si>
    <t>绿能慧充</t>
  </si>
  <si>
    <t>衢州发展</t>
  </si>
  <si>
    <t>福日电子</t>
  </si>
  <si>
    <t>哈空调</t>
  </si>
  <si>
    <t>金种子酒</t>
  </si>
  <si>
    <t>大唐电信</t>
  </si>
  <si>
    <t>长城电工</t>
  </si>
  <si>
    <t>兖矿能源</t>
  </si>
  <si>
    <t>国中水务</t>
  </si>
  <si>
    <t>珠免集团</t>
  </si>
  <si>
    <t>卧龙新能</t>
  </si>
  <si>
    <t>上海建工</t>
  </si>
  <si>
    <t>武汉控股</t>
  </si>
  <si>
    <t>联美控股</t>
  </si>
  <si>
    <t>香江控股</t>
  </si>
  <si>
    <t>大龙地产</t>
  </si>
  <si>
    <t>中体产业</t>
  </si>
  <si>
    <t>永泰能源</t>
  </si>
  <si>
    <t>华升股份</t>
  </si>
  <si>
    <t>维科技术</t>
  </si>
  <si>
    <t>航天机电</t>
  </si>
  <si>
    <t>廊坊发展</t>
  </si>
  <si>
    <t>中青旅</t>
  </si>
  <si>
    <t>乐凯胶片</t>
  </si>
  <si>
    <t>东湖高新</t>
  </si>
  <si>
    <t>杭钢股份</t>
  </si>
  <si>
    <t>兰花科创</t>
  </si>
  <si>
    <t>郑州煤电</t>
  </si>
  <si>
    <t>长江投资</t>
  </si>
  <si>
    <t>中国卫星</t>
  </si>
  <si>
    <t>三峡水利</t>
  </si>
  <si>
    <t>中国东航</t>
  </si>
  <si>
    <t>浙江东日</t>
  </si>
  <si>
    <t>诺德股份</t>
  </si>
  <si>
    <t>同方股份</t>
  </si>
  <si>
    <t>广州发展</t>
  </si>
  <si>
    <t>大名城</t>
  </si>
  <si>
    <t>中视传媒</t>
  </si>
  <si>
    <t>澄星股份</t>
  </si>
  <si>
    <t>新疆天业</t>
  </si>
  <si>
    <t>东望时代</t>
  </si>
  <si>
    <t>保利发展</t>
  </si>
  <si>
    <t>四川路桥</t>
  </si>
  <si>
    <t>南方航空</t>
  </si>
  <si>
    <t>中国石化</t>
  </si>
  <si>
    <t>华电国际</t>
  </si>
  <si>
    <t>浙能电力</t>
  </si>
  <si>
    <t>山东钢铁</t>
  </si>
  <si>
    <t>上海电力</t>
  </si>
  <si>
    <t>华能国际</t>
  </si>
  <si>
    <t>新恒汇</t>
  </si>
  <si>
    <t>港迪技术</t>
  </si>
  <si>
    <t>C广建科</t>
  </si>
  <si>
    <t>同宇新材</t>
  </si>
  <si>
    <t>山大电力</t>
  </si>
  <si>
    <t>六九一二</t>
  </si>
  <si>
    <t>舜禹股份</t>
  </si>
  <si>
    <t>陕西华达</t>
  </si>
  <si>
    <t>中远通</t>
  </si>
  <si>
    <t>智信精密</t>
  </si>
  <si>
    <t>苏州规划</t>
  </si>
  <si>
    <t>汉桑科技</t>
  </si>
  <si>
    <t>盟固利</t>
  </si>
  <si>
    <t>通达海</t>
  </si>
  <si>
    <t>国科恒泰</t>
  </si>
  <si>
    <t>联动科技</t>
  </si>
  <si>
    <t>一博科技</t>
  </si>
  <si>
    <t>矩阵股份</t>
  </si>
  <si>
    <t>荣旗科技</t>
  </si>
  <si>
    <t>北方长龙</t>
  </si>
  <si>
    <t>蓝箭电子</t>
  </si>
  <si>
    <t>亚华电子</t>
  </si>
  <si>
    <t>捷邦科技</t>
  </si>
  <si>
    <t>翰博高新</t>
  </si>
  <si>
    <t>慧博云通</t>
  </si>
  <si>
    <t>凡拓数创</t>
  </si>
  <si>
    <t>昆船智能</t>
  </si>
  <si>
    <t>江波龙</t>
  </si>
  <si>
    <t>美利信</t>
  </si>
  <si>
    <t>西测测试</t>
  </si>
  <si>
    <t>华如科技</t>
  </si>
  <si>
    <t>海科新源</t>
  </si>
  <si>
    <t>鸿日达</t>
  </si>
  <si>
    <t>瑞晨环保</t>
  </si>
  <si>
    <t>英华特</t>
  </si>
  <si>
    <t>铭利达</t>
  </si>
  <si>
    <t>和顺科技</t>
  </si>
  <si>
    <t>软通动力</t>
  </si>
  <si>
    <t>华康洁净</t>
  </si>
  <si>
    <t>飞沃科技</t>
  </si>
  <si>
    <t>实朴检测</t>
  </si>
  <si>
    <t>森鹰窗业</t>
  </si>
  <si>
    <t>华是科技</t>
  </si>
  <si>
    <t>诚达药业</t>
  </si>
  <si>
    <t>喜悦智行</t>
  </si>
  <si>
    <t>家联科技</t>
  </si>
  <si>
    <t>泰祥股份</t>
  </si>
  <si>
    <t>奥尼电子</t>
  </si>
  <si>
    <t>逸豪新材</t>
  </si>
  <si>
    <t>零点有数</t>
  </si>
  <si>
    <t>建研设计</t>
  </si>
  <si>
    <t>优宁维</t>
  </si>
  <si>
    <t>三维天地</t>
  </si>
  <si>
    <t>中科江南</t>
  </si>
  <si>
    <t>天力锂能</t>
  </si>
  <si>
    <t>中一科技</t>
  </si>
  <si>
    <t>招标股份</t>
  </si>
  <si>
    <t>瑞纳智能</t>
  </si>
  <si>
    <t>腾亚精工</t>
  </si>
  <si>
    <t>奕东电子</t>
  </si>
  <si>
    <t>紫建电子</t>
  </si>
  <si>
    <t>佳缘科技</t>
  </si>
  <si>
    <t>益客食品</t>
  </si>
  <si>
    <t>雅艺科技</t>
  </si>
  <si>
    <t>粤万年青</t>
  </si>
  <si>
    <t>风光股份</t>
  </si>
  <si>
    <t>百诚医药</t>
  </si>
  <si>
    <t>广立微</t>
  </si>
  <si>
    <t>深城交</t>
  </si>
  <si>
    <t>华润材料</t>
  </si>
  <si>
    <t>拓新药业</t>
  </si>
  <si>
    <t>久盛电气</t>
  </si>
  <si>
    <t>中捷精工</t>
  </si>
  <si>
    <t>开勒股份</t>
  </si>
  <si>
    <t>上海艾录</t>
  </si>
  <si>
    <t>兰卫医学</t>
  </si>
  <si>
    <t>中粮科工</t>
  </si>
  <si>
    <t>森赫股份</t>
  </si>
  <si>
    <t>果麦文化</t>
  </si>
  <si>
    <t>金百泽</t>
  </si>
  <si>
    <t>中环海陆</t>
  </si>
  <si>
    <t>保立佳</t>
  </si>
  <si>
    <t>新柴股份</t>
  </si>
  <si>
    <t>华蓝集团</t>
  </si>
  <si>
    <t>英诺激光</t>
  </si>
  <si>
    <t>漱玉平民</t>
  </si>
  <si>
    <t>崧盛股份</t>
  </si>
  <si>
    <t>普联软件</t>
  </si>
  <si>
    <t>蕾奥规划</t>
  </si>
  <si>
    <t>尤安设计</t>
  </si>
  <si>
    <t>苏文电能</t>
  </si>
  <si>
    <t>深圳瑞捷</t>
  </si>
  <si>
    <t>格林精密</t>
  </si>
  <si>
    <t>共同药业</t>
  </si>
  <si>
    <t>通业科技</t>
  </si>
  <si>
    <t>建工修复</t>
  </si>
  <si>
    <t>嘉亨家化</t>
  </si>
  <si>
    <t>奥雅股份</t>
  </si>
  <si>
    <t>冠中生态</t>
  </si>
  <si>
    <t>德必集团</t>
  </si>
  <si>
    <t>易瑞生物</t>
  </si>
  <si>
    <t>中英科技</t>
  </si>
  <si>
    <t>盈建科</t>
  </si>
  <si>
    <t>通用电梯</t>
  </si>
  <si>
    <t>华安鑫创</t>
  </si>
  <si>
    <t>凯龙高科</t>
  </si>
  <si>
    <t>亿田智能</t>
  </si>
  <si>
    <t>威力传动</t>
  </si>
  <si>
    <t>科翔股份</t>
  </si>
  <si>
    <t>中胤时尚</t>
  </si>
  <si>
    <t>火星人</t>
  </si>
  <si>
    <t>翔丰华</t>
  </si>
  <si>
    <t>爱克股份</t>
  </si>
  <si>
    <t>谱尼测试</t>
  </si>
  <si>
    <t>狄耐克</t>
  </si>
  <si>
    <t>维康药业</t>
  </si>
  <si>
    <t>蒙泰高新</t>
  </si>
  <si>
    <t>捷强装备</t>
  </si>
  <si>
    <t>杰美特</t>
  </si>
  <si>
    <t>蓝盾光电</t>
  </si>
  <si>
    <t>锋尚文化</t>
  </si>
  <si>
    <t>申昊科技</t>
  </si>
  <si>
    <t>交大思诺</t>
  </si>
  <si>
    <t>锦盛新材</t>
  </si>
  <si>
    <t>首都在线</t>
  </si>
  <si>
    <t>捷安高科</t>
  </si>
  <si>
    <t>山水比德</t>
  </si>
  <si>
    <t>博汇股份</t>
  </si>
  <si>
    <t>金现代</t>
  </si>
  <si>
    <t>测绘股份</t>
  </si>
  <si>
    <t>建科智能</t>
  </si>
  <si>
    <t>中科海讯</t>
  </si>
  <si>
    <t>久量股份</t>
  </si>
  <si>
    <t>天迈科技</t>
  </si>
  <si>
    <t>锦鸡股份</t>
  </si>
  <si>
    <t>米奥会展</t>
  </si>
  <si>
    <t>国林科技</t>
  </si>
  <si>
    <t>值得买</t>
  </si>
  <si>
    <t>卓胜微</t>
  </si>
  <si>
    <t>德恩精工</t>
  </si>
  <si>
    <t>惠城环保</t>
  </si>
  <si>
    <t>新城市</t>
  </si>
  <si>
    <t>德方纳米</t>
  </si>
  <si>
    <t>震安科技</t>
  </si>
  <si>
    <t>每日互动</t>
  </si>
  <si>
    <t>新诺威</t>
  </si>
  <si>
    <t>上海瀚讯</t>
  </si>
  <si>
    <t>罗博特科</t>
  </si>
  <si>
    <t>金马游乐</t>
  </si>
  <si>
    <t>爱朋医疗</t>
  </si>
  <si>
    <t>汉嘉设计</t>
  </si>
  <si>
    <t>欣锐科技</t>
  </si>
  <si>
    <t>百邦科技</t>
  </si>
  <si>
    <t>设研院</t>
  </si>
  <si>
    <t>科创信息</t>
  </si>
  <si>
    <t>安达维尔</t>
  </si>
  <si>
    <t>英可瑞</t>
  </si>
  <si>
    <t>万隆光电</t>
  </si>
  <si>
    <t>精研科技</t>
  </si>
  <si>
    <t>威唐工业</t>
  </si>
  <si>
    <t>阿石创</t>
  </si>
  <si>
    <t>联合光电</t>
  </si>
  <si>
    <t>创业黑马</t>
  </si>
  <si>
    <t>智动力</t>
  </si>
  <si>
    <t>海特生物</t>
  </si>
  <si>
    <t>朗新集团</t>
  </si>
  <si>
    <t>华大基因</t>
  </si>
  <si>
    <t>富满微</t>
  </si>
  <si>
    <t>沪宁股份</t>
  </si>
  <si>
    <t>杰恩设计</t>
  </si>
  <si>
    <t>必创科技</t>
  </si>
  <si>
    <t>飞鹿股份</t>
  </si>
  <si>
    <t>科蓝软件</t>
  </si>
  <si>
    <t>科锐国际</t>
  </si>
  <si>
    <t>中孚信息</t>
  </si>
  <si>
    <t>金陵体育</t>
  </si>
  <si>
    <t>杭州园林</t>
  </si>
  <si>
    <t>星云股份</t>
  </si>
  <si>
    <t>超频三</t>
  </si>
  <si>
    <t>正元智慧</t>
  </si>
  <si>
    <t>透景生命</t>
  </si>
  <si>
    <t>凯普生物</t>
  </si>
  <si>
    <t>中达安</t>
  </si>
  <si>
    <t>新劲刚</t>
  </si>
  <si>
    <t>三雄极光</t>
  </si>
  <si>
    <t>万兴科技</t>
  </si>
  <si>
    <t>维业股份</t>
  </si>
  <si>
    <t>金银河</t>
  </si>
  <si>
    <t>尚品宅配</t>
  </si>
  <si>
    <t>欣天科技</t>
  </si>
  <si>
    <t>百川畅银</t>
  </si>
  <si>
    <t>富瀚微</t>
  </si>
  <si>
    <t>宣亚国际</t>
  </si>
  <si>
    <t>汇纳科技</t>
  </si>
  <si>
    <t>思特奇</t>
  </si>
  <si>
    <t>恒锋信息</t>
  </si>
  <si>
    <t>立昂技术</t>
  </si>
  <si>
    <t>国瑞科技</t>
  </si>
  <si>
    <t>诚迈科技</t>
  </si>
  <si>
    <t>吉大通信</t>
  </si>
  <si>
    <t>朗进科技</t>
  </si>
  <si>
    <t>新雷能</t>
  </si>
  <si>
    <t>华凯易佰</t>
  </si>
  <si>
    <t>万里马</t>
  </si>
  <si>
    <t>江龙船艇</t>
  </si>
  <si>
    <t>熙菱信息</t>
  </si>
  <si>
    <t>奥联电子</t>
  </si>
  <si>
    <t>赛托生物</t>
  </si>
  <si>
    <t>晨曦航空</t>
  </si>
  <si>
    <t>数字认证</t>
  </si>
  <si>
    <t>中旗股份</t>
  </si>
  <si>
    <t>安车检测</t>
  </si>
  <si>
    <t>科信技术</t>
  </si>
  <si>
    <t>佳发教育</t>
  </si>
  <si>
    <t>丝路视觉</t>
  </si>
  <si>
    <t>三超新材</t>
  </si>
  <si>
    <t>万集科技</t>
  </si>
  <si>
    <t>古鳌科技</t>
  </si>
  <si>
    <t>和仁科技</t>
  </si>
  <si>
    <t>长芯博创</t>
  </si>
  <si>
    <t>雄帝科技</t>
  </si>
  <si>
    <t>新晨科技</t>
  </si>
  <si>
    <t>蜀道装备</t>
  </si>
  <si>
    <t>农尚环境</t>
  </si>
  <si>
    <t>领湃科技</t>
  </si>
  <si>
    <t>博思软件</t>
  </si>
  <si>
    <t>辰安科技</t>
  </si>
  <si>
    <t>爱司凯</t>
  </si>
  <si>
    <t>科大国创</t>
  </si>
  <si>
    <t>新迅达</t>
  </si>
  <si>
    <t>海波重科</t>
  </si>
  <si>
    <t>久之洋</t>
  </si>
  <si>
    <t>恒实科技</t>
  </si>
  <si>
    <t>金冠股份</t>
  </si>
  <si>
    <t>天邑股份</t>
  </si>
  <si>
    <t>启迪设计</t>
  </si>
  <si>
    <t>华图山鼎</t>
  </si>
  <si>
    <t>通合科技</t>
  </si>
  <si>
    <t>华自科技</t>
  </si>
  <si>
    <t>首华燃气</t>
  </si>
  <si>
    <t>神思电子</t>
  </si>
  <si>
    <t>杭州高新</t>
  </si>
  <si>
    <t>景嘉微</t>
  </si>
  <si>
    <t>信息发展</t>
  </si>
  <si>
    <t>赛摩智能</t>
  </si>
  <si>
    <t>高伟达</t>
  </si>
  <si>
    <t>星徽股份</t>
  </si>
  <si>
    <t>田中精机</t>
  </si>
  <si>
    <t>惠伦晶体</t>
  </si>
  <si>
    <t>赛微电子</t>
  </si>
  <si>
    <t>深信服</t>
  </si>
  <si>
    <t>创业慧康</t>
  </si>
  <si>
    <t>汉邦高科</t>
  </si>
  <si>
    <t>浩云科技</t>
  </si>
  <si>
    <t>运达科技</t>
  </si>
  <si>
    <t>鹏辉能源</t>
  </si>
  <si>
    <t>清水源</t>
  </si>
  <si>
    <t>广生堂</t>
  </si>
  <si>
    <t>强力新材</t>
  </si>
  <si>
    <t>华智数媒</t>
  </si>
  <si>
    <t>中建环能</t>
  </si>
  <si>
    <t>昇辉科技</t>
  </si>
  <si>
    <t>博世科</t>
  </si>
  <si>
    <t>昆仑万维</t>
  </si>
  <si>
    <t>南华仪器</t>
  </si>
  <si>
    <t>迦南科技</t>
  </si>
  <si>
    <t>科隆股份</t>
  </si>
  <si>
    <t>天和防务</t>
  </si>
  <si>
    <t>中来股份</t>
  </si>
  <si>
    <t>安硕信息</t>
  </si>
  <si>
    <t>鼎捷数智</t>
  </si>
  <si>
    <t>赢时胜</t>
  </si>
  <si>
    <t>中铁装配</t>
  </si>
  <si>
    <t>安控科技</t>
  </si>
  <si>
    <t>绿盟科技</t>
  </si>
  <si>
    <t>汇金股份</t>
  </si>
  <si>
    <t>创意信息</t>
  </si>
  <si>
    <t>中文在线</t>
  </si>
  <si>
    <t>博腾股份</t>
  </si>
  <si>
    <t>全通教育</t>
  </si>
  <si>
    <t>楚天科技</t>
  </si>
  <si>
    <t>蒙草生态</t>
  </si>
  <si>
    <t>东土科技</t>
  </si>
  <si>
    <t>北信源</t>
  </si>
  <si>
    <t>华鹏飞</t>
  </si>
  <si>
    <t>长亮科技</t>
  </si>
  <si>
    <t>华民股份</t>
  </si>
  <si>
    <t>迪森股份</t>
  </si>
  <si>
    <t>兆日科技</t>
  </si>
  <si>
    <t>海伦钢琴</t>
  </si>
  <si>
    <t>宜安科技</t>
  </si>
  <si>
    <t>旋极信息</t>
  </si>
  <si>
    <t>华灿光电</t>
  </si>
  <si>
    <t>博晖创新</t>
  </si>
  <si>
    <t>宜通世纪</t>
  </si>
  <si>
    <t>同有科技</t>
  </si>
  <si>
    <t>海峡创新</t>
  </si>
  <si>
    <t>三六五网</t>
  </si>
  <si>
    <t>蓝英装备</t>
  </si>
  <si>
    <t>百纳千成</t>
  </si>
  <si>
    <t>荣科科技</t>
  </si>
  <si>
    <t>利德曼</t>
  </si>
  <si>
    <t>飞利信</t>
  </si>
  <si>
    <t>苏交科</t>
  </si>
  <si>
    <t>温州宏丰</t>
  </si>
  <si>
    <t>海联讯</t>
  </si>
  <si>
    <t>华宇软件</t>
  </si>
  <si>
    <t>中威电子</t>
  </si>
  <si>
    <t>联建光电</t>
  </si>
  <si>
    <t>兴源环境</t>
  </si>
  <si>
    <t>雅本化学</t>
  </si>
  <si>
    <t>星星科技</t>
  </si>
  <si>
    <t>金信诺</t>
  </si>
  <si>
    <t>新开普</t>
  </si>
  <si>
    <t>天玑科技</t>
  </si>
  <si>
    <t>迪安诊断</t>
  </si>
  <si>
    <t>佳云科技</t>
  </si>
  <si>
    <t>美晨科技</t>
  </si>
  <si>
    <t>拓尔思</t>
  </si>
  <si>
    <t>电科院</t>
  </si>
  <si>
    <t>日科化学</t>
  </si>
  <si>
    <t>佳讯飞鸿</t>
  </si>
  <si>
    <t>易华录</t>
  </si>
  <si>
    <t>舒泰神</t>
  </si>
  <si>
    <t>聚光科技</t>
  </si>
  <si>
    <t>科德教育</t>
  </si>
  <si>
    <t>潜能恒信</t>
  </si>
  <si>
    <t>维尔利</t>
  </si>
  <si>
    <t>神农种业</t>
  </si>
  <si>
    <t>国投智能</t>
  </si>
  <si>
    <t>中海达</t>
  </si>
  <si>
    <t>天晟新材</t>
  </si>
  <si>
    <t>万达信息</t>
  </si>
  <si>
    <t>东方国信</t>
  </si>
  <si>
    <t>通源石油</t>
  </si>
  <si>
    <t>先锋新材</t>
  </si>
  <si>
    <t>华中数控</t>
  </si>
  <si>
    <t>安居宝</t>
  </si>
  <si>
    <t>沃森生物</t>
  </si>
  <si>
    <t>和顺电气</t>
  </si>
  <si>
    <t>大富科技</t>
  </si>
  <si>
    <t>锦富技术</t>
  </si>
  <si>
    <t>亚光科技</t>
  </si>
  <si>
    <t>智飞生物</t>
  </si>
  <si>
    <t>东方日升</t>
  </si>
  <si>
    <t>万讯自控</t>
  </si>
  <si>
    <t>西部牧业</t>
  </si>
  <si>
    <t>达刚控股</t>
  </si>
  <si>
    <t>高新兴</t>
  </si>
  <si>
    <t>金通灵</t>
  </si>
  <si>
    <t>荃银高科</t>
  </si>
  <si>
    <t>康芝药业</t>
  </si>
  <si>
    <t>银之杰</t>
  </si>
  <si>
    <t>海默科技</t>
  </si>
  <si>
    <t>奥克股份</t>
  </si>
  <si>
    <t>恒信东方</t>
  </si>
  <si>
    <t>易成新能</t>
  </si>
  <si>
    <t>思创医惠</t>
  </si>
  <si>
    <t>国民技术</t>
  </si>
  <si>
    <t>华平股份</t>
  </si>
  <si>
    <t>福石控股</t>
  </si>
  <si>
    <t>金利华电</t>
  </si>
  <si>
    <t>南都电源</t>
  </si>
  <si>
    <t>安诺其</t>
  </si>
  <si>
    <t>中能电气</t>
  </si>
  <si>
    <t>万顺新材</t>
  </si>
  <si>
    <t>中创环保</t>
  </si>
  <si>
    <t>航宇微</t>
  </si>
  <si>
    <t>华力创通</t>
  </si>
  <si>
    <t>星辉娱乐</t>
  </si>
  <si>
    <t>朗科科技</t>
  </si>
  <si>
    <t>超图软件</t>
  </si>
  <si>
    <t>华星创业</t>
  </si>
  <si>
    <t>鼎汉技术</t>
  </si>
  <si>
    <t>豆神教育</t>
  </si>
  <si>
    <t>莱美药业</t>
  </si>
  <si>
    <t>三和管桩</t>
  </si>
  <si>
    <t>祖名股份</t>
  </si>
  <si>
    <t>地铁设计</t>
  </si>
  <si>
    <t>东鹏控股</t>
  </si>
  <si>
    <t>中天火箭</t>
  </si>
  <si>
    <t>天地在线</t>
  </si>
  <si>
    <t>宝明科技</t>
  </si>
  <si>
    <t>中天精装</t>
  </si>
  <si>
    <t>博杰股份</t>
  </si>
  <si>
    <t>广电计量</t>
  </si>
  <si>
    <t>苏州银行</t>
  </si>
  <si>
    <t>豪尔赛</t>
  </si>
  <si>
    <t>青鸟消防</t>
  </si>
  <si>
    <t>青农商行</t>
  </si>
  <si>
    <t>华阳国际</t>
  </si>
  <si>
    <t>青岛银行</t>
  </si>
  <si>
    <t>宇晶股份</t>
  </si>
  <si>
    <t>新疆交建</t>
  </si>
  <si>
    <t>郑州银行</t>
  </si>
  <si>
    <t>天奥电子</t>
  </si>
  <si>
    <t>明德生物</t>
  </si>
  <si>
    <t>联诚精密</t>
  </si>
  <si>
    <t>蒙娜丽莎</t>
  </si>
  <si>
    <t>庄园牧场</t>
  </si>
  <si>
    <t>集泰股份</t>
  </si>
  <si>
    <t>铭普光磁</t>
  </si>
  <si>
    <t>哈三联</t>
  </si>
  <si>
    <t>京能热力</t>
  </si>
  <si>
    <t>中设股份</t>
  </si>
  <si>
    <t>安奈儿</t>
  </si>
  <si>
    <t>金溢科技</t>
  </si>
  <si>
    <t>钧达股份</t>
  </si>
  <si>
    <t>瀛通通讯</t>
  </si>
  <si>
    <t>三晖电气</t>
  </si>
  <si>
    <t>捷荣技术</t>
  </si>
  <si>
    <t>皮阿诺</t>
  </si>
  <si>
    <t>同兴达</t>
  </si>
  <si>
    <t>张家港行</t>
  </si>
  <si>
    <t>名雕股份</t>
  </si>
  <si>
    <t>星网宇达</t>
  </si>
  <si>
    <t>贝肯能源</t>
  </si>
  <si>
    <t>东方中科</t>
  </si>
  <si>
    <t>富森美</t>
  </si>
  <si>
    <t>路畅科技</t>
  </si>
  <si>
    <t>郑中设计</t>
  </si>
  <si>
    <t>江阴银行</t>
  </si>
  <si>
    <t>华锋股份</t>
  </si>
  <si>
    <t>环球印务</t>
  </si>
  <si>
    <t>帝欧家居</t>
  </si>
  <si>
    <t>世嘉科技</t>
  </si>
  <si>
    <t>永和智控</t>
  </si>
  <si>
    <t>坚朗五金</t>
  </si>
  <si>
    <t>银宝山新</t>
  </si>
  <si>
    <t>文科股份</t>
  </si>
  <si>
    <t>快意电梯</t>
  </si>
  <si>
    <t>真视通</t>
  </si>
  <si>
    <t>浙江建投</t>
  </si>
  <si>
    <t>天际股份</t>
  </si>
  <si>
    <t>富煌钢构</t>
  </si>
  <si>
    <t>一心堂</t>
  </si>
  <si>
    <t>小崧股份</t>
  </si>
  <si>
    <t>金一文化</t>
  </si>
  <si>
    <t>思美传媒</t>
  </si>
  <si>
    <t>万憬能源</t>
  </si>
  <si>
    <t>红旗连锁</t>
  </si>
  <si>
    <t>冀凯股份</t>
  </si>
  <si>
    <t>远大智能</t>
  </si>
  <si>
    <t>东江环保</t>
  </si>
  <si>
    <t>龙泉股份</t>
  </si>
  <si>
    <t>普邦股份</t>
  </si>
  <si>
    <t>茂硕电源</t>
  </si>
  <si>
    <t>凯文教育</t>
  </si>
  <si>
    <t>中科金财</t>
  </si>
  <si>
    <t>万润科技</t>
  </si>
  <si>
    <t>扬子新材</t>
  </si>
  <si>
    <t>公元股份</t>
  </si>
  <si>
    <t>跨境通</t>
  </si>
  <si>
    <t>雪人集团</t>
  </si>
  <si>
    <t>勤上股份</t>
  </si>
  <si>
    <t>德尔未来</t>
  </si>
  <si>
    <t>仁智股份</t>
  </si>
  <si>
    <t>成都路桥</t>
  </si>
  <si>
    <t>皓宸医疗</t>
  </si>
  <si>
    <t>江苏国信</t>
  </si>
  <si>
    <t>中公教育</t>
  </si>
  <si>
    <t>盛通股份</t>
  </si>
  <si>
    <t>海南瑞泽</t>
  </si>
  <si>
    <t>日上集团</t>
  </si>
  <si>
    <t>双星新材</t>
  </si>
  <si>
    <t>中京电子</t>
  </si>
  <si>
    <t>明牌珠宝</t>
  </si>
  <si>
    <t>德力股份</t>
  </si>
  <si>
    <t>唐人神</t>
  </si>
  <si>
    <t>徐家汇</t>
  </si>
  <si>
    <t>惠博普</t>
  </si>
  <si>
    <t>金新农</t>
  </si>
  <si>
    <t>春兴精工</t>
  </si>
  <si>
    <t>普天科技</t>
  </si>
  <si>
    <t>鸿路钢构</t>
  </si>
  <si>
    <t>新时达</t>
  </si>
  <si>
    <t>日发精机</t>
  </si>
  <si>
    <t>银河电子</t>
  </si>
  <si>
    <t>蓝丰生化</t>
  </si>
  <si>
    <t>达华智能</t>
  </si>
  <si>
    <t>协鑫集成</t>
  </si>
  <si>
    <t>山东墨龙</t>
  </si>
  <si>
    <t>广田集团</t>
  </si>
  <si>
    <t>新筑股份</t>
  </si>
  <si>
    <t>富春环保</t>
  </si>
  <si>
    <t>榕基软件</t>
  </si>
  <si>
    <t>中超控股</t>
  </si>
  <si>
    <t>赣锋锂业</t>
  </si>
  <si>
    <t>益生股份</t>
  </si>
  <si>
    <t>青龙管业</t>
  </si>
  <si>
    <t>欧菲光</t>
  </si>
  <si>
    <t>华软科技</t>
  </si>
  <si>
    <t>启明星辰</t>
  </si>
  <si>
    <t>兴森科技</t>
  </si>
  <si>
    <t>棕榈股份</t>
  </si>
  <si>
    <t>胜利精密</t>
  </si>
  <si>
    <t>贵州百灵</t>
  </si>
  <si>
    <t>达实智能</t>
  </si>
  <si>
    <t>天虹股份</t>
  </si>
  <si>
    <t>雷科防务</t>
  </si>
  <si>
    <t>四维图新</t>
  </si>
  <si>
    <t>航天彩虹</t>
  </si>
  <si>
    <t>维信诺</t>
  </si>
  <si>
    <t>宏创控股</t>
  </si>
  <si>
    <t>亚厦股份</t>
  </si>
  <si>
    <t>亚太药业</t>
  </si>
  <si>
    <t>卓翼科技</t>
  </si>
  <si>
    <t>康力电梯</t>
  </si>
  <si>
    <t>永安药业</t>
  </si>
  <si>
    <t>汉王科技</t>
  </si>
  <si>
    <t>赫美集团</t>
  </si>
  <si>
    <t>高乐股份</t>
  </si>
  <si>
    <t>泰尔股份</t>
  </si>
  <si>
    <t>海宁皮城</t>
  </si>
  <si>
    <t>慈文传媒</t>
  </si>
  <si>
    <t>积成电子</t>
  </si>
  <si>
    <t>皖通科技</t>
  </si>
  <si>
    <t>华英农业</t>
  </si>
  <si>
    <t>乐通股份</t>
  </si>
  <si>
    <t>南山控股</t>
  </si>
  <si>
    <t>日海智能</t>
  </si>
  <si>
    <t>中利集团</t>
  </si>
  <si>
    <t>北新路桥</t>
  </si>
  <si>
    <t>西部建设</t>
  </si>
  <si>
    <t>遥望科技</t>
  </si>
  <si>
    <t>世联行</t>
  </si>
  <si>
    <t>友阿股份</t>
  </si>
  <si>
    <t>川润股份</t>
  </si>
  <si>
    <t>步步高</t>
  </si>
  <si>
    <t>滨江集团</t>
  </si>
  <si>
    <t>力合科创</t>
  </si>
  <si>
    <t>盛新锂能</t>
  </si>
  <si>
    <t>天威视讯</t>
  </si>
  <si>
    <t>民和股份</t>
  </si>
  <si>
    <t>塔牌集团</t>
  </si>
  <si>
    <t>启明信息</t>
  </si>
  <si>
    <t>科大讯飞</t>
  </si>
  <si>
    <t>拓日新能</t>
  </si>
  <si>
    <t>合力泰</t>
  </si>
  <si>
    <t>大为股份</t>
  </si>
  <si>
    <t>天融信</t>
  </si>
  <si>
    <t>飞马国际</t>
  </si>
  <si>
    <t>合肥城建</t>
  </si>
  <si>
    <t>方正电机</t>
  </si>
  <si>
    <t>如意集团</t>
  </si>
  <si>
    <t>中光学</t>
  </si>
  <si>
    <t>广百股份</t>
  </si>
  <si>
    <t>华天科技</t>
  </si>
  <si>
    <t>海得控制</t>
  </si>
  <si>
    <t>延华智能</t>
  </si>
  <si>
    <t>御银股份</t>
  </si>
  <si>
    <t>江特电机</t>
  </si>
  <si>
    <t>创新医疗</t>
  </si>
  <si>
    <t>智光电气</t>
  </si>
  <si>
    <t>海南发展</t>
  </si>
  <si>
    <t>悦心健康</t>
  </si>
  <si>
    <t>远 望 谷</t>
  </si>
  <si>
    <t>北斗星通</t>
  </si>
  <si>
    <t>北纬科技</t>
  </si>
  <si>
    <t>荣盛发展</t>
  </si>
  <si>
    <t>宁波银行</t>
  </si>
  <si>
    <t>贤丰控股</t>
  </si>
  <si>
    <t>安 纳 达</t>
  </si>
  <si>
    <t>东南网架</t>
  </si>
  <si>
    <t>天津普林</t>
  </si>
  <si>
    <t>广宇集团</t>
  </si>
  <si>
    <t>南极电商</t>
  </si>
  <si>
    <t>信隆健康</t>
  </si>
  <si>
    <t>国脉科技</t>
  </si>
  <si>
    <t>中泰化学</t>
  </si>
  <si>
    <t>东方海洋</t>
  </si>
  <si>
    <t>海鸥住工</t>
  </si>
  <si>
    <t>金 螳 螂</t>
  </si>
  <si>
    <t>凯瑞德</t>
  </si>
  <si>
    <t>獐子岛</t>
  </si>
  <si>
    <t>黑猫股份</t>
  </si>
  <si>
    <t>景兴纸业</t>
  </si>
  <si>
    <t>宏润建设</t>
  </si>
  <si>
    <t>浙江交科</t>
  </si>
  <si>
    <t>广东建工</t>
  </si>
  <si>
    <t>同洲电子</t>
  </si>
  <si>
    <t>美年健康</t>
  </si>
  <si>
    <t>保利联合</t>
  </si>
  <si>
    <t>联创电子</t>
  </si>
  <si>
    <t>巨轮智能</t>
  </si>
  <si>
    <t>科华生物</t>
  </si>
  <si>
    <t>世荣兆业</t>
  </si>
  <si>
    <t>招商蛇口</t>
  </si>
  <si>
    <t>豫能控股</t>
  </si>
  <si>
    <t>信通电子</t>
  </si>
  <si>
    <t>百通能源</t>
  </si>
  <si>
    <t>翔腾新材</t>
  </si>
  <si>
    <t>播恩集团</t>
  </si>
  <si>
    <t>楚环科技</t>
  </si>
  <si>
    <t>箭牌家居</t>
  </si>
  <si>
    <t>三羊马</t>
  </si>
  <si>
    <t>亿道信息</t>
  </si>
  <si>
    <t>粤海饲料</t>
  </si>
  <si>
    <t>德明利</t>
  </si>
  <si>
    <t>陕西能源</t>
  </si>
  <si>
    <t>一彬科技</t>
  </si>
  <si>
    <t>欧晶科技</t>
  </si>
  <si>
    <t>立新能源</t>
  </si>
  <si>
    <t>兰州银行</t>
  </si>
  <si>
    <t>悍高集团</t>
  </si>
  <si>
    <t>中旗新材</t>
  </si>
  <si>
    <t>金房能源</t>
  </si>
  <si>
    <t>东瑞股份</t>
  </si>
  <si>
    <t>隆平高科</t>
  </si>
  <si>
    <t>诚志股份</t>
  </si>
  <si>
    <t>山西焦煤</t>
  </si>
  <si>
    <t>桂林旅游</t>
  </si>
  <si>
    <t>蓝焰控股</t>
  </si>
  <si>
    <t>长源电力</t>
  </si>
  <si>
    <t>欣龙控股</t>
  </si>
  <si>
    <t>广济药业</t>
  </si>
  <si>
    <t>南天信息</t>
  </si>
  <si>
    <t>冀中能源</t>
  </si>
  <si>
    <t>四川双马</t>
  </si>
  <si>
    <t>福星股份</t>
  </si>
  <si>
    <t>众合科技</t>
  </si>
  <si>
    <t>大亚圣象</t>
  </si>
  <si>
    <t>航天科技</t>
  </si>
  <si>
    <t>赣能股份</t>
  </si>
  <si>
    <t>鞍钢股份</t>
  </si>
  <si>
    <t>津滨发展</t>
  </si>
  <si>
    <t>欢瑞世纪</t>
  </si>
  <si>
    <t>中嘉博创</t>
  </si>
  <si>
    <t>海南高速</t>
  </si>
  <si>
    <t>华联股份</t>
  </si>
  <si>
    <t>中广核技</t>
  </si>
  <si>
    <t>潍柴重机</t>
  </si>
  <si>
    <t>天山股份</t>
  </si>
  <si>
    <t>吉电股份</t>
  </si>
  <si>
    <t>三湘印象</t>
  </si>
  <si>
    <t>国风新材</t>
  </si>
  <si>
    <t>冀东装备</t>
  </si>
  <si>
    <t>华茂股份</t>
  </si>
  <si>
    <t>国安股份</t>
  </si>
  <si>
    <t>财信发展</t>
  </si>
  <si>
    <t>鲁西化工</t>
  </si>
  <si>
    <t>天音控股</t>
  </si>
  <si>
    <t>启迪环境</t>
  </si>
  <si>
    <t>山东海化</t>
  </si>
  <si>
    <t>智慧农业</t>
  </si>
  <si>
    <t>德展健康</t>
  </si>
  <si>
    <t>创维数字</t>
  </si>
  <si>
    <t>一汽解放</t>
  </si>
  <si>
    <t>中水渔业</t>
  </si>
  <si>
    <t>中国武夷</t>
  </si>
  <si>
    <t>凯撒旅业</t>
  </si>
  <si>
    <t>华神科技</t>
  </si>
  <si>
    <t>万年青</t>
  </si>
  <si>
    <t>居然智家</t>
  </si>
  <si>
    <t>甘咨询</t>
  </si>
  <si>
    <t>晋控电力</t>
  </si>
  <si>
    <t>西藏矿业</t>
  </si>
  <si>
    <t>中百集团</t>
  </si>
  <si>
    <t>四川美丰</t>
  </si>
  <si>
    <t>冠捷科技</t>
  </si>
  <si>
    <t>美锦能源</t>
  </si>
  <si>
    <t>西安饮食</t>
  </si>
  <si>
    <t>苏宁环球</t>
  </si>
  <si>
    <t>中南股份</t>
  </si>
  <si>
    <t>中兴商业</t>
  </si>
  <si>
    <t>丰乐种业</t>
  </si>
  <si>
    <t>贝瑞基因</t>
  </si>
  <si>
    <t>双环科技</t>
  </si>
  <si>
    <t>正虹科技</t>
  </si>
  <si>
    <t>沈阳化工</t>
  </si>
  <si>
    <t>滨海能源</t>
  </si>
  <si>
    <t>惠天热电</t>
  </si>
  <si>
    <t>宝新能源</t>
  </si>
  <si>
    <t>大连友谊</t>
  </si>
  <si>
    <t>襄阳轴承</t>
  </si>
  <si>
    <t>上峰水泥</t>
  </si>
  <si>
    <t>盈方微</t>
  </si>
  <si>
    <t>湖北广电</t>
  </si>
  <si>
    <t>珠海中富</t>
  </si>
  <si>
    <t>泰达股份</t>
  </si>
  <si>
    <t>西王食品</t>
  </si>
  <si>
    <t>茂化实华</t>
  </si>
  <si>
    <t>三木集团</t>
  </si>
  <si>
    <t>钒钛股份</t>
  </si>
  <si>
    <t>高新发展</t>
  </si>
  <si>
    <t>海螺新材</t>
  </si>
  <si>
    <t>西安旅游</t>
  </si>
  <si>
    <t>华媒控股</t>
  </si>
  <si>
    <t>建投能源</t>
  </si>
  <si>
    <t>青岛双星</t>
  </si>
  <si>
    <t>启迪药业</t>
  </si>
  <si>
    <t>粤宏远Ａ</t>
  </si>
  <si>
    <t>海马汽车</t>
  </si>
  <si>
    <t>苏常柴Ａ</t>
  </si>
  <si>
    <t>供销大集</t>
  </si>
  <si>
    <t>烽火电子</t>
  </si>
  <si>
    <t>我爱我家</t>
  </si>
  <si>
    <t>神州信息</t>
  </si>
  <si>
    <t>泰山石油</t>
  </si>
  <si>
    <t>甘肃能化</t>
  </si>
  <si>
    <t>金浦钛业</t>
  </si>
  <si>
    <t>皖能电力</t>
  </si>
  <si>
    <t>粤电力Ａ</t>
  </si>
  <si>
    <t>穗恒运Ａ</t>
  </si>
  <si>
    <t>学大教育</t>
  </si>
  <si>
    <t>红太阳</t>
  </si>
  <si>
    <t>凤凰航运</t>
  </si>
  <si>
    <t>中兵红箭</t>
  </si>
  <si>
    <t>荣安地产</t>
  </si>
  <si>
    <t>国际医学</t>
  </si>
  <si>
    <t>渝 开 发</t>
  </si>
  <si>
    <t>新金路</t>
  </si>
  <si>
    <t>招金黄金</t>
  </si>
  <si>
    <t>武商集团</t>
  </si>
  <si>
    <t>山东路桥</t>
  </si>
  <si>
    <t>合百集团</t>
  </si>
  <si>
    <t>沈阳机床</t>
  </si>
  <si>
    <t>金 融 街</t>
  </si>
  <si>
    <t>冀东水泥</t>
  </si>
  <si>
    <t>国际实业</t>
  </si>
  <si>
    <t>常山北明</t>
  </si>
  <si>
    <t>中成股份</t>
  </si>
  <si>
    <t>广聚能源</t>
  </si>
  <si>
    <t>天健集团</t>
  </si>
  <si>
    <t>特发信息</t>
  </si>
  <si>
    <t>华侨城Ａ</t>
  </si>
  <si>
    <t>华控赛格</t>
  </si>
  <si>
    <t>中国长城</t>
  </si>
  <si>
    <t>农 产 品</t>
  </si>
  <si>
    <t>华锦股份</t>
  </si>
  <si>
    <t>深 赛 格</t>
  </si>
  <si>
    <t>京基智农</t>
  </si>
  <si>
    <t>中洲控股</t>
  </si>
  <si>
    <t>深南电A</t>
  </si>
  <si>
    <t>华联控股</t>
  </si>
  <si>
    <t>深桑达Ａ</t>
  </si>
  <si>
    <t>大悦城</t>
  </si>
  <si>
    <t>深深房Ａ</t>
  </si>
  <si>
    <t>深圳能源</t>
  </si>
  <si>
    <t>美丽生态</t>
  </si>
  <si>
    <t>神州高铁</t>
  </si>
  <si>
    <t>全新好</t>
  </si>
  <si>
    <t>深振业Ａ</t>
  </si>
  <si>
    <t>万 科Ａ</t>
  </si>
  <si>
    <t>汽车-摩托车及其他</t>
  </si>
  <si>
    <t>电子-半导体</t>
  </si>
  <si>
    <t>电力设备-电池</t>
  </si>
  <si>
    <t>电子-其他电子</t>
  </si>
  <si>
    <t>医药医疗-化学制药</t>
  </si>
  <si>
    <t>家电-小家电</t>
  </si>
  <si>
    <t>机械设备-专用设备</t>
  </si>
  <si>
    <t>国防军工-军工电子</t>
  </si>
  <si>
    <t>计算机-软件服务</t>
  </si>
  <si>
    <t>有色-金属新材料</t>
  </si>
  <si>
    <t>机械设备-自动化设备</t>
  </si>
  <si>
    <t>电子-消费电子</t>
  </si>
  <si>
    <t>机械设备-通用设备</t>
  </si>
  <si>
    <t>医药医疗-生物制品</t>
  </si>
  <si>
    <t>化工-化学原料</t>
  </si>
  <si>
    <t>社会服务-专业服务</t>
  </si>
  <si>
    <t>有色-稀有金属</t>
  </si>
  <si>
    <t>汽车-汽车零部件</t>
  </si>
  <si>
    <t>电力设备-光伏设备</t>
  </si>
  <si>
    <t>化工-化纤</t>
  </si>
  <si>
    <t>电力设备-其他发电设备</t>
  </si>
  <si>
    <t>化工-塑料</t>
  </si>
  <si>
    <t>医药医疗-医疗服务</t>
  </si>
  <si>
    <t>国防军工-航空装备</t>
  </si>
  <si>
    <t>环保-环境治理</t>
  </si>
  <si>
    <t>家电-黑色家电</t>
  </si>
  <si>
    <t>化工-化学制品</t>
  </si>
  <si>
    <t>电力设备-电网设备</t>
  </si>
  <si>
    <t>医药医疗-医疗器械</t>
  </si>
  <si>
    <t>环保-环境监测</t>
  </si>
  <si>
    <t>通信-通信设备</t>
  </si>
  <si>
    <t>电力设备-风电设备</t>
  </si>
  <si>
    <t>环保-环保设备</t>
  </si>
  <si>
    <t>电子-元器件</t>
  </si>
  <si>
    <t>计算机-IT设备</t>
  </si>
  <si>
    <t>计算机-云服务</t>
  </si>
  <si>
    <t>机械设备-轨交设备</t>
  </si>
  <si>
    <t>国防军工-地面兵装</t>
  </si>
  <si>
    <t>农林牧渔-动物保健</t>
  </si>
  <si>
    <t>电子-光学光电</t>
  </si>
  <si>
    <t>有色-工业金属</t>
  </si>
  <si>
    <t>机械设备-工程机械</t>
  </si>
  <si>
    <t>化工-非金属材料</t>
  </si>
  <si>
    <t>医药医疗-医疗美容</t>
  </si>
  <si>
    <t>计算机-产业互联网</t>
  </si>
  <si>
    <t>国防军工-航天装备</t>
  </si>
  <si>
    <t>农林牧渔-饲料</t>
  </si>
  <si>
    <t>建材-装饰建材</t>
  </si>
  <si>
    <t>纺织服饰-饰品</t>
  </si>
  <si>
    <t>建筑-专业工程</t>
  </si>
  <si>
    <t>公用事业-电力</t>
  </si>
  <si>
    <t>传媒-出版业</t>
  </si>
  <si>
    <t>食品饮料-食品加工</t>
  </si>
  <si>
    <t>轻工制造-造纸</t>
  </si>
  <si>
    <t>食品饮料-饮料乳品</t>
  </si>
  <si>
    <t>有色-能源金属</t>
  </si>
  <si>
    <t>公用事业-燃气</t>
  </si>
  <si>
    <t>食品饮料-休闲食品</t>
  </si>
  <si>
    <t>家电-厨卫电器</t>
  </si>
  <si>
    <t>建筑-基础建设</t>
  </si>
  <si>
    <t>轻工制造-文娱用品</t>
  </si>
  <si>
    <t>农林牧渔-养殖业</t>
  </si>
  <si>
    <t>建筑-装修装饰</t>
  </si>
  <si>
    <t>轻工制造-家居用品</t>
  </si>
  <si>
    <t>医药医疗-医药商业</t>
  </si>
  <si>
    <t>纺织服饰-纺织制造</t>
  </si>
  <si>
    <t>商贸-一般零售</t>
  </si>
  <si>
    <t>化工-橡胶</t>
  </si>
  <si>
    <t>传媒-广告营销</t>
  </si>
  <si>
    <t>钢铁-普钢</t>
  </si>
  <si>
    <t>纺织服饰-服装家纺</t>
  </si>
  <si>
    <t>商贸-电子商务</t>
  </si>
  <si>
    <t>建材-水泥</t>
  </si>
  <si>
    <t>社会服务-酒店餐饮</t>
  </si>
  <si>
    <t>社会服务-教育培训</t>
  </si>
  <si>
    <t>交通运输-物流</t>
  </si>
  <si>
    <t>化工-农用化工</t>
  </si>
  <si>
    <t>建材-玻璃玻纤</t>
  </si>
  <si>
    <t>医药医疗-中药</t>
  </si>
  <si>
    <t>钢铁-特钢</t>
  </si>
  <si>
    <t>电力设备-电机制造</t>
  </si>
  <si>
    <t>化工-日用化工</t>
  </si>
  <si>
    <t>食品饮料-酿酒</t>
  </si>
  <si>
    <t>建筑-工程咨询服务</t>
  </si>
  <si>
    <t>传媒-数字媒体</t>
  </si>
  <si>
    <t>交通运输-航空机场</t>
  </si>
  <si>
    <t>石油-石油化工</t>
  </si>
  <si>
    <t>公用事业-水务</t>
  </si>
  <si>
    <t>食品饮料-调味品</t>
  </si>
  <si>
    <t>石油-油服工程</t>
  </si>
  <si>
    <t>家电-家电零部件</t>
  </si>
  <si>
    <t>轻工制造-包装印刷</t>
  </si>
  <si>
    <t>商贸-商业物业经营</t>
  </si>
  <si>
    <t>通信-通信工程</t>
  </si>
  <si>
    <t>交通运输-航运港口</t>
  </si>
  <si>
    <t>房地产-房产服务</t>
  </si>
  <si>
    <t>传媒-游戏</t>
  </si>
  <si>
    <t>农林牧渔-农产品加工</t>
  </si>
  <si>
    <t>银行-地方性银行</t>
  </si>
  <si>
    <t>非银金融-多元金融</t>
  </si>
  <si>
    <t>商贸-专业连锁</t>
  </si>
  <si>
    <t>社会服务-旅游</t>
  </si>
  <si>
    <t>传媒-影视院线</t>
  </si>
  <si>
    <t>商贸-贸易</t>
  </si>
  <si>
    <t>交通运输-公路铁路</t>
  </si>
  <si>
    <t>银行-全国性银行</t>
  </si>
  <si>
    <t>非银金融-证券</t>
  </si>
  <si>
    <t>国防军工-航海装备</t>
  </si>
  <si>
    <t>钢铁-冶钢原料</t>
  </si>
  <si>
    <t>汽车-汽车服务</t>
  </si>
  <si>
    <t>农林牧渔-种植业</t>
  </si>
  <si>
    <t>传媒-广播电视</t>
  </si>
  <si>
    <t>煤炭-煤炭开采</t>
  </si>
  <si>
    <t>石油-油气开采</t>
  </si>
  <si>
    <t>建筑-房屋建设</t>
  </si>
  <si>
    <t>通信-电信服务</t>
  </si>
  <si>
    <t>汽车-乘用车</t>
  </si>
  <si>
    <t>非银金融-保险</t>
  </si>
  <si>
    <t>房地产-房地产开发</t>
  </si>
  <si>
    <t>有色-贵金属</t>
  </si>
  <si>
    <t>煤炭-焦炭加工</t>
  </si>
  <si>
    <t>家电-白色家电</t>
  </si>
  <si>
    <t>综合-综合类</t>
  </si>
  <si>
    <t>汽车-商用车</t>
  </si>
  <si>
    <t>农林牧渔-渔业</t>
  </si>
  <si>
    <t>社会服务-体育</t>
  </si>
  <si>
    <t>农林牧渔-林业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</si>
</sst>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37"/>
  <sheetViews>
    <sheetView tabSelected="1" workbookViewId="0">
      <selection activeCell="AB14" sqref="AB14"/>
    </sheetView>
  </sheetViews>
  <sheetFormatPr defaultRowHeight="14.25" x14ac:dyDescent="0.2"/>
  <cols>
    <col min="2" max="2" width="13.375" bestFit="1" customWidth="1"/>
    <col min="3" max="3" width="22.5" bestFit="1" customWidth="1"/>
  </cols>
  <sheetData>
    <row r="1" spans="1:3" x14ac:dyDescent="0.2">
      <c r="A1" t="s">
        <v>3088</v>
      </c>
      <c r="B1" t="s">
        <v>3089</v>
      </c>
      <c r="C1" t="s">
        <v>3090</v>
      </c>
    </row>
    <row r="2" spans="1:3" x14ac:dyDescent="0.2">
      <c r="A2" s="1" t="str">
        <f>"689009"</f>
        <v>689009</v>
      </c>
      <c r="B2" s="1" t="s">
        <v>3091</v>
      </c>
      <c r="C2" s="1" t="s">
        <v>4839</v>
      </c>
    </row>
    <row r="3" spans="1:3" x14ac:dyDescent="0.2">
      <c r="A3" s="1" t="str">
        <f>"688981"</f>
        <v>688981</v>
      </c>
      <c r="B3" s="1" t="s">
        <v>3092</v>
      </c>
      <c r="C3" s="1" t="s">
        <v>4840</v>
      </c>
    </row>
    <row r="4" spans="1:3" x14ac:dyDescent="0.2">
      <c r="A4" s="1" t="str">
        <f>"688819"</f>
        <v>688819</v>
      </c>
      <c r="B4" s="1" t="s">
        <v>3093</v>
      </c>
      <c r="C4" s="1" t="s">
        <v>4841</v>
      </c>
    </row>
    <row r="5" spans="1:3" x14ac:dyDescent="0.2">
      <c r="A5" s="1" t="str">
        <f>"688800"</f>
        <v>688800</v>
      </c>
      <c r="B5" s="1" t="s">
        <v>3094</v>
      </c>
      <c r="C5" s="1" t="s">
        <v>4842</v>
      </c>
    </row>
    <row r="6" spans="1:3" x14ac:dyDescent="0.2">
      <c r="A6" s="1" t="str">
        <f>"688799"</f>
        <v>688799</v>
      </c>
      <c r="B6" s="1" t="s">
        <v>3095</v>
      </c>
      <c r="C6" s="1" t="s">
        <v>4843</v>
      </c>
    </row>
    <row r="7" spans="1:3" x14ac:dyDescent="0.2">
      <c r="A7" s="1" t="str">
        <f>"688798"</f>
        <v>688798</v>
      </c>
      <c r="B7" s="1" t="s">
        <v>3096</v>
      </c>
      <c r="C7" s="1" t="s">
        <v>4840</v>
      </c>
    </row>
    <row r="8" spans="1:3" x14ac:dyDescent="0.2">
      <c r="A8" s="1" t="str">
        <f>"688793"</f>
        <v>688793</v>
      </c>
      <c r="B8" s="1" t="s">
        <v>3097</v>
      </c>
      <c r="C8" s="1" t="s">
        <v>4844</v>
      </c>
    </row>
    <row r="9" spans="1:3" x14ac:dyDescent="0.2">
      <c r="A9" s="1" t="str">
        <f>"688789"</f>
        <v>688789</v>
      </c>
      <c r="B9" s="1" t="s">
        <v>3098</v>
      </c>
      <c r="C9" s="1" t="s">
        <v>4845</v>
      </c>
    </row>
    <row r="10" spans="1:3" x14ac:dyDescent="0.2">
      <c r="A10" s="1" t="str">
        <f>"688788"</f>
        <v>688788</v>
      </c>
      <c r="B10" s="1" t="s">
        <v>3099</v>
      </c>
      <c r="C10" s="1" t="s">
        <v>4846</v>
      </c>
    </row>
    <row r="11" spans="1:3" x14ac:dyDescent="0.2">
      <c r="A11" s="1" t="str">
        <f>"688787"</f>
        <v>688787</v>
      </c>
      <c r="B11" s="1" t="s">
        <v>3100</v>
      </c>
      <c r="C11" s="1" t="s">
        <v>4847</v>
      </c>
    </row>
    <row r="12" spans="1:3" x14ac:dyDescent="0.2">
      <c r="A12" s="1" t="str">
        <f>"688786"</f>
        <v>688786</v>
      </c>
      <c r="B12" s="1" t="s">
        <v>3101</v>
      </c>
      <c r="C12" s="1" t="s">
        <v>4848</v>
      </c>
    </row>
    <row r="13" spans="1:3" x14ac:dyDescent="0.2">
      <c r="A13" s="1" t="str">
        <f>"688779"</f>
        <v>688779</v>
      </c>
      <c r="B13" s="1" t="s">
        <v>3102</v>
      </c>
      <c r="C13" s="1" t="s">
        <v>4841</v>
      </c>
    </row>
    <row r="14" spans="1:3" x14ac:dyDescent="0.2">
      <c r="A14" s="1" t="str">
        <f>"688778"</f>
        <v>688778</v>
      </c>
      <c r="B14" s="1" t="s">
        <v>3103</v>
      </c>
      <c r="C14" s="1" t="s">
        <v>4841</v>
      </c>
    </row>
    <row r="15" spans="1:3" x14ac:dyDescent="0.2">
      <c r="A15" s="1" t="str">
        <f>"688777"</f>
        <v>688777</v>
      </c>
      <c r="B15" s="1" t="s">
        <v>3104</v>
      </c>
      <c r="C15" s="1" t="s">
        <v>4849</v>
      </c>
    </row>
    <row r="16" spans="1:3" x14ac:dyDescent="0.2">
      <c r="A16" s="1" t="str">
        <f>"688776"</f>
        <v>688776</v>
      </c>
      <c r="B16" s="1" t="s">
        <v>3105</v>
      </c>
      <c r="C16" s="1" t="s">
        <v>4846</v>
      </c>
    </row>
    <row r="17" spans="1:3" x14ac:dyDescent="0.2">
      <c r="A17" s="1" t="str">
        <f>"688775"</f>
        <v>688775</v>
      </c>
      <c r="B17" s="1" t="s">
        <v>3106</v>
      </c>
      <c r="C17" s="1" t="s">
        <v>4850</v>
      </c>
    </row>
    <row r="18" spans="1:3" x14ac:dyDescent="0.2">
      <c r="A18" s="1" t="str">
        <f>"688772"</f>
        <v>688772</v>
      </c>
      <c r="B18" s="1" t="s">
        <v>3107</v>
      </c>
      <c r="C18" s="1" t="s">
        <v>4841</v>
      </c>
    </row>
    <row r="19" spans="1:3" x14ac:dyDescent="0.2">
      <c r="A19" s="1" t="str">
        <f>"688768"</f>
        <v>688768</v>
      </c>
      <c r="B19" s="1" t="s">
        <v>3108</v>
      </c>
      <c r="C19" s="1" t="s">
        <v>4851</v>
      </c>
    </row>
    <row r="20" spans="1:3" x14ac:dyDescent="0.2">
      <c r="A20" s="1" t="str">
        <f>"688767"</f>
        <v>688767</v>
      </c>
      <c r="B20" s="1" t="s">
        <v>3109</v>
      </c>
      <c r="C20" s="1" t="s">
        <v>4852</v>
      </c>
    </row>
    <row r="21" spans="1:3" x14ac:dyDescent="0.2">
      <c r="A21" s="1" t="str">
        <f>"688766"</f>
        <v>688766</v>
      </c>
      <c r="B21" s="1" t="s">
        <v>3110</v>
      </c>
      <c r="C21" s="1" t="s">
        <v>4840</v>
      </c>
    </row>
    <row r="22" spans="1:3" x14ac:dyDescent="0.2">
      <c r="A22" s="1" t="str">
        <f>"688758"</f>
        <v>688758</v>
      </c>
      <c r="B22" s="1" t="s">
        <v>3111</v>
      </c>
      <c r="C22" s="1" t="s">
        <v>4853</v>
      </c>
    </row>
    <row r="23" spans="1:3" x14ac:dyDescent="0.2">
      <c r="A23" s="1" t="str">
        <f>"688757"</f>
        <v>688757</v>
      </c>
      <c r="B23" s="1" t="s">
        <v>3112</v>
      </c>
      <c r="C23" s="1" t="s">
        <v>4854</v>
      </c>
    </row>
    <row r="24" spans="1:3" x14ac:dyDescent="0.2">
      <c r="A24" s="1" t="str">
        <f>"688755"</f>
        <v>688755</v>
      </c>
      <c r="B24" s="1" t="s">
        <v>3113</v>
      </c>
      <c r="C24" s="1" t="s">
        <v>4845</v>
      </c>
    </row>
    <row r="25" spans="1:3" x14ac:dyDescent="0.2">
      <c r="A25" s="1" t="str">
        <f>"688750"</f>
        <v>688750</v>
      </c>
      <c r="B25" s="1" t="s">
        <v>3114</v>
      </c>
      <c r="C25" s="1" t="s">
        <v>4855</v>
      </c>
    </row>
    <row r="26" spans="1:3" x14ac:dyDescent="0.2">
      <c r="A26" s="1" t="str">
        <f>"688739"</f>
        <v>688739</v>
      </c>
      <c r="B26" s="1" t="s">
        <v>3115</v>
      </c>
      <c r="C26" s="1" t="s">
        <v>4852</v>
      </c>
    </row>
    <row r="27" spans="1:3" x14ac:dyDescent="0.2">
      <c r="A27" s="1" t="str">
        <f>"688737"</f>
        <v>688737</v>
      </c>
      <c r="B27" s="1" t="s">
        <v>3116</v>
      </c>
      <c r="C27" s="1" t="s">
        <v>4856</v>
      </c>
    </row>
    <row r="28" spans="1:3" x14ac:dyDescent="0.2">
      <c r="A28" s="1" t="str">
        <f>"688733"</f>
        <v>688733</v>
      </c>
      <c r="B28" s="1" t="s">
        <v>3117</v>
      </c>
      <c r="C28" s="1" t="s">
        <v>4841</v>
      </c>
    </row>
    <row r="29" spans="1:3" x14ac:dyDescent="0.2">
      <c r="A29" s="1" t="str">
        <f>"688729"</f>
        <v>688729</v>
      </c>
      <c r="B29" s="1" t="s">
        <v>3118</v>
      </c>
      <c r="C29" s="1" t="s">
        <v>4840</v>
      </c>
    </row>
    <row r="30" spans="1:3" x14ac:dyDescent="0.2">
      <c r="A30" s="1" t="str">
        <f>"688728"</f>
        <v>688728</v>
      </c>
      <c r="B30" s="1" t="s">
        <v>3119</v>
      </c>
      <c r="C30" s="1" t="s">
        <v>4840</v>
      </c>
    </row>
    <row r="31" spans="1:3" x14ac:dyDescent="0.2">
      <c r="A31" s="1" t="str">
        <f>"688726"</f>
        <v>688726</v>
      </c>
      <c r="B31" s="1" t="s">
        <v>3120</v>
      </c>
      <c r="C31" s="1" t="s">
        <v>4857</v>
      </c>
    </row>
    <row r="32" spans="1:3" x14ac:dyDescent="0.2">
      <c r="A32" s="1" t="str">
        <f>"688722"</f>
        <v>688722</v>
      </c>
      <c r="B32" s="1" t="s">
        <v>3121</v>
      </c>
      <c r="C32" s="1" t="s">
        <v>4858</v>
      </c>
    </row>
    <row r="33" spans="1:3" x14ac:dyDescent="0.2">
      <c r="A33" s="1" t="str">
        <f>"688721"</f>
        <v>688721</v>
      </c>
      <c r="B33" s="1" t="s">
        <v>3122</v>
      </c>
      <c r="C33" s="1" t="s">
        <v>4840</v>
      </c>
    </row>
    <row r="34" spans="1:3" x14ac:dyDescent="0.2">
      <c r="A34" s="1" t="str">
        <f>"688720"</f>
        <v>688720</v>
      </c>
      <c r="B34" s="1" t="s">
        <v>3123</v>
      </c>
      <c r="C34" s="1" t="s">
        <v>4840</v>
      </c>
    </row>
    <row r="35" spans="1:3" x14ac:dyDescent="0.2">
      <c r="A35" s="1" t="str">
        <f>"688719"</f>
        <v>688719</v>
      </c>
      <c r="B35" s="1" t="s">
        <v>3124</v>
      </c>
      <c r="C35" s="1" t="s">
        <v>4859</v>
      </c>
    </row>
    <row r="36" spans="1:3" x14ac:dyDescent="0.2">
      <c r="A36" s="1" t="str">
        <f>"688718"</f>
        <v>688718</v>
      </c>
      <c r="B36" s="1" t="s">
        <v>3125</v>
      </c>
      <c r="C36" s="1" t="s">
        <v>4860</v>
      </c>
    </row>
    <row r="37" spans="1:3" x14ac:dyDescent="0.2">
      <c r="A37" s="1" t="str">
        <f>"688717"</f>
        <v>688717</v>
      </c>
      <c r="B37" s="1" t="s">
        <v>3126</v>
      </c>
      <c r="C37" s="1" t="s">
        <v>4857</v>
      </c>
    </row>
    <row r="38" spans="1:3" x14ac:dyDescent="0.2">
      <c r="A38" s="1" t="str">
        <f>"688716"</f>
        <v>688716</v>
      </c>
      <c r="B38" s="1" t="s">
        <v>3127</v>
      </c>
      <c r="C38" s="1" t="s">
        <v>4860</v>
      </c>
    </row>
    <row r="39" spans="1:3" x14ac:dyDescent="0.2">
      <c r="A39" s="1" t="str">
        <f>"688711"</f>
        <v>688711</v>
      </c>
      <c r="B39" s="1" t="s">
        <v>3128</v>
      </c>
      <c r="C39" s="1" t="s">
        <v>4840</v>
      </c>
    </row>
    <row r="40" spans="1:3" x14ac:dyDescent="0.2">
      <c r="A40" s="1" t="str">
        <f>"688710"</f>
        <v>688710</v>
      </c>
      <c r="B40" s="1" t="s">
        <v>3129</v>
      </c>
      <c r="C40" s="1" t="s">
        <v>4861</v>
      </c>
    </row>
    <row r="41" spans="1:3" x14ac:dyDescent="0.2">
      <c r="A41" s="1" t="str">
        <f>"688709"</f>
        <v>688709</v>
      </c>
      <c r="B41" s="1" t="s">
        <v>3130</v>
      </c>
      <c r="C41" s="1" t="s">
        <v>4840</v>
      </c>
    </row>
    <row r="42" spans="1:3" x14ac:dyDescent="0.2">
      <c r="A42" s="1" t="str">
        <f>"688708"</f>
        <v>688708</v>
      </c>
      <c r="B42" s="1" t="s">
        <v>3131</v>
      </c>
      <c r="C42" s="1" t="s">
        <v>4862</v>
      </c>
    </row>
    <row r="43" spans="1:3" x14ac:dyDescent="0.2">
      <c r="A43" s="1" t="str">
        <f>"688702"</f>
        <v>688702</v>
      </c>
      <c r="B43" s="1" t="s">
        <v>3132</v>
      </c>
      <c r="C43" s="1" t="s">
        <v>4840</v>
      </c>
    </row>
    <row r="44" spans="1:3" x14ac:dyDescent="0.2">
      <c r="A44" s="1" t="str">
        <f>"688701"</f>
        <v>688701</v>
      </c>
      <c r="B44" s="1" t="s">
        <v>3133</v>
      </c>
      <c r="C44" s="1" t="s">
        <v>4863</v>
      </c>
    </row>
    <row r="45" spans="1:3" x14ac:dyDescent="0.2">
      <c r="A45" s="1" t="str">
        <f>"688700"</f>
        <v>688700</v>
      </c>
      <c r="B45" s="1" t="s">
        <v>3134</v>
      </c>
      <c r="C45" s="1" t="s">
        <v>4845</v>
      </c>
    </row>
    <row r="46" spans="1:3" x14ac:dyDescent="0.2">
      <c r="A46" s="1" t="str">
        <f>"688699"</f>
        <v>688699</v>
      </c>
      <c r="B46" s="1" t="s">
        <v>3135</v>
      </c>
      <c r="C46" s="1" t="s">
        <v>4840</v>
      </c>
    </row>
    <row r="47" spans="1:3" x14ac:dyDescent="0.2">
      <c r="A47" s="1" t="str">
        <f>"688698"</f>
        <v>688698</v>
      </c>
      <c r="B47" s="1" t="s">
        <v>3136</v>
      </c>
      <c r="C47" s="1" t="s">
        <v>4849</v>
      </c>
    </row>
    <row r="48" spans="1:3" x14ac:dyDescent="0.2">
      <c r="A48" s="1" t="str">
        <f>"688697"</f>
        <v>688697</v>
      </c>
      <c r="B48" s="1" t="s">
        <v>3137</v>
      </c>
      <c r="C48" s="1" t="s">
        <v>4851</v>
      </c>
    </row>
    <row r="49" spans="1:3" x14ac:dyDescent="0.2">
      <c r="A49" s="1" t="str">
        <f>"688696"</f>
        <v>688696</v>
      </c>
      <c r="B49" s="1" t="s">
        <v>3138</v>
      </c>
      <c r="C49" s="1" t="s">
        <v>4864</v>
      </c>
    </row>
    <row r="50" spans="1:3" x14ac:dyDescent="0.2">
      <c r="A50" s="1" t="str">
        <f>"688695"</f>
        <v>688695</v>
      </c>
      <c r="B50" s="1" t="s">
        <v>3139</v>
      </c>
      <c r="C50" s="1" t="s">
        <v>4847</v>
      </c>
    </row>
    <row r="51" spans="1:3" x14ac:dyDescent="0.2">
      <c r="A51" s="1" t="str">
        <f>"688693"</f>
        <v>688693</v>
      </c>
      <c r="B51" s="1" t="s">
        <v>3140</v>
      </c>
      <c r="C51" s="1" t="s">
        <v>4840</v>
      </c>
    </row>
    <row r="52" spans="1:3" x14ac:dyDescent="0.2">
      <c r="A52" s="1" t="str">
        <f>"688692"</f>
        <v>688692</v>
      </c>
      <c r="B52" s="1" t="s">
        <v>3141</v>
      </c>
      <c r="C52" s="1" t="s">
        <v>4847</v>
      </c>
    </row>
    <row r="53" spans="1:3" x14ac:dyDescent="0.2">
      <c r="A53" s="1" t="str">
        <f>"688691"</f>
        <v>688691</v>
      </c>
      <c r="B53" s="1" t="s">
        <v>3142</v>
      </c>
      <c r="C53" s="1" t="s">
        <v>4840</v>
      </c>
    </row>
    <row r="54" spans="1:3" x14ac:dyDescent="0.2">
      <c r="A54" s="1" t="str">
        <f>"688690"</f>
        <v>688690</v>
      </c>
      <c r="B54" s="1" t="s">
        <v>3143</v>
      </c>
      <c r="C54" s="1" t="s">
        <v>4865</v>
      </c>
    </row>
    <row r="55" spans="1:3" x14ac:dyDescent="0.2">
      <c r="A55" s="1" t="str">
        <f>"688689"</f>
        <v>688689</v>
      </c>
      <c r="B55" s="1" t="s">
        <v>3144</v>
      </c>
      <c r="C55" s="1" t="s">
        <v>4840</v>
      </c>
    </row>
    <row r="56" spans="1:3" x14ac:dyDescent="0.2">
      <c r="A56" s="1" t="str">
        <f>"688687"</f>
        <v>688687</v>
      </c>
      <c r="B56" s="1" t="s">
        <v>3145</v>
      </c>
      <c r="C56" s="1" t="s">
        <v>4852</v>
      </c>
    </row>
    <row r="57" spans="1:3" x14ac:dyDescent="0.2">
      <c r="A57" s="1" t="str">
        <f>"688686"</f>
        <v>688686</v>
      </c>
      <c r="B57" s="1" t="s">
        <v>3146</v>
      </c>
      <c r="C57" s="1" t="s">
        <v>4849</v>
      </c>
    </row>
    <row r="58" spans="1:3" x14ac:dyDescent="0.2">
      <c r="A58" s="1" t="str">
        <f>"688685"</f>
        <v>688685</v>
      </c>
      <c r="B58" s="1" t="s">
        <v>3147</v>
      </c>
      <c r="C58" s="1" t="s">
        <v>4862</v>
      </c>
    </row>
    <row r="59" spans="1:3" x14ac:dyDescent="0.2">
      <c r="A59" s="1" t="str">
        <f>"688683"</f>
        <v>688683</v>
      </c>
      <c r="B59" s="1" t="s">
        <v>3148</v>
      </c>
      <c r="C59" s="1" t="s">
        <v>4850</v>
      </c>
    </row>
    <row r="60" spans="1:3" x14ac:dyDescent="0.2">
      <c r="A60" s="1" t="str">
        <f>"688682"</f>
        <v>688682</v>
      </c>
      <c r="B60" s="1" t="s">
        <v>3149</v>
      </c>
      <c r="C60" s="1" t="s">
        <v>4846</v>
      </c>
    </row>
    <row r="61" spans="1:3" x14ac:dyDescent="0.2">
      <c r="A61" s="1" t="str">
        <f>"688681"</f>
        <v>688681</v>
      </c>
      <c r="B61" s="1" t="s">
        <v>3150</v>
      </c>
      <c r="C61" s="1" t="s">
        <v>4866</v>
      </c>
    </row>
    <row r="62" spans="1:3" x14ac:dyDescent="0.2">
      <c r="A62" s="1" t="str">
        <f>"688679"</f>
        <v>688679</v>
      </c>
      <c r="B62" s="1" t="s">
        <v>3151</v>
      </c>
      <c r="C62" s="1" t="s">
        <v>4863</v>
      </c>
    </row>
    <row r="63" spans="1:3" x14ac:dyDescent="0.2">
      <c r="A63" s="1" t="str">
        <f>"688678"</f>
        <v>688678</v>
      </c>
      <c r="B63" s="1" t="s">
        <v>3152</v>
      </c>
      <c r="C63" s="1" t="s">
        <v>4850</v>
      </c>
    </row>
    <row r="64" spans="1:3" x14ac:dyDescent="0.2">
      <c r="A64" s="1" t="str">
        <f>"688677"</f>
        <v>688677</v>
      </c>
      <c r="B64" s="1" t="s">
        <v>3153</v>
      </c>
      <c r="C64" s="1" t="s">
        <v>4867</v>
      </c>
    </row>
    <row r="65" spans="1:3" x14ac:dyDescent="0.2">
      <c r="A65" s="1" t="str">
        <f>"688676"</f>
        <v>688676</v>
      </c>
      <c r="B65" s="1" t="s">
        <v>3154</v>
      </c>
      <c r="C65" s="1" t="s">
        <v>4866</v>
      </c>
    </row>
    <row r="66" spans="1:3" x14ac:dyDescent="0.2">
      <c r="A66" s="1" t="str">
        <f>"688671"</f>
        <v>688671</v>
      </c>
      <c r="B66" s="1" t="s">
        <v>3155</v>
      </c>
      <c r="C66" s="1" t="s">
        <v>4868</v>
      </c>
    </row>
    <row r="67" spans="1:3" x14ac:dyDescent="0.2">
      <c r="A67" s="1" t="str">
        <f>"688670"</f>
        <v>688670</v>
      </c>
      <c r="B67" s="1" t="s">
        <v>3156</v>
      </c>
      <c r="C67" s="1" t="s">
        <v>4852</v>
      </c>
    </row>
    <row r="68" spans="1:3" x14ac:dyDescent="0.2">
      <c r="A68" s="1" t="str">
        <f>"688669"</f>
        <v>688669</v>
      </c>
      <c r="B68" s="1" t="s">
        <v>3157</v>
      </c>
      <c r="C68" s="1" t="s">
        <v>4860</v>
      </c>
    </row>
    <row r="69" spans="1:3" x14ac:dyDescent="0.2">
      <c r="A69" s="1" t="str">
        <f>"688668"</f>
        <v>688668</v>
      </c>
      <c r="B69" s="1" t="s">
        <v>3158</v>
      </c>
      <c r="C69" s="1" t="s">
        <v>4869</v>
      </c>
    </row>
    <row r="70" spans="1:3" x14ac:dyDescent="0.2">
      <c r="A70" s="1" t="str">
        <f>"688667"</f>
        <v>688667</v>
      </c>
      <c r="B70" s="1" t="s">
        <v>3159</v>
      </c>
      <c r="C70" s="1" t="s">
        <v>4856</v>
      </c>
    </row>
    <row r="71" spans="1:3" x14ac:dyDescent="0.2">
      <c r="A71" s="1" t="str">
        <f>"688665"</f>
        <v>688665</v>
      </c>
      <c r="B71" s="1" t="s">
        <v>3160</v>
      </c>
      <c r="C71" s="1" t="s">
        <v>4851</v>
      </c>
    </row>
    <row r="72" spans="1:3" x14ac:dyDescent="0.2">
      <c r="A72" s="1" t="str">
        <f>"688663"</f>
        <v>688663</v>
      </c>
      <c r="B72" s="1" t="s">
        <v>3161</v>
      </c>
      <c r="C72" s="1" t="s">
        <v>4866</v>
      </c>
    </row>
    <row r="73" spans="1:3" x14ac:dyDescent="0.2">
      <c r="A73" s="1" t="str">
        <f>"688662"</f>
        <v>688662</v>
      </c>
      <c r="B73" s="1" t="s">
        <v>3162</v>
      </c>
      <c r="C73" s="1" t="s">
        <v>4842</v>
      </c>
    </row>
    <row r="74" spans="1:3" x14ac:dyDescent="0.2">
      <c r="A74" s="1" t="str">
        <f>"688661"</f>
        <v>688661</v>
      </c>
      <c r="B74" s="1" t="s">
        <v>3163</v>
      </c>
      <c r="C74" s="1" t="s">
        <v>4850</v>
      </c>
    </row>
    <row r="75" spans="1:3" x14ac:dyDescent="0.2">
      <c r="A75" s="1" t="str">
        <f>"688660"</f>
        <v>688660</v>
      </c>
      <c r="B75" s="1" t="s">
        <v>3164</v>
      </c>
      <c r="C75" s="1" t="s">
        <v>4870</v>
      </c>
    </row>
    <row r="76" spans="1:3" x14ac:dyDescent="0.2">
      <c r="A76" s="1" t="str">
        <f>"688659"</f>
        <v>688659</v>
      </c>
      <c r="B76" s="1" t="s">
        <v>3165</v>
      </c>
      <c r="C76" s="1" t="s">
        <v>4871</v>
      </c>
    </row>
    <row r="77" spans="1:3" x14ac:dyDescent="0.2">
      <c r="A77" s="1" t="str">
        <f>"688658"</f>
        <v>688658</v>
      </c>
      <c r="B77" s="1" t="s">
        <v>3166</v>
      </c>
      <c r="C77" s="1" t="s">
        <v>4843</v>
      </c>
    </row>
    <row r="78" spans="1:3" x14ac:dyDescent="0.2">
      <c r="A78" s="1" t="str">
        <f>"688657"</f>
        <v>688657</v>
      </c>
      <c r="B78" s="1" t="s">
        <v>3167</v>
      </c>
      <c r="C78" s="1" t="s">
        <v>4847</v>
      </c>
    </row>
    <row r="79" spans="1:3" x14ac:dyDescent="0.2">
      <c r="A79" s="1" t="str">
        <f>"688656"</f>
        <v>688656</v>
      </c>
      <c r="B79" s="1" t="s">
        <v>3168</v>
      </c>
      <c r="C79" s="1" t="s">
        <v>4852</v>
      </c>
    </row>
    <row r="80" spans="1:3" x14ac:dyDescent="0.2">
      <c r="A80" s="1" t="str">
        <f>"688655"</f>
        <v>688655</v>
      </c>
      <c r="B80" s="1" t="s">
        <v>3169</v>
      </c>
      <c r="C80" s="1" t="s">
        <v>4872</v>
      </c>
    </row>
    <row r="81" spans="1:3" x14ac:dyDescent="0.2">
      <c r="A81" s="1" t="str">
        <f>"688653"</f>
        <v>688653</v>
      </c>
      <c r="B81" s="1" t="s">
        <v>3170</v>
      </c>
      <c r="C81" s="1" t="s">
        <v>4840</v>
      </c>
    </row>
    <row r="82" spans="1:3" x14ac:dyDescent="0.2">
      <c r="A82" s="1" t="str">
        <f>"688652"</f>
        <v>688652</v>
      </c>
      <c r="B82" s="1" t="s">
        <v>3171</v>
      </c>
      <c r="C82" s="1" t="s">
        <v>4840</v>
      </c>
    </row>
    <row r="83" spans="1:3" x14ac:dyDescent="0.2">
      <c r="A83" s="1" t="str">
        <f>"688651"</f>
        <v>688651</v>
      </c>
      <c r="B83" s="1" t="s">
        <v>3172</v>
      </c>
      <c r="C83" s="1" t="s">
        <v>4847</v>
      </c>
    </row>
    <row r="84" spans="1:3" x14ac:dyDescent="0.2">
      <c r="A84" s="1" t="str">
        <f>"688648"</f>
        <v>688648</v>
      </c>
      <c r="B84" s="1" t="s">
        <v>3173</v>
      </c>
      <c r="C84" s="1" t="s">
        <v>4845</v>
      </c>
    </row>
    <row r="85" spans="1:3" x14ac:dyDescent="0.2">
      <c r="A85" s="1" t="str">
        <f>"688639"</f>
        <v>688639</v>
      </c>
      <c r="B85" s="1" t="s">
        <v>3174</v>
      </c>
      <c r="C85" s="1" t="s">
        <v>4865</v>
      </c>
    </row>
    <row r="86" spans="1:3" x14ac:dyDescent="0.2">
      <c r="A86" s="1" t="str">
        <f>"688638"</f>
        <v>688638</v>
      </c>
      <c r="B86" s="1" t="s">
        <v>3175</v>
      </c>
      <c r="C86" s="1" t="s">
        <v>4841</v>
      </c>
    </row>
    <row r="87" spans="1:3" x14ac:dyDescent="0.2">
      <c r="A87" s="1" t="str">
        <f>"688636"</f>
        <v>688636</v>
      </c>
      <c r="B87" s="1" t="s">
        <v>3176</v>
      </c>
      <c r="C87" s="1" t="s">
        <v>4846</v>
      </c>
    </row>
    <row r="88" spans="1:3" x14ac:dyDescent="0.2">
      <c r="A88" s="1" t="str">
        <f>"688633"</f>
        <v>688633</v>
      </c>
      <c r="B88" s="1" t="s">
        <v>3177</v>
      </c>
      <c r="C88" s="1" t="s">
        <v>4845</v>
      </c>
    </row>
    <row r="89" spans="1:3" x14ac:dyDescent="0.2">
      <c r="A89" s="1" t="str">
        <f>"688631"</f>
        <v>688631</v>
      </c>
      <c r="B89" s="1" t="s">
        <v>3178</v>
      </c>
      <c r="C89" s="1" t="s">
        <v>4847</v>
      </c>
    </row>
    <row r="90" spans="1:3" x14ac:dyDescent="0.2">
      <c r="A90" s="1" t="str">
        <f>"688630"</f>
        <v>688630</v>
      </c>
      <c r="B90" s="1" t="s">
        <v>3179</v>
      </c>
      <c r="C90" s="1" t="s">
        <v>4845</v>
      </c>
    </row>
    <row r="91" spans="1:3" x14ac:dyDescent="0.2">
      <c r="A91" s="1" t="str">
        <f>"688629"</f>
        <v>688629</v>
      </c>
      <c r="B91" s="1" t="s">
        <v>3180</v>
      </c>
      <c r="C91" s="1" t="s">
        <v>4846</v>
      </c>
    </row>
    <row r="92" spans="1:3" x14ac:dyDescent="0.2">
      <c r="A92" s="1" t="str">
        <f>"688628"</f>
        <v>688628</v>
      </c>
      <c r="B92" s="1" t="s">
        <v>3181</v>
      </c>
      <c r="C92" s="1" t="s">
        <v>4851</v>
      </c>
    </row>
    <row r="93" spans="1:3" x14ac:dyDescent="0.2">
      <c r="A93" s="1" t="str">
        <f>"688627"</f>
        <v>688627</v>
      </c>
      <c r="B93" s="1" t="s">
        <v>3182</v>
      </c>
      <c r="C93" s="1" t="s">
        <v>4845</v>
      </c>
    </row>
    <row r="94" spans="1:3" x14ac:dyDescent="0.2">
      <c r="A94" s="1" t="str">
        <f>"688626"</f>
        <v>688626</v>
      </c>
      <c r="B94" s="1" t="s">
        <v>3183</v>
      </c>
      <c r="C94" s="1" t="s">
        <v>4867</v>
      </c>
    </row>
    <row r="95" spans="1:3" x14ac:dyDescent="0.2">
      <c r="A95" s="1" t="str">
        <f>"688625"</f>
        <v>688625</v>
      </c>
      <c r="B95" s="1" t="s">
        <v>3184</v>
      </c>
      <c r="C95" s="1" t="s">
        <v>4860</v>
      </c>
    </row>
    <row r="96" spans="1:3" x14ac:dyDescent="0.2">
      <c r="A96" s="1" t="str">
        <f>"688623"</f>
        <v>688623</v>
      </c>
      <c r="B96" s="1" t="s">
        <v>3185</v>
      </c>
      <c r="C96" s="1" t="s">
        <v>4849</v>
      </c>
    </row>
    <row r="97" spans="1:3" x14ac:dyDescent="0.2">
      <c r="A97" s="1" t="str">
        <f>"688622"</f>
        <v>688622</v>
      </c>
      <c r="B97" s="1" t="s">
        <v>3186</v>
      </c>
      <c r="C97" s="1" t="s">
        <v>4851</v>
      </c>
    </row>
    <row r="98" spans="1:3" x14ac:dyDescent="0.2">
      <c r="A98" s="1" t="str">
        <f>"688621"</f>
        <v>688621</v>
      </c>
      <c r="B98" s="1" t="s">
        <v>3187</v>
      </c>
      <c r="C98" s="1" t="s">
        <v>4861</v>
      </c>
    </row>
    <row r="99" spans="1:3" x14ac:dyDescent="0.2">
      <c r="A99" s="1" t="str">
        <f>"688620"</f>
        <v>688620</v>
      </c>
      <c r="B99" s="1" t="s">
        <v>3188</v>
      </c>
      <c r="C99" s="1" t="s">
        <v>4840</v>
      </c>
    </row>
    <row r="100" spans="1:3" x14ac:dyDescent="0.2">
      <c r="A100" s="1" t="str">
        <f>"688619"</f>
        <v>688619</v>
      </c>
      <c r="B100" s="1" t="s">
        <v>3189</v>
      </c>
      <c r="C100" s="1" t="s">
        <v>4873</v>
      </c>
    </row>
    <row r="101" spans="1:3" x14ac:dyDescent="0.2">
      <c r="A101" s="1" t="str">
        <f>"688618"</f>
        <v>688618</v>
      </c>
      <c r="B101" s="1" t="s">
        <v>3190</v>
      </c>
      <c r="C101" s="1" t="s">
        <v>4869</v>
      </c>
    </row>
    <row r="102" spans="1:3" x14ac:dyDescent="0.2">
      <c r="A102" s="1" t="str">
        <f>"688617"</f>
        <v>688617</v>
      </c>
      <c r="B102" s="1" t="s">
        <v>3191</v>
      </c>
      <c r="C102" s="1" t="s">
        <v>4867</v>
      </c>
    </row>
    <row r="103" spans="1:3" x14ac:dyDescent="0.2">
      <c r="A103" s="1" t="str">
        <f>"688616"</f>
        <v>688616</v>
      </c>
      <c r="B103" s="1" t="s">
        <v>3192</v>
      </c>
      <c r="C103" s="1" t="s">
        <v>4866</v>
      </c>
    </row>
    <row r="104" spans="1:3" x14ac:dyDescent="0.2">
      <c r="A104" s="1" t="str">
        <f>"688615"</f>
        <v>688615</v>
      </c>
      <c r="B104" s="1" t="s">
        <v>3193</v>
      </c>
      <c r="C104" s="1" t="s">
        <v>4847</v>
      </c>
    </row>
    <row r="105" spans="1:3" x14ac:dyDescent="0.2">
      <c r="A105" s="1" t="str">
        <f>"688613"</f>
        <v>688613</v>
      </c>
      <c r="B105" s="1" t="s">
        <v>3194</v>
      </c>
      <c r="C105" s="1" t="s">
        <v>4867</v>
      </c>
    </row>
    <row r="106" spans="1:3" x14ac:dyDescent="0.2">
      <c r="A106" s="1" t="str">
        <f>"688612"</f>
        <v>688612</v>
      </c>
      <c r="B106" s="1" t="s">
        <v>3195</v>
      </c>
      <c r="C106" s="1" t="s">
        <v>4856</v>
      </c>
    </row>
    <row r="107" spans="1:3" x14ac:dyDescent="0.2">
      <c r="A107" s="1" t="str">
        <f>"688611"</f>
        <v>688611</v>
      </c>
      <c r="B107" s="1" t="s">
        <v>3196</v>
      </c>
      <c r="C107" s="1" t="s">
        <v>4866</v>
      </c>
    </row>
    <row r="108" spans="1:3" x14ac:dyDescent="0.2">
      <c r="A108" s="1" t="str">
        <f>"688610"</f>
        <v>688610</v>
      </c>
      <c r="B108" s="1" t="s">
        <v>3197</v>
      </c>
      <c r="C108" s="1" t="s">
        <v>4851</v>
      </c>
    </row>
    <row r="109" spans="1:3" x14ac:dyDescent="0.2">
      <c r="A109" s="1" t="str">
        <f>"688609"</f>
        <v>688609</v>
      </c>
      <c r="B109" s="1" t="s">
        <v>3198</v>
      </c>
      <c r="C109" s="1" t="s">
        <v>4864</v>
      </c>
    </row>
    <row r="110" spans="1:3" x14ac:dyDescent="0.2">
      <c r="A110" s="1" t="str">
        <f>"688608"</f>
        <v>688608</v>
      </c>
      <c r="B110" s="1" t="s">
        <v>3199</v>
      </c>
      <c r="C110" s="1" t="s">
        <v>4840</v>
      </c>
    </row>
    <row r="111" spans="1:3" x14ac:dyDescent="0.2">
      <c r="A111" s="1" t="str">
        <f>"688607"</f>
        <v>688607</v>
      </c>
      <c r="B111" s="1" t="s">
        <v>3200</v>
      </c>
      <c r="C111" s="1" t="s">
        <v>4867</v>
      </c>
    </row>
    <row r="112" spans="1:3" x14ac:dyDescent="0.2">
      <c r="A112" s="1" t="str">
        <f>"688606"</f>
        <v>688606</v>
      </c>
      <c r="B112" s="1" t="s">
        <v>3201</v>
      </c>
      <c r="C112" s="1" t="s">
        <v>4852</v>
      </c>
    </row>
    <row r="113" spans="1:3" x14ac:dyDescent="0.2">
      <c r="A113" s="1" t="str">
        <f>"688605"</f>
        <v>688605</v>
      </c>
      <c r="B113" s="1" t="s">
        <v>3202</v>
      </c>
      <c r="C113" s="1" t="s">
        <v>4840</v>
      </c>
    </row>
    <row r="114" spans="1:3" x14ac:dyDescent="0.2">
      <c r="A114" s="1" t="str">
        <f>"688603"</f>
        <v>688603</v>
      </c>
      <c r="B114" s="1" t="s">
        <v>3203</v>
      </c>
      <c r="C114" s="1" t="s">
        <v>4842</v>
      </c>
    </row>
    <row r="115" spans="1:3" x14ac:dyDescent="0.2">
      <c r="A115" s="1" t="str">
        <f>"688602"</f>
        <v>688602</v>
      </c>
      <c r="B115" s="1" t="s">
        <v>3204</v>
      </c>
      <c r="C115" s="1" t="s">
        <v>4865</v>
      </c>
    </row>
    <row r="116" spans="1:3" x14ac:dyDescent="0.2">
      <c r="A116" s="1" t="str">
        <f>"688601"</f>
        <v>688601</v>
      </c>
      <c r="B116" s="1" t="s">
        <v>3205</v>
      </c>
      <c r="C116" s="1" t="s">
        <v>4840</v>
      </c>
    </row>
    <row r="117" spans="1:3" x14ac:dyDescent="0.2">
      <c r="A117" s="1" t="str">
        <f>"688600"</f>
        <v>688600</v>
      </c>
      <c r="B117" s="1" t="s">
        <v>3206</v>
      </c>
      <c r="C117" s="1" t="s">
        <v>4851</v>
      </c>
    </row>
    <row r="118" spans="1:3" x14ac:dyDescent="0.2">
      <c r="A118" s="1" t="str">
        <f>"688599"</f>
        <v>688599</v>
      </c>
      <c r="B118" s="1" t="s">
        <v>3207</v>
      </c>
      <c r="C118" s="1" t="s">
        <v>4857</v>
      </c>
    </row>
    <row r="119" spans="1:3" x14ac:dyDescent="0.2">
      <c r="A119" s="1" t="str">
        <f>"688597"</f>
        <v>688597</v>
      </c>
      <c r="B119" s="1" t="s">
        <v>3208</v>
      </c>
      <c r="C119" s="1" t="s">
        <v>4866</v>
      </c>
    </row>
    <row r="120" spans="1:3" x14ac:dyDescent="0.2">
      <c r="A120" s="1" t="str">
        <f>"688596"</f>
        <v>688596</v>
      </c>
      <c r="B120" s="1" t="s">
        <v>3209</v>
      </c>
      <c r="C120" s="1" t="s">
        <v>4840</v>
      </c>
    </row>
    <row r="121" spans="1:3" x14ac:dyDescent="0.2">
      <c r="A121" s="1" t="str">
        <f>"688595"</f>
        <v>688595</v>
      </c>
      <c r="B121" s="1" t="s">
        <v>3210</v>
      </c>
      <c r="C121" s="1" t="s">
        <v>4840</v>
      </c>
    </row>
    <row r="122" spans="1:3" x14ac:dyDescent="0.2">
      <c r="A122" s="1" t="str">
        <f>"688593"</f>
        <v>688593</v>
      </c>
      <c r="B122" s="1" t="s">
        <v>3211</v>
      </c>
      <c r="C122" s="1" t="s">
        <v>4840</v>
      </c>
    </row>
    <row r="123" spans="1:3" x14ac:dyDescent="0.2">
      <c r="A123" s="1" t="str">
        <f>"688592"</f>
        <v>688592</v>
      </c>
      <c r="B123" s="1" t="s">
        <v>3212</v>
      </c>
      <c r="C123" s="1" t="s">
        <v>4869</v>
      </c>
    </row>
    <row r="124" spans="1:3" x14ac:dyDescent="0.2">
      <c r="A124" s="1" t="str">
        <f>"688591"</f>
        <v>688591</v>
      </c>
      <c r="B124" s="1" t="s">
        <v>3213</v>
      </c>
      <c r="C124" s="1" t="s">
        <v>4840</v>
      </c>
    </row>
    <row r="125" spans="1:3" x14ac:dyDescent="0.2">
      <c r="A125" s="1" t="str">
        <f>"688590"</f>
        <v>688590</v>
      </c>
      <c r="B125" s="1" t="s">
        <v>3214</v>
      </c>
      <c r="C125" s="1" t="s">
        <v>4874</v>
      </c>
    </row>
    <row r="126" spans="1:3" x14ac:dyDescent="0.2">
      <c r="A126" s="1" t="str">
        <f>"688589"</f>
        <v>688589</v>
      </c>
      <c r="B126" s="1" t="s">
        <v>3215</v>
      </c>
      <c r="C126" s="1" t="s">
        <v>4840</v>
      </c>
    </row>
    <row r="127" spans="1:3" x14ac:dyDescent="0.2">
      <c r="A127" s="1" t="str">
        <f>"688588"</f>
        <v>688588</v>
      </c>
      <c r="B127" s="1" t="s">
        <v>3216</v>
      </c>
      <c r="C127" s="1" t="s">
        <v>4847</v>
      </c>
    </row>
    <row r="128" spans="1:3" x14ac:dyDescent="0.2">
      <c r="A128" s="1" t="str">
        <f>"688586"</f>
        <v>688586</v>
      </c>
      <c r="B128" s="1" t="s">
        <v>3217</v>
      </c>
      <c r="C128" s="1" t="s">
        <v>4862</v>
      </c>
    </row>
    <row r="129" spans="1:3" x14ac:dyDescent="0.2">
      <c r="A129" s="1" t="str">
        <f>"688585"</f>
        <v>688585</v>
      </c>
      <c r="B129" s="1" t="s">
        <v>3218</v>
      </c>
      <c r="C129" s="1" t="s">
        <v>4860</v>
      </c>
    </row>
    <row r="130" spans="1:3" x14ac:dyDescent="0.2">
      <c r="A130" s="1" t="str">
        <f>"688584"</f>
        <v>688584</v>
      </c>
      <c r="B130" s="1" t="s">
        <v>3219</v>
      </c>
      <c r="C130" s="1" t="s">
        <v>4840</v>
      </c>
    </row>
    <row r="131" spans="1:3" x14ac:dyDescent="0.2">
      <c r="A131" s="1" t="str">
        <f>"688583"</f>
        <v>688583</v>
      </c>
      <c r="B131" s="1" t="s">
        <v>3220</v>
      </c>
      <c r="C131" s="1" t="s">
        <v>4851</v>
      </c>
    </row>
    <row r="132" spans="1:3" x14ac:dyDescent="0.2">
      <c r="A132" s="1" t="str">
        <f>"688582"</f>
        <v>688582</v>
      </c>
      <c r="B132" s="1" t="s">
        <v>3221</v>
      </c>
      <c r="C132" s="1" t="s">
        <v>4872</v>
      </c>
    </row>
    <row r="133" spans="1:3" x14ac:dyDescent="0.2">
      <c r="A133" s="1" t="str">
        <f>"688581"</f>
        <v>688581</v>
      </c>
      <c r="B133" s="1" t="s">
        <v>3222</v>
      </c>
      <c r="C133" s="1" t="s">
        <v>4867</v>
      </c>
    </row>
    <row r="134" spans="1:3" x14ac:dyDescent="0.2">
      <c r="A134" s="1" t="str">
        <f>"688580"</f>
        <v>688580</v>
      </c>
      <c r="B134" s="1" t="s">
        <v>3223</v>
      </c>
      <c r="C134" s="1" t="s">
        <v>4867</v>
      </c>
    </row>
    <row r="135" spans="1:3" x14ac:dyDescent="0.2">
      <c r="A135" s="1" t="str">
        <f>"688579"</f>
        <v>688579</v>
      </c>
      <c r="B135" s="1" t="s">
        <v>3224</v>
      </c>
      <c r="C135" s="1" t="s">
        <v>4847</v>
      </c>
    </row>
    <row r="136" spans="1:3" x14ac:dyDescent="0.2">
      <c r="A136" s="1" t="str">
        <f>"688578"</f>
        <v>688578</v>
      </c>
      <c r="B136" s="1" t="s">
        <v>3225</v>
      </c>
      <c r="C136" s="1" t="s">
        <v>4852</v>
      </c>
    </row>
    <row r="137" spans="1:3" x14ac:dyDescent="0.2">
      <c r="A137" s="1" t="str">
        <f>"688577"</f>
        <v>688577</v>
      </c>
      <c r="B137" s="1" t="s">
        <v>3226</v>
      </c>
      <c r="C137" s="1" t="s">
        <v>4851</v>
      </c>
    </row>
    <row r="138" spans="1:3" x14ac:dyDescent="0.2">
      <c r="A138" s="1" t="str">
        <f>"688576"</f>
        <v>688576</v>
      </c>
      <c r="B138" s="1" t="s">
        <v>3227</v>
      </c>
      <c r="C138" s="1" t="s">
        <v>4867</v>
      </c>
    </row>
    <row r="139" spans="1:3" x14ac:dyDescent="0.2">
      <c r="A139" s="1" t="str">
        <f>"688575"</f>
        <v>688575</v>
      </c>
      <c r="B139" s="1" t="s">
        <v>3228</v>
      </c>
      <c r="C139" s="1" t="s">
        <v>4852</v>
      </c>
    </row>
    <row r="140" spans="1:3" x14ac:dyDescent="0.2">
      <c r="A140" s="1" t="str">
        <f>"688573"</f>
        <v>688573</v>
      </c>
      <c r="B140" s="1" t="s">
        <v>3229</v>
      </c>
      <c r="C140" s="1" t="s">
        <v>4841</v>
      </c>
    </row>
    <row r="141" spans="1:3" x14ac:dyDescent="0.2">
      <c r="A141" s="1" t="str">
        <f>"688571"</f>
        <v>688571</v>
      </c>
      <c r="B141" s="1" t="s">
        <v>3230</v>
      </c>
      <c r="C141" s="1" t="s">
        <v>4865</v>
      </c>
    </row>
    <row r="142" spans="1:3" x14ac:dyDescent="0.2">
      <c r="A142" s="1" t="str">
        <f>"688570"</f>
        <v>688570</v>
      </c>
      <c r="B142" s="1" t="s">
        <v>3231</v>
      </c>
      <c r="C142" s="1" t="s">
        <v>4849</v>
      </c>
    </row>
    <row r="143" spans="1:3" x14ac:dyDescent="0.2">
      <c r="A143" s="1" t="str">
        <f>"688569"</f>
        <v>688569</v>
      </c>
      <c r="B143" s="1" t="s">
        <v>3232</v>
      </c>
      <c r="C143" s="1" t="s">
        <v>4875</v>
      </c>
    </row>
    <row r="144" spans="1:3" x14ac:dyDescent="0.2">
      <c r="A144" s="1" t="str">
        <f>"688568"</f>
        <v>688568</v>
      </c>
      <c r="B144" s="1" t="s">
        <v>3233</v>
      </c>
      <c r="C144" s="1" t="s">
        <v>4874</v>
      </c>
    </row>
    <row r="145" spans="1:3" x14ac:dyDescent="0.2">
      <c r="A145" s="1" t="str">
        <f>"688567"</f>
        <v>688567</v>
      </c>
      <c r="B145" s="1" t="s">
        <v>3234</v>
      </c>
      <c r="C145" s="1" t="s">
        <v>4841</v>
      </c>
    </row>
    <row r="146" spans="1:3" x14ac:dyDescent="0.2">
      <c r="A146" s="1" t="str">
        <f>"688566"</f>
        <v>688566</v>
      </c>
      <c r="B146" s="1" t="s">
        <v>3235</v>
      </c>
      <c r="C146" s="1" t="s">
        <v>4843</v>
      </c>
    </row>
    <row r="147" spans="1:3" x14ac:dyDescent="0.2">
      <c r="A147" s="1" t="str">
        <f>"688565"</f>
        <v>688565</v>
      </c>
      <c r="B147" s="1" t="s">
        <v>3236</v>
      </c>
      <c r="C147" s="1" t="s">
        <v>4863</v>
      </c>
    </row>
    <row r="148" spans="1:3" x14ac:dyDescent="0.2">
      <c r="A148" s="1" t="str">
        <f>"688563"</f>
        <v>688563</v>
      </c>
      <c r="B148" s="1" t="s">
        <v>3237</v>
      </c>
      <c r="C148" s="1" t="s">
        <v>4862</v>
      </c>
    </row>
    <row r="149" spans="1:3" x14ac:dyDescent="0.2">
      <c r="A149" s="1" t="str">
        <f>"688562"</f>
        <v>688562</v>
      </c>
      <c r="B149" s="1" t="s">
        <v>3238</v>
      </c>
      <c r="C149" s="1" t="s">
        <v>4847</v>
      </c>
    </row>
    <row r="150" spans="1:3" x14ac:dyDescent="0.2">
      <c r="A150" s="1" t="str">
        <f>"688561"</f>
        <v>688561</v>
      </c>
      <c r="B150" s="1" t="s">
        <v>3239</v>
      </c>
      <c r="C150" s="1" t="s">
        <v>4847</v>
      </c>
    </row>
    <row r="151" spans="1:3" x14ac:dyDescent="0.2">
      <c r="A151" s="1" t="str">
        <f>"688560"</f>
        <v>688560</v>
      </c>
      <c r="B151" s="1" t="s">
        <v>3240</v>
      </c>
      <c r="C151" s="1" t="s">
        <v>4857</v>
      </c>
    </row>
    <row r="152" spans="1:3" x14ac:dyDescent="0.2">
      <c r="A152" s="1" t="str">
        <f>"688559"</f>
        <v>688559</v>
      </c>
      <c r="B152" s="1" t="s">
        <v>3241</v>
      </c>
      <c r="C152" s="1" t="s">
        <v>4849</v>
      </c>
    </row>
    <row r="153" spans="1:3" x14ac:dyDescent="0.2">
      <c r="A153" s="1" t="str">
        <f>"688558"</f>
        <v>688558</v>
      </c>
      <c r="B153" s="1" t="s">
        <v>3242</v>
      </c>
      <c r="C153" s="1" t="s">
        <v>4851</v>
      </c>
    </row>
    <row r="154" spans="1:3" x14ac:dyDescent="0.2">
      <c r="A154" s="1" t="str">
        <f>"688557"</f>
        <v>688557</v>
      </c>
      <c r="B154" s="1" t="s">
        <v>3243</v>
      </c>
      <c r="C154" s="1" t="s">
        <v>4845</v>
      </c>
    </row>
    <row r="155" spans="1:3" x14ac:dyDescent="0.2">
      <c r="A155" s="1" t="str">
        <f>"688556"</f>
        <v>688556</v>
      </c>
      <c r="B155" s="1" t="s">
        <v>3244</v>
      </c>
      <c r="C155" s="1" t="s">
        <v>4857</v>
      </c>
    </row>
    <row r="156" spans="1:3" x14ac:dyDescent="0.2">
      <c r="A156" s="1" t="str">
        <f>"688553"</f>
        <v>688553</v>
      </c>
      <c r="B156" s="1" t="s">
        <v>3245</v>
      </c>
      <c r="C156" s="1" t="s">
        <v>4843</v>
      </c>
    </row>
    <row r="157" spans="1:3" x14ac:dyDescent="0.2">
      <c r="A157" s="1" t="str">
        <f>"688552"</f>
        <v>688552</v>
      </c>
      <c r="B157" s="1" t="s">
        <v>3246</v>
      </c>
      <c r="C157" s="1" t="s">
        <v>4846</v>
      </c>
    </row>
    <row r="158" spans="1:3" x14ac:dyDescent="0.2">
      <c r="A158" s="1" t="str">
        <f>"688551"</f>
        <v>688551</v>
      </c>
      <c r="B158" s="1" t="s">
        <v>3247</v>
      </c>
      <c r="C158" s="1" t="s">
        <v>4859</v>
      </c>
    </row>
    <row r="159" spans="1:3" x14ac:dyDescent="0.2">
      <c r="A159" s="1" t="str">
        <f>"688550"</f>
        <v>688550</v>
      </c>
      <c r="B159" s="1" t="s">
        <v>3248</v>
      </c>
      <c r="C159" s="1" t="s">
        <v>4840</v>
      </c>
    </row>
    <row r="160" spans="1:3" x14ac:dyDescent="0.2">
      <c r="A160" s="1" t="str">
        <f>"688549"</f>
        <v>688549</v>
      </c>
      <c r="B160" s="1" t="s">
        <v>3249</v>
      </c>
      <c r="C160" s="1" t="s">
        <v>4842</v>
      </c>
    </row>
    <row r="161" spans="1:3" x14ac:dyDescent="0.2">
      <c r="A161" s="1" t="str">
        <f>"688548"</f>
        <v>688548</v>
      </c>
      <c r="B161" s="1" t="s">
        <v>3250</v>
      </c>
      <c r="C161" s="1" t="s">
        <v>4840</v>
      </c>
    </row>
    <row r="162" spans="1:3" x14ac:dyDescent="0.2">
      <c r="A162" s="1" t="str">
        <f>"688545"</f>
        <v>688545</v>
      </c>
      <c r="B162" s="1" t="s">
        <v>3251</v>
      </c>
      <c r="C162" s="1" t="s">
        <v>4840</v>
      </c>
    </row>
    <row r="163" spans="1:3" x14ac:dyDescent="0.2">
      <c r="A163" s="1" t="str">
        <f>"688543"</f>
        <v>688543</v>
      </c>
      <c r="B163" s="1" t="s">
        <v>3252</v>
      </c>
      <c r="C163" s="1" t="s">
        <v>4876</v>
      </c>
    </row>
    <row r="164" spans="1:3" x14ac:dyDescent="0.2">
      <c r="A164" s="1" t="str">
        <f>"688539"</f>
        <v>688539</v>
      </c>
      <c r="B164" s="1" t="s">
        <v>3253</v>
      </c>
      <c r="C164" s="1" t="s">
        <v>4851</v>
      </c>
    </row>
    <row r="165" spans="1:3" x14ac:dyDescent="0.2">
      <c r="A165" s="1" t="str">
        <f>"688536"</f>
        <v>688536</v>
      </c>
      <c r="B165" s="1" t="s">
        <v>3254</v>
      </c>
      <c r="C165" s="1" t="s">
        <v>4840</v>
      </c>
    </row>
    <row r="166" spans="1:3" x14ac:dyDescent="0.2">
      <c r="A166" s="1" t="str">
        <f>"688535"</f>
        <v>688535</v>
      </c>
      <c r="B166" s="1" t="s">
        <v>3255</v>
      </c>
      <c r="C166" s="1" t="s">
        <v>4840</v>
      </c>
    </row>
    <row r="167" spans="1:3" x14ac:dyDescent="0.2">
      <c r="A167" s="1" t="str">
        <f>"688533"</f>
        <v>688533</v>
      </c>
      <c r="B167" s="1" t="s">
        <v>3256</v>
      </c>
      <c r="C167" s="1" t="s">
        <v>4856</v>
      </c>
    </row>
    <row r="168" spans="1:3" x14ac:dyDescent="0.2">
      <c r="A168" s="1" t="str">
        <f>"688531"</f>
        <v>688531</v>
      </c>
      <c r="B168" s="1" t="s">
        <v>3257</v>
      </c>
      <c r="C168" s="1" t="s">
        <v>4845</v>
      </c>
    </row>
    <row r="169" spans="1:3" x14ac:dyDescent="0.2">
      <c r="A169" s="1" t="str">
        <f>"688530"</f>
        <v>688530</v>
      </c>
      <c r="B169" s="1" t="s">
        <v>3258</v>
      </c>
      <c r="C169" s="1" t="s">
        <v>4840</v>
      </c>
    </row>
    <row r="170" spans="1:3" x14ac:dyDescent="0.2">
      <c r="A170" s="1" t="str">
        <f>"688529"</f>
        <v>688529</v>
      </c>
      <c r="B170" s="1" t="s">
        <v>3259</v>
      </c>
      <c r="C170" s="1" t="s">
        <v>4845</v>
      </c>
    </row>
    <row r="171" spans="1:3" x14ac:dyDescent="0.2">
      <c r="A171" s="1" t="str">
        <f>"688528"</f>
        <v>688528</v>
      </c>
      <c r="B171" s="1" t="s">
        <v>3260</v>
      </c>
      <c r="C171" s="1" t="s">
        <v>4851</v>
      </c>
    </row>
    <row r="172" spans="1:3" x14ac:dyDescent="0.2">
      <c r="A172" s="1" t="str">
        <f>"688526"</f>
        <v>688526</v>
      </c>
      <c r="B172" s="1" t="s">
        <v>3261</v>
      </c>
      <c r="C172" s="1" t="s">
        <v>4877</v>
      </c>
    </row>
    <row r="173" spans="1:3" x14ac:dyDescent="0.2">
      <c r="A173" s="1" t="str">
        <f>"688525"</f>
        <v>688525</v>
      </c>
      <c r="B173" s="1" t="s">
        <v>3262</v>
      </c>
      <c r="C173" s="1" t="s">
        <v>4840</v>
      </c>
    </row>
    <row r="174" spans="1:3" x14ac:dyDescent="0.2">
      <c r="A174" s="1" t="str">
        <f>"688523"</f>
        <v>688523</v>
      </c>
      <c r="B174" s="1" t="s">
        <v>3263</v>
      </c>
      <c r="C174" s="1" t="s">
        <v>4862</v>
      </c>
    </row>
    <row r="175" spans="1:3" x14ac:dyDescent="0.2">
      <c r="A175" s="1" t="str">
        <f>"688522"</f>
        <v>688522</v>
      </c>
      <c r="B175" s="1" t="s">
        <v>3264</v>
      </c>
      <c r="C175" s="1" t="s">
        <v>4846</v>
      </c>
    </row>
    <row r="176" spans="1:3" x14ac:dyDescent="0.2">
      <c r="A176" s="1" t="str">
        <f>"688521"</f>
        <v>688521</v>
      </c>
      <c r="B176" s="1" t="s">
        <v>3265</v>
      </c>
      <c r="C176" s="1" t="s">
        <v>4840</v>
      </c>
    </row>
    <row r="177" spans="1:3" x14ac:dyDescent="0.2">
      <c r="A177" s="1" t="str">
        <f>"688520"</f>
        <v>688520</v>
      </c>
      <c r="B177" s="1" t="s">
        <v>3266</v>
      </c>
      <c r="C177" s="1" t="s">
        <v>4852</v>
      </c>
    </row>
    <row r="178" spans="1:3" x14ac:dyDescent="0.2">
      <c r="A178" s="1" t="str">
        <f>"688519"</f>
        <v>688519</v>
      </c>
      <c r="B178" s="1" t="s">
        <v>3267</v>
      </c>
      <c r="C178" s="1" t="s">
        <v>4872</v>
      </c>
    </row>
    <row r="179" spans="1:3" x14ac:dyDescent="0.2">
      <c r="A179" s="1" t="str">
        <f>"688518"</f>
        <v>688518</v>
      </c>
      <c r="B179" s="1" t="s">
        <v>3268</v>
      </c>
      <c r="C179" s="1" t="s">
        <v>4849</v>
      </c>
    </row>
    <row r="180" spans="1:3" x14ac:dyDescent="0.2">
      <c r="A180" s="1" t="str">
        <f>"688517"</f>
        <v>688517</v>
      </c>
      <c r="B180" s="1" t="s">
        <v>3269</v>
      </c>
      <c r="C180" s="1" t="s">
        <v>4866</v>
      </c>
    </row>
    <row r="181" spans="1:3" x14ac:dyDescent="0.2">
      <c r="A181" s="1" t="str">
        <f>"688516"</f>
        <v>688516</v>
      </c>
      <c r="B181" s="1" t="s">
        <v>3270</v>
      </c>
      <c r="C181" s="1" t="s">
        <v>4857</v>
      </c>
    </row>
    <row r="182" spans="1:3" x14ac:dyDescent="0.2">
      <c r="A182" s="1" t="str">
        <f>"688515"</f>
        <v>688515</v>
      </c>
      <c r="B182" s="1" t="s">
        <v>3271</v>
      </c>
      <c r="C182" s="1" t="s">
        <v>4840</v>
      </c>
    </row>
    <row r="183" spans="1:3" x14ac:dyDescent="0.2">
      <c r="A183" s="1" t="str">
        <f>"688513"</f>
        <v>688513</v>
      </c>
      <c r="B183" s="1" t="s">
        <v>3272</v>
      </c>
      <c r="C183" s="1" t="s">
        <v>4843</v>
      </c>
    </row>
    <row r="184" spans="1:3" x14ac:dyDescent="0.2">
      <c r="A184" s="1" t="str">
        <f>"688512"</f>
        <v>688512</v>
      </c>
      <c r="B184" s="1" t="s">
        <v>3273</v>
      </c>
      <c r="C184" s="1" t="s">
        <v>4840</v>
      </c>
    </row>
    <row r="185" spans="1:3" x14ac:dyDescent="0.2">
      <c r="A185" s="1" t="str">
        <f>"688510"</f>
        <v>688510</v>
      </c>
      <c r="B185" s="1" t="s">
        <v>3274</v>
      </c>
      <c r="C185" s="1" t="s">
        <v>4862</v>
      </c>
    </row>
    <row r="186" spans="1:3" x14ac:dyDescent="0.2">
      <c r="A186" s="1" t="str">
        <f>"688509"</f>
        <v>688509</v>
      </c>
      <c r="B186" s="1" t="s">
        <v>3275</v>
      </c>
      <c r="C186" s="1" t="s">
        <v>4847</v>
      </c>
    </row>
    <row r="187" spans="1:3" x14ac:dyDescent="0.2">
      <c r="A187" s="1" t="str">
        <f>"688508"</f>
        <v>688508</v>
      </c>
      <c r="B187" s="1" t="s">
        <v>3276</v>
      </c>
      <c r="C187" s="1" t="s">
        <v>4840</v>
      </c>
    </row>
    <row r="188" spans="1:3" x14ac:dyDescent="0.2">
      <c r="A188" s="1" t="str">
        <f>"688507"</f>
        <v>688507</v>
      </c>
      <c r="B188" s="1" t="s">
        <v>3277</v>
      </c>
      <c r="C188" s="1" t="s">
        <v>4847</v>
      </c>
    </row>
    <row r="189" spans="1:3" x14ac:dyDescent="0.2">
      <c r="A189" s="1" t="str">
        <f>"688506"</f>
        <v>688506</v>
      </c>
      <c r="B189" s="1" t="s">
        <v>3278</v>
      </c>
      <c r="C189" s="1" t="s">
        <v>4843</v>
      </c>
    </row>
    <row r="190" spans="1:3" x14ac:dyDescent="0.2">
      <c r="A190" s="1" t="str">
        <f>"688505"</f>
        <v>688505</v>
      </c>
      <c r="B190" s="1" t="s">
        <v>3279</v>
      </c>
      <c r="C190" s="1" t="s">
        <v>4843</v>
      </c>
    </row>
    <row r="191" spans="1:3" x14ac:dyDescent="0.2">
      <c r="A191" s="1" t="str">
        <f>"688503"</f>
        <v>688503</v>
      </c>
      <c r="B191" s="1" t="s">
        <v>3280</v>
      </c>
      <c r="C191" s="1" t="s">
        <v>4857</v>
      </c>
    </row>
    <row r="192" spans="1:3" x14ac:dyDescent="0.2">
      <c r="A192" s="1" t="str">
        <f>"688502"</f>
        <v>688502</v>
      </c>
      <c r="B192" s="1" t="s">
        <v>3281</v>
      </c>
      <c r="C192" s="1" t="s">
        <v>4878</v>
      </c>
    </row>
    <row r="193" spans="1:3" x14ac:dyDescent="0.2">
      <c r="A193" s="1" t="str">
        <f>"688501"</f>
        <v>688501</v>
      </c>
      <c r="B193" s="1" t="s">
        <v>3282</v>
      </c>
      <c r="C193" s="1" t="s">
        <v>4871</v>
      </c>
    </row>
    <row r="194" spans="1:3" x14ac:dyDescent="0.2">
      <c r="A194" s="1" t="str">
        <f>"688500"</f>
        <v>688500</v>
      </c>
      <c r="B194" s="1" t="s">
        <v>3283</v>
      </c>
      <c r="C194" s="1" t="s">
        <v>4847</v>
      </c>
    </row>
    <row r="195" spans="1:3" x14ac:dyDescent="0.2">
      <c r="A195" s="1" t="str">
        <f>"688499"</f>
        <v>688499</v>
      </c>
      <c r="B195" s="1" t="s">
        <v>3284</v>
      </c>
      <c r="C195" s="1" t="s">
        <v>4841</v>
      </c>
    </row>
    <row r="196" spans="1:3" x14ac:dyDescent="0.2">
      <c r="A196" s="1" t="str">
        <f>"688498"</f>
        <v>688498</v>
      </c>
      <c r="B196" s="1" t="s">
        <v>3285</v>
      </c>
      <c r="C196" s="1" t="s">
        <v>4840</v>
      </c>
    </row>
    <row r="197" spans="1:3" x14ac:dyDescent="0.2">
      <c r="A197" s="1" t="str">
        <f>"688496"</f>
        <v>688496</v>
      </c>
      <c r="B197" s="1" t="s">
        <v>3286</v>
      </c>
      <c r="C197" s="1" t="s">
        <v>4878</v>
      </c>
    </row>
    <row r="198" spans="1:3" x14ac:dyDescent="0.2">
      <c r="A198" s="1" t="str">
        <f>"688489"</f>
        <v>688489</v>
      </c>
      <c r="B198" s="1" t="s">
        <v>3287</v>
      </c>
      <c r="C198" s="1" t="s">
        <v>4873</v>
      </c>
    </row>
    <row r="199" spans="1:3" x14ac:dyDescent="0.2">
      <c r="A199" s="1" t="str">
        <f>"688488"</f>
        <v>688488</v>
      </c>
      <c r="B199" s="1" t="s">
        <v>3288</v>
      </c>
      <c r="C199" s="1" t="s">
        <v>4852</v>
      </c>
    </row>
    <row r="200" spans="1:3" x14ac:dyDescent="0.2">
      <c r="A200" s="1" t="str">
        <f>"688486"</f>
        <v>688486</v>
      </c>
      <c r="B200" s="1" t="s">
        <v>3289</v>
      </c>
      <c r="C200" s="1" t="s">
        <v>4840</v>
      </c>
    </row>
    <row r="201" spans="1:3" x14ac:dyDescent="0.2">
      <c r="A201" s="1" t="str">
        <f>"688485"</f>
        <v>688485</v>
      </c>
      <c r="B201" s="1" t="s">
        <v>3290</v>
      </c>
      <c r="C201" s="1" t="s">
        <v>4875</v>
      </c>
    </row>
    <row r="202" spans="1:3" x14ac:dyDescent="0.2">
      <c r="A202" s="1" t="str">
        <f>"688484"</f>
        <v>688484</v>
      </c>
      <c r="B202" s="1" t="s">
        <v>3291</v>
      </c>
      <c r="C202" s="1" t="s">
        <v>4840</v>
      </c>
    </row>
    <row r="203" spans="1:3" x14ac:dyDescent="0.2">
      <c r="A203" s="1" t="str">
        <f>"688480"</f>
        <v>688480</v>
      </c>
      <c r="B203" s="1" t="s">
        <v>3292</v>
      </c>
      <c r="C203" s="1" t="s">
        <v>4863</v>
      </c>
    </row>
    <row r="204" spans="1:3" x14ac:dyDescent="0.2">
      <c r="A204" s="1" t="str">
        <f>"688479"</f>
        <v>688479</v>
      </c>
      <c r="B204" s="1" t="s">
        <v>3293</v>
      </c>
      <c r="C204" s="1" t="s">
        <v>4847</v>
      </c>
    </row>
    <row r="205" spans="1:3" x14ac:dyDescent="0.2">
      <c r="A205" s="1" t="str">
        <f>"688478"</f>
        <v>688478</v>
      </c>
      <c r="B205" s="1" t="s">
        <v>3294</v>
      </c>
      <c r="C205" s="1" t="s">
        <v>4840</v>
      </c>
    </row>
    <row r="206" spans="1:3" x14ac:dyDescent="0.2">
      <c r="A206" s="1" t="str">
        <f>"688475"</f>
        <v>688475</v>
      </c>
      <c r="B206" s="1" t="s">
        <v>3295</v>
      </c>
      <c r="C206" s="1" t="s">
        <v>4850</v>
      </c>
    </row>
    <row r="207" spans="1:3" x14ac:dyDescent="0.2">
      <c r="A207" s="1" t="str">
        <f>"688472"</f>
        <v>688472</v>
      </c>
      <c r="B207" s="1" t="s">
        <v>3296</v>
      </c>
      <c r="C207" s="1" t="s">
        <v>4857</v>
      </c>
    </row>
    <row r="208" spans="1:3" x14ac:dyDescent="0.2">
      <c r="A208" s="1" t="str">
        <f>"688469"</f>
        <v>688469</v>
      </c>
      <c r="B208" s="1" t="s">
        <v>3297</v>
      </c>
      <c r="C208" s="1" t="s">
        <v>4840</v>
      </c>
    </row>
    <row r="209" spans="1:3" x14ac:dyDescent="0.2">
      <c r="A209" s="1" t="str">
        <f>"688468"</f>
        <v>688468</v>
      </c>
      <c r="B209" s="1" t="s">
        <v>3298</v>
      </c>
      <c r="C209" s="1" t="s">
        <v>4852</v>
      </c>
    </row>
    <row r="210" spans="1:3" x14ac:dyDescent="0.2">
      <c r="A210" s="1" t="str">
        <f>"688466"</f>
        <v>688466</v>
      </c>
      <c r="B210" s="1" t="s">
        <v>3299</v>
      </c>
      <c r="C210" s="1" t="s">
        <v>4863</v>
      </c>
    </row>
    <row r="211" spans="1:3" x14ac:dyDescent="0.2">
      <c r="A211" s="1" t="str">
        <f>"688459"</f>
        <v>688459</v>
      </c>
      <c r="B211" s="1" t="s">
        <v>3300</v>
      </c>
      <c r="C211" s="1" t="s">
        <v>4875</v>
      </c>
    </row>
    <row r="212" spans="1:3" x14ac:dyDescent="0.2">
      <c r="A212" s="1" t="str">
        <f>"688458"</f>
        <v>688458</v>
      </c>
      <c r="B212" s="1" t="s">
        <v>3301</v>
      </c>
      <c r="C212" s="1" t="s">
        <v>4840</v>
      </c>
    </row>
    <row r="213" spans="1:3" x14ac:dyDescent="0.2">
      <c r="A213" s="1" t="str">
        <f>"688456"</f>
        <v>688456</v>
      </c>
      <c r="B213" s="1" t="s">
        <v>3302</v>
      </c>
      <c r="C213" s="1" t="s">
        <v>4879</v>
      </c>
    </row>
    <row r="214" spans="1:3" x14ac:dyDescent="0.2">
      <c r="A214" s="1" t="str">
        <f>"688455"</f>
        <v>688455</v>
      </c>
      <c r="B214" s="1" t="s">
        <v>3303</v>
      </c>
      <c r="C214" s="1" t="s">
        <v>4851</v>
      </c>
    </row>
    <row r="215" spans="1:3" x14ac:dyDescent="0.2">
      <c r="A215" s="1" t="str">
        <f>"688450"</f>
        <v>688450</v>
      </c>
      <c r="B215" s="1" t="s">
        <v>3304</v>
      </c>
      <c r="C215" s="1" t="s">
        <v>4851</v>
      </c>
    </row>
    <row r="216" spans="1:3" x14ac:dyDescent="0.2">
      <c r="A216" s="1" t="str">
        <f>"688449"</f>
        <v>688449</v>
      </c>
      <c r="B216" s="1" t="s">
        <v>3305</v>
      </c>
      <c r="C216" s="1" t="s">
        <v>4840</v>
      </c>
    </row>
    <row r="217" spans="1:3" x14ac:dyDescent="0.2">
      <c r="A217" s="1" t="str">
        <f>"688448"</f>
        <v>688448</v>
      </c>
      <c r="B217" s="1" t="s">
        <v>3306</v>
      </c>
      <c r="C217" s="1" t="s">
        <v>4845</v>
      </c>
    </row>
    <row r="218" spans="1:3" x14ac:dyDescent="0.2">
      <c r="A218" s="1" t="str">
        <f>"688443"</f>
        <v>688443</v>
      </c>
      <c r="B218" s="1" t="s">
        <v>3307</v>
      </c>
      <c r="C218" s="1" t="s">
        <v>4852</v>
      </c>
    </row>
    <row r="219" spans="1:3" x14ac:dyDescent="0.2">
      <c r="A219" s="1" t="str">
        <f>"688439"</f>
        <v>688439</v>
      </c>
      <c r="B219" s="1" t="s">
        <v>3308</v>
      </c>
      <c r="C219" s="1" t="s">
        <v>4846</v>
      </c>
    </row>
    <row r="220" spans="1:3" x14ac:dyDescent="0.2">
      <c r="A220" s="1" t="str">
        <f>"688435"</f>
        <v>688435</v>
      </c>
      <c r="B220" s="1" t="s">
        <v>3309</v>
      </c>
      <c r="C220" s="1" t="s">
        <v>4847</v>
      </c>
    </row>
    <row r="221" spans="1:3" x14ac:dyDescent="0.2">
      <c r="A221" s="1" t="str">
        <f>"688433"</f>
        <v>688433</v>
      </c>
      <c r="B221" s="1" t="s">
        <v>3310</v>
      </c>
      <c r="C221" s="1" t="s">
        <v>4845</v>
      </c>
    </row>
    <row r="222" spans="1:3" x14ac:dyDescent="0.2">
      <c r="A222" s="1" t="str">
        <f>"688432"</f>
        <v>688432</v>
      </c>
      <c r="B222" s="1" t="s">
        <v>3311</v>
      </c>
      <c r="C222" s="1" t="s">
        <v>4840</v>
      </c>
    </row>
    <row r="223" spans="1:3" x14ac:dyDescent="0.2">
      <c r="A223" s="1" t="str">
        <f>"688428"</f>
        <v>688428</v>
      </c>
      <c r="B223" s="1" t="s">
        <v>3312</v>
      </c>
      <c r="C223" s="1" t="s">
        <v>4852</v>
      </c>
    </row>
    <row r="224" spans="1:3" x14ac:dyDescent="0.2">
      <c r="A224" s="1" t="str">
        <f>"688426"</f>
        <v>688426</v>
      </c>
      <c r="B224" s="1" t="s">
        <v>3313</v>
      </c>
      <c r="C224" s="1" t="s">
        <v>4852</v>
      </c>
    </row>
    <row r="225" spans="1:3" x14ac:dyDescent="0.2">
      <c r="A225" s="1" t="str">
        <f>"688425"</f>
        <v>688425</v>
      </c>
      <c r="B225" s="1" t="s">
        <v>3314</v>
      </c>
      <c r="C225" s="1" t="s">
        <v>4880</v>
      </c>
    </row>
    <row r="226" spans="1:3" x14ac:dyDescent="0.2">
      <c r="A226" s="1" t="str">
        <f>"688420"</f>
        <v>688420</v>
      </c>
      <c r="B226" s="1" t="s">
        <v>3315</v>
      </c>
      <c r="C226" s="1" t="s">
        <v>4845</v>
      </c>
    </row>
    <row r="227" spans="1:3" x14ac:dyDescent="0.2">
      <c r="A227" s="1" t="str">
        <f>"688419"</f>
        <v>688419</v>
      </c>
      <c r="B227" s="1" t="s">
        <v>3316</v>
      </c>
      <c r="C227" s="1" t="s">
        <v>4840</v>
      </c>
    </row>
    <row r="228" spans="1:3" x14ac:dyDescent="0.2">
      <c r="A228" s="1" t="str">
        <f>"688418"</f>
        <v>688418</v>
      </c>
      <c r="B228" s="1" t="s">
        <v>3317</v>
      </c>
      <c r="C228" s="1" t="s">
        <v>4869</v>
      </c>
    </row>
    <row r="229" spans="1:3" x14ac:dyDescent="0.2">
      <c r="A229" s="1" t="str">
        <f>"688416"</f>
        <v>688416</v>
      </c>
      <c r="B229" s="1" t="s">
        <v>3318</v>
      </c>
      <c r="C229" s="1" t="s">
        <v>4840</v>
      </c>
    </row>
    <row r="230" spans="1:3" x14ac:dyDescent="0.2">
      <c r="A230" s="1" t="str">
        <f>"688411"</f>
        <v>688411</v>
      </c>
      <c r="B230" s="1" t="s">
        <v>3319</v>
      </c>
      <c r="C230" s="1" t="s">
        <v>4841</v>
      </c>
    </row>
    <row r="231" spans="1:3" x14ac:dyDescent="0.2">
      <c r="A231" s="1" t="str">
        <f>"688410"</f>
        <v>688410</v>
      </c>
      <c r="B231" s="1" t="s">
        <v>3320</v>
      </c>
      <c r="C231" s="1" t="s">
        <v>4867</v>
      </c>
    </row>
    <row r="232" spans="1:3" x14ac:dyDescent="0.2">
      <c r="A232" s="1" t="str">
        <f>"688409"</f>
        <v>688409</v>
      </c>
      <c r="B232" s="1" t="s">
        <v>3321</v>
      </c>
      <c r="C232" s="1" t="s">
        <v>4840</v>
      </c>
    </row>
    <row r="233" spans="1:3" x14ac:dyDescent="0.2">
      <c r="A233" s="1" t="str">
        <f>"688408"</f>
        <v>688408</v>
      </c>
      <c r="B233" s="1" t="s">
        <v>3322</v>
      </c>
      <c r="C233" s="1" t="s">
        <v>4857</v>
      </c>
    </row>
    <row r="234" spans="1:3" x14ac:dyDescent="0.2">
      <c r="A234" s="1" t="str">
        <f>"688403"</f>
        <v>688403</v>
      </c>
      <c r="B234" s="1" t="s">
        <v>3323</v>
      </c>
      <c r="C234" s="1" t="s">
        <v>4840</v>
      </c>
    </row>
    <row r="235" spans="1:3" x14ac:dyDescent="0.2">
      <c r="A235" s="1" t="str">
        <f>"688401"</f>
        <v>688401</v>
      </c>
      <c r="B235" s="1" t="s">
        <v>3324</v>
      </c>
      <c r="C235" s="1" t="s">
        <v>4840</v>
      </c>
    </row>
    <row r="236" spans="1:3" x14ac:dyDescent="0.2">
      <c r="A236" s="1" t="str">
        <f>"688400"</f>
        <v>688400</v>
      </c>
      <c r="B236" s="1" t="s">
        <v>3325</v>
      </c>
      <c r="C236" s="1" t="s">
        <v>4845</v>
      </c>
    </row>
    <row r="237" spans="1:3" x14ac:dyDescent="0.2">
      <c r="A237" s="1" t="str">
        <f>"688399"</f>
        <v>688399</v>
      </c>
      <c r="B237" s="1" t="s">
        <v>3326</v>
      </c>
      <c r="C237" s="1" t="s">
        <v>4852</v>
      </c>
    </row>
    <row r="238" spans="1:3" x14ac:dyDescent="0.2">
      <c r="A238" s="1" t="str">
        <f>"688398"</f>
        <v>688398</v>
      </c>
      <c r="B238" s="1" t="s">
        <v>3327</v>
      </c>
      <c r="C238" s="1" t="s">
        <v>4881</v>
      </c>
    </row>
    <row r="239" spans="1:3" x14ac:dyDescent="0.2">
      <c r="A239" s="1" t="str">
        <f>"688396"</f>
        <v>688396</v>
      </c>
      <c r="B239" s="1" t="s">
        <v>3328</v>
      </c>
      <c r="C239" s="1" t="s">
        <v>4840</v>
      </c>
    </row>
    <row r="240" spans="1:3" x14ac:dyDescent="0.2">
      <c r="A240" s="1" t="str">
        <f>"688395"</f>
        <v>688395</v>
      </c>
      <c r="B240" s="1" t="s">
        <v>3329</v>
      </c>
      <c r="C240" s="1" t="s">
        <v>4849</v>
      </c>
    </row>
    <row r="241" spans="1:3" x14ac:dyDescent="0.2">
      <c r="A241" s="1" t="str">
        <f>"688393"</f>
        <v>688393</v>
      </c>
      <c r="B241" s="1" t="s">
        <v>3330</v>
      </c>
      <c r="C241" s="1" t="s">
        <v>4852</v>
      </c>
    </row>
    <row r="242" spans="1:3" x14ac:dyDescent="0.2">
      <c r="A242" s="1" t="str">
        <f>"688392"</f>
        <v>688392</v>
      </c>
      <c r="B242" s="1" t="s">
        <v>3331</v>
      </c>
      <c r="C242" s="1" t="s">
        <v>4845</v>
      </c>
    </row>
    <row r="243" spans="1:3" x14ac:dyDescent="0.2">
      <c r="A243" s="1" t="str">
        <f>"688391"</f>
        <v>688391</v>
      </c>
      <c r="B243" s="1" t="s">
        <v>3332</v>
      </c>
      <c r="C243" s="1" t="s">
        <v>4840</v>
      </c>
    </row>
    <row r="244" spans="1:3" x14ac:dyDescent="0.2">
      <c r="A244" s="1" t="str">
        <f>"688390"</f>
        <v>688390</v>
      </c>
      <c r="B244" s="1" t="s">
        <v>3333</v>
      </c>
      <c r="C244" s="1" t="s">
        <v>4857</v>
      </c>
    </row>
    <row r="245" spans="1:3" x14ac:dyDescent="0.2">
      <c r="A245" s="1" t="str">
        <f>"688389"</f>
        <v>688389</v>
      </c>
      <c r="B245" s="1" t="s">
        <v>3334</v>
      </c>
      <c r="C245" s="1" t="s">
        <v>4867</v>
      </c>
    </row>
    <row r="246" spans="1:3" x14ac:dyDescent="0.2">
      <c r="A246" s="1" t="str">
        <f>"688388"</f>
        <v>688388</v>
      </c>
      <c r="B246" s="1" t="s">
        <v>3335</v>
      </c>
      <c r="C246" s="1" t="s">
        <v>4841</v>
      </c>
    </row>
    <row r="247" spans="1:3" x14ac:dyDescent="0.2">
      <c r="A247" s="1" t="str">
        <f>"688387"</f>
        <v>688387</v>
      </c>
      <c r="B247" s="1" t="s">
        <v>3336</v>
      </c>
      <c r="C247" s="1" t="s">
        <v>4869</v>
      </c>
    </row>
    <row r="248" spans="1:3" x14ac:dyDescent="0.2">
      <c r="A248" s="1" t="str">
        <f>"688386"</f>
        <v>688386</v>
      </c>
      <c r="B248" s="1" t="s">
        <v>3337</v>
      </c>
      <c r="C248" s="1" t="s">
        <v>4860</v>
      </c>
    </row>
    <row r="249" spans="1:3" x14ac:dyDescent="0.2">
      <c r="A249" s="1" t="str">
        <f>"688385"</f>
        <v>688385</v>
      </c>
      <c r="B249" s="1" t="s">
        <v>3338</v>
      </c>
      <c r="C249" s="1" t="s">
        <v>4840</v>
      </c>
    </row>
    <row r="250" spans="1:3" x14ac:dyDescent="0.2">
      <c r="A250" s="1" t="str">
        <f>"688383"</f>
        <v>688383</v>
      </c>
      <c r="B250" s="1" t="s">
        <v>3339</v>
      </c>
      <c r="C250" s="1" t="s">
        <v>4845</v>
      </c>
    </row>
    <row r="251" spans="1:3" x14ac:dyDescent="0.2">
      <c r="A251" s="1" t="str">
        <f>"688382"</f>
        <v>688382</v>
      </c>
      <c r="B251" s="1" t="s">
        <v>3340</v>
      </c>
      <c r="C251" s="1" t="s">
        <v>4852</v>
      </c>
    </row>
    <row r="252" spans="1:3" x14ac:dyDescent="0.2">
      <c r="A252" s="1" t="str">
        <f>"688381"</f>
        <v>688381</v>
      </c>
      <c r="B252" s="1" t="s">
        <v>3341</v>
      </c>
      <c r="C252" s="1" t="s">
        <v>4840</v>
      </c>
    </row>
    <row r="253" spans="1:3" x14ac:dyDescent="0.2">
      <c r="A253" s="1" t="str">
        <f>"688380"</f>
        <v>688380</v>
      </c>
      <c r="B253" s="1" t="s">
        <v>3342</v>
      </c>
      <c r="C253" s="1" t="s">
        <v>4840</v>
      </c>
    </row>
    <row r="254" spans="1:3" x14ac:dyDescent="0.2">
      <c r="A254" s="1" t="str">
        <f>"688379"</f>
        <v>688379</v>
      </c>
      <c r="B254" s="1" t="s">
        <v>3343</v>
      </c>
      <c r="C254" s="1" t="s">
        <v>4851</v>
      </c>
    </row>
    <row r="255" spans="1:3" x14ac:dyDescent="0.2">
      <c r="A255" s="1" t="str">
        <f>"688378"</f>
        <v>688378</v>
      </c>
      <c r="B255" s="1" t="s">
        <v>3344</v>
      </c>
      <c r="C255" s="1" t="s">
        <v>4845</v>
      </c>
    </row>
    <row r="256" spans="1:3" x14ac:dyDescent="0.2">
      <c r="A256" s="1" t="str">
        <f>"688377"</f>
        <v>688377</v>
      </c>
      <c r="B256" s="1" t="s">
        <v>3345</v>
      </c>
      <c r="C256" s="1" t="s">
        <v>4845</v>
      </c>
    </row>
    <row r="257" spans="1:3" x14ac:dyDescent="0.2">
      <c r="A257" s="1" t="str">
        <f>"688376"</f>
        <v>688376</v>
      </c>
      <c r="B257" s="1" t="s">
        <v>3346</v>
      </c>
      <c r="C257" s="1" t="s">
        <v>4871</v>
      </c>
    </row>
    <row r="258" spans="1:3" x14ac:dyDescent="0.2">
      <c r="A258" s="1" t="str">
        <f>"688375"</f>
        <v>688375</v>
      </c>
      <c r="B258" s="1" t="s">
        <v>3347</v>
      </c>
      <c r="C258" s="1" t="s">
        <v>4846</v>
      </c>
    </row>
    <row r="259" spans="1:3" x14ac:dyDescent="0.2">
      <c r="A259" s="1" t="str">
        <f>"688373"</f>
        <v>688373</v>
      </c>
      <c r="B259" s="1" t="s">
        <v>3348</v>
      </c>
      <c r="C259" s="1" t="s">
        <v>4843</v>
      </c>
    </row>
    <row r="260" spans="1:3" x14ac:dyDescent="0.2">
      <c r="A260" s="1" t="str">
        <f>"688372"</f>
        <v>688372</v>
      </c>
      <c r="B260" s="1" t="s">
        <v>3349</v>
      </c>
      <c r="C260" s="1" t="s">
        <v>4840</v>
      </c>
    </row>
    <row r="261" spans="1:3" x14ac:dyDescent="0.2">
      <c r="A261" s="1" t="str">
        <f>"688371"</f>
        <v>688371</v>
      </c>
      <c r="B261" s="1" t="s">
        <v>3350</v>
      </c>
      <c r="C261" s="1" t="s">
        <v>4850</v>
      </c>
    </row>
    <row r="262" spans="1:3" x14ac:dyDescent="0.2">
      <c r="A262" s="1" t="str">
        <f>"688370"</f>
        <v>688370</v>
      </c>
      <c r="B262" s="1" t="s">
        <v>3351</v>
      </c>
      <c r="C262" s="1" t="s">
        <v>4863</v>
      </c>
    </row>
    <row r="263" spans="1:3" x14ac:dyDescent="0.2">
      <c r="A263" s="1" t="str">
        <f>"688369"</f>
        <v>688369</v>
      </c>
      <c r="B263" s="1" t="s">
        <v>3352</v>
      </c>
      <c r="C263" s="1" t="s">
        <v>4847</v>
      </c>
    </row>
    <row r="264" spans="1:3" x14ac:dyDescent="0.2">
      <c r="A264" s="1" t="str">
        <f>"688368"</f>
        <v>688368</v>
      </c>
      <c r="B264" s="1" t="s">
        <v>3353</v>
      </c>
      <c r="C264" s="1" t="s">
        <v>4840</v>
      </c>
    </row>
    <row r="265" spans="1:3" x14ac:dyDescent="0.2">
      <c r="A265" s="1" t="str">
        <f>"688367"</f>
        <v>688367</v>
      </c>
      <c r="B265" s="1" t="s">
        <v>3354</v>
      </c>
      <c r="C265" s="1" t="s">
        <v>4875</v>
      </c>
    </row>
    <row r="266" spans="1:3" x14ac:dyDescent="0.2">
      <c r="A266" s="1" t="str">
        <f>"688366"</f>
        <v>688366</v>
      </c>
      <c r="B266" s="1" t="s">
        <v>3355</v>
      </c>
      <c r="C266" s="1" t="s">
        <v>4867</v>
      </c>
    </row>
    <row r="267" spans="1:3" x14ac:dyDescent="0.2">
      <c r="A267" s="1" t="str">
        <f>"688365"</f>
        <v>688365</v>
      </c>
      <c r="B267" s="1" t="s">
        <v>3356</v>
      </c>
      <c r="C267" s="1" t="s">
        <v>4874</v>
      </c>
    </row>
    <row r="268" spans="1:3" x14ac:dyDescent="0.2">
      <c r="A268" s="1" t="str">
        <f>"688363"</f>
        <v>688363</v>
      </c>
      <c r="B268" s="1" t="s">
        <v>3357</v>
      </c>
      <c r="C268" s="1" t="s">
        <v>4882</v>
      </c>
    </row>
    <row r="269" spans="1:3" x14ac:dyDescent="0.2">
      <c r="A269" s="1" t="str">
        <f>"688362"</f>
        <v>688362</v>
      </c>
      <c r="B269" s="1" t="s">
        <v>3358</v>
      </c>
      <c r="C269" s="1" t="s">
        <v>4840</v>
      </c>
    </row>
    <row r="270" spans="1:3" x14ac:dyDescent="0.2">
      <c r="A270" s="1" t="str">
        <f>"688361"</f>
        <v>688361</v>
      </c>
      <c r="B270" s="1" t="s">
        <v>3359</v>
      </c>
      <c r="C270" s="1" t="s">
        <v>4840</v>
      </c>
    </row>
    <row r="271" spans="1:3" x14ac:dyDescent="0.2">
      <c r="A271" s="1" t="str">
        <f>"688360"</f>
        <v>688360</v>
      </c>
      <c r="B271" s="1" t="s">
        <v>3360</v>
      </c>
      <c r="C271" s="1" t="s">
        <v>4845</v>
      </c>
    </row>
    <row r="272" spans="1:3" x14ac:dyDescent="0.2">
      <c r="A272" s="1" t="str">
        <f>"688359"</f>
        <v>688359</v>
      </c>
      <c r="B272" s="1" t="s">
        <v>3361</v>
      </c>
      <c r="C272" s="1" t="s">
        <v>4840</v>
      </c>
    </row>
    <row r="273" spans="1:3" x14ac:dyDescent="0.2">
      <c r="A273" s="1" t="str">
        <f>"688358"</f>
        <v>688358</v>
      </c>
      <c r="B273" s="1" t="s">
        <v>3362</v>
      </c>
      <c r="C273" s="1" t="s">
        <v>4867</v>
      </c>
    </row>
    <row r="274" spans="1:3" x14ac:dyDescent="0.2">
      <c r="A274" s="1" t="str">
        <f>"688357"</f>
        <v>688357</v>
      </c>
      <c r="B274" s="1" t="s">
        <v>3363</v>
      </c>
      <c r="C274" s="1" t="s">
        <v>4881</v>
      </c>
    </row>
    <row r="275" spans="1:3" x14ac:dyDescent="0.2">
      <c r="A275" s="1" t="str">
        <f>"688356"</f>
        <v>688356</v>
      </c>
      <c r="B275" s="1" t="s">
        <v>3364</v>
      </c>
      <c r="C275" s="1" t="s">
        <v>4843</v>
      </c>
    </row>
    <row r="276" spans="1:3" x14ac:dyDescent="0.2">
      <c r="A276" s="1" t="str">
        <f>"688355"</f>
        <v>688355</v>
      </c>
      <c r="B276" s="1" t="s">
        <v>3365</v>
      </c>
      <c r="C276" s="1" t="s">
        <v>4851</v>
      </c>
    </row>
    <row r="277" spans="1:3" x14ac:dyDescent="0.2">
      <c r="A277" s="1" t="str">
        <f>"688352"</f>
        <v>688352</v>
      </c>
      <c r="B277" s="1" t="s">
        <v>3366</v>
      </c>
      <c r="C277" s="1" t="s">
        <v>4840</v>
      </c>
    </row>
    <row r="278" spans="1:3" x14ac:dyDescent="0.2">
      <c r="A278" s="1" t="str">
        <f>"688351"</f>
        <v>688351</v>
      </c>
      <c r="B278" s="1" t="s">
        <v>3367</v>
      </c>
      <c r="C278" s="1" t="s">
        <v>4867</v>
      </c>
    </row>
    <row r="279" spans="1:3" x14ac:dyDescent="0.2">
      <c r="A279" s="1" t="str">
        <f>"688350"</f>
        <v>688350</v>
      </c>
      <c r="B279" s="1" t="s">
        <v>3368</v>
      </c>
      <c r="C279" s="1" t="s">
        <v>4865</v>
      </c>
    </row>
    <row r="280" spans="1:3" x14ac:dyDescent="0.2">
      <c r="A280" s="1" t="str">
        <f>"688349"</f>
        <v>688349</v>
      </c>
      <c r="B280" s="1" t="s">
        <v>3369</v>
      </c>
      <c r="C280" s="1" t="s">
        <v>4870</v>
      </c>
    </row>
    <row r="281" spans="1:3" x14ac:dyDescent="0.2">
      <c r="A281" s="1" t="str">
        <f>"688348"</f>
        <v>688348</v>
      </c>
      <c r="B281" s="1" t="s">
        <v>3370</v>
      </c>
      <c r="C281" s="1" t="s">
        <v>4857</v>
      </c>
    </row>
    <row r="282" spans="1:3" x14ac:dyDescent="0.2">
      <c r="A282" s="1" t="str">
        <f>"688347"</f>
        <v>688347</v>
      </c>
      <c r="B282" s="1" t="s">
        <v>3371</v>
      </c>
      <c r="C282" s="1" t="s">
        <v>4840</v>
      </c>
    </row>
    <row r="283" spans="1:3" x14ac:dyDescent="0.2">
      <c r="A283" s="1" t="str">
        <f>"688345"</f>
        <v>688345</v>
      </c>
      <c r="B283" s="1" t="s">
        <v>3372</v>
      </c>
      <c r="C283" s="1" t="s">
        <v>4841</v>
      </c>
    </row>
    <row r="284" spans="1:3" x14ac:dyDescent="0.2">
      <c r="A284" s="1" t="str">
        <f>"688343"</f>
        <v>688343</v>
      </c>
      <c r="B284" s="1" t="s">
        <v>3373</v>
      </c>
      <c r="C284" s="1" t="s">
        <v>4847</v>
      </c>
    </row>
    <row r="285" spans="1:3" x14ac:dyDescent="0.2">
      <c r="A285" s="1" t="str">
        <f>"688338"</f>
        <v>688338</v>
      </c>
      <c r="B285" s="1" t="s">
        <v>3374</v>
      </c>
      <c r="C285" s="1" t="s">
        <v>4852</v>
      </c>
    </row>
    <row r="286" spans="1:3" x14ac:dyDescent="0.2">
      <c r="A286" s="1" t="str">
        <f>"688337"</f>
        <v>688337</v>
      </c>
      <c r="B286" s="1" t="s">
        <v>3375</v>
      </c>
      <c r="C286" s="1" t="s">
        <v>4851</v>
      </c>
    </row>
    <row r="287" spans="1:3" x14ac:dyDescent="0.2">
      <c r="A287" s="1" t="str">
        <f>"688336"</f>
        <v>688336</v>
      </c>
      <c r="B287" s="1" t="s">
        <v>3376</v>
      </c>
      <c r="C287" s="1" t="s">
        <v>4852</v>
      </c>
    </row>
    <row r="288" spans="1:3" x14ac:dyDescent="0.2">
      <c r="A288" s="1" t="str">
        <f>"688335"</f>
        <v>688335</v>
      </c>
      <c r="B288" s="1" t="s">
        <v>3377</v>
      </c>
      <c r="C288" s="1" t="s">
        <v>4871</v>
      </c>
    </row>
    <row r="289" spans="1:3" x14ac:dyDescent="0.2">
      <c r="A289" s="1" t="str">
        <f>"688334"</f>
        <v>688334</v>
      </c>
      <c r="B289" s="1" t="s">
        <v>3378</v>
      </c>
      <c r="C289" s="1" t="s">
        <v>4854</v>
      </c>
    </row>
    <row r="290" spans="1:3" x14ac:dyDescent="0.2">
      <c r="A290" s="1" t="str">
        <f>"688333"</f>
        <v>688333</v>
      </c>
      <c r="B290" s="1" t="s">
        <v>3379</v>
      </c>
      <c r="C290" s="1" t="s">
        <v>4851</v>
      </c>
    </row>
    <row r="291" spans="1:3" x14ac:dyDescent="0.2">
      <c r="A291" s="1" t="str">
        <f>"688332"</f>
        <v>688332</v>
      </c>
      <c r="B291" s="1" t="s">
        <v>3380</v>
      </c>
      <c r="C291" s="1" t="s">
        <v>4840</v>
      </c>
    </row>
    <row r="292" spans="1:3" x14ac:dyDescent="0.2">
      <c r="A292" s="1" t="str">
        <f>"688331"</f>
        <v>688331</v>
      </c>
      <c r="B292" s="1" t="s">
        <v>3381</v>
      </c>
      <c r="C292" s="1" t="s">
        <v>4852</v>
      </c>
    </row>
    <row r="293" spans="1:3" x14ac:dyDescent="0.2">
      <c r="A293" s="1" t="str">
        <f>"688330"</f>
        <v>688330</v>
      </c>
      <c r="B293" s="1" t="s">
        <v>3382</v>
      </c>
      <c r="C293" s="1" t="s">
        <v>4866</v>
      </c>
    </row>
    <row r="294" spans="1:3" x14ac:dyDescent="0.2">
      <c r="A294" s="1" t="str">
        <f>"688329"</f>
        <v>688329</v>
      </c>
      <c r="B294" s="1" t="s">
        <v>3383</v>
      </c>
      <c r="C294" s="1" t="s">
        <v>4849</v>
      </c>
    </row>
    <row r="295" spans="1:3" x14ac:dyDescent="0.2">
      <c r="A295" s="1" t="str">
        <f>"688328"</f>
        <v>688328</v>
      </c>
      <c r="B295" s="1" t="s">
        <v>3384</v>
      </c>
      <c r="C295" s="1" t="s">
        <v>4845</v>
      </c>
    </row>
    <row r="296" spans="1:3" x14ac:dyDescent="0.2">
      <c r="A296" s="1" t="str">
        <f>"688327"</f>
        <v>688327</v>
      </c>
      <c r="B296" s="1" t="s">
        <v>3385</v>
      </c>
      <c r="C296" s="1" t="s">
        <v>4847</v>
      </c>
    </row>
    <row r="297" spans="1:3" x14ac:dyDescent="0.2">
      <c r="A297" s="1" t="str">
        <f>"688326"</f>
        <v>688326</v>
      </c>
      <c r="B297" s="1" t="s">
        <v>3386</v>
      </c>
      <c r="C297" s="1" t="s">
        <v>4856</v>
      </c>
    </row>
    <row r="298" spans="1:3" x14ac:dyDescent="0.2">
      <c r="A298" s="1" t="str">
        <f>"688325"</f>
        <v>688325</v>
      </c>
      <c r="B298" s="1" t="s">
        <v>3387</v>
      </c>
      <c r="C298" s="1" t="s">
        <v>4840</v>
      </c>
    </row>
    <row r="299" spans="1:3" x14ac:dyDescent="0.2">
      <c r="A299" s="1" t="str">
        <f>"688323"</f>
        <v>688323</v>
      </c>
      <c r="B299" s="1" t="s">
        <v>3388</v>
      </c>
      <c r="C299" s="1" t="s">
        <v>4860</v>
      </c>
    </row>
    <row r="300" spans="1:3" x14ac:dyDescent="0.2">
      <c r="A300" s="1" t="str">
        <f>"688322"</f>
        <v>688322</v>
      </c>
      <c r="B300" s="1" t="s">
        <v>3389</v>
      </c>
      <c r="C300" s="1" t="s">
        <v>4878</v>
      </c>
    </row>
    <row r="301" spans="1:3" x14ac:dyDescent="0.2">
      <c r="A301" s="1" t="str">
        <f>"688321"</f>
        <v>688321</v>
      </c>
      <c r="B301" s="1" t="s">
        <v>3390</v>
      </c>
      <c r="C301" s="1" t="s">
        <v>4843</v>
      </c>
    </row>
    <row r="302" spans="1:3" x14ac:dyDescent="0.2">
      <c r="A302" s="1" t="str">
        <f>"688320"</f>
        <v>688320</v>
      </c>
      <c r="B302" s="1" t="s">
        <v>3391</v>
      </c>
      <c r="C302" s="1" t="s">
        <v>4849</v>
      </c>
    </row>
    <row r="303" spans="1:3" x14ac:dyDescent="0.2">
      <c r="A303" s="1" t="str">
        <f>"688319"</f>
        <v>688319</v>
      </c>
      <c r="B303" s="1" t="s">
        <v>3392</v>
      </c>
      <c r="C303" s="1" t="s">
        <v>4852</v>
      </c>
    </row>
    <row r="304" spans="1:3" x14ac:dyDescent="0.2">
      <c r="A304" s="1" t="str">
        <f>"688318"</f>
        <v>688318</v>
      </c>
      <c r="B304" s="1" t="s">
        <v>3393</v>
      </c>
      <c r="C304" s="1" t="s">
        <v>4847</v>
      </c>
    </row>
    <row r="305" spans="1:3" x14ac:dyDescent="0.2">
      <c r="A305" s="1" t="str">
        <f>"688317"</f>
        <v>688317</v>
      </c>
      <c r="B305" s="1" t="s">
        <v>3394</v>
      </c>
      <c r="C305" s="1" t="s">
        <v>4852</v>
      </c>
    </row>
    <row r="306" spans="1:3" x14ac:dyDescent="0.2">
      <c r="A306" s="1" t="str">
        <f>"688316"</f>
        <v>688316</v>
      </c>
      <c r="B306" s="1" t="s">
        <v>3395</v>
      </c>
      <c r="C306" s="1" t="s">
        <v>4874</v>
      </c>
    </row>
    <row r="307" spans="1:3" x14ac:dyDescent="0.2">
      <c r="A307" s="1" t="str">
        <f>"688315"</f>
        <v>688315</v>
      </c>
      <c r="B307" s="1" t="s">
        <v>3396</v>
      </c>
      <c r="C307" s="1" t="s">
        <v>4861</v>
      </c>
    </row>
    <row r="308" spans="1:3" x14ac:dyDescent="0.2">
      <c r="A308" s="1" t="str">
        <f>"688314"</f>
        <v>688314</v>
      </c>
      <c r="B308" s="1" t="s">
        <v>3397</v>
      </c>
      <c r="C308" s="1" t="s">
        <v>4867</v>
      </c>
    </row>
    <row r="309" spans="1:3" x14ac:dyDescent="0.2">
      <c r="A309" s="1" t="str">
        <f>"688313"</f>
        <v>688313</v>
      </c>
      <c r="B309" s="1" t="s">
        <v>3398</v>
      </c>
      <c r="C309" s="1" t="s">
        <v>4869</v>
      </c>
    </row>
    <row r="310" spans="1:3" x14ac:dyDescent="0.2">
      <c r="A310" s="1" t="str">
        <f>"688312"</f>
        <v>688312</v>
      </c>
      <c r="B310" s="1" t="s">
        <v>3399</v>
      </c>
      <c r="C310" s="1" t="s">
        <v>4845</v>
      </c>
    </row>
    <row r="311" spans="1:3" x14ac:dyDescent="0.2">
      <c r="A311" s="1" t="str">
        <f>"688311"</f>
        <v>688311</v>
      </c>
      <c r="B311" s="1" t="s">
        <v>3400</v>
      </c>
      <c r="C311" s="1" t="s">
        <v>4846</v>
      </c>
    </row>
    <row r="312" spans="1:3" x14ac:dyDescent="0.2">
      <c r="A312" s="1" t="str">
        <f>"688310"</f>
        <v>688310</v>
      </c>
      <c r="B312" s="1" t="s">
        <v>3401</v>
      </c>
      <c r="C312" s="1" t="s">
        <v>4867</v>
      </c>
    </row>
    <row r="313" spans="1:3" x14ac:dyDescent="0.2">
      <c r="A313" s="1" t="str">
        <f>"688309"</f>
        <v>688309</v>
      </c>
      <c r="B313" s="1" t="s">
        <v>3402</v>
      </c>
      <c r="C313" s="1" t="s">
        <v>4871</v>
      </c>
    </row>
    <row r="314" spans="1:3" x14ac:dyDescent="0.2">
      <c r="A314" s="1" t="str">
        <f>"688308"</f>
        <v>688308</v>
      </c>
      <c r="B314" s="1" t="s">
        <v>3403</v>
      </c>
      <c r="C314" s="1" t="s">
        <v>4851</v>
      </c>
    </row>
    <row r="315" spans="1:3" x14ac:dyDescent="0.2">
      <c r="A315" s="1" t="str">
        <f>"688307"</f>
        <v>688307</v>
      </c>
      <c r="B315" s="1" t="s">
        <v>3404</v>
      </c>
      <c r="C315" s="1" t="s">
        <v>4878</v>
      </c>
    </row>
    <row r="316" spans="1:3" x14ac:dyDescent="0.2">
      <c r="A316" s="1" t="str">
        <f>"688306"</f>
        <v>688306</v>
      </c>
      <c r="B316" s="1" t="s">
        <v>3405</v>
      </c>
      <c r="C316" s="1" t="s">
        <v>4845</v>
      </c>
    </row>
    <row r="317" spans="1:3" x14ac:dyDescent="0.2">
      <c r="A317" s="1" t="str">
        <f>"688305"</f>
        <v>688305</v>
      </c>
      <c r="B317" s="1" t="s">
        <v>3406</v>
      </c>
      <c r="C317" s="1" t="s">
        <v>4851</v>
      </c>
    </row>
    <row r="318" spans="1:3" x14ac:dyDescent="0.2">
      <c r="A318" s="1" t="str">
        <f>"688302"</f>
        <v>688302</v>
      </c>
      <c r="B318" s="1" t="s">
        <v>3407</v>
      </c>
      <c r="C318" s="1" t="s">
        <v>4852</v>
      </c>
    </row>
    <row r="319" spans="1:3" x14ac:dyDescent="0.2">
      <c r="A319" s="1" t="str">
        <f>"688301"</f>
        <v>688301</v>
      </c>
      <c r="B319" s="1" t="s">
        <v>3408</v>
      </c>
      <c r="C319" s="1" t="s">
        <v>4867</v>
      </c>
    </row>
    <row r="320" spans="1:3" x14ac:dyDescent="0.2">
      <c r="A320" s="1" t="str">
        <f>"688300"</f>
        <v>688300</v>
      </c>
      <c r="B320" s="1" t="s">
        <v>3409</v>
      </c>
      <c r="C320" s="1" t="s">
        <v>4881</v>
      </c>
    </row>
    <row r="321" spans="1:3" x14ac:dyDescent="0.2">
      <c r="A321" s="1" t="str">
        <f>"688299"</f>
        <v>688299</v>
      </c>
      <c r="B321" s="1" t="s">
        <v>3410</v>
      </c>
      <c r="C321" s="1" t="s">
        <v>4878</v>
      </c>
    </row>
    <row r="322" spans="1:3" x14ac:dyDescent="0.2">
      <c r="A322" s="1" t="str">
        <f>"688298"</f>
        <v>688298</v>
      </c>
      <c r="B322" s="1" t="s">
        <v>3411</v>
      </c>
      <c r="C322" s="1" t="s">
        <v>4852</v>
      </c>
    </row>
    <row r="323" spans="1:3" x14ac:dyDescent="0.2">
      <c r="A323" s="1" t="str">
        <f>"688297"</f>
        <v>688297</v>
      </c>
      <c r="B323" s="1" t="s">
        <v>3412</v>
      </c>
      <c r="C323" s="1" t="s">
        <v>4862</v>
      </c>
    </row>
    <row r="324" spans="1:3" x14ac:dyDescent="0.2">
      <c r="A324" s="1" t="str">
        <f>"688296"</f>
        <v>688296</v>
      </c>
      <c r="B324" s="1" t="s">
        <v>3413</v>
      </c>
      <c r="C324" s="1" t="s">
        <v>4847</v>
      </c>
    </row>
    <row r="325" spans="1:3" x14ac:dyDescent="0.2">
      <c r="A325" s="1" t="str">
        <f>"688295"</f>
        <v>688295</v>
      </c>
      <c r="B325" s="1" t="s">
        <v>3414</v>
      </c>
      <c r="C325" s="1" t="s">
        <v>4858</v>
      </c>
    </row>
    <row r="326" spans="1:3" x14ac:dyDescent="0.2">
      <c r="A326" s="1" t="str">
        <f>"688293"</f>
        <v>688293</v>
      </c>
      <c r="B326" s="1" t="s">
        <v>3415</v>
      </c>
      <c r="C326" s="1" t="s">
        <v>4861</v>
      </c>
    </row>
    <row r="327" spans="1:3" x14ac:dyDescent="0.2">
      <c r="A327" s="1" t="str">
        <f>"688292"</f>
        <v>688292</v>
      </c>
      <c r="B327" s="1" t="s">
        <v>3416</v>
      </c>
      <c r="C327" s="1" t="s">
        <v>4869</v>
      </c>
    </row>
    <row r="328" spans="1:3" x14ac:dyDescent="0.2">
      <c r="A328" s="1" t="str">
        <f>"688291"</f>
        <v>688291</v>
      </c>
      <c r="B328" s="1" t="s">
        <v>3417</v>
      </c>
      <c r="C328" s="1" t="s">
        <v>4847</v>
      </c>
    </row>
    <row r="329" spans="1:3" x14ac:dyDescent="0.2">
      <c r="A329" s="1" t="str">
        <f>"688290"</f>
        <v>688290</v>
      </c>
      <c r="B329" s="1" t="s">
        <v>3418</v>
      </c>
      <c r="C329" s="1" t="s">
        <v>4849</v>
      </c>
    </row>
    <row r="330" spans="1:3" x14ac:dyDescent="0.2">
      <c r="A330" s="1" t="str">
        <f>"688289"</f>
        <v>688289</v>
      </c>
      <c r="B330" s="1" t="s">
        <v>3419</v>
      </c>
      <c r="C330" s="1" t="s">
        <v>4852</v>
      </c>
    </row>
    <row r="331" spans="1:3" x14ac:dyDescent="0.2">
      <c r="A331" s="1" t="str">
        <f>"688288"</f>
        <v>688288</v>
      </c>
      <c r="B331" s="1" t="s">
        <v>3420</v>
      </c>
      <c r="C331" s="1" t="s">
        <v>4873</v>
      </c>
    </row>
    <row r="332" spans="1:3" x14ac:dyDescent="0.2">
      <c r="A332" s="1" t="str">
        <f>"688286"</f>
        <v>688286</v>
      </c>
      <c r="B332" s="1" t="s">
        <v>3421</v>
      </c>
      <c r="C332" s="1" t="s">
        <v>4840</v>
      </c>
    </row>
    <row r="333" spans="1:3" x14ac:dyDescent="0.2">
      <c r="A333" s="1" t="str">
        <f>"688285"</f>
        <v>688285</v>
      </c>
      <c r="B333" s="1" t="s">
        <v>3422</v>
      </c>
      <c r="C333" s="1" t="s">
        <v>4875</v>
      </c>
    </row>
    <row r="334" spans="1:3" x14ac:dyDescent="0.2">
      <c r="A334" s="1" t="str">
        <f>"688283"</f>
        <v>688283</v>
      </c>
      <c r="B334" s="1" t="s">
        <v>3423</v>
      </c>
      <c r="C334" s="1" t="s">
        <v>4851</v>
      </c>
    </row>
    <row r="335" spans="1:3" x14ac:dyDescent="0.2">
      <c r="A335" s="1" t="str">
        <f>"688281"</f>
        <v>688281</v>
      </c>
      <c r="B335" s="1" t="s">
        <v>3424</v>
      </c>
      <c r="C335" s="1" t="s">
        <v>4862</v>
      </c>
    </row>
    <row r="336" spans="1:3" x14ac:dyDescent="0.2">
      <c r="A336" s="1" t="str">
        <f>"688280"</f>
        <v>688280</v>
      </c>
      <c r="B336" s="1" t="s">
        <v>3425</v>
      </c>
      <c r="C336" s="1" t="s">
        <v>4856</v>
      </c>
    </row>
    <row r="337" spans="1:3" x14ac:dyDescent="0.2">
      <c r="A337" s="1" t="str">
        <f>"688279"</f>
        <v>688279</v>
      </c>
      <c r="B337" s="1" t="s">
        <v>3426</v>
      </c>
      <c r="C337" s="1" t="s">
        <v>4840</v>
      </c>
    </row>
    <row r="338" spans="1:3" x14ac:dyDescent="0.2">
      <c r="A338" s="1" t="str">
        <f>"688278"</f>
        <v>688278</v>
      </c>
      <c r="B338" s="1" t="s">
        <v>3427</v>
      </c>
      <c r="C338" s="1" t="s">
        <v>4852</v>
      </c>
    </row>
    <row r="339" spans="1:3" x14ac:dyDescent="0.2">
      <c r="A339" s="1" t="str">
        <f>"688277"</f>
        <v>688277</v>
      </c>
      <c r="B339" s="1" t="s">
        <v>3428</v>
      </c>
      <c r="C339" s="1" t="s">
        <v>4867</v>
      </c>
    </row>
    <row r="340" spans="1:3" x14ac:dyDescent="0.2">
      <c r="A340" s="1" t="str">
        <f>"688276"</f>
        <v>688276</v>
      </c>
      <c r="B340" s="1" t="s">
        <v>3429</v>
      </c>
      <c r="C340" s="1" t="s">
        <v>4852</v>
      </c>
    </row>
    <row r="341" spans="1:3" x14ac:dyDescent="0.2">
      <c r="A341" s="1" t="str">
        <f>"688275"</f>
        <v>688275</v>
      </c>
      <c r="B341" s="1" t="s">
        <v>3430</v>
      </c>
      <c r="C341" s="1" t="s">
        <v>4841</v>
      </c>
    </row>
    <row r="342" spans="1:3" x14ac:dyDescent="0.2">
      <c r="A342" s="1" t="str">
        <f>"688273"</f>
        <v>688273</v>
      </c>
      <c r="B342" s="1" t="s">
        <v>3431</v>
      </c>
      <c r="C342" s="1" t="s">
        <v>4867</v>
      </c>
    </row>
    <row r="343" spans="1:3" x14ac:dyDescent="0.2">
      <c r="A343" s="1" t="str">
        <f>"688272"</f>
        <v>688272</v>
      </c>
      <c r="B343" s="1" t="s">
        <v>3432</v>
      </c>
      <c r="C343" s="1" t="s">
        <v>4846</v>
      </c>
    </row>
    <row r="344" spans="1:3" x14ac:dyDescent="0.2">
      <c r="A344" s="1" t="str">
        <f>"688271"</f>
        <v>688271</v>
      </c>
      <c r="B344" s="1" t="s">
        <v>3433</v>
      </c>
      <c r="C344" s="1" t="s">
        <v>4867</v>
      </c>
    </row>
    <row r="345" spans="1:3" x14ac:dyDescent="0.2">
      <c r="A345" s="1" t="str">
        <f>"688270"</f>
        <v>688270</v>
      </c>
      <c r="B345" s="1" t="s">
        <v>3434</v>
      </c>
      <c r="C345" s="1" t="s">
        <v>4840</v>
      </c>
    </row>
    <row r="346" spans="1:3" x14ac:dyDescent="0.2">
      <c r="A346" s="1" t="str">
        <f>"688269"</f>
        <v>688269</v>
      </c>
      <c r="B346" s="1" t="s">
        <v>3435</v>
      </c>
      <c r="C346" s="1" t="s">
        <v>4865</v>
      </c>
    </row>
    <row r="347" spans="1:3" x14ac:dyDescent="0.2">
      <c r="A347" s="1" t="str">
        <f>"688268"</f>
        <v>688268</v>
      </c>
      <c r="B347" s="1" t="s">
        <v>3436</v>
      </c>
      <c r="C347" s="1" t="s">
        <v>4840</v>
      </c>
    </row>
    <row r="348" spans="1:3" x14ac:dyDescent="0.2">
      <c r="A348" s="1" t="str">
        <f>"688267"</f>
        <v>688267</v>
      </c>
      <c r="B348" s="1" t="s">
        <v>3437</v>
      </c>
      <c r="C348" s="1" t="s">
        <v>4865</v>
      </c>
    </row>
    <row r="349" spans="1:3" x14ac:dyDescent="0.2">
      <c r="A349" s="1" t="str">
        <f>"688266"</f>
        <v>688266</v>
      </c>
      <c r="B349" s="1" t="s">
        <v>3438</v>
      </c>
      <c r="C349" s="1" t="s">
        <v>4852</v>
      </c>
    </row>
    <row r="350" spans="1:3" x14ac:dyDescent="0.2">
      <c r="A350" s="1" t="str">
        <f>"688265"</f>
        <v>688265</v>
      </c>
      <c r="B350" s="1" t="s">
        <v>3439</v>
      </c>
      <c r="C350" s="1" t="s">
        <v>4861</v>
      </c>
    </row>
    <row r="351" spans="1:3" x14ac:dyDescent="0.2">
      <c r="A351" s="1" t="str">
        <f>"688262"</f>
        <v>688262</v>
      </c>
      <c r="B351" s="1" t="s">
        <v>3440</v>
      </c>
      <c r="C351" s="1" t="s">
        <v>4840</v>
      </c>
    </row>
    <row r="352" spans="1:3" x14ac:dyDescent="0.2">
      <c r="A352" s="1" t="str">
        <f>"688261"</f>
        <v>688261</v>
      </c>
      <c r="B352" s="1" t="s">
        <v>3441</v>
      </c>
      <c r="C352" s="1" t="s">
        <v>4840</v>
      </c>
    </row>
    <row r="353" spans="1:3" x14ac:dyDescent="0.2">
      <c r="A353" s="1" t="str">
        <f>"688260"</f>
        <v>688260</v>
      </c>
      <c r="B353" s="1" t="s">
        <v>3442</v>
      </c>
      <c r="C353" s="1" t="s">
        <v>4850</v>
      </c>
    </row>
    <row r="354" spans="1:3" x14ac:dyDescent="0.2">
      <c r="A354" s="1" t="str">
        <f>"688259"</f>
        <v>688259</v>
      </c>
      <c r="B354" s="1" t="s">
        <v>3443</v>
      </c>
      <c r="C354" s="1" t="s">
        <v>4840</v>
      </c>
    </row>
    <row r="355" spans="1:3" x14ac:dyDescent="0.2">
      <c r="A355" s="1" t="str">
        <f>"688258"</f>
        <v>688258</v>
      </c>
      <c r="B355" s="1" t="s">
        <v>3444</v>
      </c>
      <c r="C355" s="1" t="s">
        <v>4883</v>
      </c>
    </row>
    <row r="356" spans="1:3" x14ac:dyDescent="0.2">
      <c r="A356" s="1" t="str">
        <f>"688257"</f>
        <v>688257</v>
      </c>
      <c r="B356" s="1" t="s">
        <v>3445</v>
      </c>
      <c r="C356" s="1" t="s">
        <v>4851</v>
      </c>
    </row>
    <row r="357" spans="1:3" x14ac:dyDescent="0.2">
      <c r="A357" s="1" t="str">
        <f>"688256"</f>
        <v>688256</v>
      </c>
      <c r="B357" s="1" t="s">
        <v>3446</v>
      </c>
      <c r="C357" s="1" t="s">
        <v>4840</v>
      </c>
    </row>
    <row r="358" spans="1:3" x14ac:dyDescent="0.2">
      <c r="A358" s="1" t="str">
        <f>"688255"</f>
        <v>688255</v>
      </c>
      <c r="B358" s="1" t="s">
        <v>3447</v>
      </c>
      <c r="C358" s="1" t="s">
        <v>4849</v>
      </c>
    </row>
    <row r="359" spans="1:3" x14ac:dyDescent="0.2">
      <c r="A359" s="1" t="str">
        <f>"688253"</f>
        <v>688253</v>
      </c>
      <c r="B359" s="1" t="s">
        <v>3448</v>
      </c>
      <c r="C359" s="1" t="s">
        <v>4867</v>
      </c>
    </row>
    <row r="360" spans="1:3" x14ac:dyDescent="0.2">
      <c r="A360" s="1" t="str">
        <f>"688252"</f>
        <v>688252</v>
      </c>
      <c r="B360" s="1" t="s">
        <v>3449</v>
      </c>
      <c r="C360" s="1" t="s">
        <v>4840</v>
      </c>
    </row>
    <row r="361" spans="1:3" x14ac:dyDescent="0.2">
      <c r="A361" s="1" t="str">
        <f>"688251"</f>
        <v>688251</v>
      </c>
      <c r="B361" s="1" t="s">
        <v>3450</v>
      </c>
      <c r="C361" s="1" t="s">
        <v>4851</v>
      </c>
    </row>
    <row r="362" spans="1:3" x14ac:dyDescent="0.2">
      <c r="A362" s="1" t="str">
        <f>"688249"</f>
        <v>688249</v>
      </c>
      <c r="B362" s="1" t="s">
        <v>3451</v>
      </c>
      <c r="C362" s="1" t="s">
        <v>4840</v>
      </c>
    </row>
    <row r="363" spans="1:3" x14ac:dyDescent="0.2">
      <c r="A363" s="1" t="str">
        <f>"688248"</f>
        <v>688248</v>
      </c>
      <c r="B363" s="1" t="s">
        <v>3452</v>
      </c>
      <c r="C363" s="1" t="s">
        <v>4866</v>
      </c>
    </row>
    <row r="364" spans="1:3" x14ac:dyDescent="0.2">
      <c r="A364" s="1" t="str">
        <f>"688247"</f>
        <v>688247</v>
      </c>
      <c r="B364" s="1" t="s">
        <v>3453</v>
      </c>
      <c r="C364" s="1" t="s">
        <v>4843</v>
      </c>
    </row>
    <row r="365" spans="1:3" x14ac:dyDescent="0.2">
      <c r="A365" s="1" t="str">
        <f>"688246"</f>
        <v>688246</v>
      </c>
      <c r="B365" s="1" t="s">
        <v>3454</v>
      </c>
      <c r="C365" s="1" t="s">
        <v>4847</v>
      </c>
    </row>
    <row r="366" spans="1:3" x14ac:dyDescent="0.2">
      <c r="A366" s="1" t="str">
        <f>"688244"</f>
        <v>688244</v>
      </c>
      <c r="B366" s="1" t="s">
        <v>3455</v>
      </c>
      <c r="C366" s="1" t="s">
        <v>4847</v>
      </c>
    </row>
    <row r="367" spans="1:3" x14ac:dyDescent="0.2">
      <c r="A367" s="1" t="str">
        <f>"688239"</f>
        <v>688239</v>
      </c>
      <c r="B367" s="1" t="s">
        <v>3456</v>
      </c>
      <c r="C367" s="1" t="s">
        <v>4862</v>
      </c>
    </row>
    <row r="368" spans="1:3" x14ac:dyDescent="0.2">
      <c r="A368" s="1" t="str">
        <f>"688237"</f>
        <v>688237</v>
      </c>
      <c r="B368" s="1" t="s">
        <v>3457</v>
      </c>
      <c r="C368" s="1" t="s">
        <v>4862</v>
      </c>
    </row>
    <row r="369" spans="1:3" x14ac:dyDescent="0.2">
      <c r="A369" s="1" t="str">
        <f>"688236"</f>
        <v>688236</v>
      </c>
      <c r="B369" s="1" t="s">
        <v>3458</v>
      </c>
      <c r="C369" s="1" t="s">
        <v>4867</v>
      </c>
    </row>
    <row r="370" spans="1:3" x14ac:dyDescent="0.2">
      <c r="A370" s="1" t="str">
        <f>"688235"</f>
        <v>688235</v>
      </c>
      <c r="B370" s="1" t="s">
        <v>3459</v>
      </c>
      <c r="C370" s="1" t="s">
        <v>4852</v>
      </c>
    </row>
    <row r="371" spans="1:3" x14ac:dyDescent="0.2">
      <c r="A371" s="1" t="str">
        <f>"688234"</f>
        <v>688234</v>
      </c>
      <c r="B371" s="1" t="s">
        <v>3460</v>
      </c>
      <c r="C371" s="1" t="s">
        <v>4840</v>
      </c>
    </row>
    <row r="372" spans="1:3" x14ac:dyDescent="0.2">
      <c r="A372" s="1" t="str">
        <f>"688233"</f>
        <v>688233</v>
      </c>
      <c r="B372" s="1" t="s">
        <v>3461</v>
      </c>
      <c r="C372" s="1" t="s">
        <v>4840</v>
      </c>
    </row>
    <row r="373" spans="1:3" x14ac:dyDescent="0.2">
      <c r="A373" s="1" t="str">
        <f>"688232"</f>
        <v>688232</v>
      </c>
      <c r="B373" s="1" t="s">
        <v>3462</v>
      </c>
      <c r="C373" s="1" t="s">
        <v>4847</v>
      </c>
    </row>
    <row r="374" spans="1:3" x14ac:dyDescent="0.2">
      <c r="A374" s="1" t="str">
        <f>"688231"</f>
        <v>688231</v>
      </c>
      <c r="B374" s="1" t="s">
        <v>3463</v>
      </c>
      <c r="C374" s="1" t="s">
        <v>4884</v>
      </c>
    </row>
    <row r="375" spans="1:3" x14ac:dyDescent="0.2">
      <c r="A375" s="1" t="str">
        <f>"688230"</f>
        <v>688230</v>
      </c>
      <c r="B375" s="1" t="s">
        <v>3464</v>
      </c>
      <c r="C375" s="1" t="s">
        <v>4840</v>
      </c>
    </row>
    <row r="376" spans="1:3" x14ac:dyDescent="0.2">
      <c r="A376" s="1" t="str">
        <f>"688229"</f>
        <v>688229</v>
      </c>
      <c r="B376" s="1" t="s">
        <v>3465</v>
      </c>
      <c r="C376" s="1" t="s">
        <v>4847</v>
      </c>
    </row>
    <row r="377" spans="1:3" x14ac:dyDescent="0.2">
      <c r="A377" s="1" t="str">
        <f>"688228"</f>
        <v>688228</v>
      </c>
      <c r="B377" s="1" t="s">
        <v>3466</v>
      </c>
      <c r="C377" s="1" t="s">
        <v>4847</v>
      </c>
    </row>
    <row r="378" spans="1:3" x14ac:dyDescent="0.2">
      <c r="A378" s="1" t="str">
        <f>"688227"</f>
        <v>688227</v>
      </c>
      <c r="B378" s="1" t="s">
        <v>3467</v>
      </c>
      <c r="C378" s="1" t="s">
        <v>4874</v>
      </c>
    </row>
    <row r="379" spans="1:3" x14ac:dyDescent="0.2">
      <c r="A379" s="1" t="str">
        <f>"688226"</f>
        <v>688226</v>
      </c>
      <c r="B379" s="1" t="s">
        <v>3468</v>
      </c>
      <c r="C379" s="1" t="s">
        <v>4866</v>
      </c>
    </row>
    <row r="380" spans="1:3" x14ac:dyDescent="0.2">
      <c r="A380" s="1" t="str">
        <f>"688225"</f>
        <v>688225</v>
      </c>
      <c r="B380" s="1" t="s">
        <v>3469</v>
      </c>
      <c r="C380" s="1" t="s">
        <v>4847</v>
      </c>
    </row>
    <row r="381" spans="1:3" x14ac:dyDescent="0.2">
      <c r="A381" s="1" t="str">
        <f>"688223"</f>
        <v>688223</v>
      </c>
      <c r="B381" s="1" t="s">
        <v>3470</v>
      </c>
      <c r="C381" s="1" t="s">
        <v>4857</v>
      </c>
    </row>
    <row r="382" spans="1:3" x14ac:dyDescent="0.2">
      <c r="A382" s="1" t="str">
        <f>"688222"</f>
        <v>688222</v>
      </c>
      <c r="B382" s="1" t="s">
        <v>3471</v>
      </c>
      <c r="C382" s="1" t="s">
        <v>4861</v>
      </c>
    </row>
    <row r="383" spans="1:3" x14ac:dyDescent="0.2">
      <c r="A383" s="1" t="str">
        <f>"688221"</f>
        <v>688221</v>
      </c>
      <c r="B383" s="1" t="s">
        <v>3472</v>
      </c>
      <c r="C383" s="1" t="s">
        <v>4852</v>
      </c>
    </row>
    <row r="384" spans="1:3" x14ac:dyDescent="0.2">
      <c r="A384" s="1" t="str">
        <f>"688220"</f>
        <v>688220</v>
      </c>
      <c r="B384" s="1" t="s">
        <v>3473</v>
      </c>
      <c r="C384" s="1" t="s">
        <v>4840</v>
      </c>
    </row>
    <row r="385" spans="1:3" x14ac:dyDescent="0.2">
      <c r="A385" s="1" t="str">
        <f>"688219"</f>
        <v>688219</v>
      </c>
      <c r="B385" s="1" t="s">
        <v>3474</v>
      </c>
      <c r="C385" s="1" t="s">
        <v>4860</v>
      </c>
    </row>
    <row r="386" spans="1:3" x14ac:dyDescent="0.2">
      <c r="A386" s="1" t="str">
        <f>"688218"</f>
        <v>688218</v>
      </c>
      <c r="B386" s="1" t="s">
        <v>3475</v>
      </c>
      <c r="C386" s="1" t="s">
        <v>4849</v>
      </c>
    </row>
    <row r="387" spans="1:3" x14ac:dyDescent="0.2">
      <c r="A387" s="1" t="str">
        <f>"688217"</f>
        <v>688217</v>
      </c>
      <c r="B387" s="1" t="s">
        <v>3476</v>
      </c>
      <c r="C387" s="1" t="s">
        <v>4852</v>
      </c>
    </row>
    <row r="388" spans="1:3" x14ac:dyDescent="0.2">
      <c r="A388" s="1" t="str">
        <f>"688215"</f>
        <v>688215</v>
      </c>
      <c r="B388" s="1" t="s">
        <v>3477</v>
      </c>
      <c r="C388" s="1" t="s">
        <v>4845</v>
      </c>
    </row>
    <row r="389" spans="1:3" x14ac:dyDescent="0.2">
      <c r="A389" s="1" t="str">
        <f>"688213"</f>
        <v>688213</v>
      </c>
      <c r="B389" s="1" t="s">
        <v>3478</v>
      </c>
      <c r="C389" s="1" t="s">
        <v>4840</v>
      </c>
    </row>
    <row r="390" spans="1:3" x14ac:dyDescent="0.2">
      <c r="A390" s="1" t="str">
        <f>"688212"</f>
        <v>688212</v>
      </c>
      <c r="B390" s="1" t="s">
        <v>3479</v>
      </c>
      <c r="C390" s="1" t="s">
        <v>4867</v>
      </c>
    </row>
    <row r="391" spans="1:3" x14ac:dyDescent="0.2">
      <c r="A391" s="1" t="str">
        <f>"688211"</f>
        <v>688211</v>
      </c>
      <c r="B391" s="1" t="s">
        <v>3480</v>
      </c>
      <c r="C391" s="1" t="s">
        <v>4845</v>
      </c>
    </row>
    <row r="392" spans="1:3" x14ac:dyDescent="0.2">
      <c r="A392" s="1" t="str">
        <f>"688210"</f>
        <v>688210</v>
      </c>
      <c r="B392" s="1" t="s">
        <v>3481</v>
      </c>
      <c r="C392" s="1" t="s">
        <v>4850</v>
      </c>
    </row>
    <row r="393" spans="1:3" x14ac:dyDescent="0.2">
      <c r="A393" s="1" t="str">
        <f>"688209"</f>
        <v>688209</v>
      </c>
      <c r="B393" s="1" t="s">
        <v>3482</v>
      </c>
      <c r="C393" s="1" t="s">
        <v>4840</v>
      </c>
    </row>
    <row r="394" spans="1:3" x14ac:dyDescent="0.2">
      <c r="A394" s="1" t="str">
        <f>"688208"</f>
        <v>688208</v>
      </c>
      <c r="B394" s="1" t="s">
        <v>3483</v>
      </c>
      <c r="C394" s="1" t="s">
        <v>4873</v>
      </c>
    </row>
    <row r="395" spans="1:3" x14ac:dyDescent="0.2">
      <c r="A395" s="1" t="str">
        <f>"688207"</f>
        <v>688207</v>
      </c>
      <c r="B395" s="1" t="s">
        <v>3484</v>
      </c>
      <c r="C395" s="1" t="s">
        <v>4847</v>
      </c>
    </row>
    <row r="396" spans="1:3" x14ac:dyDescent="0.2">
      <c r="A396" s="1" t="str">
        <f>"688206"</f>
        <v>688206</v>
      </c>
      <c r="B396" s="1" t="s">
        <v>3485</v>
      </c>
      <c r="C396" s="1" t="s">
        <v>4840</v>
      </c>
    </row>
    <row r="397" spans="1:3" x14ac:dyDescent="0.2">
      <c r="A397" s="1" t="str">
        <f>"688205"</f>
        <v>688205</v>
      </c>
      <c r="B397" s="1" t="s">
        <v>3486</v>
      </c>
      <c r="C397" s="1" t="s">
        <v>4869</v>
      </c>
    </row>
    <row r="398" spans="1:3" x14ac:dyDescent="0.2">
      <c r="A398" s="1" t="str">
        <f>"688203"</f>
        <v>688203</v>
      </c>
      <c r="B398" s="1" t="s">
        <v>3487</v>
      </c>
      <c r="C398" s="1" t="s">
        <v>4860</v>
      </c>
    </row>
    <row r="399" spans="1:3" x14ac:dyDescent="0.2">
      <c r="A399" s="1" t="str">
        <f>"688202"</f>
        <v>688202</v>
      </c>
      <c r="B399" s="1" t="s">
        <v>3488</v>
      </c>
      <c r="C399" s="1" t="s">
        <v>4861</v>
      </c>
    </row>
    <row r="400" spans="1:3" x14ac:dyDescent="0.2">
      <c r="A400" s="1" t="str">
        <f>"688201"</f>
        <v>688201</v>
      </c>
      <c r="B400" s="1" t="s">
        <v>3489</v>
      </c>
      <c r="C400" s="1" t="s">
        <v>4847</v>
      </c>
    </row>
    <row r="401" spans="1:3" x14ac:dyDescent="0.2">
      <c r="A401" s="1" t="str">
        <f>"688200"</f>
        <v>688200</v>
      </c>
      <c r="B401" s="1" t="s">
        <v>3490</v>
      </c>
      <c r="C401" s="1" t="s">
        <v>4840</v>
      </c>
    </row>
    <row r="402" spans="1:3" x14ac:dyDescent="0.2">
      <c r="A402" s="1" t="str">
        <f>"688199"</f>
        <v>688199</v>
      </c>
      <c r="B402" s="1" t="s">
        <v>3491</v>
      </c>
      <c r="C402" s="1" t="s">
        <v>4860</v>
      </c>
    </row>
    <row r="403" spans="1:3" x14ac:dyDescent="0.2">
      <c r="A403" s="1" t="str">
        <f>"688198"</f>
        <v>688198</v>
      </c>
      <c r="B403" s="1" t="s">
        <v>3492</v>
      </c>
      <c r="C403" s="1" t="s">
        <v>4867</v>
      </c>
    </row>
    <row r="404" spans="1:3" x14ac:dyDescent="0.2">
      <c r="A404" s="1" t="str">
        <f>"688197"</f>
        <v>688197</v>
      </c>
      <c r="B404" s="1" t="s">
        <v>3493</v>
      </c>
      <c r="C404" s="1" t="s">
        <v>4843</v>
      </c>
    </row>
    <row r="405" spans="1:3" x14ac:dyDescent="0.2">
      <c r="A405" s="1" t="str">
        <f>"688196"</f>
        <v>688196</v>
      </c>
      <c r="B405" s="1" t="s">
        <v>3494</v>
      </c>
      <c r="C405" s="1" t="s">
        <v>4863</v>
      </c>
    </row>
    <row r="406" spans="1:3" x14ac:dyDescent="0.2">
      <c r="A406" s="1" t="str">
        <f>"688195"</f>
        <v>688195</v>
      </c>
      <c r="B406" s="1" t="s">
        <v>3495</v>
      </c>
      <c r="C406" s="1" t="s">
        <v>4878</v>
      </c>
    </row>
    <row r="407" spans="1:3" x14ac:dyDescent="0.2">
      <c r="A407" s="1" t="str">
        <f>"688193"</f>
        <v>688193</v>
      </c>
      <c r="B407" s="1" t="s">
        <v>3496</v>
      </c>
      <c r="C407" s="1" t="s">
        <v>4852</v>
      </c>
    </row>
    <row r="408" spans="1:3" x14ac:dyDescent="0.2">
      <c r="A408" s="1" t="str">
        <f>"688192"</f>
        <v>688192</v>
      </c>
      <c r="B408" s="1" t="s">
        <v>3497</v>
      </c>
      <c r="C408" s="1" t="s">
        <v>4852</v>
      </c>
    </row>
    <row r="409" spans="1:3" x14ac:dyDescent="0.2">
      <c r="A409" s="1" t="str">
        <f>"688191"</f>
        <v>688191</v>
      </c>
      <c r="B409" s="1" t="s">
        <v>3498</v>
      </c>
      <c r="C409" s="1" t="s">
        <v>4866</v>
      </c>
    </row>
    <row r="410" spans="1:3" x14ac:dyDescent="0.2">
      <c r="A410" s="1" t="str">
        <f>"688190"</f>
        <v>688190</v>
      </c>
      <c r="B410" s="1" t="s">
        <v>3499</v>
      </c>
      <c r="C410" s="1" t="s">
        <v>4848</v>
      </c>
    </row>
    <row r="411" spans="1:3" x14ac:dyDescent="0.2">
      <c r="A411" s="1" t="str">
        <f>"688189"</f>
        <v>688189</v>
      </c>
      <c r="B411" s="1" t="s">
        <v>3500</v>
      </c>
      <c r="C411" s="1" t="s">
        <v>4843</v>
      </c>
    </row>
    <row r="412" spans="1:3" x14ac:dyDescent="0.2">
      <c r="A412" s="1" t="str">
        <f>"688188"</f>
        <v>688188</v>
      </c>
      <c r="B412" s="1" t="s">
        <v>3501</v>
      </c>
      <c r="C412" s="1" t="s">
        <v>4849</v>
      </c>
    </row>
    <row r="413" spans="1:3" x14ac:dyDescent="0.2">
      <c r="A413" s="1" t="str">
        <f>"688187"</f>
        <v>688187</v>
      </c>
      <c r="B413" s="1" t="s">
        <v>3502</v>
      </c>
      <c r="C413" s="1" t="s">
        <v>4875</v>
      </c>
    </row>
    <row r="414" spans="1:3" x14ac:dyDescent="0.2">
      <c r="A414" s="1" t="str">
        <f>"688186"</f>
        <v>688186</v>
      </c>
      <c r="B414" s="1" t="s">
        <v>3503</v>
      </c>
      <c r="C414" s="1" t="s">
        <v>4870</v>
      </c>
    </row>
    <row r="415" spans="1:3" x14ac:dyDescent="0.2">
      <c r="A415" s="1" t="str">
        <f>"688185"</f>
        <v>688185</v>
      </c>
      <c r="B415" s="1" t="s">
        <v>3504</v>
      </c>
      <c r="C415" s="1" t="s">
        <v>4852</v>
      </c>
    </row>
    <row r="416" spans="1:3" x14ac:dyDescent="0.2">
      <c r="A416" s="1" t="str">
        <f>"688183"</f>
        <v>688183</v>
      </c>
      <c r="B416" s="1" t="s">
        <v>3505</v>
      </c>
      <c r="C416" s="1" t="s">
        <v>4872</v>
      </c>
    </row>
    <row r="417" spans="1:3" x14ac:dyDescent="0.2">
      <c r="A417" s="1" t="str">
        <f>"688182"</f>
        <v>688182</v>
      </c>
      <c r="B417" s="1" t="s">
        <v>3506</v>
      </c>
      <c r="C417" s="1" t="s">
        <v>4869</v>
      </c>
    </row>
    <row r="418" spans="1:3" x14ac:dyDescent="0.2">
      <c r="A418" s="1" t="str">
        <f>"688181"</f>
        <v>688181</v>
      </c>
      <c r="B418" s="1" t="s">
        <v>3507</v>
      </c>
      <c r="C418" s="1" t="s">
        <v>4878</v>
      </c>
    </row>
    <row r="419" spans="1:3" x14ac:dyDescent="0.2">
      <c r="A419" s="1" t="str">
        <f>"688180"</f>
        <v>688180</v>
      </c>
      <c r="B419" s="1" t="s">
        <v>3508</v>
      </c>
      <c r="C419" s="1" t="s">
        <v>4852</v>
      </c>
    </row>
    <row r="420" spans="1:3" x14ac:dyDescent="0.2">
      <c r="A420" s="1" t="str">
        <f>"688179"</f>
        <v>688179</v>
      </c>
      <c r="B420" s="1" t="s">
        <v>3509</v>
      </c>
      <c r="C420" s="1" t="s">
        <v>4865</v>
      </c>
    </row>
    <row r="421" spans="1:3" x14ac:dyDescent="0.2">
      <c r="A421" s="1" t="str">
        <f>"688178"</f>
        <v>688178</v>
      </c>
      <c r="B421" s="1" t="s">
        <v>3510</v>
      </c>
      <c r="C421" s="1" t="s">
        <v>4863</v>
      </c>
    </row>
    <row r="422" spans="1:3" x14ac:dyDescent="0.2">
      <c r="A422" s="1" t="str">
        <f>"688177"</f>
        <v>688177</v>
      </c>
      <c r="B422" s="1" t="s">
        <v>3511</v>
      </c>
      <c r="C422" s="1" t="s">
        <v>4852</v>
      </c>
    </row>
    <row r="423" spans="1:3" x14ac:dyDescent="0.2">
      <c r="A423" s="1" t="str">
        <f>"688176"</f>
        <v>688176</v>
      </c>
      <c r="B423" s="1" t="s">
        <v>3512</v>
      </c>
      <c r="C423" s="1" t="s">
        <v>4852</v>
      </c>
    </row>
    <row r="424" spans="1:3" x14ac:dyDescent="0.2">
      <c r="A424" s="1" t="str">
        <f>"688175"</f>
        <v>688175</v>
      </c>
      <c r="B424" s="1" t="s">
        <v>3513</v>
      </c>
      <c r="C424" s="1" t="s">
        <v>4869</v>
      </c>
    </row>
    <row r="425" spans="1:3" x14ac:dyDescent="0.2">
      <c r="A425" s="1" t="str">
        <f>"688173"</f>
        <v>688173</v>
      </c>
      <c r="B425" s="1" t="s">
        <v>3514</v>
      </c>
      <c r="C425" s="1" t="s">
        <v>4840</v>
      </c>
    </row>
    <row r="426" spans="1:3" x14ac:dyDescent="0.2">
      <c r="A426" s="1" t="str">
        <f>"688172"</f>
        <v>688172</v>
      </c>
      <c r="B426" s="1" t="s">
        <v>3515</v>
      </c>
      <c r="C426" s="1" t="s">
        <v>4840</v>
      </c>
    </row>
    <row r="427" spans="1:3" x14ac:dyDescent="0.2">
      <c r="A427" s="1" t="str">
        <f>"688171"</f>
        <v>688171</v>
      </c>
      <c r="B427" s="1" t="s">
        <v>3516</v>
      </c>
      <c r="C427" s="1" t="s">
        <v>4847</v>
      </c>
    </row>
    <row r="428" spans="1:3" x14ac:dyDescent="0.2">
      <c r="A428" s="1" t="str">
        <f>"688170"</f>
        <v>688170</v>
      </c>
      <c r="B428" s="1" t="s">
        <v>3517</v>
      </c>
      <c r="C428" s="1" t="s">
        <v>4849</v>
      </c>
    </row>
    <row r="429" spans="1:3" x14ac:dyDescent="0.2">
      <c r="A429" s="1" t="str">
        <f>"688169"</f>
        <v>688169</v>
      </c>
      <c r="B429" s="1" t="s">
        <v>3518</v>
      </c>
      <c r="C429" s="1" t="s">
        <v>4844</v>
      </c>
    </row>
    <row r="430" spans="1:3" x14ac:dyDescent="0.2">
      <c r="A430" s="1" t="str">
        <f>"688168"</f>
        <v>688168</v>
      </c>
      <c r="B430" s="1" t="s">
        <v>3519</v>
      </c>
      <c r="C430" s="1" t="s">
        <v>4847</v>
      </c>
    </row>
    <row r="431" spans="1:3" x14ac:dyDescent="0.2">
      <c r="A431" s="1" t="str">
        <f>"688167"</f>
        <v>688167</v>
      </c>
      <c r="B431" s="1" t="s">
        <v>3520</v>
      </c>
      <c r="C431" s="1" t="s">
        <v>4878</v>
      </c>
    </row>
    <row r="432" spans="1:3" x14ac:dyDescent="0.2">
      <c r="A432" s="1" t="str">
        <f>"688166"</f>
        <v>688166</v>
      </c>
      <c r="B432" s="1" t="s">
        <v>3521</v>
      </c>
      <c r="C432" s="1" t="s">
        <v>4843</v>
      </c>
    </row>
    <row r="433" spans="1:3" x14ac:dyDescent="0.2">
      <c r="A433" s="1" t="str">
        <f>"688165"</f>
        <v>688165</v>
      </c>
      <c r="B433" s="1" t="s">
        <v>3522</v>
      </c>
      <c r="C433" s="1" t="s">
        <v>4849</v>
      </c>
    </row>
    <row r="434" spans="1:3" x14ac:dyDescent="0.2">
      <c r="A434" s="1" t="str">
        <f>"688163"</f>
        <v>688163</v>
      </c>
      <c r="B434" s="1" t="s">
        <v>3523</v>
      </c>
      <c r="C434" s="1" t="s">
        <v>4852</v>
      </c>
    </row>
    <row r="435" spans="1:3" x14ac:dyDescent="0.2">
      <c r="A435" s="1" t="str">
        <f>"688162"</f>
        <v>688162</v>
      </c>
      <c r="B435" s="1" t="s">
        <v>3524</v>
      </c>
      <c r="C435" s="1" t="s">
        <v>4845</v>
      </c>
    </row>
    <row r="436" spans="1:3" x14ac:dyDescent="0.2">
      <c r="A436" s="1" t="str">
        <f>"688161"</f>
        <v>688161</v>
      </c>
      <c r="B436" s="1" t="s">
        <v>3525</v>
      </c>
      <c r="C436" s="1" t="s">
        <v>4867</v>
      </c>
    </row>
    <row r="437" spans="1:3" x14ac:dyDescent="0.2">
      <c r="A437" s="1" t="str">
        <f>"688160"</f>
        <v>688160</v>
      </c>
      <c r="B437" s="1" t="s">
        <v>3526</v>
      </c>
      <c r="C437" s="1" t="s">
        <v>4849</v>
      </c>
    </row>
    <row r="438" spans="1:3" x14ac:dyDescent="0.2">
      <c r="A438" s="1" t="str">
        <f>"688159"</f>
        <v>688159</v>
      </c>
      <c r="B438" s="1" t="s">
        <v>3527</v>
      </c>
      <c r="C438" s="1" t="s">
        <v>4869</v>
      </c>
    </row>
    <row r="439" spans="1:3" x14ac:dyDescent="0.2">
      <c r="A439" s="1" t="str">
        <f>"688158"</f>
        <v>688158</v>
      </c>
      <c r="B439" s="1" t="s">
        <v>3528</v>
      </c>
      <c r="C439" s="1" t="s">
        <v>4874</v>
      </c>
    </row>
    <row r="440" spans="1:3" x14ac:dyDescent="0.2">
      <c r="A440" s="1" t="str">
        <f>"688157"</f>
        <v>688157</v>
      </c>
      <c r="B440" s="1" t="s">
        <v>3529</v>
      </c>
      <c r="C440" s="1" t="s">
        <v>4865</v>
      </c>
    </row>
    <row r="441" spans="1:3" x14ac:dyDescent="0.2">
      <c r="A441" s="1" t="str">
        <f>"688156"</f>
        <v>688156</v>
      </c>
      <c r="B441" s="1" t="s">
        <v>3530</v>
      </c>
      <c r="C441" s="1" t="s">
        <v>4885</v>
      </c>
    </row>
    <row r="442" spans="1:3" x14ac:dyDescent="0.2">
      <c r="A442" s="1" t="str">
        <f>"688155"</f>
        <v>688155</v>
      </c>
      <c r="B442" s="1" t="s">
        <v>3531</v>
      </c>
      <c r="C442" s="1" t="s">
        <v>4841</v>
      </c>
    </row>
    <row r="443" spans="1:3" x14ac:dyDescent="0.2">
      <c r="A443" s="1" t="str">
        <f>"688153"</f>
        <v>688153</v>
      </c>
      <c r="B443" s="1" t="s">
        <v>3532</v>
      </c>
      <c r="C443" s="1" t="s">
        <v>4840</v>
      </c>
    </row>
    <row r="444" spans="1:3" x14ac:dyDescent="0.2">
      <c r="A444" s="1" t="str">
        <f>"688152"</f>
        <v>688152</v>
      </c>
      <c r="B444" s="1" t="s">
        <v>3533</v>
      </c>
      <c r="C444" s="1" t="s">
        <v>4847</v>
      </c>
    </row>
    <row r="445" spans="1:3" x14ac:dyDescent="0.2">
      <c r="A445" s="1" t="str">
        <f>"688151"</f>
        <v>688151</v>
      </c>
      <c r="B445" s="1" t="s">
        <v>3534</v>
      </c>
      <c r="C445" s="1" t="s">
        <v>4867</v>
      </c>
    </row>
    <row r="446" spans="1:3" x14ac:dyDescent="0.2">
      <c r="A446" s="1" t="str">
        <f>"688150"</f>
        <v>688150</v>
      </c>
      <c r="B446" s="1" t="s">
        <v>3535</v>
      </c>
      <c r="C446" s="1" t="s">
        <v>4878</v>
      </c>
    </row>
    <row r="447" spans="1:3" x14ac:dyDescent="0.2">
      <c r="A447" s="1" t="str">
        <f>"688147"</f>
        <v>688147</v>
      </c>
      <c r="B447" s="1" t="s">
        <v>3536</v>
      </c>
      <c r="C447" s="1" t="s">
        <v>4857</v>
      </c>
    </row>
    <row r="448" spans="1:3" x14ac:dyDescent="0.2">
      <c r="A448" s="1" t="str">
        <f>"688146"</f>
        <v>688146</v>
      </c>
      <c r="B448" s="1" t="s">
        <v>3537</v>
      </c>
      <c r="C448" s="1" t="s">
        <v>4840</v>
      </c>
    </row>
    <row r="449" spans="1:3" x14ac:dyDescent="0.2">
      <c r="A449" s="1" t="str">
        <f>"688143"</f>
        <v>688143</v>
      </c>
      <c r="B449" s="1" t="s">
        <v>3538</v>
      </c>
      <c r="C449" s="1" t="s">
        <v>4869</v>
      </c>
    </row>
    <row r="450" spans="1:3" x14ac:dyDescent="0.2">
      <c r="A450" s="1" t="str">
        <f>"688141"</f>
        <v>688141</v>
      </c>
      <c r="B450" s="1" t="s">
        <v>3539</v>
      </c>
      <c r="C450" s="1" t="s">
        <v>4840</v>
      </c>
    </row>
    <row r="451" spans="1:3" x14ac:dyDescent="0.2">
      <c r="A451" s="1" t="str">
        <f>"688139"</f>
        <v>688139</v>
      </c>
      <c r="B451" s="1" t="s">
        <v>3540</v>
      </c>
      <c r="C451" s="1" t="s">
        <v>4867</v>
      </c>
    </row>
    <row r="452" spans="1:3" x14ac:dyDescent="0.2">
      <c r="A452" s="1" t="str">
        <f>"688138"</f>
        <v>688138</v>
      </c>
      <c r="B452" s="1" t="s">
        <v>3541</v>
      </c>
      <c r="C452" s="1" t="s">
        <v>4840</v>
      </c>
    </row>
    <row r="453" spans="1:3" x14ac:dyDescent="0.2">
      <c r="A453" s="1" t="str">
        <f>"688137"</f>
        <v>688137</v>
      </c>
      <c r="B453" s="1" t="s">
        <v>3542</v>
      </c>
      <c r="C453" s="1" t="s">
        <v>4852</v>
      </c>
    </row>
    <row r="454" spans="1:3" x14ac:dyDescent="0.2">
      <c r="A454" s="1" t="str">
        <f>"688136"</f>
        <v>688136</v>
      </c>
      <c r="B454" s="1" t="s">
        <v>3543</v>
      </c>
      <c r="C454" s="1" t="s">
        <v>4852</v>
      </c>
    </row>
    <row r="455" spans="1:3" x14ac:dyDescent="0.2">
      <c r="A455" s="1" t="str">
        <f>"688135"</f>
        <v>688135</v>
      </c>
      <c r="B455" s="1" t="s">
        <v>3544</v>
      </c>
      <c r="C455" s="1" t="s">
        <v>4840</v>
      </c>
    </row>
    <row r="456" spans="1:3" x14ac:dyDescent="0.2">
      <c r="A456" s="1" t="str">
        <f>"688133"</f>
        <v>688133</v>
      </c>
      <c r="B456" s="1" t="s">
        <v>3545</v>
      </c>
      <c r="C456" s="1" t="s">
        <v>4865</v>
      </c>
    </row>
    <row r="457" spans="1:3" x14ac:dyDescent="0.2">
      <c r="A457" s="1" t="str">
        <f>"688132"</f>
        <v>688132</v>
      </c>
      <c r="B457" s="1" t="s">
        <v>3546</v>
      </c>
      <c r="C457" s="1" t="s">
        <v>4846</v>
      </c>
    </row>
    <row r="458" spans="1:3" x14ac:dyDescent="0.2">
      <c r="A458" s="1" t="str">
        <f>"688131"</f>
        <v>688131</v>
      </c>
      <c r="B458" s="1" t="s">
        <v>3547</v>
      </c>
      <c r="C458" s="1" t="s">
        <v>4861</v>
      </c>
    </row>
    <row r="459" spans="1:3" x14ac:dyDescent="0.2">
      <c r="A459" s="1" t="str">
        <f>"688130"</f>
        <v>688130</v>
      </c>
      <c r="B459" s="1" t="s">
        <v>3548</v>
      </c>
      <c r="C459" s="1" t="s">
        <v>4840</v>
      </c>
    </row>
    <row r="460" spans="1:3" x14ac:dyDescent="0.2">
      <c r="A460" s="1" t="str">
        <f>"688129"</f>
        <v>688129</v>
      </c>
      <c r="B460" s="1" t="s">
        <v>3549</v>
      </c>
      <c r="C460" s="1" t="s">
        <v>4865</v>
      </c>
    </row>
    <row r="461" spans="1:3" x14ac:dyDescent="0.2">
      <c r="A461" s="1" t="str">
        <f>"688128"</f>
        <v>688128</v>
      </c>
      <c r="B461" s="1" t="s">
        <v>3550</v>
      </c>
      <c r="C461" s="1" t="s">
        <v>4845</v>
      </c>
    </row>
    <row r="462" spans="1:3" x14ac:dyDescent="0.2">
      <c r="A462" s="1" t="str">
        <f>"688127"</f>
        <v>688127</v>
      </c>
      <c r="B462" s="1" t="s">
        <v>3551</v>
      </c>
      <c r="C462" s="1" t="s">
        <v>4878</v>
      </c>
    </row>
    <row r="463" spans="1:3" x14ac:dyDescent="0.2">
      <c r="A463" s="1" t="str">
        <f>"688125"</f>
        <v>688125</v>
      </c>
      <c r="B463" s="1" t="s">
        <v>3552</v>
      </c>
      <c r="C463" s="1" t="s">
        <v>4845</v>
      </c>
    </row>
    <row r="464" spans="1:3" x14ac:dyDescent="0.2">
      <c r="A464" s="1" t="str">
        <f>"688123"</f>
        <v>688123</v>
      </c>
      <c r="B464" s="1" t="s">
        <v>3553</v>
      </c>
      <c r="C464" s="1" t="s">
        <v>4840</v>
      </c>
    </row>
    <row r="465" spans="1:3" x14ac:dyDescent="0.2">
      <c r="A465" s="1" t="str">
        <f>"688122"</f>
        <v>688122</v>
      </c>
      <c r="B465" s="1" t="s">
        <v>3554</v>
      </c>
      <c r="C465" s="1" t="s">
        <v>4855</v>
      </c>
    </row>
    <row r="466" spans="1:3" x14ac:dyDescent="0.2">
      <c r="A466" s="1" t="str">
        <f>"688121"</f>
        <v>688121</v>
      </c>
      <c r="B466" s="1" t="s">
        <v>3555</v>
      </c>
      <c r="C466" s="1" t="s">
        <v>4845</v>
      </c>
    </row>
    <row r="467" spans="1:3" x14ac:dyDescent="0.2">
      <c r="A467" s="1" t="str">
        <f>"688120"</f>
        <v>688120</v>
      </c>
      <c r="B467" s="1" t="s">
        <v>3556</v>
      </c>
      <c r="C467" s="1" t="s">
        <v>4840</v>
      </c>
    </row>
    <row r="468" spans="1:3" x14ac:dyDescent="0.2">
      <c r="A468" s="1" t="str">
        <f>"688119"</f>
        <v>688119</v>
      </c>
      <c r="B468" s="1" t="s">
        <v>3557</v>
      </c>
      <c r="C468" s="1" t="s">
        <v>4886</v>
      </c>
    </row>
    <row r="469" spans="1:3" x14ac:dyDescent="0.2">
      <c r="A469" s="1" t="str">
        <f>"688118"</f>
        <v>688118</v>
      </c>
      <c r="B469" s="1" t="s">
        <v>3558</v>
      </c>
      <c r="C469" s="1" t="s">
        <v>4874</v>
      </c>
    </row>
    <row r="470" spans="1:3" x14ac:dyDescent="0.2">
      <c r="A470" s="1" t="str">
        <f>"688117"</f>
        <v>688117</v>
      </c>
      <c r="B470" s="1" t="s">
        <v>3559</v>
      </c>
      <c r="C470" s="1" t="s">
        <v>4852</v>
      </c>
    </row>
    <row r="471" spans="1:3" x14ac:dyDescent="0.2">
      <c r="A471" s="1" t="str">
        <f>"688116"</f>
        <v>688116</v>
      </c>
      <c r="B471" s="1" t="s">
        <v>3560</v>
      </c>
      <c r="C471" s="1" t="s">
        <v>4841</v>
      </c>
    </row>
    <row r="472" spans="1:3" x14ac:dyDescent="0.2">
      <c r="A472" s="1" t="str">
        <f>"688115"</f>
        <v>688115</v>
      </c>
      <c r="B472" s="1" t="s">
        <v>3561</v>
      </c>
      <c r="C472" s="1" t="s">
        <v>4851</v>
      </c>
    </row>
    <row r="473" spans="1:3" x14ac:dyDescent="0.2">
      <c r="A473" s="1" t="str">
        <f>"688114"</f>
        <v>688114</v>
      </c>
      <c r="B473" s="1" t="s">
        <v>3562</v>
      </c>
      <c r="C473" s="1" t="s">
        <v>4867</v>
      </c>
    </row>
    <row r="474" spans="1:3" x14ac:dyDescent="0.2">
      <c r="A474" s="1" t="str">
        <f>"688113"</f>
        <v>688113</v>
      </c>
      <c r="B474" s="1" t="s">
        <v>3563</v>
      </c>
      <c r="C474" s="1" t="s">
        <v>4845</v>
      </c>
    </row>
    <row r="475" spans="1:3" x14ac:dyDescent="0.2">
      <c r="A475" s="1" t="str">
        <f>"688112"</f>
        <v>688112</v>
      </c>
      <c r="B475" s="1" t="s">
        <v>3564</v>
      </c>
      <c r="C475" s="1" t="s">
        <v>4851</v>
      </c>
    </row>
    <row r="476" spans="1:3" x14ac:dyDescent="0.2">
      <c r="A476" s="1" t="str">
        <f>"688111"</f>
        <v>688111</v>
      </c>
      <c r="B476" s="1" t="s">
        <v>3565</v>
      </c>
      <c r="C476" s="1" t="s">
        <v>4874</v>
      </c>
    </row>
    <row r="477" spans="1:3" x14ac:dyDescent="0.2">
      <c r="A477" s="1" t="str">
        <f>"688110"</f>
        <v>688110</v>
      </c>
      <c r="B477" s="1" t="s">
        <v>3566</v>
      </c>
      <c r="C477" s="1" t="s">
        <v>4840</v>
      </c>
    </row>
    <row r="478" spans="1:3" x14ac:dyDescent="0.2">
      <c r="A478" s="1" t="str">
        <f>"688109"</f>
        <v>688109</v>
      </c>
      <c r="B478" s="1" t="s">
        <v>3567</v>
      </c>
      <c r="C478" s="1" t="s">
        <v>4847</v>
      </c>
    </row>
    <row r="479" spans="1:3" x14ac:dyDescent="0.2">
      <c r="A479" s="1" t="str">
        <f>"688108"</f>
        <v>688108</v>
      </c>
      <c r="B479" s="1" t="s">
        <v>3568</v>
      </c>
      <c r="C479" s="1" t="s">
        <v>4867</v>
      </c>
    </row>
    <row r="480" spans="1:3" x14ac:dyDescent="0.2">
      <c r="A480" s="1" t="str">
        <f>"688107"</f>
        <v>688107</v>
      </c>
      <c r="B480" s="1" t="s">
        <v>3569</v>
      </c>
      <c r="C480" s="1" t="s">
        <v>4840</v>
      </c>
    </row>
    <row r="481" spans="1:3" x14ac:dyDescent="0.2">
      <c r="A481" s="1" t="str">
        <f>"688106"</f>
        <v>688106</v>
      </c>
      <c r="B481" s="1" t="s">
        <v>3570</v>
      </c>
      <c r="C481" s="1" t="s">
        <v>4840</v>
      </c>
    </row>
    <row r="482" spans="1:3" x14ac:dyDescent="0.2">
      <c r="A482" s="1" t="str">
        <f>"688105"</f>
        <v>688105</v>
      </c>
      <c r="B482" s="1" t="s">
        <v>3571</v>
      </c>
      <c r="C482" s="1" t="s">
        <v>4852</v>
      </c>
    </row>
    <row r="483" spans="1:3" x14ac:dyDescent="0.2">
      <c r="A483" s="1" t="str">
        <f>"688103"</f>
        <v>688103</v>
      </c>
      <c r="B483" s="1" t="s">
        <v>3572</v>
      </c>
      <c r="C483" s="1" t="s">
        <v>4842</v>
      </c>
    </row>
    <row r="484" spans="1:3" x14ac:dyDescent="0.2">
      <c r="A484" s="1" t="str">
        <f>"688102"</f>
        <v>688102</v>
      </c>
      <c r="B484" s="1" t="s">
        <v>3573</v>
      </c>
      <c r="C484" s="1" t="s">
        <v>4879</v>
      </c>
    </row>
    <row r="485" spans="1:3" x14ac:dyDescent="0.2">
      <c r="A485" s="1" t="str">
        <f>"688101"</f>
        <v>688101</v>
      </c>
      <c r="B485" s="1" t="s">
        <v>3574</v>
      </c>
      <c r="C485" s="1" t="s">
        <v>4863</v>
      </c>
    </row>
    <row r="486" spans="1:3" x14ac:dyDescent="0.2">
      <c r="A486" s="1" t="str">
        <f>"688100"</f>
        <v>688100</v>
      </c>
      <c r="B486" s="1" t="s">
        <v>3575</v>
      </c>
      <c r="C486" s="1" t="s">
        <v>4869</v>
      </c>
    </row>
    <row r="487" spans="1:3" x14ac:dyDescent="0.2">
      <c r="A487" s="1" t="str">
        <f>"688099"</f>
        <v>688099</v>
      </c>
      <c r="B487" s="1" t="s">
        <v>3576</v>
      </c>
      <c r="C487" s="1" t="s">
        <v>4840</v>
      </c>
    </row>
    <row r="488" spans="1:3" x14ac:dyDescent="0.2">
      <c r="A488" s="1" t="str">
        <f>"688098"</f>
        <v>688098</v>
      </c>
      <c r="B488" s="1" t="s">
        <v>3577</v>
      </c>
      <c r="C488" s="1" t="s">
        <v>4877</v>
      </c>
    </row>
    <row r="489" spans="1:3" x14ac:dyDescent="0.2">
      <c r="A489" s="1" t="str">
        <f>"688097"</f>
        <v>688097</v>
      </c>
      <c r="B489" s="1" t="s">
        <v>3578</v>
      </c>
      <c r="C489" s="1" t="s">
        <v>4849</v>
      </c>
    </row>
    <row r="490" spans="1:3" x14ac:dyDescent="0.2">
      <c r="A490" s="1" t="str">
        <f>"688096"</f>
        <v>688096</v>
      </c>
      <c r="B490" s="1" t="s">
        <v>3579</v>
      </c>
      <c r="C490" s="1" t="s">
        <v>4863</v>
      </c>
    </row>
    <row r="491" spans="1:3" x14ac:dyDescent="0.2">
      <c r="A491" s="1" t="str">
        <f>"688095"</f>
        <v>688095</v>
      </c>
      <c r="B491" s="1" t="s">
        <v>3580</v>
      </c>
      <c r="C491" s="1" t="s">
        <v>4847</v>
      </c>
    </row>
    <row r="492" spans="1:3" x14ac:dyDescent="0.2">
      <c r="A492" s="1" t="str">
        <f>"688093"</f>
        <v>688093</v>
      </c>
      <c r="B492" s="1" t="s">
        <v>3581</v>
      </c>
      <c r="C492" s="1" t="s">
        <v>4842</v>
      </c>
    </row>
    <row r="493" spans="1:3" x14ac:dyDescent="0.2">
      <c r="A493" s="1" t="str">
        <f>"688092"</f>
        <v>688092</v>
      </c>
      <c r="B493" s="1" t="s">
        <v>3582</v>
      </c>
      <c r="C493" s="1" t="s">
        <v>4845</v>
      </c>
    </row>
    <row r="494" spans="1:3" x14ac:dyDescent="0.2">
      <c r="A494" s="1" t="str">
        <f>"688091"</f>
        <v>688091</v>
      </c>
      <c r="B494" s="1" t="s">
        <v>3583</v>
      </c>
      <c r="C494" s="1" t="s">
        <v>4843</v>
      </c>
    </row>
    <row r="495" spans="1:3" x14ac:dyDescent="0.2">
      <c r="A495" s="1" t="str">
        <f>"688090"</f>
        <v>688090</v>
      </c>
      <c r="B495" s="1" t="s">
        <v>3584</v>
      </c>
      <c r="C495" s="1" t="s">
        <v>4849</v>
      </c>
    </row>
    <row r="496" spans="1:3" x14ac:dyDescent="0.2">
      <c r="A496" s="1" t="str">
        <f>"688089"</f>
        <v>688089</v>
      </c>
      <c r="B496" s="1" t="s">
        <v>3585</v>
      </c>
      <c r="C496" s="1" t="s">
        <v>4865</v>
      </c>
    </row>
    <row r="497" spans="1:3" x14ac:dyDescent="0.2">
      <c r="A497" s="1" t="str">
        <f>"688088"</f>
        <v>688088</v>
      </c>
      <c r="B497" s="1" t="s">
        <v>3586</v>
      </c>
      <c r="C497" s="1" t="s">
        <v>4847</v>
      </c>
    </row>
    <row r="498" spans="1:3" x14ac:dyDescent="0.2">
      <c r="A498" s="1" t="str">
        <f>"688087"</f>
        <v>688087</v>
      </c>
      <c r="B498" s="1" t="s">
        <v>3587</v>
      </c>
      <c r="C498" s="1" t="s">
        <v>4863</v>
      </c>
    </row>
    <row r="499" spans="1:3" x14ac:dyDescent="0.2">
      <c r="A499" s="1" t="str">
        <f>"688085"</f>
        <v>688085</v>
      </c>
      <c r="B499" s="1" t="s">
        <v>3588</v>
      </c>
      <c r="C499" s="1" t="s">
        <v>4867</v>
      </c>
    </row>
    <row r="500" spans="1:3" x14ac:dyDescent="0.2">
      <c r="A500" s="1" t="str">
        <f>"688084"</f>
        <v>688084</v>
      </c>
      <c r="B500" s="1" t="s">
        <v>3589</v>
      </c>
      <c r="C500" s="1" t="s">
        <v>4876</v>
      </c>
    </row>
    <row r="501" spans="1:3" x14ac:dyDescent="0.2">
      <c r="A501" s="1" t="str">
        <f>"688083"</f>
        <v>688083</v>
      </c>
      <c r="B501" s="1" t="s">
        <v>3590</v>
      </c>
      <c r="C501" s="1" t="s">
        <v>4847</v>
      </c>
    </row>
    <row r="502" spans="1:3" x14ac:dyDescent="0.2">
      <c r="A502" s="1" t="str">
        <f>"688082"</f>
        <v>688082</v>
      </c>
      <c r="B502" s="1" t="s">
        <v>3591</v>
      </c>
      <c r="C502" s="1" t="s">
        <v>4840</v>
      </c>
    </row>
    <row r="503" spans="1:3" x14ac:dyDescent="0.2">
      <c r="A503" s="1" t="str">
        <f>"688081"</f>
        <v>688081</v>
      </c>
      <c r="B503" s="1" t="s">
        <v>3592</v>
      </c>
      <c r="C503" s="1" t="s">
        <v>4846</v>
      </c>
    </row>
    <row r="504" spans="1:3" x14ac:dyDescent="0.2">
      <c r="A504" s="1" t="str">
        <f>"688080"</f>
        <v>688080</v>
      </c>
      <c r="B504" s="1" t="s">
        <v>3593</v>
      </c>
      <c r="C504" s="1" t="s">
        <v>4869</v>
      </c>
    </row>
    <row r="505" spans="1:3" x14ac:dyDescent="0.2">
      <c r="A505" s="1" t="str">
        <f>"688079"</f>
        <v>688079</v>
      </c>
      <c r="B505" s="1" t="s">
        <v>3594</v>
      </c>
      <c r="C505" s="1" t="s">
        <v>4878</v>
      </c>
    </row>
    <row r="506" spans="1:3" x14ac:dyDescent="0.2">
      <c r="A506" s="1" t="str">
        <f>"688078"</f>
        <v>688078</v>
      </c>
      <c r="B506" s="1" t="s">
        <v>3595</v>
      </c>
      <c r="C506" s="1" t="s">
        <v>4847</v>
      </c>
    </row>
    <row r="507" spans="1:3" x14ac:dyDescent="0.2">
      <c r="A507" s="1" t="str">
        <f>"688077"</f>
        <v>688077</v>
      </c>
      <c r="B507" s="1" t="s">
        <v>3596</v>
      </c>
      <c r="C507" s="1" t="s">
        <v>4848</v>
      </c>
    </row>
    <row r="508" spans="1:3" x14ac:dyDescent="0.2">
      <c r="A508" s="1" t="str">
        <f>"688075"</f>
        <v>688075</v>
      </c>
      <c r="B508" s="1" t="s">
        <v>3597</v>
      </c>
      <c r="C508" s="1" t="s">
        <v>4852</v>
      </c>
    </row>
    <row r="509" spans="1:3" x14ac:dyDescent="0.2">
      <c r="A509" s="1" t="str">
        <f>"688073"</f>
        <v>688073</v>
      </c>
      <c r="B509" s="1" t="s">
        <v>3598</v>
      </c>
      <c r="C509" s="1" t="s">
        <v>4861</v>
      </c>
    </row>
    <row r="510" spans="1:3" x14ac:dyDescent="0.2">
      <c r="A510" s="1" t="str">
        <f>"688072"</f>
        <v>688072</v>
      </c>
      <c r="B510" s="1" t="s">
        <v>3599</v>
      </c>
      <c r="C510" s="1" t="s">
        <v>4840</v>
      </c>
    </row>
    <row r="511" spans="1:3" x14ac:dyDescent="0.2">
      <c r="A511" s="1" t="str">
        <f>"688071"</f>
        <v>688071</v>
      </c>
      <c r="B511" s="1" t="s">
        <v>3600</v>
      </c>
      <c r="C511" s="1" t="s">
        <v>4845</v>
      </c>
    </row>
    <row r="512" spans="1:3" x14ac:dyDescent="0.2">
      <c r="A512" s="1" t="str">
        <f>"688070"</f>
        <v>688070</v>
      </c>
      <c r="B512" s="1" t="s">
        <v>3601</v>
      </c>
      <c r="C512" s="1" t="s">
        <v>4862</v>
      </c>
    </row>
    <row r="513" spans="1:3" x14ac:dyDescent="0.2">
      <c r="A513" s="1" t="str">
        <f>"688069"</f>
        <v>688069</v>
      </c>
      <c r="B513" s="1" t="s">
        <v>3602</v>
      </c>
      <c r="C513" s="1" t="s">
        <v>4863</v>
      </c>
    </row>
    <row r="514" spans="1:3" x14ac:dyDescent="0.2">
      <c r="A514" s="1" t="str">
        <f>"688068"</f>
        <v>688068</v>
      </c>
      <c r="B514" s="1" t="s">
        <v>3603</v>
      </c>
      <c r="C514" s="1" t="s">
        <v>4852</v>
      </c>
    </row>
    <row r="515" spans="1:3" x14ac:dyDescent="0.2">
      <c r="A515" s="1" t="str">
        <f>"688067"</f>
        <v>688067</v>
      </c>
      <c r="B515" s="1" t="s">
        <v>3604</v>
      </c>
      <c r="C515" s="1" t="s">
        <v>4867</v>
      </c>
    </row>
    <row r="516" spans="1:3" x14ac:dyDescent="0.2">
      <c r="A516" s="1" t="str">
        <f>"688066"</f>
        <v>688066</v>
      </c>
      <c r="B516" s="1" t="s">
        <v>3605</v>
      </c>
      <c r="C516" s="1" t="s">
        <v>4847</v>
      </c>
    </row>
    <row r="517" spans="1:3" x14ac:dyDescent="0.2">
      <c r="A517" s="1" t="str">
        <f>"688065"</f>
        <v>688065</v>
      </c>
      <c r="B517" s="1" t="s">
        <v>3606</v>
      </c>
      <c r="C517" s="1" t="s">
        <v>4853</v>
      </c>
    </row>
    <row r="518" spans="1:3" x14ac:dyDescent="0.2">
      <c r="A518" s="1" t="str">
        <f>"688063"</f>
        <v>688063</v>
      </c>
      <c r="B518" s="1" t="s">
        <v>3607</v>
      </c>
      <c r="C518" s="1" t="s">
        <v>4841</v>
      </c>
    </row>
    <row r="519" spans="1:3" x14ac:dyDescent="0.2">
      <c r="A519" s="1" t="str">
        <f>"688062"</f>
        <v>688062</v>
      </c>
      <c r="B519" s="1" t="s">
        <v>3608</v>
      </c>
      <c r="C519" s="1" t="s">
        <v>4852</v>
      </c>
    </row>
    <row r="520" spans="1:3" x14ac:dyDescent="0.2">
      <c r="A520" s="1" t="str">
        <f>"688061"</f>
        <v>688061</v>
      </c>
      <c r="B520" s="1" t="s">
        <v>3609</v>
      </c>
      <c r="C520" s="1" t="s">
        <v>4840</v>
      </c>
    </row>
    <row r="521" spans="1:3" x14ac:dyDescent="0.2">
      <c r="A521" s="1" t="str">
        <f>"688060"</f>
        <v>688060</v>
      </c>
      <c r="B521" s="1" t="s">
        <v>3610</v>
      </c>
      <c r="C521" s="1" t="s">
        <v>4873</v>
      </c>
    </row>
    <row r="522" spans="1:3" x14ac:dyDescent="0.2">
      <c r="A522" s="1" t="str">
        <f>"688059"</f>
        <v>688059</v>
      </c>
      <c r="B522" s="1" t="s">
        <v>3611</v>
      </c>
      <c r="C522" s="1" t="s">
        <v>4851</v>
      </c>
    </row>
    <row r="523" spans="1:3" x14ac:dyDescent="0.2">
      <c r="A523" s="1" t="str">
        <f>"688058"</f>
        <v>688058</v>
      </c>
      <c r="B523" s="1" t="s">
        <v>3612</v>
      </c>
      <c r="C523" s="1" t="s">
        <v>4847</v>
      </c>
    </row>
    <row r="524" spans="1:3" x14ac:dyDescent="0.2">
      <c r="A524" s="1" t="str">
        <f>"688057"</f>
        <v>688057</v>
      </c>
      <c r="B524" s="1" t="s">
        <v>3613</v>
      </c>
      <c r="C524" s="1" t="s">
        <v>4863</v>
      </c>
    </row>
    <row r="525" spans="1:3" x14ac:dyDescent="0.2">
      <c r="A525" s="1" t="str">
        <f>"688056"</f>
        <v>688056</v>
      </c>
      <c r="B525" s="1" t="s">
        <v>3614</v>
      </c>
      <c r="C525" s="1" t="s">
        <v>4851</v>
      </c>
    </row>
    <row r="526" spans="1:3" x14ac:dyDescent="0.2">
      <c r="A526" s="1" t="str">
        <f>"688055"</f>
        <v>688055</v>
      </c>
      <c r="B526" s="1" t="s">
        <v>3615</v>
      </c>
      <c r="C526" s="1" t="s">
        <v>4878</v>
      </c>
    </row>
    <row r="527" spans="1:3" x14ac:dyDescent="0.2">
      <c r="A527" s="1" t="str">
        <f>"688053"</f>
        <v>688053</v>
      </c>
      <c r="B527" s="1" t="s">
        <v>3616</v>
      </c>
      <c r="C527" s="1" t="s">
        <v>4854</v>
      </c>
    </row>
    <row r="528" spans="1:3" x14ac:dyDescent="0.2">
      <c r="A528" s="1" t="str">
        <f>"688052"</f>
        <v>688052</v>
      </c>
      <c r="B528" s="1" t="s">
        <v>3617</v>
      </c>
      <c r="C528" s="1" t="s">
        <v>4840</v>
      </c>
    </row>
    <row r="529" spans="1:3" x14ac:dyDescent="0.2">
      <c r="A529" s="1" t="str">
        <f>"688051"</f>
        <v>688051</v>
      </c>
      <c r="B529" s="1" t="s">
        <v>3618</v>
      </c>
      <c r="C529" s="1" t="s">
        <v>4847</v>
      </c>
    </row>
    <row r="530" spans="1:3" x14ac:dyDescent="0.2">
      <c r="A530" s="1" t="str">
        <f>"688050"</f>
        <v>688050</v>
      </c>
      <c r="B530" s="1" t="s">
        <v>3619</v>
      </c>
      <c r="C530" s="1" t="s">
        <v>4867</v>
      </c>
    </row>
    <row r="531" spans="1:3" x14ac:dyDescent="0.2">
      <c r="A531" s="1" t="str">
        <f>"688049"</f>
        <v>688049</v>
      </c>
      <c r="B531" s="1" t="s">
        <v>3620</v>
      </c>
      <c r="C531" s="1" t="s">
        <v>4840</v>
      </c>
    </row>
    <row r="532" spans="1:3" x14ac:dyDescent="0.2">
      <c r="A532" s="1" t="str">
        <f>"688048"</f>
        <v>688048</v>
      </c>
      <c r="B532" s="1" t="s">
        <v>3621</v>
      </c>
      <c r="C532" s="1" t="s">
        <v>4840</v>
      </c>
    </row>
    <row r="533" spans="1:3" x14ac:dyDescent="0.2">
      <c r="A533" s="1" t="str">
        <f>"688047"</f>
        <v>688047</v>
      </c>
      <c r="B533" s="1" t="s">
        <v>3622</v>
      </c>
      <c r="C533" s="1" t="s">
        <v>4840</v>
      </c>
    </row>
    <row r="534" spans="1:3" x14ac:dyDescent="0.2">
      <c r="A534" s="1" t="str">
        <f>"688046"</f>
        <v>688046</v>
      </c>
      <c r="B534" s="1" t="s">
        <v>3623</v>
      </c>
      <c r="C534" s="1" t="s">
        <v>4861</v>
      </c>
    </row>
    <row r="535" spans="1:3" x14ac:dyDescent="0.2">
      <c r="A535" s="1" t="str">
        <f>"688045"</f>
        <v>688045</v>
      </c>
      <c r="B535" s="1" t="s">
        <v>3624</v>
      </c>
      <c r="C535" s="1" t="s">
        <v>4840</v>
      </c>
    </row>
    <row r="536" spans="1:3" x14ac:dyDescent="0.2">
      <c r="A536" s="1" t="str">
        <f>"688041"</f>
        <v>688041</v>
      </c>
      <c r="B536" s="1" t="s">
        <v>3625</v>
      </c>
      <c r="C536" s="1" t="s">
        <v>4840</v>
      </c>
    </row>
    <row r="537" spans="1:3" x14ac:dyDescent="0.2">
      <c r="A537" s="1" t="str">
        <f>"688039"</f>
        <v>688039</v>
      </c>
      <c r="B537" s="1" t="s">
        <v>3626</v>
      </c>
      <c r="C537" s="1" t="s">
        <v>4847</v>
      </c>
    </row>
    <row r="538" spans="1:3" x14ac:dyDescent="0.2">
      <c r="A538" s="1" t="str">
        <f>"688038"</f>
        <v>688038</v>
      </c>
      <c r="B538" s="1" t="s">
        <v>3627</v>
      </c>
      <c r="C538" s="1" t="s">
        <v>4847</v>
      </c>
    </row>
    <row r="539" spans="1:3" x14ac:dyDescent="0.2">
      <c r="A539" s="1" t="str">
        <f>"688037"</f>
        <v>688037</v>
      </c>
      <c r="B539" s="1" t="s">
        <v>3628</v>
      </c>
      <c r="C539" s="1" t="s">
        <v>4840</v>
      </c>
    </row>
    <row r="540" spans="1:3" x14ac:dyDescent="0.2">
      <c r="A540" s="1" t="str">
        <f>"688036"</f>
        <v>688036</v>
      </c>
      <c r="B540" s="1" t="s">
        <v>3629</v>
      </c>
      <c r="C540" s="1" t="s">
        <v>4850</v>
      </c>
    </row>
    <row r="541" spans="1:3" x14ac:dyDescent="0.2">
      <c r="A541" s="1" t="str">
        <f>"688035"</f>
        <v>688035</v>
      </c>
      <c r="B541" s="1" t="s">
        <v>3630</v>
      </c>
      <c r="C541" s="1" t="s">
        <v>4840</v>
      </c>
    </row>
    <row r="542" spans="1:3" x14ac:dyDescent="0.2">
      <c r="A542" s="1" t="str">
        <f>"688032"</f>
        <v>688032</v>
      </c>
      <c r="B542" s="1" t="s">
        <v>3631</v>
      </c>
      <c r="C542" s="1" t="s">
        <v>4857</v>
      </c>
    </row>
    <row r="543" spans="1:3" x14ac:dyDescent="0.2">
      <c r="A543" s="1" t="str">
        <f>"688031"</f>
        <v>688031</v>
      </c>
      <c r="B543" s="1" t="s">
        <v>3632</v>
      </c>
      <c r="C543" s="1" t="s">
        <v>4847</v>
      </c>
    </row>
    <row r="544" spans="1:3" x14ac:dyDescent="0.2">
      <c r="A544" s="1" t="str">
        <f>"688030"</f>
        <v>688030</v>
      </c>
      <c r="B544" s="1" t="s">
        <v>3633</v>
      </c>
      <c r="C544" s="1" t="s">
        <v>4847</v>
      </c>
    </row>
    <row r="545" spans="1:3" x14ac:dyDescent="0.2">
      <c r="A545" s="1" t="str">
        <f>"688029"</f>
        <v>688029</v>
      </c>
      <c r="B545" s="1" t="s">
        <v>3634</v>
      </c>
      <c r="C545" s="1" t="s">
        <v>4867</v>
      </c>
    </row>
    <row r="546" spans="1:3" x14ac:dyDescent="0.2">
      <c r="A546" s="1" t="str">
        <f>"688028"</f>
        <v>688028</v>
      </c>
      <c r="B546" s="1" t="s">
        <v>3635</v>
      </c>
      <c r="C546" s="1" t="s">
        <v>4851</v>
      </c>
    </row>
    <row r="547" spans="1:3" x14ac:dyDescent="0.2">
      <c r="A547" s="1" t="str">
        <f>"688027"</f>
        <v>688027</v>
      </c>
      <c r="B547" s="1" t="s">
        <v>3636</v>
      </c>
      <c r="C547" s="1" t="s">
        <v>4869</v>
      </c>
    </row>
    <row r="548" spans="1:3" x14ac:dyDescent="0.2">
      <c r="A548" s="1" t="str">
        <f>"688026"</f>
        <v>688026</v>
      </c>
      <c r="B548" s="1" t="s">
        <v>3637</v>
      </c>
      <c r="C548" s="1" t="s">
        <v>4867</v>
      </c>
    </row>
    <row r="549" spans="1:3" x14ac:dyDescent="0.2">
      <c r="A549" s="1" t="str">
        <f>"688025"</f>
        <v>688025</v>
      </c>
      <c r="B549" s="1" t="s">
        <v>3638</v>
      </c>
      <c r="C549" s="1" t="s">
        <v>4849</v>
      </c>
    </row>
    <row r="550" spans="1:3" x14ac:dyDescent="0.2">
      <c r="A550" s="1" t="str">
        <f>"688023"</f>
        <v>688023</v>
      </c>
      <c r="B550" s="1" t="s">
        <v>3639</v>
      </c>
      <c r="C550" s="1" t="s">
        <v>4847</v>
      </c>
    </row>
    <row r="551" spans="1:3" x14ac:dyDescent="0.2">
      <c r="A551" s="1" t="str">
        <f>"688022"</f>
        <v>688022</v>
      </c>
      <c r="B551" s="1" t="s">
        <v>3640</v>
      </c>
      <c r="C551" s="1" t="s">
        <v>4845</v>
      </c>
    </row>
    <row r="552" spans="1:3" x14ac:dyDescent="0.2">
      <c r="A552" s="1" t="str">
        <f>"688021"</f>
        <v>688021</v>
      </c>
      <c r="B552" s="1" t="s">
        <v>3641</v>
      </c>
      <c r="C552" s="1" t="s">
        <v>4856</v>
      </c>
    </row>
    <row r="553" spans="1:3" x14ac:dyDescent="0.2">
      <c r="A553" s="1" t="str">
        <f>"688020"</f>
        <v>688020</v>
      </c>
      <c r="B553" s="1" t="s">
        <v>3642</v>
      </c>
      <c r="C553" s="1" t="s">
        <v>4872</v>
      </c>
    </row>
    <row r="554" spans="1:3" x14ac:dyDescent="0.2">
      <c r="A554" s="1" t="str">
        <f>"688019"</f>
        <v>688019</v>
      </c>
      <c r="B554" s="1" t="s">
        <v>3643</v>
      </c>
      <c r="C554" s="1" t="s">
        <v>4840</v>
      </c>
    </row>
    <row r="555" spans="1:3" x14ac:dyDescent="0.2">
      <c r="A555" s="1" t="str">
        <f>"688018"</f>
        <v>688018</v>
      </c>
      <c r="B555" s="1" t="s">
        <v>3644</v>
      </c>
      <c r="C555" s="1" t="s">
        <v>4840</v>
      </c>
    </row>
    <row r="556" spans="1:3" x14ac:dyDescent="0.2">
      <c r="A556" s="1" t="str">
        <f>"688017"</f>
        <v>688017</v>
      </c>
      <c r="B556" s="1" t="s">
        <v>3645</v>
      </c>
      <c r="C556" s="1" t="s">
        <v>4849</v>
      </c>
    </row>
    <row r="557" spans="1:3" x14ac:dyDescent="0.2">
      <c r="A557" s="1" t="str">
        <f>"688016"</f>
        <v>688016</v>
      </c>
      <c r="B557" s="1" t="s">
        <v>3646</v>
      </c>
      <c r="C557" s="1" t="s">
        <v>4867</v>
      </c>
    </row>
    <row r="558" spans="1:3" x14ac:dyDescent="0.2">
      <c r="A558" s="1" t="str">
        <f>"688015"</f>
        <v>688015</v>
      </c>
      <c r="B558" s="1" t="s">
        <v>3647</v>
      </c>
      <c r="C558" s="1" t="s">
        <v>4875</v>
      </c>
    </row>
    <row r="559" spans="1:3" x14ac:dyDescent="0.2">
      <c r="A559" s="1" t="str">
        <f>"688013"</f>
        <v>688013</v>
      </c>
      <c r="B559" s="1" t="s">
        <v>3648</v>
      </c>
      <c r="C559" s="1" t="s">
        <v>4867</v>
      </c>
    </row>
    <row r="560" spans="1:3" x14ac:dyDescent="0.2">
      <c r="A560" s="1" t="str">
        <f>"688012"</f>
        <v>688012</v>
      </c>
      <c r="B560" s="1" t="s">
        <v>3649</v>
      </c>
      <c r="C560" s="1" t="s">
        <v>4840</v>
      </c>
    </row>
    <row r="561" spans="1:3" x14ac:dyDescent="0.2">
      <c r="A561" s="1" t="str">
        <f>"688010"</f>
        <v>688010</v>
      </c>
      <c r="B561" s="1" t="s">
        <v>3650</v>
      </c>
      <c r="C561" s="1" t="s">
        <v>4878</v>
      </c>
    </row>
    <row r="562" spans="1:3" x14ac:dyDescent="0.2">
      <c r="A562" s="1" t="str">
        <f>"688009"</f>
        <v>688009</v>
      </c>
      <c r="B562" s="1" t="s">
        <v>3651</v>
      </c>
      <c r="C562" s="1" t="s">
        <v>4875</v>
      </c>
    </row>
    <row r="563" spans="1:3" x14ac:dyDescent="0.2">
      <c r="A563" s="1" t="str">
        <f>"688008"</f>
        <v>688008</v>
      </c>
      <c r="B563" s="1" t="s">
        <v>3652</v>
      </c>
      <c r="C563" s="1" t="s">
        <v>4840</v>
      </c>
    </row>
    <row r="564" spans="1:3" x14ac:dyDescent="0.2">
      <c r="A564" s="1" t="str">
        <f>"688007"</f>
        <v>688007</v>
      </c>
      <c r="B564" s="1" t="s">
        <v>3653</v>
      </c>
      <c r="C564" s="1" t="s">
        <v>4850</v>
      </c>
    </row>
    <row r="565" spans="1:3" x14ac:dyDescent="0.2">
      <c r="A565" s="1" t="str">
        <f>"688006"</f>
        <v>688006</v>
      </c>
      <c r="B565" s="1" t="s">
        <v>3654</v>
      </c>
      <c r="C565" s="1" t="s">
        <v>4841</v>
      </c>
    </row>
    <row r="566" spans="1:3" x14ac:dyDescent="0.2">
      <c r="A566" s="1" t="str">
        <f>"688005"</f>
        <v>688005</v>
      </c>
      <c r="B566" s="1" t="s">
        <v>3655</v>
      </c>
      <c r="C566" s="1" t="s">
        <v>4841</v>
      </c>
    </row>
    <row r="567" spans="1:3" x14ac:dyDescent="0.2">
      <c r="A567" s="1" t="str">
        <f>"688004"</f>
        <v>688004</v>
      </c>
      <c r="B567" s="1" t="s">
        <v>3656</v>
      </c>
      <c r="C567" s="1" t="s">
        <v>4847</v>
      </c>
    </row>
    <row r="568" spans="1:3" x14ac:dyDescent="0.2">
      <c r="A568" s="1" t="str">
        <f>"688003"</f>
        <v>688003</v>
      </c>
      <c r="B568" s="1" t="s">
        <v>3657</v>
      </c>
      <c r="C568" s="1" t="s">
        <v>4845</v>
      </c>
    </row>
    <row r="569" spans="1:3" x14ac:dyDescent="0.2">
      <c r="A569" s="1" t="str">
        <f>"688002"</f>
        <v>688002</v>
      </c>
      <c r="B569" s="1" t="s">
        <v>3658</v>
      </c>
      <c r="C569" s="1" t="s">
        <v>4846</v>
      </c>
    </row>
    <row r="570" spans="1:3" x14ac:dyDescent="0.2">
      <c r="A570" s="1" t="str">
        <f>"688001"</f>
        <v>688001</v>
      </c>
      <c r="B570" s="1" t="s">
        <v>3659</v>
      </c>
      <c r="C570" s="1" t="s">
        <v>4845</v>
      </c>
    </row>
    <row r="571" spans="1:3" x14ac:dyDescent="0.2">
      <c r="A571" s="1" t="str">
        <f>"605599"</f>
        <v>605599</v>
      </c>
      <c r="B571" s="1" t="s">
        <v>3660</v>
      </c>
      <c r="C571" s="1" t="s">
        <v>4887</v>
      </c>
    </row>
    <row r="572" spans="1:3" x14ac:dyDescent="0.2">
      <c r="A572" s="1" t="str">
        <f>"605598"</f>
        <v>605598</v>
      </c>
      <c r="B572" s="1" t="s">
        <v>313</v>
      </c>
      <c r="C572" s="1" t="s">
        <v>4888</v>
      </c>
    </row>
    <row r="573" spans="1:3" x14ac:dyDescent="0.2">
      <c r="A573" s="1" t="str">
        <f>"605589"</f>
        <v>605589</v>
      </c>
      <c r="B573" s="1" t="s">
        <v>2881</v>
      </c>
      <c r="C573" s="1" t="s">
        <v>4860</v>
      </c>
    </row>
    <row r="574" spans="1:3" x14ac:dyDescent="0.2">
      <c r="A574" s="1" t="str">
        <f>"605588"</f>
        <v>605588</v>
      </c>
      <c r="B574" s="1" t="s">
        <v>3661</v>
      </c>
      <c r="C574" s="1" t="s">
        <v>4878</v>
      </c>
    </row>
    <row r="575" spans="1:3" x14ac:dyDescent="0.2">
      <c r="A575" s="1" t="str">
        <f>"605580"</f>
        <v>605580</v>
      </c>
      <c r="B575" s="1" t="s">
        <v>3662</v>
      </c>
      <c r="C575" s="1" t="s">
        <v>4889</v>
      </c>
    </row>
    <row r="576" spans="1:3" x14ac:dyDescent="0.2">
      <c r="A576" s="1" t="str">
        <f>"605577"</f>
        <v>605577</v>
      </c>
      <c r="B576" s="1" t="s">
        <v>452</v>
      </c>
      <c r="C576" s="1" t="s">
        <v>4890</v>
      </c>
    </row>
    <row r="577" spans="1:3" x14ac:dyDescent="0.2">
      <c r="A577" s="1" t="str">
        <f>"605567"</f>
        <v>605567</v>
      </c>
      <c r="B577" s="1" t="s">
        <v>2416</v>
      </c>
      <c r="C577" s="1" t="s">
        <v>4891</v>
      </c>
    </row>
    <row r="578" spans="1:3" x14ac:dyDescent="0.2">
      <c r="A578" s="1" t="str">
        <f>"605566"</f>
        <v>605566</v>
      </c>
      <c r="B578" s="1" t="s">
        <v>2958</v>
      </c>
      <c r="C578" s="1" t="s">
        <v>4865</v>
      </c>
    </row>
    <row r="579" spans="1:3" x14ac:dyDescent="0.2">
      <c r="A579" s="1" t="str">
        <f>"605555"</f>
        <v>605555</v>
      </c>
      <c r="B579" s="1" t="s">
        <v>2163</v>
      </c>
      <c r="C579" s="1" t="s">
        <v>4844</v>
      </c>
    </row>
    <row r="580" spans="1:3" x14ac:dyDescent="0.2">
      <c r="A580" s="1" t="str">
        <f>"605507"</f>
        <v>605507</v>
      </c>
      <c r="B580" s="1" t="s">
        <v>1779</v>
      </c>
      <c r="C580" s="1" t="s">
        <v>4843</v>
      </c>
    </row>
    <row r="581" spans="1:3" x14ac:dyDescent="0.2">
      <c r="A581" s="1" t="str">
        <f>"605500"</f>
        <v>605500</v>
      </c>
      <c r="B581" s="1" t="s">
        <v>2304</v>
      </c>
      <c r="C581" s="1" t="s">
        <v>4892</v>
      </c>
    </row>
    <row r="582" spans="1:3" x14ac:dyDescent="0.2">
      <c r="A582" s="1" t="str">
        <f>"605499"</f>
        <v>605499</v>
      </c>
      <c r="B582" s="1" t="s">
        <v>2473</v>
      </c>
      <c r="C582" s="1" t="s">
        <v>4893</v>
      </c>
    </row>
    <row r="583" spans="1:3" x14ac:dyDescent="0.2">
      <c r="A583" s="1" t="str">
        <f>"605488"</f>
        <v>605488</v>
      </c>
      <c r="B583" s="1" t="s">
        <v>2836</v>
      </c>
      <c r="C583" s="1" t="s">
        <v>4860</v>
      </c>
    </row>
    <row r="584" spans="1:3" x14ac:dyDescent="0.2">
      <c r="A584" s="1" t="str">
        <f>"605399"</f>
        <v>605399</v>
      </c>
      <c r="B584" s="1" t="s">
        <v>3663</v>
      </c>
      <c r="C584" s="1" t="s">
        <v>4865</v>
      </c>
    </row>
    <row r="585" spans="1:3" x14ac:dyDescent="0.2">
      <c r="A585" s="1" t="str">
        <f>"605398"</f>
        <v>605398</v>
      </c>
      <c r="B585" s="1" t="s">
        <v>523</v>
      </c>
      <c r="C585" s="1" t="s">
        <v>4874</v>
      </c>
    </row>
    <row r="586" spans="1:3" x14ac:dyDescent="0.2">
      <c r="A586" s="1" t="str">
        <f>"605389"</f>
        <v>605389</v>
      </c>
      <c r="B586" s="1" t="s">
        <v>991</v>
      </c>
      <c r="C586" s="1" t="s">
        <v>4880</v>
      </c>
    </row>
    <row r="587" spans="1:3" x14ac:dyDescent="0.2">
      <c r="A587" s="1" t="str">
        <f>"605388"</f>
        <v>605388</v>
      </c>
      <c r="B587" s="1" t="s">
        <v>2457</v>
      </c>
      <c r="C587" s="1" t="s">
        <v>4893</v>
      </c>
    </row>
    <row r="588" spans="1:3" x14ac:dyDescent="0.2">
      <c r="A588" s="1" t="str">
        <f>"605378"</f>
        <v>605378</v>
      </c>
      <c r="B588" s="1" t="s">
        <v>1520</v>
      </c>
      <c r="C588" s="1" t="s">
        <v>4841</v>
      </c>
    </row>
    <row r="589" spans="1:3" x14ac:dyDescent="0.2">
      <c r="A589" s="1" t="str">
        <f>"605377"</f>
        <v>605377</v>
      </c>
      <c r="B589" s="1" t="s">
        <v>2287</v>
      </c>
      <c r="C589" s="1" t="s">
        <v>4892</v>
      </c>
    </row>
    <row r="590" spans="1:3" x14ac:dyDescent="0.2">
      <c r="A590" s="1" t="str">
        <f>"605376"</f>
        <v>605376</v>
      </c>
      <c r="B590" s="1" t="s">
        <v>2665</v>
      </c>
      <c r="C590" s="1" t="s">
        <v>4894</v>
      </c>
    </row>
    <row r="591" spans="1:3" x14ac:dyDescent="0.2">
      <c r="A591" s="1" t="str">
        <f>"605369"</f>
        <v>605369</v>
      </c>
      <c r="B591" s="1" t="s">
        <v>1697</v>
      </c>
      <c r="C591" s="1" t="s">
        <v>4867</v>
      </c>
    </row>
    <row r="592" spans="1:3" x14ac:dyDescent="0.2">
      <c r="A592" s="1" t="str">
        <f>"605368"</f>
        <v>605368</v>
      </c>
      <c r="B592" s="1" t="s">
        <v>95</v>
      </c>
      <c r="C592" s="1" t="s">
        <v>4895</v>
      </c>
    </row>
    <row r="593" spans="1:3" x14ac:dyDescent="0.2">
      <c r="A593" s="1" t="str">
        <f>"605366"</f>
        <v>605366</v>
      </c>
      <c r="B593" s="1" t="s">
        <v>3664</v>
      </c>
      <c r="C593" s="1" t="s">
        <v>4865</v>
      </c>
    </row>
    <row r="594" spans="1:3" x14ac:dyDescent="0.2">
      <c r="A594" s="1" t="str">
        <f>"605365"</f>
        <v>605365</v>
      </c>
      <c r="B594" s="1" t="s">
        <v>778</v>
      </c>
      <c r="C594" s="1" t="s">
        <v>4878</v>
      </c>
    </row>
    <row r="595" spans="1:3" x14ac:dyDescent="0.2">
      <c r="A595" s="1" t="str">
        <f>"605358"</f>
        <v>605358</v>
      </c>
      <c r="B595" s="1" t="s">
        <v>3665</v>
      </c>
      <c r="C595" s="1" t="s">
        <v>4840</v>
      </c>
    </row>
    <row r="596" spans="1:3" x14ac:dyDescent="0.2">
      <c r="A596" s="1" t="str">
        <f>"605339"</f>
        <v>605339</v>
      </c>
      <c r="B596" s="1" t="s">
        <v>2427</v>
      </c>
      <c r="C596" s="1" t="s">
        <v>4896</v>
      </c>
    </row>
    <row r="597" spans="1:3" x14ac:dyDescent="0.2">
      <c r="A597" s="1" t="str">
        <f>"605338"</f>
        <v>605338</v>
      </c>
      <c r="B597" s="1" t="s">
        <v>2403</v>
      </c>
      <c r="C597" s="1" t="s">
        <v>4891</v>
      </c>
    </row>
    <row r="598" spans="1:3" x14ac:dyDescent="0.2">
      <c r="A598" s="1" t="str">
        <f>"605337"</f>
        <v>605337</v>
      </c>
      <c r="B598" s="1" t="s">
        <v>3666</v>
      </c>
      <c r="C598" s="1" t="s">
        <v>4893</v>
      </c>
    </row>
    <row r="599" spans="1:3" x14ac:dyDescent="0.2">
      <c r="A599" s="1" t="str">
        <f>"605336"</f>
        <v>605336</v>
      </c>
      <c r="B599" s="1" t="s">
        <v>3667</v>
      </c>
      <c r="C599" s="1" t="s">
        <v>4897</v>
      </c>
    </row>
    <row r="600" spans="1:3" x14ac:dyDescent="0.2">
      <c r="A600" s="1" t="str">
        <f>"605333"</f>
        <v>605333</v>
      </c>
      <c r="B600" s="1" t="s">
        <v>1888</v>
      </c>
      <c r="C600" s="1" t="s">
        <v>4856</v>
      </c>
    </row>
    <row r="601" spans="1:3" x14ac:dyDescent="0.2">
      <c r="A601" s="1" t="str">
        <f>"605319"</f>
        <v>605319</v>
      </c>
      <c r="B601" s="1" t="s">
        <v>1912</v>
      </c>
      <c r="C601" s="1" t="s">
        <v>4856</v>
      </c>
    </row>
    <row r="602" spans="1:3" x14ac:dyDescent="0.2">
      <c r="A602" s="1" t="str">
        <f>"605318"</f>
        <v>605318</v>
      </c>
      <c r="B602" s="1" t="s">
        <v>3668</v>
      </c>
      <c r="C602" s="1" t="s">
        <v>4886</v>
      </c>
    </row>
    <row r="603" spans="1:3" x14ac:dyDescent="0.2">
      <c r="A603" s="1" t="str">
        <f>"605305"</f>
        <v>605305</v>
      </c>
      <c r="B603" s="1" t="s">
        <v>1000</v>
      </c>
      <c r="C603" s="1" t="s">
        <v>4880</v>
      </c>
    </row>
    <row r="604" spans="1:3" x14ac:dyDescent="0.2">
      <c r="A604" s="1" t="str">
        <f>"605303"</f>
        <v>605303</v>
      </c>
      <c r="B604" s="1" t="s">
        <v>3669</v>
      </c>
      <c r="C604" s="1" t="s">
        <v>4898</v>
      </c>
    </row>
    <row r="605" spans="1:3" x14ac:dyDescent="0.2">
      <c r="A605" s="1" t="str">
        <f>"605300"</f>
        <v>605300</v>
      </c>
      <c r="B605" s="1" t="s">
        <v>2458</v>
      </c>
      <c r="C605" s="1" t="s">
        <v>4893</v>
      </c>
    </row>
    <row r="606" spans="1:3" x14ac:dyDescent="0.2">
      <c r="A606" s="1" t="str">
        <f>"605299"</f>
        <v>605299</v>
      </c>
      <c r="B606" s="1" t="s">
        <v>2193</v>
      </c>
      <c r="C606" s="1" t="s">
        <v>4899</v>
      </c>
    </row>
    <row r="607" spans="1:3" x14ac:dyDescent="0.2">
      <c r="A607" s="1" t="str">
        <f>"605298"</f>
        <v>605298</v>
      </c>
      <c r="B607" s="1" t="s">
        <v>1290</v>
      </c>
      <c r="C607" s="1" t="s">
        <v>4875</v>
      </c>
    </row>
    <row r="608" spans="1:3" x14ac:dyDescent="0.2">
      <c r="A608" s="1" t="str">
        <f>"605296"</f>
        <v>605296</v>
      </c>
      <c r="B608" s="1" t="s">
        <v>2556</v>
      </c>
      <c r="C608" s="1" t="s">
        <v>4900</v>
      </c>
    </row>
    <row r="609" spans="1:3" x14ac:dyDescent="0.2">
      <c r="A609" s="1" t="str">
        <f>"605289"</f>
        <v>605289</v>
      </c>
      <c r="B609" s="1" t="s">
        <v>314</v>
      </c>
      <c r="C609" s="1" t="s">
        <v>4888</v>
      </c>
    </row>
    <row r="610" spans="1:3" x14ac:dyDescent="0.2">
      <c r="A610" s="1" t="str">
        <f>"605288"</f>
        <v>605288</v>
      </c>
      <c r="B610" s="1" t="s">
        <v>966</v>
      </c>
      <c r="C610" s="1" t="s">
        <v>4849</v>
      </c>
    </row>
    <row r="611" spans="1:3" x14ac:dyDescent="0.2">
      <c r="A611" s="1" t="str">
        <f>"605287"</f>
        <v>605287</v>
      </c>
      <c r="B611" s="1" t="s">
        <v>3670</v>
      </c>
      <c r="C611" s="1" t="s">
        <v>4901</v>
      </c>
    </row>
    <row r="612" spans="1:3" x14ac:dyDescent="0.2">
      <c r="A612" s="1" t="str">
        <f>"605286"</f>
        <v>605286</v>
      </c>
      <c r="B612" s="1" t="s">
        <v>3671</v>
      </c>
      <c r="C612" s="1" t="s">
        <v>4845</v>
      </c>
    </row>
    <row r="613" spans="1:3" x14ac:dyDescent="0.2">
      <c r="A613" s="1" t="str">
        <f>"605277"</f>
        <v>605277</v>
      </c>
      <c r="B613" s="1" t="s">
        <v>3672</v>
      </c>
      <c r="C613" s="1" t="s">
        <v>4850</v>
      </c>
    </row>
    <row r="614" spans="1:3" x14ac:dyDescent="0.2">
      <c r="A614" s="1" t="str">
        <f>"605268"</f>
        <v>605268</v>
      </c>
      <c r="B614" s="1" t="s">
        <v>2209</v>
      </c>
      <c r="C614" s="1" t="s">
        <v>4902</v>
      </c>
    </row>
    <row r="615" spans="1:3" x14ac:dyDescent="0.2">
      <c r="A615" s="1" t="str">
        <f>"605266"</f>
        <v>605266</v>
      </c>
      <c r="B615" s="1" t="s">
        <v>3673</v>
      </c>
      <c r="C615" s="1" t="s">
        <v>4903</v>
      </c>
    </row>
    <row r="616" spans="1:3" x14ac:dyDescent="0.2">
      <c r="A616" s="1" t="str">
        <f>"605259"</f>
        <v>605259</v>
      </c>
      <c r="B616" s="1" t="s">
        <v>1142</v>
      </c>
      <c r="C616" s="1" t="s">
        <v>4851</v>
      </c>
    </row>
    <row r="617" spans="1:3" x14ac:dyDescent="0.2">
      <c r="A617" s="1" t="str">
        <f>"605258"</f>
        <v>605258</v>
      </c>
      <c r="B617" s="1" t="s">
        <v>748</v>
      </c>
      <c r="C617" s="1" t="s">
        <v>4872</v>
      </c>
    </row>
    <row r="618" spans="1:3" x14ac:dyDescent="0.2">
      <c r="A618" s="1" t="str">
        <f>"605255"</f>
        <v>605255</v>
      </c>
      <c r="B618" s="1" t="s">
        <v>1967</v>
      </c>
      <c r="C618" s="1" t="s">
        <v>4856</v>
      </c>
    </row>
    <row r="619" spans="1:3" x14ac:dyDescent="0.2">
      <c r="A619" s="1" t="str">
        <f>"605228"</f>
        <v>605228</v>
      </c>
      <c r="B619" s="1" t="s">
        <v>2037</v>
      </c>
      <c r="C619" s="1" t="s">
        <v>4856</v>
      </c>
    </row>
    <row r="620" spans="1:3" x14ac:dyDescent="0.2">
      <c r="A620" s="1" t="str">
        <f>"605222"</f>
        <v>605222</v>
      </c>
      <c r="B620" s="1" t="s">
        <v>1425</v>
      </c>
      <c r="C620" s="1" t="s">
        <v>4866</v>
      </c>
    </row>
    <row r="621" spans="1:3" x14ac:dyDescent="0.2">
      <c r="A621" s="1" t="str">
        <f>"605218"</f>
        <v>605218</v>
      </c>
      <c r="B621" s="1" t="s">
        <v>779</v>
      </c>
      <c r="C621" s="1" t="s">
        <v>4878</v>
      </c>
    </row>
    <row r="622" spans="1:3" x14ac:dyDescent="0.2">
      <c r="A622" s="1" t="str">
        <f>"605208"</f>
        <v>605208</v>
      </c>
      <c r="B622" s="1" t="s">
        <v>2694</v>
      </c>
      <c r="C622" s="1" t="s">
        <v>4879</v>
      </c>
    </row>
    <row r="623" spans="1:3" x14ac:dyDescent="0.2">
      <c r="A623" s="1" t="str">
        <f>"605198"</f>
        <v>605198</v>
      </c>
      <c r="B623" s="1" t="s">
        <v>2474</v>
      </c>
      <c r="C623" s="1" t="s">
        <v>4893</v>
      </c>
    </row>
    <row r="624" spans="1:3" x14ac:dyDescent="0.2">
      <c r="A624" s="1" t="str">
        <f>"605196"</f>
        <v>605196</v>
      </c>
      <c r="B624" s="1" t="s">
        <v>1426</v>
      </c>
      <c r="C624" s="1" t="s">
        <v>4866</v>
      </c>
    </row>
    <row r="625" spans="1:3" x14ac:dyDescent="0.2">
      <c r="A625" s="1" t="str">
        <f>"605189"</f>
        <v>605189</v>
      </c>
      <c r="B625" s="1" t="s">
        <v>2388</v>
      </c>
      <c r="C625" s="1" t="s">
        <v>4904</v>
      </c>
    </row>
    <row r="626" spans="1:3" x14ac:dyDescent="0.2">
      <c r="A626" s="1" t="str">
        <f>"605188"</f>
        <v>605188</v>
      </c>
      <c r="B626" s="1" t="s">
        <v>3674</v>
      </c>
      <c r="C626" s="1" t="s">
        <v>4905</v>
      </c>
    </row>
    <row r="627" spans="1:3" x14ac:dyDescent="0.2">
      <c r="A627" s="1" t="str">
        <f>"605186"</f>
        <v>605186</v>
      </c>
      <c r="B627" s="1" t="s">
        <v>957</v>
      </c>
      <c r="C627" s="1" t="s">
        <v>4849</v>
      </c>
    </row>
    <row r="628" spans="1:3" x14ac:dyDescent="0.2">
      <c r="A628" s="1" t="str">
        <f>"605183"</f>
        <v>605183</v>
      </c>
      <c r="B628" s="1" t="s">
        <v>2830</v>
      </c>
      <c r="C628" s="1" t="s">
        <v>4906</v>
      </c>
    </row>
    <row r="629" spans="1:3" x14ac:dyDescent="0.2">
      <c r="A629" s="1" t="str">
        <f>"605180"</f>
        <v>605180</v>
      </c>
      <c r="B629" s="1" t="s">
        <v>2369</v>
      </c>
      <c r="C629" s="1" t="s">
        <v>4904</v>
      </c>
    </row>
    <row r="630" spans="1:3" x14ac:dyDescent="0.2">
      <c r="A630" s="1" t="str">
        <f>"605179"</f>
        <v>605179</v>
      </c>
      <c r="B630" s="1" t="s">
        <v>2459</v>
      </c>
      <c r="C630" s="1" t="s">
        <v>4893</v>
      </c>
    </row>
    <row r="631" spans="1:3" x14ac:dyDescent="0.2">
      <c r="A631" s="1" t="str">
        <f>"605177"</f>
        <v>605177</v>
      </c>
      <c r="B631" s="1" t="s">
        <v>3675</v>
      </c>
      <c r="C631" s="1" t="s">
        <v>4843</v>
      </c>
    </row>
    <row r="632" spans="1:3" x14ac:dyDescent="0.2">
      <c r="A632" s="1" t="str">
        <f>"605169"</f>
        <v>605169</v>
      </c>
      <c r="B632" s="1" t="s">
        <v>96</v>
      </c>
      <c r="C632" s="1" t="s">
        <v>4895</v>
      </c>
    </row>
    <row r="633" spans="1:3" x14ac:dyDescent="0.2">
      <c r="A633" s="1" t="str">
        <f>"605168"</f>
        <v>605168</v>
      </c>
      <c r="B633" s="1" t="s">
        <v>486</v>
      </c>
      <c r="C633" s="1" t="s">
        <v>4907</v>
      </c>
    </row>
    <row r="634" spans="1:3" x14ac:dyDescent="0.2">
      <c r="A634" s="1" t="str">
        <f>"605167"</f>
        <v>605167</v>
      </c>
      <c r="B634" s="1" t="s">
        <v>331</v>
      </c>
      <c r="C634" s="1" t="s">
        <v>4888</v>
      </c>
    </row>
    <row r="635" spans="1:3" x14ac:dyDescent="0.2">
      <c r="A635" s="1" t="str">
        <f>"605166"</f>
        <v>605166</v>
      </c>
      <c r="B635" s="1" t="s">
        <v>3047</v>
      </c>
      <c r="C635" s="1" t="s">
        <v>4858</v>
      </c>
    </row>
    <row r="636" spans="1:3" x14ac:dyDescent="0.2">
      <c r="A636" s="1" t="str">
        <f>"605162"</f>
        <v>605162</v>
      </c>
      <c r="B636" s="1" t="s">
        <v>3676</v>
      </c>
      <c r="C636" s="1" t="s">
        <v>4889</v>
      </c>
    </row>
    <row r="637" spans="1:3" x14ac:dyDescent="0.2">
      <c r="A637" s="1" t="str">
        <f>"605158"</f>
        <v>605158</v>
      </c>
      <c r="B637" s="1" t="s">
        <v>2748</v>
      </c>
      <c r="C637" s="1" t="s">
        <v>4908</v>
      </c>
    </row>
    <row r="638" spans="1:3" x14ac:dyDescent="0.2">
      <c r="A638" s="1" t="str">
        <f>"605155"</f>
        <v>605155</v>
      </c>
      <c r="B638" s="1" t="s">
        <v>2210</v>
      </c>
      <c r="C638" s="1" t="s">
        <v>4902</v>
      </c>
    </row>
    <row r="639" spans="1:3" x14ac:dyDescent="0.2">
      <c r="A639" s="1" t="str">
        <f>"605151"</f>
        <v>605151</v>
      </c>
      <c r="B639" s="1" t="s">
        <v>3677</v>
      </c>
      <c r="C639" s="1" t="s">
        <v>4856</v>
      </c>
    </row>
    <row r="640" spans="1:3" x14ac:dyDescent="0.2">
      <c r="A640" s="1" t="str">
        <f>"605138"</f>
        <v>605138</v>
      </c>
      <c r="B640" s="1" t="s">
        <v>2324</v>
      </c>
      <c r="C640" s="1" t="s">
        <v>4909</v>
      </c>
    </row>
    <row r="641" spans="1:3" x14ac:dyDescent="0.2">
      <c r="A641" s="1" t="str">
        <f>"605136"</f>
        <v>605136</v>
      </c>
      <c r="B641" s="1" t="s">
        <v>3678</v>
      </c>
      <c r="C641" s="1" t="s">
        <v>4910</v>
      </c>
    </row>
    <row r="642" spans="1:3" x14ac:dyDescent="0.2">
      <c r="A642" s="1" t="str">
        <f>"605133"</f>
        <v>605133</v>
      </c>
      <c r="B642" s="1" t="s">
        <v>1968</v>
      </c>
      <c r="C642" s="1" t="s">
        <v>4856</v>
      </c>
    </row>
    <row r="643" spans="1:3" x14ac:dyDescent="0.2">
      <c r="A643" s="1" t="str">
        <f>"605128"</f>
        <v>605128</v>
      </c>
      <c r="B643" s="1" t="s">
        <v>2038</v>
      </c>
      <c r="C643" s="1" t="s">
        <v>4856</v>
      </c>
    </row>
    <row r="644" spans="1:3" x14ac:dyDescent="0.2">
      <c r="A644" s="1" t="str">
        <f>"605123"</f>
        <v>605123</v>
      </c>
      <c r="B644" s="1" t="s">
        <v>1335</v>
      </c>
      <c r="C644" s="1" t="s">
        <v>4862</v>
      </c>
    </row>
    <row r="645" spans="1:3" x14ac:dyDescent="0.2">
      <c r="A645" s="1" t="str">
        <f>"605122"</f>
        <v>605122</v>
      </c>
      <c r="B645" s="1" t="s">
        <v>3679</v>
      </c>
      <c r="C645" s="1" t="s">
        <v>4911</v>
      </c>
    </row>
    <row r="646" spans="1:3" x14ac:dyDescent="0.2">
      <c r="A646" s="1" t="str">
        <f>"605118"</f>
        <v>605118</v>
      </c>
      <c r="B646" s="1" t="s">
        <v>807</v>
      </c>
      <c r="C646" s="1" t="s">
        <v>4878</v>
      </c>
    </row>
    <row r="647" spans="1:3" x14ac:dyDescent="0.2">
      <c r="A647" s="1" t="str">
        <f>"605117"</f>
        <v>605117</v>
      </c>
      <c r="B647" s="1" t="s">
        <v>1419</v>
      </c>
      <c r="C647" s="1" t="s">
        <v>4857</v>
      </c>
    </row>
    <row r="648" spans="1:3" x14ac:dyDescent="0.2">
      <c r="A648" s="1" t="str">
        <f>"605116"</f>
        <v>605116</v>
      </c>
      <c r="B648" s="1" t="s">
        <v>1780</v>
      </c>
      <c r="C648" s="1" t="s">
        <v>4843</v>
      </c>
    </row>
    <row r="649" spans="1:3" x14ac:dyDescent="0.2">
      <c r="A649" s="1" t="str">
        <f>"605111"</f>
        <v>605111</v>
      </c>
      <c r="B649" s="1" t="s">
        <v>909</v>
      </c>
      <c r="C649" s="1" t="s">
        <v>4840</v>
      </c>
    </row>
    <row r="650" spans="1:3" x14ac:dyDescent="0.2">
      <c r="A650" s="1" t="str">
        <f>"605108"</f>
        <v>605108</v>
      </c>
      <c r="B650" s="1" t="s">
        <v>291</v>
      </c>
      <c r="C650" s="1" t="s">
        <v>4912</v>
      </c>
    </row>
    <row r="651" spans="1:3" x14ac:dyDescent="0.2">
      <c r="A651" s="1" t="str">
        <f>"605100"</f>
        <v>605100</v>
      </c>
      <c r="B651" s="1" t="s">
        <v>1211</v>
      </c>
      <c r="C651" s="1" t="s">
        <v>4851</v>
      </c>
    </row>
    <row r="652" spans="1:3" x14ac:dyDescent="0.2">
      <c r="A652" s="1" t="str">
        <f>"605099"</f>
        <v>605099</v>
      </c>
      <c r="B652" s="1" t="s">
        <v>2211</v>
      </c>
      <c r="C652" s="1" t="s">
        <v>4902</v>
      </c>
    </row>
    <row r="653" spans="1:3" x14ac:dyDescent="0.2">
      <c r="A653" s="1" t="str">
        <f>"605098"</f>
        <v>605098</v>
      </c>
      <c r="B653" s="1" t="s">
        <v>3680</v>
      </c>
      <c r="C653" s="1" t="s">
        <v>4913</v>
      </c>
    </row>
    <row r="654" spans="1:3" x14ac:dyDescent="0.2">
      <c r="A654" s="1" t="str">
        <f>"605090"</f>
        <v>605090</v>
      </c>
      <c r="B654" s="1" t="s">
        <v>97</v>
      </c>
      <c r="C654" s="1" t="s">
        <v>4895</v>
      </c>
    </row>
    <row r="655" spans="1:3" x14ac:dyDescent="0.2">
      <c r="A655" s="1" t="str">
        <f>"605089"</f>
        <v>605089</v>
      </c>
      <c r="B655" s="1" t="s">
        <v>2404</v>
      </c>
      <c r="C655" s="1" t="s">
        <v>4891</v>
      </c>
    </row>
    <row r="656" spans="1:3" x14ac:dyDescent="0.2">
      <c r="A656" s="1" t="str">
        <f>"605088"</f>
        <v>605088</v>
      </c>
      <c r="B656" s="1" t="s">
        <v>1969</v>
      </c>
      <c r="C656" s="1" t="s">
        <v>4856</v>
      </c>
    </row>
    <row r="657" spans="1:3" x14ac:dyDescent="0.2">
      <c r="A657" s="1" t="str">
        <f>"605086"</f>
        <v>605086</v>
      </c>
      <c r="B657" s="1" t="s">
        <v>2767</v>
      </c>
      <c r="C657" s="1" t="s">
        <v>4881</v>
      </c>
    </row>
    <row r="658" spans="1:3" x14ac:dyDescent="0.2">
      <c r="A658" s="1" t="str">
        <f>"605080"</f>
        <v>605080</v>
      </c>
      <c r="B658" s="1" t="s">
        <v>2194</v>
      </c>
      <c r="C658" s="1" t="s">
        <v>4899</v>
      </c>
    </row>
    <row r="659" spans="1:3" x14ac:dyDescent="0.2">
      <c r="A659" s="1" t="str">
        <f>"605077"</f>
        <v>605077</v>
      </c>
      <c r="B659" s="1" t="s">
        <v>2409</v>
      </c>
      <c r="C659" s="1" t="s">
        <v>4891</v>
      </c>
    </row>
    <row r="660" spans="1:3" x14ac:dyDescent="0.2">
      <c r="A660" s="1" t="str">
        <f>"605069"</f>
        <v>605069</v>
      </c>
      <c r="B660" s="1" t="s">
        <v>14</v>
      </c>
      <c r="C660" s="1" t="s">
        <v>4863</v>
      </c>
    </row>
    <row r="661" spans="1:3" x14ac:dyDescent="0.2">
      <c r="A661" s="1" t="str">
        <f>"605068"</f>
        <v>605068</v>
      </c>
      <c r="B661" s="1" t="s">
        <v>2039</v>
      </c>
      <c r="C661" s="1" t="s">
        <v>4856</v>
      </c>
    </row>
    <row r="662" spans="1:3" x14ac:dyDescent="0.2">
      <c r="A662" s="1" t="str">
        <f>"605066"</f>
        <v>605066</v>
      </c>
      <c r="B662" s="1" t="s">
        <v>1455</v>
      </c>
      <c r="C662" s="1" t="s">
        <v>4866</v>
      </c>
    </row>
    <row r="663" spans="1:3" x14ac:dyDescent="0.2">
      <c r="A663" s="1" t="str">
        <f>"605060"</f>
        <v>605060</v>
      </c>
      <c r="B663" s="1" t="s">
        <v>1212</v>
      </c>
      <c r="C663" s="1" t="s">
        <v>4851</v>
      </c>
    </row>
    <row r="664" spans="1:3" x14ac:dyDescent="0.2">
      <c r="A664" s="1" t="str">
        <f>"605058"</f>
        <v>605058</v>
      </c>
      <c r="B664" s="1" t="s">
        <v>749</v>
      </c>
      <c r="C664" s="1" t="s">
        <v>4872</v>
      </c>
    </row>
    <row r="665" spans="1:3" x14ac:dyDescent="0.2">
      <c r="A665" s="1" t="str">
        <f>"605056"</f>
        <v>605056</v>
      </c>
      <c r="B665" s="1" t="s">
        <v>1265</v>
      </c>
      <c r="C665" s="1" t="s">
        <v>4851</v>
      </c>
    </row>
    <row r="666" spans="1:3" x14ac:dyDescent="0.2">
      <c r="A666" s="1" t="str">
        <f>"605055"</f>
        <v>605055</v>
      </c>
      <c r="B666" s="1" t="s">
        <v>3681</v>
      </c>
      <c r="C666" s="1" t="s">
        <v>4904</v>
      </c>
    </row>
    <row r="667" spans="1:3" x14ac:dyDescent="0.2">
      <c r="A667" s="1" t="str">
        <f>"605050"</f>
        <v>605050</v>
      </c>
      <c r="B667" s="1" t="s">
        <v>179</v>
      </c>
      <c r="C667" s="1" t="s">
        <v>4914</v>
      </c>
    </row>
    <row r="668" spans="1:3" x14ac:dyDescent="0.2">
      <c r="A668" s="1" t="str">
        <f>"605033"</f>
        <v>605033</v>
      </c>
      <c r="B668" s="1" t="s">
        <v>2796</v>
      </c>
      <c r="C668" s="1" t="s">
        <v>4915</v>
      </c>
    </row>
    <row r="669" spans="1:3" x14ac:dyDescent="0.2">
      <c r="A669" s="1" t="str">
        <f>"605028"</f>
        <v>605028</v>
      </c>
      <c r="B669" s="1" t="s">
        <v>3682</v>
      </c>
      <c r="C669" s="1" t="s">
        <v>4889</v>
      </c>
    </row>
    <row r="670" spans="1:3" x14ac:dyDescent="0.2">
      <c r="A670" s="1" t="str">
        <f>"605020"</f>
        <v>605020</v>
      </c>
      <c r="B670" s="1" t="s">
        <v>2949</v>
      </c>
      <c r="C670" s="1" t="s">
        <v>4865</v>
      </c>
    </row>
    <row r="671" spans="1:3" x14ac:dyDescent="0.2">
      <c r="A671" s="1" t="str">
        <f>"605018"</f>
        <v>605018</v>
      </c>
      <c r="B671" s="1" t="s">
        <v>3683</v>
      </c>
      <c r="C671" s="1" t="s">
        <v>4856</v>
      </c>
    </row>
    <row r="672" spans="1:3" x14ac:dyDescent="0.2">
      <c r="A672" s="1" t="str">
        <f>"605016"</f>
        <v>605016</v>
      </c>
      <c r="B672" s="1" t="s">
        <v>2939</v>
      </c>
      <c r="C672" s="1" t="s">
        <v>4865</v>
      </c>
    </row>
    <row r="673" spans="1:3" x14ac:dyDescent="0.2">
      <c r="A673" s="1" t="str">
        <f>"605011"</f>
        <v>605011</v>
      </c>
      <c r="B673" s="1" t="s">
        <v>3684</v>
      </c>
      <c r="C673" s="1" t="s">
        <v>4889</v>
      </c>
    </row>
    <row r="674" spans="1:3" x14ac:dyDescent="0.2">
      <c r="A674" s="1" t="str">
        <f>"605009"</f>
        <v>605009</v>
      </c>
      <c r="B674" s="1" t="s">
        <v>2299</v>
      </c>
      <c r="C674" s="1" t="s">
        <v>4892</v>
      </c>
    </row>
    <row r="675" spans="1:3" x14ac:dyDescent="0.2">
      <c r="A675" s="1" t="str">
        <f>"605008"</f>
        <v>605008</v>
      </c>
      <c r="B675" s="1" t="s">
        <v>3685</v>
      </c>
      <c r="C675" s="1" t="s">
        <v>4906</v>
      </c>
    </row>
    <row r="676" spans="1:3" x14ac:dyDescent="0.2">
      <c r="A676" s="1" t="str">
        <f>"605007"</f>
        <v>605007</v>
      </c>
      <c r="B676" s="1" t="s">
        <v>2288</v>
      </c>
      <c r="C676" s="1" t="s">
        <v>4892</v>
      </c>
    </row>
    <row r="677" spans="1:3" x14ac:dyDescent="0.2">
      <c r="A677" s="1" t="str">
        <f>"605006"</f>
        <v>605006</v>
      </c>
      <c r="B677" s="1" t="s">
        <v>2603</v>
      </c>
      <c r="C677" s="1" t="s">
        <v>4916</v>
      </c>
    </row>
    <row r="678" spans="1:3" x14ac:dyDescent="0.2">
      <c r="A678" s="1" t="str">
        <f>"605005"</f>
        <v>605005</v>
      </c>
      <c r="B678" s="1" t="s">
        <v>1889</v>
      </c>
      <c r="C678" s="1" t="s">
        <v>4856</v>
      </c>
    </row>
    <row r="679" spans="1:3" x14ac:dyDescent="0.2">
      <c r="A679" s="1" t="str">
        <f>"605003"</f>
        <v>605003</v>
      </c>
      <c r="B679" s="1" t="s">
        <v>2361</v>
      </c>
      <c r="C679" s="1" t="s">
        <v>4909</v>
      </c>
    </row>
    <row r="680" spans="1:3" x14ac:dyDescent="0.2">
      <c r="A680" s="1" t="str">
        <f>"605001"</f>
        <v>605001</v>
      </c>
      <c r="B680" s="1" t="s">
        <v>1291</v>
      </c>
      <c r="C680" s="1" t="s">
        <v>4875</v>
      </c>
    </row>
    <row r="681" spans="1:3" x14ac:dyDescent="0.2">
      <c r="A681" s="1" t="str">
        <f>"603999"</f>
        <v>603999</v>
      </c>
      <c r="B681" s="1" t="s">
        <v>437</v>
      </c>
      <c r="C681" s="1" t="s">
        <v>4890</v>
      </c>
    </row>
    <row r="682" spans="1:3" x14ac:dyDescent="0.2">
      <c r="A682" s="1" t="str">
        <f>"603998"</f>
        <v>603998</v>
      </c>
      <c r="B682" s="1" t="s">
        <v>1585</v>
      </c>
      <c r="C682" s="1" t="s">
        <v>4917</v>
      </c>
    </row>
    <row r="683" spans="1:3" x14ac:dyDescent="0.2">
      <c r="A683" s="1" t="str">
        <f>"603997"</f>
        <v>603997</v>
      </c>
      <c r="B683" s="1" t="s">
        <v>2040</v>
      </c>
      <c r="C683" s="1" t="s">
        <v>4856</v>
      </c>
    </row>
    <row r="684" spans="1:3" x14ac:dyDescent="0.2">
      <c r="A684" s="1" t="str">
        <f>"603995"</f>
        <v>603995</v>
      </c>
      <c r="B684" s="1" t="s">
        <v>2736</v>
      </c>
      <c r="C684" s="1" t="s">
        <v>4918</v>
      </c>
    </row>
    <row r="685" spans="1:3" x14ac:dyDescent="0.2">
      <c r="A685" s="1" t="str">
        <f>"603993"</f>
        <v>603993</v>
      </c>
      <c r="B685" s="1" t="s">
        <v>2652</v>
      </c>
      <c r="C685" s="1" t="s">
        <v>4855</v>
      </c>
    </row>
    <row r="686" spans="1:3" x14ac:dyDescent="0.2">
      <c r="A686" s="1" t="str">
        <f>"603992"</f>
        <v>603992</v>
      </c>
      <c r="B686" s="1" t="s">
        <v>2212</v>
      </c>
      <c r="C686" s="1" t="s">
        <v>4902</v>
      </c>
    </row>
    <row r="687" spans="1:3" x14ac:dyDescent="0.2">
      <c r="A687" s="1" t="str">
        <f>"603991"</f>
        <v>603991</v>
      </c>
      <c r="B687" s="1" t="s">
        <v>3686</v>
      </c>
      <c r="C687" s="1" t="s">
        <v>4860</v>
      </c>
    </row>
    <row r="688" spans="1:3" x14ac:dyDescent="0.2">
      <c r="A688" s="1" t="str">
        <f>"603990"</f>
        <v>603990</v>
      </c>
      <c r="B688" s="1" t="s">
        <v>544</v>
      </c>
      <c r="C688" s="1" t="s">
        <v>4847</v>
      </c>
    </row>
    <row r="689" spans="1:3" x14ac:dyDescent="0.2">
      <c r="A689" s="1" t="str">
        <f>"603989"</f>
        <v>603989</v>
      </c>
      <c r="B689" s="1" t="s">
        <v>736</v>
      </c>
      <c r="C689" s="1" t="s">
        <v>4872</v>
      </c>
    </row>
    <row r="690" spans="1:3" x14ac:dyDescent="0.2">
      <c r="A690" s="1" t="str">
        <f>"603988"</f>
        <v>603988</v>
      </c>
      <c r="B690" s="1" t="s">
        <v>1562</v>
      </c>
      <c r="C690" s="1" t="s">
        <v>4919</v>
      </c>
    </row>
    <row r="691" spans="1:3" x14ac:dyDescent="0.2">
      <c r="A691" s="1" t="str">
        <f>"603987"</f>
        <v>603987</v>
      </c>
      <c r="B691" s="1" t="s">
        <v>1698</v>
      </c>
      <c r="C691" s="1" t="s">
        <v>4867</v>
      </c>
    </row>
    <row r="692" spans="1:3" x14ac:dyDescent="0.2">
      <c r="A692" s="1" t="str">
        <f>"603986"</f>
        <v>603986</v>
      </c>
      <c r="B692" s="1" t="s">
        <v>917</v>
      </c>
      <c r="C692" s="1" t="s">
        <v>4840</v>
      </c>
    </row>
    <row r="693" spans="1:3" x14ac:dyDescent="0.2">
      <c r="A693" s="1" t="str">
        <f>"603985"</f>
        <v>603985</v>
      </c>
      <c r="B693" s="1" t="s">
        <v>1380</v>
      </c>
      <c r="C693" s="1" t="s">
        <v>4870</v>
      </c>
    </row>
    <row r="694" spans="1:3" x14ac:dyDescent="0.2">
      <c r="A694" s="1" t="str">
        <f>"603983"</f>
        <v>603983</v>
      </c>
      <c r="B694" s="1" t="s">
        <v>3065</v>
      </c>
      <c r="C694" s="1" t="s">
        <v>4920</v>
      </c>
    </row>
    <row r="695" spans="1:3" x14ac:dyDescent="0.2">
      <c r="A695" s="1" t="str">
        <f>"603982"</f>
        <v>603982</v>
      </c>
      <c r="B695" s="1" t="s">
        <v>3687</v>
      </c>
      <c r="C695" s="1" t="s">
        <v>4856</v>
      </c>
    </row>
    <row r="696" spans="1:3" x14ac:dyDescent="0.2">
      <c r="A696" s="1" t="str">
        <f>"603980"</f>
        <v>603980</v>
      </c>
      <c r="B696" s="1" t="s">
        <v>3688</v>
      </c>
      <c r="C696" s="1" t="s">
        <v>4865</v>
      </c>
    </row>
    <row r="697" spans="1:3" x14ac:dyDescent="0.2">
      <c r="A697" s="1" t="str">
        <f>"603979"</f>
        <v>603979</v>
      </c>
      <c r="B697" s="1" t="s">
        <v>2721</v>
      </c>
      <c r="C697" s="1" t="s">
        <v>4879</v>
      </c>
    </row>
    <row r="698" spans="1:3" x14ac:dyDescent="0.2">
      <c r="A698" s="1" t="str">
        <f>"603978"</f>
        <v>603978</v>
      </c>
      <c r="B698" s="1" t="s">
        <v>2618</v>
      </c>
      <c r="C698" s="1" t="s">
        <v>4848</v>
      </c>
    </row>
    <row r="699" spans="1:3" x14ac:dyDescent="0.2">
      <c r="A699" s="1" t="str">
        <f>"603977"</f>
        <v>603977</v>
      </c>
      <c r="B699" s="1" t="s">
        <v>2969</v>
      </c>
      <c r="C699" s="1" t="s">
        <v>4865</v>
      </c>
    </row>
    <row r="700" spans="1:3" x14ac:dyDescent="0.2">
      <c r="A700" s="1" t="str">
        <f>"603976"</f>
        <v>603976</v>
      </c>
      <c r="B700" s="1" t="s">
        <v>1699</v>
      </c>
      <c r="C700" s="1" t="s">
        <v>4867</v>
      </c>
    </row>
    <row r="701" spans="1:3" x14ac:dyDescent="0.2">
      <c r="A701" s="1" t="str">
        <f>"603970"</f>
        <v>603970</v>
      </c>
      <c r="B701" s="1" t="s">
        <v>2797</v>
      </c>
      <c r="C701" s="1" t="s">
        <v>4915</v>
      </c>
    </row>
    <row r="702" spans="1:3" x14ac:dyDescent="0.2">
      <c r="A702" s="1" t="str">
        <f>"603969"</f>
        <v>603969</v>
      </c>
      <c r="B702" s="1" t="s">
        <v>1185</v>
      </c>
      <c r="C702" s="1" t="s">
        <v>4851</v>
      </c>
    </row>
    <row r="703" spans="1:3" x14ac:dyDescent="0.2">
      <c r="A703" s="1" t="str">
        <f>"603968"</f>
        <v>603968</v>
      </c>
      <c r="B703" s="1" t="s">
        <v>3689</v>
      </c>
      <c r="C703" s="1" t="s">
        <v>4865</v>
      </c>
    </row>
    <row r="704" spans="1:3" x14ac:dyDescent="0.2">
      <c r="A704" s="1" t="str">
        <f>"603967"</f>
        <v>603967</v>
      </c>
      <c r="B704" s="1" t="s">
        <v>167</v>
      </c>
      <c r="C704" s="1" t="s">
        <v>4914</v>
      </c>
    </row>
    <row r="705" spans="1:3" x14ac:dyDescent="0.2">
      <c r="A705" s="1" t="str">
        <f>"603966"</f>
        <v>603966</v>
      </c>
      <c r="B705" s="1" t="s">
        <v>1106</v>
      </c>
      <c r="C705" s="1" t="s">
        <v>4845</v>
      </c>
    </row>
    <row r="706" spans="1:3" x14ac:dyDescent="0.2">
      <c r="A706" s="1" t="str">
        <f>"603960"</f>
        <v>603960</v>
      </c>
      <c r="B706" s="1" t="s">
        <v>1890</v>
      </c>
      <c r="C706" s="1" t="s">
        <v>4856</v>
      </c>
    </row>
    <row r="707" spans="1:3" x14ac:dyDescent="0.2">
      <c r="A707" s="1" t="str">
        <f>"603959"</f>
        <v>603959</v>
      </c>
      <c r="B707" s="1" t="s">
        <v>3690</v>
      </c>
      <c r="C707" s="1" t="s">
        <v>4888</v>
      </c>
    </row>
    <row r="708" spans="1:3" x14ac:dyDescent="0.2">
      <c r="A708" s="1" t="str">
        <f>"603958"</f>
        <v>603958</v>
      </c>
      <c r="B708" s="1" t="s">
        <v>2353</v>
      </c>
      <c r="C708" s="1" t="s">
        <v>4909</v>
      </c>
    </row>
    <row r="709" spans="1:3" x14ac:dyDescent="0.2">
      <c r="A709" s="1" t="str">
        <f>"603955"</f>
        <v>603955</v>
      </c>
      <c r="B709" s="1" t="s">
        <v>336</v>
      </c>
      <c r="C709" s="1" t="s">
        <v>4898</v>
      </c>
    </row>
    <row r="710" spans="1:3" x14ac:dyDescent="0.2">
      <c r="A710" s="1" t="str">
        <f>"603950"</f>
        <v>603950</v>
      </c>
      <c r="B710" s="1" t="s">
        <v>1970</v>
      </c>
      <c r="C710" s="1" t="s">
        <v>4856</v>
      </c>
    </row>
    <row r="711" spans="1:3" x14ac:dyDescent="0.2">
      <c r="A711" s="1" t="str">
        <f>"603949"</f>
        <v>603949</v>
      </c>
      <c r="B711" s="1" t="s">
        <v>1971</v>
      </c>
      <c r="C711" s="1" t="s">
        <v>4856</v>
      </c>
    </row>
    <row r="712" spans="1:3" x14ac:dyDescent="0.2">
      <c r="A712" s="1" t="str">
        <f>"603948"</f>
        <v>603948</v>
      </c>
      <c r="B712" s="1" t="s">
        <v>3003</v>
      </c>
      <c r="C712" s="1" t="s">
        <v>4853</v>
      </c>
    </row>
    <row r="713" spans="1:3" x14ac:dyDescent="0.2">
      <c r="A713" s="1" t="str">
        <f>"603939"</f>
        <v>603939</v>
      </c>
      <c r="B713" s="1" t="s">
        <v>3691</v>
      </c>
      <c r="C713" s="1" t="s">
        <v>4903</v>
      </c>
    </row>
    <row r="714" spans="1:3" x14ac:dyDescent="0.2">
      <c r="A714" s="1" t="str">
        <f>"603938"</f>
        <v>603938</v>
      </c>
      <c r="B714" s="1" t="s">
        <v>2994</v>
      </c>
      <c r="C714" s="1" t="s">
        <v>4853</v>
      </c>
    </row>
    <row r="715" spans="1:3" x14ac:dyDescent="0.2">
      <c r="A715" s="1" t="str">
        <f>"603937"</f>
        <v>603937</v>
      </c>
      <c r="B715" s="1" t="s">
        <v>3692</v>
      </c>
      <c r="C715" s="1" t="s">
        <v>4879</v>
      </c>
    </row>
    <row r="716" spans="1:3" x14ac:dyDescent="0.2">
      <c r="A716" s="1" t="str">
        <f>"603936"</f>
        <v>603936</v>
      </c>
      <c r="B716" s="1" t="s">
        <v>750</v>
      </c>
      <c r="C716" s="1" t="s">
        <v>4872</v>
      </c>
    </row>
    <row r="717" spans="1:3" x14ac:dyDescent="0.2">
      <c r="A717" s="1" t="str">
        <f>"603933"</f>
        <v>603933</v>
      </c>
      <c r="B717" s="1" t="s">
        <v>702</v>
      </c>
      <c r="C717" s="1" t="s">
        <v>4842</v>
      </c>
    </row>
    <row r="718" spans="1:3" x14ac:dyDescent="0.2">
      <c r="A718" s="1" t="str">
        <f>"603931"</f>
        <v>603931</v>
      </c>
      <c r="B718" s="1" t="s">
        <v>939</v>
      </c>
      <c r="C718" s="1" t="s">
        <v>4840</v>
      </c>
    </row>
    <row r="719" spans="1:3" x14ac:dyDescent="0.2">
      <c r="A719" s="1" t="str">
        <f>"603929"</f>
        <v>603929</v>
      </c>
      <c r="B719" s="1" t="s">
        <v>315</v>
      </c>
      <c r="C719" s="1" t="s">
        <v>4888</v>
      </c>
    </row>
    <row r="720" spans="1:3" x14ac:dyDescent="0.2">
      <c r="A720" s="1" t="str">
        <f>"603928"</f>
        <v>603928</v>
      </c>
      <c r="B720" s="1" t="s">
        <v>2882</v>
      </c>
      <c r="C720" s="1" t="s">
        <v>4860</v>
      </c>
    </row>
    <row r="721" spans="1:3" x14ac:dyDescent="0.2">
      <c r="A721" s="1" t="str">
        <f>"603927"</f>
        <v>603927</v>
      </c>
      <c r="B721" s="1" t="s">
        <v>3693</v>
      </c>
      <c r="C721" s="1" t="s">
        <v>4847</v>
      </c>
    </row>
    <row r="722" spans="1:3" x14ac:dyDescent="0.2">
      <c r="A722" s="1" t="str">
        <f>"603926"</f>
        <v>603926</v>
      </c>
      <c r="B722" s="1" t="s">
        <v>1972</v>
      </c>
      <c r="C722" s="1" t="s">
        <v>4856</v>
      </c>
    </row>
    <row r="723" spans="1:3" x14ac:dyDescent="0.2">
      <c r="A723" s="1" t="str">
        <f>"603922"</f>
        <v>603922</v>
      </c>
      <c r="B723" s="1" t="s">
        <v>2041</v>
      </c>
      <c r="C723" s="1" t="s">
        <v>4856</v>
      </c>
    </row>
    <row r="724" spans="1:3" x14ac:dyDescent="0.2">
      <c r="A724" s="1" t="str">
        <f>"603920"</f>
        <v>603920</v>
      </c>
      <c r="B724" s="1" t="s">
        <v>751</v>
      </c>
      <c r="C724" s="1" t="s">
        <v>4872</v>
      </c>
    </row>
    <row r="725" spans="1:3" x14ac:dyDescent="0.2">
      <c r="A725" s="1" t="str">
        <f>"603919"</f>
        <v>603919</v>
      </c>
      <c r="B725" s="1" t="s">
        <v>2481</v>
      </c>
      <c r="C725" s="1" t="s">
        <v>4921</v>
      </c>
    </row>
    <row r="726" spans="1:3" x14ac:dyDescent="0.2">
      <c r="A726" s="1" t="str">
        <f>"603918"</f>
        <v>603918</v>
      </c>
      <c r="B726" s="1" t="s">
        <v>3694</v>
      </c>
      <c r="C726" s="1" t="s">
        <v>4847</v>
      </c>
    </row>
    <row r="727" spans="1:3" x14ac:dyDescent="0.2">
      <c r="A727" s="1" t="str">
        <f>"603917"</f>
        <v>603917</v>
      </c>
      <c r="B727" s="1" t="s">
        <v>1913</v>
      </c>
      <c r="C727" s="1" t="s">
        <v>4856</v>
      </c>
    </row>
    <row r="728" spans="1:3" x14ac:dyDescent="0.2">
      <c r="A728" s="1" t="str">
        <f>"603916"</f>
        <v>603916</v>
      </c>
      <c r="B728" s="1" t="s">
        <v>2893</v>
      </c>
      <c r="C728" s="1" t="s">
        <v>4865</v>
      </c>
    </row>
    <row r="729" spans="1:3" x14ac:dyDescent="0.2">
      <c r="A729" s="1" t="str">
        <f>"603915"</f>
        <v>603915</v>
      </c>
      <c r="B729" s="1" t="s">
        <v>1213</v>
      </c>
      <c r="C729" s="1" t="s">
        <v>4851</v>
      </c>
    </row>
    <row r="730" spans="1:3" x14ac:dyDescent="0.2">
      <c r="A730" s="1" t="str">
        <f>"603912"</f>
        <v>603912</v>
      </c>
      <c r="B730" s="1" t="s">
        <v>3695</v>
      </c>
      <c r="C730" s="1" t="s">
        <v>4845</v>
      </c>
    </row>
    <row r="731" spans="1:3" x14ac:dyDescent="0.2">
      <c r="A731" s="1" t="str">
        <f>"603909"</f>
        <v>603909</v>
      </c>
      <c r="B731" s="1" t="s">
        <v>3696</v>
      </c>
      <c r="C731" s="1" t="s">
        <v>4922</v>
      </c>
    </row>
    <row r="732" spans="1:3" x14ac:dyDescent="0.2">
      <c r="A732" s="1" t="str">
        <f>"603908"</f>
        <v>603908</v>
      </c>
      <c r="B732" s="1" t="s">
        <v>2354</v>
      </c>
      <c r="C732" s="1" t="s">
        <v>4909</v>
      </c>
    </row>
    <row r="733" spans="1:3" x14ac:dyDescent="0.2">
      <c r="A733" s="1" t="str">
        <f>"603906"</f>
        <v>603906</v>
      </c>
      <c r="B733" s="1" t="s">
        <v>3697</v>
      </c>
      <c r="C733" s="1" t="s">
        <v>4841</v>
      </c>
    </row>
    <row r="734" spans="1:3" x14ac:dyDescent="0.2">
      <c r="A734" s="1" t="str">
        <f>"603903"</f>
        <v>603903</v>
      </c>
      <c r="B734" s="1" t="s">
        <v>41</v>
      </c>
      <c r="C734" s="1" t="s">
        <v>4863</v>
      </c>
    </row>
    <row r="735" spans="1:3" x14ac:dyDescent="0.2">
      <c r="A735" s="1" t="str">
        <f>"603901"</f>
        <v>603901</v>
      </c>
      <c r="B735" s="1" t="s">
        <v>1096</v>
      </c>
      <c r="C735" s="1" t="s">
        <v>4845</v>
      </c>
    </row>
    <row r="736" spans="1:3" x14ac:dyDescent="0.2">
      <c r="A736" s="1" t="str">
        <f>"603900"</f>
        <v>603900</v>
      </c>
      <c r="B736" s="1" t="s">
        <v>2314</v>
      </c>
      <c r="C736" s="1" t="s">
        <v>4887</v>
      </c>
    </row>
    <row r="737" spans="1:3" x14ac:dyDescent="0.2">
      <c r="A737" s="1" t="str">
        <f>"603899"</f>
        <v>603899</v>
      </c>
      <c r="B737" s="1" t="s">
        <v>2204</v>
      </c>
      <c r="C737" s="1" t="s">
        <v>4899</v>
      </c>
    </row>
    <row r="738" spans="1:3" x14ac:dyDescent="0.2">
      <c r="A738" s="1" t="str">
        <f>"603898"</f>
        <v>603898</v>
      </c>
      <c r="B738" s="1" t="s">
        <v>2228</v>
      </c>
      <c r="C738" s="1" t="s">
        <v>4902</v>
      </c>
    </row>
    <row r="739" spans="1:3" x14ac:dyDescent="0.2">
      <c r="A739" s="1" t="str">
        <f>"603897"</f>
        <v>603897</v>
      </c>
      <c r="B739" s="1" t="s">
        <v>1427</v>
      </c>
      <c r="C739" s="1" t="s">
        <v>4866</v>
      </c>
    </row>
    <row r="740" spans="1:3" x14ac:dyDescent="0.2">
      <c r="A740" s="1" t="str">
        <f>"603896"</f>
        <v>603896</v>
      </c>
      <c r="B740" s="1" t="s">
        <v>1586</v>
      </c>
      <c r="C740" s="1" t="s">
        <v>4917</v>
      </c>
    </row>
    <row r="741" spans="1:3" x14ac:dyDescent="0.2">
      <c r="A741" s="1" t="str">
        <f>"603895"</f>
        <v>603895</v>
      </c>
      <c r="B741" s="1" t="s">
        <v>1013</v>
      </c>
      <c r="C741" s="1" t="s">
        <v>4845</v>
      </c>
    </row>
    <row r="742" spans="1:3" x14ac:dyDescent="0.2">
      <c r="A742" s="1" t="str">
        <f>"603893"</f>
        <v>603893</v>
      </c>
      <c r="B742" s="1" t="s">
        <v>918</v>
      </c>
      <c r="C742" s="1" t="s">
        <v>4840</v>
      </c>
    </row>
    <row r="743" spans="1:3" x14ac:dyDescent="0.2">
      <c r="A743" s="1" t="str">
        <f>"603890"</f>
        <v>603890</v>
      </c>
      <c r="B743" s="1" t="s">
        <v>846</v>
      </c>
      <c r="C743" s="1" t="s">
        <v>4850</v>
      </c>
    </row>
    <row r="744" spans="1:3" x14ac:dyDescent="0.2">
      <c r="A744" s="1" t="str">
        <f>"603889"</f>
        <v>603889</v>
      </c>
      <c r="B744" s="1" t="s">
        <v>2370</v>
      </c>
      <c r="C744" s="1" t="s">
        <v>4904</v>
      </c>
    </row>
    <row r="745" spans="1:3" x14ac:dyDescent="0.2">
      <c r="A745" s="1" t="str">
        <f>"603888"</f>
        <v>603888</v>
      </c>
      <c r="B745" s="1" t="s">
        <v>462</v>
      </c>
      <c r="C745" s="1" t="s">
        <v>4923</v>
      </c>
    </row>
    <row r="746" spans="1:3" x14ac:dyDescent="0.2">
      <c r="A746" s="1" t="str">
        <f>"603887"</f>
        <v>603887</v>
      </c>
      <c r="B746" s="1" t="s">
        <v>535</v>
      </c>
      <c r="C746" s="1" t="s">
        <v>4874</v>
      </c>
    </row>
    <row r="747" spans="1:3" x14ac:dyDescent="0.2">
      <c r="A747" s="1" t="str">
        <f>"603886"</f>
        <v>603886</v>
      </c>
      <c r="B747" s="1" t="s">
        <v>3698</v>
      </c>
      <c r="C747" s="1" t="s">
        <v>4896</v>
      </c>
    </row>
    <row r="748" spans="1:3" x14ac:dyDescent="0.2">
      <c r="A748" s="1" t="str">
        <f>"603885"</f>
        <v>603885</v>
      </c>
      <c r="B748" s="1" t="s">
        <v>235</v>
      </c>
      <c r="C748" s="1" t="s">
        <v>4924</v>
      </c>
    </row>
    <row r="749" spans="1:3" x14ac:dyDescent="0.2">
      <c r="A749" s="1" t="str">
        <f>"603883"</f>
        <v>603883</v>
      </c>
      <c r="B749" s="1" t="s">
        <v>3699</v>
      </c>
      <c r="C749" s="1" t="s">
        <v>4903</v>
      </c>
    </row>
    <row r="750" spans="1:3" x14ac:dyDescent="0.2">
      <c r="A750" s="1" t="str">
        <f>"603882"</f>
        <v>603882</v>
      </c>
      <c r="B750" s="1" t="s">
        <v>3700</v>
      </c>
      <c r="C750" s="1" t="s">
        <v>4861</v>
      </c>
    </row>
    <row r="751" spans="1:3" x14ac:dyDescent="0.2">
      <c r="A751" s="1" t="str">
        <f>"603881"</f>
        <v>603881</v>
      </c>
      <c r="B751" s="1" t="s">
        <v>536</v>
      </c>
      <c r="C751" s="1" t="s">
        <v>4874</v>
      </c>
    </row>
    <row r="752" spans="1:3" x14ac:dyDescent="0.2">
      <c r="A752" s="1" t="str">
        <f>"603880"</f>
        <v>603880</v>
      </c>
      <c r="B752" s="1" t="s">
        <v>3701</v>
      </c>
      <c r="C752" s="1" t="s">
        <v>4867</v>
      </c>
    </row>
    <row r="753" spans="1:3" x14ac:dyDescent="0.2">
      <c r="A753" s="1" t="str">
        <f>"603879"</f>
        <v>603879</v>
      </c>
      <c r="B753" s="1" t="s">
        <v>3702</v>
      </c>
      <c r="C753" s="1" t="s">
        <v>4860</v>
      </c>
    </row>
    <row r="754" spans="1:3" x14ac:dyDescent="0.2">
      <c r="A754" s="1" t="str">
        <f>"603878"</f>
        <v>603878</v>
      </c>
      <c r="B754" s="1" t="s">
        <v>2745</v>
      </c>
      <c r="C754" s="1" t="s">
        <v>4908</v>
      </c>
    </row>
    <row r="755" spans="1:3" x14ac:dyDescent="0.2">
      <c r="A755" s="1" t="str">
        <f>"603877"</f>
        <v>603877</v>
      </c>
      <c r="B755" s="1" t="s">
        <v>2325</v>
      </c>
      <c r="C755" s="1" t="s">
        <v>4909</v>
      </c>
    </row>
    <row r="756" spans="1:3" x14ac:dyDescent="0.2">
      <c r="A756" s="1" t="str">
        <f>"603876"</f>
        <v>603876</v>
      </c>
      <c r="B756" s="1" t="s">
        <v>2695</v>
      </c>
      <c r="C756" s="1" t="s">
        <v>4879</v>
      </c>
    </row>
    <row r="757" spans="1:3" x14ac:dyDescent="0.2">
      <c r="A757" s="1" t="str">
        <f>"603871"</f>
        <v>603871</v>
      </c>
      <c r="B757" s="1" t="s">
        <v>168</v>
      </c>
      <c r="C757" s="1" t="s">
        <v>4914</v>
      </c>
    </row>
    <row r="758" spans="1:3" x14ac:dyDescent="0.2">
      <c r="A758" s="1" t="str">
        <f>"603868"</f>
        <v>603868</v>
      </c>
      <c r="B758" s="1" t="s">
        <v>2158</v>
      </c>
      <c r="C758" s="1" t="s">
        <v>4844</v>
      </c>
    </row>
    <row r="759" spans="1:3" x14ac:dyDescent="0.2">
      <c r="A759" s="1" t="str">
        <f>"603867"</f>
        <v>603867</v>
      </c>
      <c r="B759" s="1" t="s">
        <v>3004</v>
      </c>
      <c r="C759" s="1" t="s">
        <v>4853</v>
      </c>
    </row>
    <row r="760" spans="1:3" x14ac:dyDescent="0.2">
      <c r="A760" s="1" t="str">
        <f>"603866"</f>
        <v>603866</v>
      </c>
      <c r="B760" s="1" t="s">
        <v>2428</v>
      </c>
      <c r="C760" s="1" t="s">
        <v>4896</v>
      </c>
    </row>
    <row r="761" spans="1:3" x14ac:dyDescent="0.2">
      <c r="A761" s="1" t="str">
        <f>"603861"</f>
        <v>603861</v>
      </c>
      <c r="B761" s="1" t="s">
        <v>1456</v>
      </c>
      <c r="C761" s="1" t="s">
        <v>4866</v>
      </c>
    </row>
    <row r="762" spans="1:3" x14ac:dyDescent="0.2">
      <c r="A762" s="1" t="str">
        <f>"603860"</f>
        <v>603860</v>
      </c>
      <c r="B762" s="1" t="s">
        <v>3703</v>
      </c>
      <c r="C762" s="1" t="s">
        <v>4922</v>
      </c>
    </row>
    <row r="763" spans="1:3" x14ac:dyDescent="0.2">
      <c r="A763" s="1" t="str">
        <f>"603859"</f>
        <v>603859</v>
      </c>
      <c r="B763" s="1" t="s">
        <v>545</v>
      </c>
      <c r="C763" s="1" t="s">
        <v>4847</v>
      </c>
    </row>
    <row r="764" spans="1:3" x14ac:dyDescent="0.2">
      <c r="A764" s="1" t="str">
        <f>"603858"</f>
        <v>603858</v>
      </c>
      <c r="B764" s="1" t="s">
        <v>1587</v>
      </c>
      <c r="C764" s="1" t="s">
        <v>4917</v>
      </c>
    </row>
    <row r="765" spans="1:3" x14ac:dyDescent="0.2">
      <c r="A765" s="1" t="str">
        <f>"603856"</f>
        <v>603856</v>
      </c>
      <c r="B765" s="1" t="s">
        <v>2597</v>
      </c>
      <c r="C765" s="1" t="s">
        <v>4886</v>
      </c>
    </row>
    <row r="766" spans="1:3" x14ac:dyDescent="0.2">
      <c r="A766" s="1" t="str">
        <f>"603855"</f>
        <v>603855</v>
      </c>
      <c r="B766" s="1" t="s">
        <v>1014</v>
      </c>
      <c r="C766" s="1" t="s">
        <v>4845</v>
      </c>
    </row>
    <row r="767" spans="1:3" x14ac:dyDescent="0.2">
      <c r="A767" s="1" t="str">
        <f>"603848"</f>
        <v>603848</v>
      </c>
      <c r="B767" s="1" t="s">
        <v>2213</v>
      </c>
      <c r="C767" s="1" t="s">
        <v>4902</v>
      </c>
    </row>
    <row r="768" spans="1:3" x14ac:dyDescent="0.2">
      <c r="A768" s="1" t="str">
        <f>"603839"</f>
        <v>603839</v>
      </c>
      <c r="B768" s="1" t="s">
        <v>2326</v>
      </c>
      <c r="C768" s="1" t="s">
        <v>4909</v>
      </c>
    </row>
    <row r="769" spans="1:3" x14ac:dyDescent="0.2">
      <c r="A769" s="1" t="str">
        <f>"603836"</f>
        <v>603836</v>
      </c>
      <c r="B769" s="1" t="s">
        <v>3704</v>
      </c>
      <c r="C769" s="1" t="s">
        <v>4914</v>
      </c>
    </row>
    <row r="770" spans="1:3" x14ac:dyDescent="0.2">
      <c r="A770" s="1" t="str">
        <f>"603833"</f>
        <v>603833</v>
      </c>
      <c r="B770" s="1" t="s">
        <v>2229</v>
      </c>
      <c r="C770" s="1" t="s">
        <v>4902</v>
      </c>
    </row>
    <row r="771" spans="1:3" x14ac:dyDescent="0.2">
      <c r="A771" s="1" t="str">
        <f>"603829"</f>
        <v>603829</v>
      </c>
      <c r="B771" s="1" t="s">
        <v>1457</v>
      </c>
      <c r="C771" s="1" t="s">
        <v>4866</v>
      </c>
    </row>
    <row r="772" spans="1:3" x14ac:dyDescent="0.2">
      <c r="A772" s="1" t="str">
        <f>"603826"</f>
        <v>603826</v>
      </c>
      <c r="B772" s="1" t="s">
        <v>2768</v>
      </c>
      <c r="C772" s="1" t="s">
        <v>4881</v>
      </c>
    </row>
    <row r="773" spans="1:3" x14ac:dyDescent="0.2">
      <c r="A773" s="1" t="str">
        <f>"603825"</f>
        <v>603825</v>
      </c>
      <c r="B773" s="1" t="s">
        <v>3705</v>
      </c>
      <c r="C773" s="1" t="s">
        <v>4907</v>
      </c>
    </row>
    <row r="774" spans="1:3" x14ac:dyDescent="0.2">
      <c r="A774" s="1" t="str">
        <f>"603823"</f>
        <v>603823</v>
      </c>
      <c r="B774" s="1" t="s">
        <v>2980</v>
      </c>
      <c r="C774" s="1" t="s">
        <v>4865</v>
      </c>
    </row>
    <row r="775" spans="1:3" x14ac:dyDescent="0.2">
      <c r="A775" s="1" t="str">
        <f>"603819"</f>
        <v>603819</v>
      </c>
      <c r="B775" s="1" t="s">
        <v>3706</v>
      </c>
      <c r="C775" s="1" t="s">
        <v>4919</v>
      </c>
    </row>
    <row r="776" spans="1:3" x14ac:dyDescent="0.2">
      <c r="A776" s="1" t="str">
        <f>"603818"</f>
        <v>603818</v>
      </c>
      <c r="B776" s="1" t="s">
        <v>3707</v>
      </c>
      <c r="C776" s="1" t="s">
        <v>4902</v>
      </c>
    </row>
    <row r="777" spans="1:3" x14ac:dyDescent="0.2">
      <c r="A777" s="1" t="str">
        <f>"603817"</f>
        <v>603817</v>
      </c>
      <c r="B777" s="1" t="s">
        <v>42</v>
      </c>
      <c r="C777" s="1" t="s">
        <v>4863</v>
      </c>
    </row>
    <row r="778" spans="1:3" x14ac:dyDescent="0.2">
      <c r="A778" s="1" t="str">
        <f>"603816"</f>
        <v>603816</v>
      </c>
      <c r="B778" s="1" t="s">
        <v>2230</v>
      </c>
      <c r="C778" s="1" t="s">
        <v>4902</v>
      </c>
    </row>
    <row r="779" spans="1:3" x14ac:dyDescent="0.2">
      <c r="A779" s="1" t="str">
        <f>"603815"</f>
        <v>603815</v>
      </c>
      <c r="B779" s="1" t="s">
        <v>3708</v>
      </c>
      <c r="C779" s="1" t="s">
        <v>4898</v>
      </c>
    </row>
    <row r="780" spans="1:3" x14ac:dyDescent="0.2">
      <c r="A780" s="1" t="str">
        <f>"603811"</f>
        <v>603811</v>
      </c>
      <c r="B780" s="1" t="s">
        <v>1810</v>
      </c>
      <c r="C780" s="1" t="s">
        <v>4843</v>
      </c>
    </row>
    <row r="781" spans="1:3" x14ac:dyDescent="0.2">
      <c r="A781" s="1" t="str">
        <f>"603810"</f>
        <v>603810</v>
      </c>
      <c r="B781" s="1" t="s">
        <v>2798</v>
      </c>
      <c r="C781" s="1" t="s">
        <v>4915</v>
      </c>
    </row>
    <row r="782" spans="1:3" x14ac:dyDescent="0.2">
      <c r="A782" s="1" t="str">
        <f>"603809"</f>
        <v>603809</v>
      </c>
      <c r="B782" s="1" t="s">
        <v>1973</v>
      </c>
      <c r="C782" s="1" t="s">
        <v>4856</v>
      </c>
    </row>
    <row r="783" spans="1:3" x14ac:dyDescent="0.2">
      <c r="A783" s="1" t="str">
        <f>"603808"</f>
        <v>603808</v>
      </c>
      <c r="B783" s="1" t="s">
        <v>2327</v>
      </c>
      <c r="C783" s="1" t="s">
        <v>4909</v>
      </c>
    </row>
    <row r="784" spans="1:3" x14ac:dyDescent="0.2">
      <c r="A784" s="1" t="str">
        <f>"603806"</f>
        <v>603806</v>
      </c>
      <c r="B784" s="1" t="s">
        <v>1407</v>
      </c>
      <c r="C784" s="1" t="s">
        <v>4857</v>
      </c>
    </row>
    <row r="785" spans="1:3" x14ac:dyDescent="0.2">
      <c r="A785" s="1" t="str">
        <f>"603803"</f>
        <v>603803</v>
      </c>
      <c r="B785" s="1" t="s">
        <v>3709</v>
      </c>
      <c r="C785" s="1" t="s">
        <v>4869</v>
      </c>
    </row>
    <row r="786" spans="1:3" x14ac:dyDescent="0.2">
      <c r="A786" s="1" t="str">
        <f>"603801"</f>
        <v>603801</v>
      </c>
      <c r="B786" s="1" t="s">
        <v>2231</v>
      </c>
      <c r="C786" s="1" t="s">
        <v>4902</v>
      </c>
    </row>
    <row r="787" spans="1:3" x14ac:dyDescent="0.2">
      <c r="A787" s="1" t="str">
        <f>"603800"</f>
        <v>603800</v>
      </c>
      <c r="B787" s="1" t="s">
        <v>3710</v>
      </c>
      <c r="C787" s="1" t="s">
        <v>4845</v>
      </c>
    </row>
    <row r="788" spans="1:3" x14ac:dyDescent="0.2">
      <c r="A788" s="1" t="str">
        <f>"603799"</f>
        <v>603799</v>
      </c>
      <c r="B788" s="1" t="s">
        <v>2662</v>
      </c>
      <c r="C788" s="1" t="s">
        <v>4894</v>
      </c>
    </row>
    <row r="789" spans="1:3" x14ac:dyDescent="0.2">
      <c r="A789" s="1" t="str">
        <f>"603798"</f>
        <v>603798</v>
      </c>
      <c r="B789" s="1" t="s">
        <v>3081</v>
      </c>
      <c r="C789" s="1" t="s">
        <v>4925</v>
      </c>
    </row>
    <row r="790" spans="1:3" x14ac:dyDescent="0.2">
      <c r="A790" s="1" t="str">
        <f>"603797"</f>
        <v>603797</v>
      </c>
      <c r="B790" s="1" t="s">
        <v>43</v>
      </c>
      <c r="C790" s="1" t="s">
        <v>4863</v>
      </c>
    </row>
    <row r="791" spans="1:3" x14ac:dyDescent="0.2">
      <c r="A791" s="1" t="str">
        <f>"603790"</f>
        <v>603790</v>
      </c>
      <c r="B791" s="1" t="s">
        <v>2959</v>
      </c>
      <c r="C791" s="1" t="s">
        <v>4865</v>
      </c>
    </row>
    <row r="792" spans="1:3" x14ac:dyDescent="0.2">
      <c r="A792" s="1" t="str">
        <f>"603788"</f>
        <v>603788</v>
      </c>
      <c r="B792" s="1" t="s">
        <v>1974</v>
      </c>
      <c r="C792" s="1" t="s">
        <v>4856</v>
      </c>
    </row>
    <row r="793" spans="1:3" x14ac:dyDescent="0.2">
      <c r="A793" s="1" t="str">
        <f>"603787"</f>
        <v>603787</v>
      </c>
      <c r="B793" s="1" t="s">
        <v>1877</v>
      </c>
      <c r="C793" s="1" t="s">
        <v>4839</v>
      </c>
    </row>
    <row r="794" spans="1:3" x14ac:dyDescent="0.2">
      <c r="A794" s="1" t="str">
        <f>"603786"</f>
        <v>603786</v>
      </c>
      <c r="B794" s="1" t="s">
        <v>1891</v>
      </c>
      <c r="C794" s="1" t="s">
        <v>4856</v>
      </c>
    </row>
    <row r="795" spans="1:3" x14ac:dyDescent="0.2">
      <c r="A795" s="1" t="str">
        <f>"603779"</f>
        <v>603779</v>
      </c>
      <c r="B795" s="1" t="s">
        <v>2503</v>
      </c>
      <c r="C795" s="1" t="s">
        <v>4921</v>
      </c>
    </row>
    <row r="796" spans="1:3" x14ac:dyDescent="0.2">
      <c r="A796" s="1" t="str">
        <f>"603777"</f>
        <v>603777</v>
      </c>
      <c r="B796" s="1" t="s">
        <v>2433</v>
      </c>
      <c r="C796" s="1" t="s">
        <v>4896</v>
      </c>
    </row>
    <row r="797" spans="1:3" x14ac:dyDescent="0.2">
      <c r="A797" s="1" t="str">
        <f>"603773"</f>
        <v>603773</v>
      </c>
      <c r="B797" s="1" t="s">
        <v>3711</v>
      </c>
      <c r="C797" s="1" t="s">
        <v>4878</v>
      </c>
    </row>
    <row r="798" spans="1:3" x14ac:dyDescent="0.2">
      <c r="A798" s="1" t="str">
        <f>"603768"</f>
        <v>603768</v>
      </c>
      <c r="B798" s="1" t="s">
        <v>2042</v>
      </c>
      <c r="C798" s="1" t="s">
        <v>4856</v>
      </c>
    </row>
    <row r="799" spans="1:3" x14ac:dyDescent="0.2">
      <c r="A799" s="1" t="str">
        <f>"603767"</f>
        <v>603767</v>
      </c>
      <c r="B799" s="1" t="s">
        <v>1975</v>
      </c>
      <c r="C799" s="1" t="s">
        <v>4856</v>
      </c>
    </row>
    <row r="800" spans="1:3" x14ac:dyDescent="0.2">
      <c r="A800" s="1" t="str">
        <f>"603766"</f>
        <v>603766</v>
      </c>
      <c r="B800" s="1" t="s">
        <v>1878</v>
      </c>
      <c r="C800" s="1" t="s">
        <v>4839</v>
      </c>
    </row>
    <row r="801" spans="1:3" x14ac:dyDescent="0.2">
      <c r="A801" s="1" t="str">
        <f>"603759"</f>
        <v>603759</v>
      </c>
      <c r="B801" s="1" t="s">
        <v>82</v>
      </c>
      <c r="C801" s="1" t="s">
        <v>4926</v>
      </c>
    </row>
    <row r="802" spans="1:3" x14ac:dyDescent="0.2">
      <c r="A802" s="1" t="str">
        <f>"603758"</f>
        <v>603758</v>
      </c>
      <c r="B802" s="1" t="s">
        <v>1976</v>
      </c>
      <c r="C802" s="1" t="s">
        <v>4856</v>
      </c>
    </row>
    <row r="803" spans="1:3" x14ac:dyDescent="0.2">
      <c r="A803" s="1" t="str">
        <f>"603757"</f>
        <v>603757</v>
      </c>
      <c r="B803" s="1" t="s">
        <v>3712</v>
      </c>
      <c r="C803" s="1" t="s">
        <v>4851</v>
      </c>
    </row>
    <row r="804" spans="1:3" x14ac:dyDescent="0.2">
      <c r="A804" s="1" t="str">
        <f>"603755"</f>
        <v>603755</v>
      </c>
      <c r="B804" s="1" t="s">
        <v>2442</v>
      </c>
      <c r="C804" s="1" t="s">
        <v>4927</v>
      </c>
    </row>
    <row r="805" spans="1:3" x14ac:dyDescent="0.2">
      <c r="A805" s="1" t="str">
        <f>"603739"</f>
        <v>603739</v>
      </c>
      <c r="B805" s="1" t="s">
        <v>2512</v>
      </c>
      <c r="C805" s="1" t="s">
        <v>4877</v>
      </c>
    </row>
    <row r="806" spans="1:3" x14ac:dyDescent="0.2">
      <c r="A806" s="1" t="str">
        <f>"603738"</f>
        <v>603738</v>
      </c>
      <c r="B806" s="1" t="s">
        <v>737</v>
      </c>
      <c r="C806" s="1" t="s">
        <v>4872</v>
      </c>
    </row>
    <row r="807" spans="1:3" x14ac:dyDescent="0.2">
      <c r="A807" s="1" t="str">
        <f>"603737"</f>
        <v>603737</v>
      </c>
      <c r="B807" s="1" t="s">
        <v>2589</v>
      </c>
      <c r="C807" s="1" t="s">
        <v>4886</v>
      </c>
    </row>
    <row r="808" spans="1:3" x14ac:dyDescent="0.2">
      <c r="A808" s="1" t="str">
        <f>"603733"</f>
        <v>603733</v>
      </c>
      <c r="B808" s="1" t="s">
        <v>2289</v>
      </c>
      <c r="C808" s="1" t="s">
        <v>4892</v>
      </c>
    </row>
    <row r="809" spans="1:3" x14ac:dyDescent="0.2">
      <c r="A809" s="1" t="str">
        <f>"603730"</f>
        <v>603730</v>
      </c>
      <c r="B809" s="1" t="s">
        <v>2043</v>
      </c>
      <c r="C809" s="1" t="s">
        <v>4856</v>
      </c>
    </row>
    <row r="810" spans="1:3" x14ac:dyDescent="0.2">
      <c r="A810" s="1" t="str">
        <f>"603729"</f>
        <v>603729</v>
      </c>
      <c r="B810" s="1" t="s">
        <v>3713</v>
      </c>
      <c r="C810" s="1" t="s">
        <v>4907</v>
      </c>
    </row>
    <row r="811" spans="1:3" x14ac:dyDescent="0.2">
      <c r="A811" s="1" t="str">
        <f>"603728"</f>
        <v>603728</v>
      </c>
      <c r="B811" s="1" t="s">
        <v>1563</v>
      </c>
      <c r="C811" s="1" t="s">
        <v>4919</v>
      </c>
    </row>
    <row r="812" spans="1:3" x14ac:dyDescent="0.2">
      <c r="A812" s="1" t="str">
        <f>"603727"</f>
        <v>603727</v>
      </c>
      <c r="B812" s="1" t="s">
        <v>3714</v>
      </c>
      <c r="C812" s="1" t="s">
        <v>4928</v>
      </c>
    </row>
    <row r="813" spans="1:3" x14ac:dyDescent="0.2">
      <c r="A813" s="1" t="str">
        <f>"603726"</f>
        <v>603726</v>
      </c>
      <c r="B813" s="1" t="s">
        <v>2130</v>
      </c>
      <c r="C813" s="1" t="s">
        <v>4929</v>
      </c>
    </row>
    <row r="814" spans="1:3" x14ac:dyDescent="0.2">
      <c r="A814" s="1" t="str">
        <f>"603725"</f>
        <v>603725</v>
      </c>
      <c r="B814" s="1" t="s">
        <v>2860</v>
      </c>
      <c r="C814" s="1" t="s">
        <v>4860</v>
      </c>
    </row>
    <row r="815" spans="1:3" x14ac:dyDescent="0.2">
      <c r="A815" s="1" t="str">
        <f>"603722"</f>
        <v>603722</v>
      </c>
      <c r="B815" s="1" t="s">
        <v>3715</v>
      </c>
      <c r="C815" s="1" t="s">
        <v>4853</v>
      </c>
    </row>
    <row r="816" spans="1:3" x14ac:dyDescent="0.2">
      <c r="A816" s="1" t="str">
        <f>"603719"</f>
        <v>603719</v>
      </c>
      <c r="B816" s="1" t="s">
        <v>3716</v>
      </c>
      <c r="C816" s="1" t="s">
        <v>4896</v>
      </c>
    </row>
    <row r="817" spans="1:3" x14ac:dyDescent="0.2">
      <c r="A817" s="1" t="str">
        <f>"603718"</f>
        <v>603718</v>
      </c>
      <c r="B817" s="1" t="s">
        <v>2513</v>
      </c>
      <c r="C817" s="1" t="s">
        <v>4877</v>
      </c>
    </row>
    <row r="818" spans="1:3" x14ac:dyDescent="0.2">
      <c r="A818" s="1" t="str">
        <f>"603717"</f>
        <v>603717</v>
      </c>
      <c r="B818" s="1" t="s">
        <v>2557</v>
      </c>
      <c r="C818" s="1" t="s">
        <v>4900</v>
      </c>
    </row>
    <row r="819" spans="1:3" x14ac:dyDescent="0.2">
      <c r="A819" s="1" t="str">
        <f>"603716"</f>
        <v>603716</v>
      </c>
      <c r="B819" s="1" t="s">
        <v>3717</v>
      </c>
      <c r="C819" s="1" t="s">
        <v>4903</v>
      </c>
    </row>
    <row r="820" spans="1:3" x14ac:dyDescent="0.2">
      <c r="A820" s="1" t="str">
        <f>"603713"</f>
        <v>603713</v>
      </c>
      <c r="B820" s="1" t="s">
        <v>161</v>
      </c>
      <c r="C820" s="1" t="s">
        <v>4914</v>
      </c>
    </row>
    <row r="821" spans="1:3" x14ac:dyDescent="0.2">
      <c r="A821" s="1" t="str">
        <f>"603712"</f>
        <v>603712</v>
      </c>
      <c r="B821" s="1" t="s">
        <v>3718</v>
      </c>
      <c r="C821" s="1" t="s">
        <v>4846</v>
      </c>
    </row>
    <row r="822" spans="1:3" x14ac:dyDescent="0.2">
      <c r="A822" s="1" t="str">
        <f>"603711"</f>
        <v>603711</v>
      </c>
      <c r="B822" s="1" t="s">
        <v>3719</v>
      </c>
      <c r="C822" s="1" t="s">
        <v>4893</v>
      </c>
    </row>
    <row r="823" spans="1:3" x14ac:dyDescent="0.2">
      <c r="A823" s="1" t="str">
        <f>"603709"</f>
        <v>603709</v>
      </c>
      <c r="B823" s="1" t="s">
        <v>3720</v>
      </c>
      <c r="C823" s="1" t="s">
        <v>4902</v>
      </c>
    </row>
    <row r="824" spans="1:3" x14ac:dyDescent="0.2">
      <c r="A824" s="1" t="str">
        <f>"603708"</f>
        <v>603708</v>
      </c>
      <c r="B824" s="1" t="s">
        <v>3721</v>
      </c>
      <c r="C824" s="1" t="s">
        <v>4905</v>
      </c>
    </row>
    <row r="825" spans="1:3" x14ac:dyDescent="0.2">
      <c r="A825" s="1" t="str">
        <f>"603707"</f>
        <v>603707</v>
      </c>
      <c r="B825" s="1" t="s">
        <v>1743</v>
      </c>
      <c r="C825" s="1" t="s">
        <v>4852</v>
      </c>
    </row>
    <row r="826" spans="1:3" x14ac:dyDescent="0.2">
      <c r="A826" s="1" t="str">
        <f>"603706"</f>
        <v>603706</v>
      </c>
      <c r="B826" s="1" t="s">
        <v>98</v>
      </c>
      <c r="C826" s="1" t="s">
        <v>4895</v>
      </c>
    </row>
    <row r="827" spans="1:3" x14ac:dyDescent="0.2">
      <c r="A827" s="1" t="str">
        <f>"603703"</f>
        <v>603703</v>
      </c>
      <c r="B827" s="1" t="s">
        <v>826</v>
      </c>
      <c r="C827" s="1" t="s">
        <v>4878</v>
      </c>
    </row>
    <row r="828" spans="1:3" x14ac:dyDescent="0.2">
      <c r="A828" s="1" t="str">
        <f>"603701"</f>
        <v>603701</v>
      </c>
      <c r="B828" s="1" t="s">
        <v>1977</v>
      </c>
      <c r="C828" s="1" t="s">
        <v>4856</v>
      </c>
    </row>
    <row r="829" spans="1:3" x14ac:dyDescent="0.2">
      <c r="A829" s="1" t="str">
        <f>"603700"</f>
        <v>603700</v>
      </c>
      <c r="B829" s="1" t="s">
        <v>1266</v>
      </c>
      <c r="C829" s="1" t="s">
        <v>4851</v>
      </c>
    </row>
    <row r="830" spans="1:3" x14ac:dyDescent="0.2">
      <c r="A830" s="1" t="str">
        <f>"603699"</f>
        <v>603699</v>
      </c>
      <c r="B830" s="1" t="s">
        <v>1214</v>
      </c>
      <c r="C830" s="1" t="s">
        <v>4851</v>
      </c>
    </row>
    <row r="831" spans="1:3" x14ac:dyDescent="0.2">
      <c r="A831" s="1" t="str">
        <f>"603698"</f>
        <v>603698</v>
      </c>
      <c r="B831" s="1" t="s">
        <v>1107</v>
      </c>
      <c r="C831" s="1" t="s">
        <v>4845</v>
      </c>
    </row>
    <row r="832" spans="1:3" x14ac:dyDescent="0.2">
      <c r="A832" s="1" t="str">
        <f>"603697"</f>
        <v>603697</v>
      </c>
      <c r="B832" s="1" t="s">
        <v>2434</v>
      </c>
      <c r="C832" s="1" t="s">
        <v>4896</v>
      </c>
    </row>
    <row r="833" spans="1:3" x14ac:dyDescent="0.2">
      <c r="A833" s="1" t="str">
        <f>"603696"</f>
        <v>603696</v>
      </c>
      <c r="B833" s="1" t="s">
        <v>2443</v>
      </c>
      <c r="C833" s="1" t="s">
        <v>4927</v>
      </c>
    </row>
    <row r="834" spans="1:3" x14ac:dyDescent="0.2">
      <c r="A834" s="1" t="str">
        <f>"603693"</f>
        <v>603693</v>
      </c>
      <c r="B834" s="1" t="s">
        <v>131</v>
      </c>
      <c r="C834" s="1" t="s">
        <v>4889</v>
      </c>
    </row>
    <row r="835" spans="1:3" x14ac:dyDescent="0.2">
      <c r="A835" s="1" t="str">
        <f>"603690"</f>
        <v>603690</v>
      </c>
      <c r="B835" s="1" t="s">
        <v>932</v>
      </c>
      <c r="C835" s="1" t="s">
        <v>4840</v>
      </c>
    </row>
    <row r="836" spans="1:3" x14ac:dyDescent="0.2">
      <c r="A836" s="1" t="str">
        <f>"603689"</f>
        <v>603689</v>
      </c>
      <c r="B836" s="1" t="s">
        <v>99</v>
      </c>
      <c r="C836" s="1" t="s">
        <v>4895</v>
      </c>
    </row>
    <row r="837" spans="1:3" x14ac:dyDescent="0.2">
      <c r="A837" s="1" t="str">
        <f>"603688"</f>
        <v>603688</v>
      </c>
      <c r="B837" s="1" t="s">
        <v>2769</v>
      </c>
      <c r="C837" s="1" t="s">
        <v>4881</v>
      </c>
    </row>
    <row r="838" spans="1:3" x14ac:dyDescent="0.2">
      <c r="A838" s="1" t="str">
        <f>"603687"</f>
        <v>603687</v>
      </c>
      <c r="B838" s="1" t="s">
        <v>2259</v>
      </c>
      <c r="C838" s="1" t="s">
        <v>4930</v>
      </c>
    </row>
    <row r="839" spans="1:3" x14ac:dyDescent="0.2">
      <c r="A839" s="1" t="str">
        <f>"603686"</f>
        <v>603686</v>
      </c>
      <c r="B839" s="1" t="s">
        <v>68</v>
      </c>
      <c r="C839" s="1" t="s">
        <v>4871</v>
      </c>
    </row>
    <row r="840" spans="1:3" x14ac:dyDescent="0.2">
      <c r="A840" s="1" t="str">
        <f>"603685"</f>
        <v>603685</v>
      </c>
      <c r="B840" s="1" t="s">
        <v>3722</v>
      </c>
      <c r="C840" s="1" t="s">
        <v>4878</v>
      </c>
    </row>
    <row r="841" spans="1:3" x14ac:dyDescent="0.2">
      <c r="A841" s="1" t="str">
        <f>"603683"</f>
        <v>603683</v>
      </c>
      <c r="B841" s="1" t="s">
        <v>2925</v>
      </c>
      <c r="C841" s="1" t="s">
        <v>4865</v>
      </c>
    </row>
    <row r="842" spans="1:3" x14ac:dyDescent="0.2">
      <c r="A842" s="1" t="str">
        <f>"603682"</f>
        <v>603682</v>
      </c>
      <c r="B842" s="1" t="s">
        <v>3723</v>
      </c>
      <c r="C842" s="1" t="s">
        <v>4931</v>
      </c>
    </row>
    <row r="843" spans="1:3" x14ac:dyDescent="0.2">
      <c r="A843" s="1" t="str">
        <f>"603681"</f>
        <v>603681</v>
      </c>
      <c r="B843" s="1" t="s">
        <v>2926</v>
      </c>
      <c r="C843" s="1" t="s">
        <v>4865</v>
      </c>
    </row>
    <row r="844" spans="1:3" x14ac:dyDescent="0.2">
      <c r="A844" s="1" t="str">
        <f>"603680"</f>
        <v>603680</v>
      </c>
      <c r="B844" s="1" t="s">
        <v>1292</v>
      </c>
      <c r="C844" s="1" t="s">
        <v>4875</v>
      </c>
    </row>
    <row r="845" spans="1:3" x14ac:dyDescent="0.2">
      <c r="A845" s="1" t="str">
        <f>"603679"</f>
        <v>603679</v>
      </c>
      <c r="B845" s="1" t="s">
        <v>3724</v>
      </c>
      <c r="C845" s="1" t="s">
        <v>4878</v>
      </c>
    </row>
    <row r="846" spans="1:3" x14ac:dyDescent="0.2">
      <c r="A846" s="1" t="str">
        <f>"603678"</f>
        <v>603678</v>
      </c>
      <c r="B846" s="1" t="s">
        <v>1306</v>
      </c>
      <c r="C846" s="1" t="s">
        <v>4846</v>
      </c>
    </row>
    <row r="847" spans="1:3" x14ac:dyDescent="0.2">
      <c r="A847" s="1" t="str">
        <f>"603677"</f>
        <v>603677</v>
      </c>
      <c r="B847" s="1" t="s">
        <v>2131</v>
      </c>
      <c r="C847" s="1" t="s">
        <v>4929</v>
      </c>
    </row>
    <row r="848" spans="1:3" x14ac:dyDescent="0.2">
      <c r="A848" s="1" t="str">
        <f>"603676"</f>
        <v>603676</v>
      </c>
      <c r="B848" s="1" t="s">
        <v>1811</v>
      </c>
      <c r="C848" s="1" t="s">
        <v>4843</v>
      </c>
    </row>
    <row r="849" spans="1:3" x14ac:dyDescent="0.2">
      <c r="A849" s="1" t="str">
        <f>"603668"</f>
        <v>603668</v>
      </c>
      <c r="B849" s="1" t="s">
        <v>2536</v>
      </c>
      <c r="C849" s="1" t="s">
        <v>4885</v>
      </c>
    </row>
    <row r="850" spans="1:3" x14ac:dyDescent="0.2">
      <c r="A850" s="1" t="str">
        <f>"603667"</f>
        <v>603667</v>
      </c>
      <c r="B850" s="1" t="s">
        <v>1215</v>
      </c>
      <c r="C850" s="1" t="s">
        <v>4851</v>
      </c>
    </row>
    <row r="851" spans="1:3" x14ac:dyDescent="0.2">
      <c r="A851" s="1" t="str">
        <f>"603666"</f>
        <v>603666</v>
      </c>
      <c r="B851" s="1" t="s">
        <v>987</v>
      </c>
      <c r="C851" s="1" t="s">
        <v>4849</v>
      </c>
    </row>
    <row r="852" spans="1:3" x14ac:dyDescent="0.2">
      <c r="A852" s="1" t="str">
        <f>"603665"</f>
        <v>603665</v>
      </c>
      <c r="B852" s="1" t="s">
        <v>2355</v>
      </c>
      <c r="C852" s="1" t="s">
        <v>4909</v>
      </c>
    </row>
    <row r="853" spans="1:3" x14ac:dyDescent="0.2">
      <c r="A853" s="1" t="str">
        <f>"603663"</f>
        <v>603663</v>
      </c>
      <c r="B853" s="1" t="s">
        <v>2640</v>
      </c>
      <c r="C853" s="1" t="s">
        <v>4855</v>
      </c>
    </row>
    <row r="854" spans="1:3" x14ac:dyDescent="0.2">
      <c r="A854" s="1" t="str">
        <f>"603662"</f>
        <v>603662</v>
      </c>
      <c r="B854" s="1" t="s">
        <v>1267</v>
      </c>
      <c r="C854" s="1" t="s">
        <v>4851</v>
      </c>
    </row>
    <row r="855" spans="1:3" x14ac:dyDescent="0.2">
      <c r="A855" s="1" t="str">
        <f>"603661"</f>
        <v>603661</v>
      </c>
      <c r="B855" s="1" t="s">
        <v>3725</v>
      </c>
      <c r="C855" s="1" t="s">
        <v>4902</v>
      </c>
    </row>
    <row r="856" spans="1:3" x14ac:dyDescent="0.2">
      <c r="A856" s="1" t="str">
        <f>"603660"</f>
        <v>603660</v>
      </c>
      <c r="B856" s="1" t="s">
        <v>3726</v>
      </c>
      <c r="C856" s="1" t="s">
        <v>4873</v>
      </c>
    </row>
    <row r="857" spans="1:3" x14ac:dyDescent="0.2">
      <c r="A857" s="1" t="str">
        <f>"603659"</f>
        <v>603659</v>
      </c>
      <c r="B857" s="1" t="s">
        <v>1530</v>
      </c>
      <c r="C857" s="1" t="s">
        <v>4841</v>
      </c>
    </row>
    <row r="858" spans="1:3" x14ac:dyDescent="0.2">
      <c r="A858" s="1" t="str">
        <f>"603658"</f>
        <v>603658</v>
      </c>
      <c r="B858" s="1" t="s">
        <v>1759</v>
      </c>
      <c r="C858" s="1" t="s">
        <v>4852</v>
      </c>
    </row>
    <row r="859" spans="1:3" x14ac:dyDescent="0.2">
      <c r="A859" s="1" t="str">
        <f>"603657"</f>
        <v>603657</v>
      </c>
      <c r="B859" s="1" t="s">
        <v>2132</v>
      </c>
      <c r="C859" s="1" t="s">
        <v>4929</v>
      </c>
    </row>
    <row r="860" spans="1:3" x14ac:dyDescent="0.2">
      <c r="A860" s="1" t="str">
        <f>"603656"</f>
        <v>603656</v>
      </c>
      <c r="B860" s="1" t="s">
        <v>1015</v>
      </c>
      <c r="C860" s="1" t="s">
        <v>4845</v>
      </c>
    </row>
    <row r="861" spans="1:3" x14ac:dyDescent="0.2">
      <c r="A861" s="1" t="str">
        <f>"603655"</f>
        <v>603655</v>
      </c>
      <c r="B861" s="1" t="s">
        <v>1914</v>
      </c>
      <c r="C861" s="1" t="s">
        <v>4856</v>
      </c>
    </row>
    <row r="862" spans="1:3" x14ac:dyDescent="0.2">
      <c r="A862" s="1" t="str">
        <f>"603650"</f>
        <v>603650</v>
      </c>
      <c r="B862" s="1" t="s">
        <v>2834</v>
      </c>
      <c r="C862" s="1" t="s">
        <v>4906</v>
      </c>
    </row>
    <row r="863" spans="1:3" x14ac:dyDescent="0.2">
      <c r="A863" s="1" t="str">
        <f>"603648"</f>
        <v>603648</v>
      </c>
      <c r="B863" s="1" t="s">
        <v>3727</v>
      </c>
      <c r="C863" s="1" t="s">
        <v>4914</v>
      </c>
    </row>
    <row r="864" spans="1:3" x14ac:dyDescent="0.2">
      <c r="A864" s="1" t="str">
        <f>"603639"</f>
        <v>603639</v>
      </c>
      <c r="B864" s="1" t="s">
        <v>2799</v>
      </c>
      <c r="C864" s="1" t="s">
        <v>4915</v>
      </c>
    </row>
    <row r="865" spans="1:3" x14ac:dyDescent="0.2">
      <c r="A865" s="1" t="str">
        <f>"603638"</f>
        <v>603638</v>
      </c>
      <c r="B865" s="1" t="s">
        <v>992</v>
      </c>
      <c r="C865" s="1" t="s">
        <v>4880</v>
      </c>
    </row>
    <row r="866" spans="1:3" x14ac:dyDescent="0.2">
      <c r="A866" s="1" t="str">
        <f>"603637"</f>
        <v>603637</v>
      </c>
      <c r="B866" s="1" t="s">
        <v>332</v>
      </c>
      <c r="C866" s="1" t="s">
        <v>4888</v>
      </c>
    </row>
    <row r="867" spans="1:3" x14ac:dyDescent="0.2">
      <c r="A867" s="1" t="str">
        <f>"603636"</f>
        <v>603636</v>
      </c>
      <c r="B867" s="1" t="s">
        <v>3728</v>
      </c>
      <c r="C867" s="1" t="s">
        <v>4847</v>
      </c>
    </row>
    <row r="868" spans="1:3" x14ac:dyDescent="0.2">
      <c r="A868" s="1" t="str">
        <f>"603633"</f>
        <v>603633</v>
      </c>
      <c r="B868" s="1" t="s">
        <v>1892</v>
      </c>
      <c r="C868" s="1" t="s">
        <v>4856</v>
      </c>
    </row>
    <row r="869" spans="1:3" x14ac:dyDescent="0.2">
      <c r="A869" s="1" t="str">
        <f>"603630"</f>
        <v>603630</v>
      </c>
      <c r="B869" s="1" t="s">
        <v>3074</v>
      </c>
      <c r="C869" s="1" t="s">
        <v>4920</v>
      </c>
    </row>
    <row r="870" spans="1:3" x14ac:dyDescent="0.2">
      <c r="A870" s="1" t="str">
        <f>"603629"</f>
        <v>603629</v>
      </c>
      <c r="B870" s="1" t="s">
        <v>847</v>
      </c>
      <c r="C870" s="1" t="s">
        <v>4850</v>
      </c>
    </row>
    <row r="871" spans="1:3" x14ac:dyDescent="0.2">
      <c r="A871" s="1" t="str">
        <f>"603628"</f>
        <v>603628</v>
      </c>
      <c r="B871" s="1" t="s">
        <v>1408</v>
      </c>
      <c r="C871" s="1" t="s">
        <v>4857</v>
      </c>
    </row>
    <row r="872" spans="1:3" x14ac:dyDescent="0.2">
      <c r="A872" s="1" t="str">
        <f>"603626"</f>
        <v>603626</v>
      </c>
      <c r="B872" s="1" t="s">
        <v>3729</v>
      </c>
      <c r="C872" s="1" t="s">
        <v>4850</v>
      </c>
    </row>
    <row r="873" spans="1:3" x14ac:dyDescent="0.2">
      <c r="A873" s="1" t="str">
        <f>"603619"</f>
        <v>603619</v>
      </c>
      <c r="B873" s="1" t="s">
        <v>3730</v>
      </c>
      <c r="C873" s="1" t="s">
        <v>4928</v>
      </c>
    </row>
    <row r="874" spans="1:3" x14ac:dyDescent="0.2">
      <c r="A874" s="1" t="str">
        <f>"603618"</f>
        <v>603618</v>
      </c>
      <c r="B874" s="1" t="s">
        <v>1428</v>
      </c>
      <c r="C874" s="1" t="s">
        <v>4866</v>
      </c>
    </row>
    <row r="875" spans="1:3" x14ac:dyDescent="0.2">
      <c r="A875" s="1" t="str">
        <f>"603617"</f>
        <v>603617</v>
      </c>
      <c r="B875" s="1" t="s">
        <v>1216</v>
      </c>
      <c r="C875" s="1" t="s">
        <v>4851</v>
      </c>
    </row>
    <row r="876" spans="1:3" x14ac:dyDescent="0.2">
      <c r="A876" s="1" t="str">
        <f>"603616"</f>
        <v>603616</v>
      </c>
      <c r="B876" s="1" t="s">
        <v>3731</v>
      </c>
      <c r="C876" s="1" t="s">
        <v>4911</v>
      </c>
    </row>
    <row r="877" spans="1:3" x14ac:dyDescent="0.2">
      <c r="A877" s="1" t="str">
        <f>"603615"</f>
        <v>603615</v>
      </c>
      <c r="B877" s="1" t="s">
        <v>3732</v>
      </c>
      <c r="C877" s="1" t="s">
        <v>4902</v>
      </c>
    </row>
    <row r="878" spans="1:3" x14ac:dyDescent="0.2">
      <c r="A878" s="1" t="str">
        <f>"603613"</f>
        <v>603613</v>
      </c>
      <c r="B878" s="1" t="s">
        <v>519</v>
      </c>
      <c r="C878" s="1" t="s">
        <v>4883</v>
      </c>
    </row>
    <row r="879" spans="1:3" x14ac:dyDescent="0.2">
      <c r="A879" s="1" t="str">
        <f>"603612"</f>
        <v>603612</v>
      </c>
      <c r="B879" s="1" t="s">
        <v>2770</v>
      </c>
      <c r="C879" s="1" t="s">
        <v>4881</v>
      </c>
    </row>
    <row r="880" spans="1:3" x14ac:dyDescent="0.2">
      <c r="A880" s="1" t="str">
        <f>"603611"</f>
        <v>603611</v>
      </c>
      <c r="B880" s="1" t="s">
        <v>1016</v>
      </c>
      <c r="C880" s="1" t="s">
        <v>4845</v>
      </c>
    </row>
    <row r="881" spans="1:3" x14ac:dyDescent="0.2">
      <c r="A881" s="1" t="str">
        <f>"603610"</f>
        <v>603610</v>
      </c>
      <c r="B881" s="1" t="s">
        <v>2232</v>
      </c>
      <c r="C881" s="1" t="s">
        <v>4902</v>
      </c>
    </row>
    <row r="882" spans="1:3" x14ac:dyDescent="0.2">
      <c r="A882" s="1" t="str">
        <f>"603609"</f>
        <v>603609</v>
      </c>
      <c r="B882" s="1" t="s">
        <v>2539</v>
      </c>
      <c r="C882" s="1" t="s">
        <v>4885</v>
      </c>
    </row>
    <row r="883" spans="1:3" x14ac:dyDescent="0.2">
      <c r="A883" s="1" t="str">
        <f>"603608"</f>
        <v>603608</v>
      </c>
      <c r="B883" s="1" t="s">
        <v>3733</v>
      </c>
      <c r="C883" s="1" t="s">
        <v>4909</v>
      </c>
    </row>
    <row r="884" spans="1:3" x14ac:dyDescent="0.2">
      <c r="A884" s="1" t="str">
        <f>"603607"</f>
        <v>603607</v>
      </c>
      <c r="B884" s="1" t="s">
        <v>2255</v>
      </c>
      <c r="C884" s="1" t="s">
        <v>4930</v>
      </c>
    </row>
    <row r="885" spans="1:3" x14ac:dyDescent="0.2">
      <c r="A885" s="1" t="str">
        <f>"603606"</f>
        <v>603606</v>
      </c>
      <c r="B885" s="1" t="s">
        <v>1429</v>
      </c>
      <c r="C885" s="1" t="s">
        <v>4866</v>
      </c>
    </row>
    <row r="886" spans="1:3" x14ac:dyDescent="0.2">
      <c r="A886" s="1" t="str">
        <f>"603605"</f>
        <v>603605</v>
      </c>
      <c r="B886" s="1" t="s">
        <v>3066</v>
      </c>
      <c r="C886" s="1" t="s">
        <v>4920</v>
      </c>
    </row>
    <row r="887" spans="1:3" x14ac:dyDescent="0.2">
      <c r="A887" s="1" t="str">
        <f>"603602"</f>
        <v>603602</v>
      </c>
      <c r="B887" s="1" t="s">
        <v>641</v>
      </c>
      <c r="C887" s="1" t="s">
        <v>4932</v>
      </c>
    </row>
    <row r="888" spans="1:3" x14ac:dyDescent="0.2">
      <c r="A888" s="1" t="str">
        <f>"603601"</f>
        <v>603601</v>
      </c>
      <c r="B888" s="1" t="s">
        <v>2604</v>
      </c>
      <c r="C888" s="1" t="s">
        <v>4916</v>
      </c>
    </row>
    <row r="889" spans="1:3" x14ac:dyDescent="0.2">
      <c r="A889" s="1" t="str">
        <f>"603600"</f>
        <v>603600</v>
      </c>
      <c r="B889" s="1" t="s">
        <v>2233</v>
      </c>
      <c r="C889" s="1" t="s">
        <v>4902</v>
      </c>
    </row>
    <row r="890" spans="1:3" x14ac:dyDescent="0.2">
      <c r="A890" s="1" t="str">
        <f>"603599"</f>
        <v>603599</v>
      </c>
      <c r="B890" s="1" t="s">
        <v>2800</v>
      </c>
      <c r="C890" s="1" t="s">
        <v>4915</v>
      </c>
    </row>
    <row r="891" spans="1:3" x14ac:dyDescent="0.2">
      <c r="A891" s="1" t="str">
        <f>"603598"</f>
        <v>603598</v>
      </c>
      <c r="B891" s="1" t="s">
        <v>487</v>
      </c>
      <c r="C891" s="1" t="s">
        <v>4907</v>
      </c>
    </row>
    <row r="892" spans="1:3" x14ac:dyDescent="0.2">
      <c r="A892" s="1" t="str">
        <f>"603596"</f>
        <v>603596</v>
      </c>
      <c r="B892" s="1" t="s">
        <v>1978</v>
      </c>
      <c r="C892" s="1" t="s">
        <v>4856</v>
      </c>
    </row>
    <row r="893" spans="1:3" x14ac:dyDescent="0.2">
      <c r="A893" s="1" t="str">
        <f>"603595"</f>
        <v>603595</v>
      </c>
      <c r="B893" s="1" t="s">
        <v>848</v>
      </c>
      <c r="C893" s="1" t="s">
        <v>4850</v>
      </c>
    </row>
    <row r="894" spans="1:3" x14ac:dyDescent="0.2">
      <c r="A894" s="1" t="str">
        <f>"603590"</f>
        <v>603590</v>
      </c>
      <c r="B894" s="1" t="s">
        <v>1744</v>
      </c>
      <c r="C894" s="1" t="s">
        <v>4852</v>
      </c>
    </row>
    <row r="895" spans="1:3" x14ac:dyDescent="0.2">
      <c r="A895" s="1" t="str">
        <f>"603589"</f>
        <v>603589</v>
      </c>
      <c r="B895" s="1" t="s">
        <v>2482</v>
      </c>
      <c r="C895" s="1" t="s">
        <v>4921</v>
      </c>
    </row>
    <row r="896" spans="1:3" x14ac:dyDescent="0.2">
      <c r="A896" s="1" t="str">
        <f>"603588"</f>
        <v>603588</v>
      </c>
      <c r="B896" s="1" t="s">
        <v>17</v>
      </c>
      <c r="C896" s="1" t="s">
        <v>4863</v>
      </c>
    </row>
    <row r="897" spans="1:3" x14ac:dyDescent="0.2">
      <c r="A897" s="1" t="str">
        <f>"603587"</f>
        <v>603587</v>
      </c>
      <c r="B897" s="1" t="s">
        <v>2328</v>
      </c>
      <c r="C897" s="1" t="s">
        <v>4909</v>
      </c>
    </row>
    <row r="898" spans="1:3" x14ac:dyDescent="0.2">
      <c r="A898" s="1" t="str">
        <f>"603586"</f>
        <v>603586</v>
      </c>
      <c r="B898" s="1" t="s">
        <v>1979</v>
      </c>
      <c r="C898" s="1" t="s">
        <v>4856</v>
      </c>
    </row>
    <row r="899" spans="1:3" x14ac:dyDescent="0.2">
      <c r="A899" s="1" t="str">
        <f>"603585"</f>
        <v>603585</v>
      </c>
      <c r="B899" s="1" t="s">
        <v>2801</v>
      </c>
      <c r="C899" s="1" t="s">
        <v>4915</v>
      </c>
    </row>
    <row r="900" spans="1:3" x14ac:dyDescent="0.2">
      <c r="A900" s="1" t="str">
        <f>"603583"</f>
        <v>603583</v>
      </c>
      <c r="B900" s="1" t="s">
        <v>967</v>
      </c>
      <c r="C900" s="1" t="s">
        <v>4849</v>
      </c>
    </row>
    <row r="901" spans="1:3" x14ac:dyDescent="0.2">
      <c r="A901" s="1" t="str">
        <f>"603579"</f>
        <v>603579</v>
      </c>
      <c r="B901" s="1" t="s">
        <v>2159</v>
      </c>
      <c r="C901" s="1" t="s">
        <v>4844</v>
      </c>
    </row>
    <row r="902" spans="1:3" x14ac:dyDescent="0.2">
      <c r="A902" s="1" t="str">
        <f>"603578"</f>
        <v>603578</v>
      </c>
      <c r="B902" s="1" t="s">
        <v>2133</v>
      </c>
      <c r="C902" s="1" t="s">
        <v>4929</v>
      </c>
    </row>
    <row r="903" spans="1:3" x14ac:dyDescent="0.2">
      <c r="A903" s="1" t="str">
        <f>"603577"</f>
        <v>603577</v>
      </c>
      <c r="B903" s="1" t="s">
        <v>1430</v>
      </c>
      <c r="C903" s="1" t="s">
        <v>4866</v>
      </c>
    </row>
    <row r="904" spans="1:3" x14ac:dyDescent="0.2">
      <c r="A904" s="1" t="str">
        <f>"603569"</f>
        <v>603569</v>
      </c>
      <c r="B904" s="1" t="s">
        <v>158</v>
      </c>
      <c r="C904" s="1" t="s">
        <v>4914</v>
      </c>
    </row>
    <row r="905" spans="1:3" x14ac:dyDescent="0.2">
      <c r="A905" s="1" t="str">
        <f>"603568"</f>
        <v>603568</v>
      </c>
      <c r="B905" s="1" t="s">
        <v>18</v>
      </c>
      <c r="C905" s="1" t="s">
        <v>4863</v>
      </c>
    </row>
    <row r="906" spans="1:3" x14ac:dyDescent="0.2">
      <c r="A906" s="1" t="str">
        <f>"603567"</f>
        <v>603567</v>
      </c>
      <c r="B906" s="1" t="s">
        <v>1588</v>
      </c>
      <c r="C906" s="1" t="s">
        <v>4917</v>
      </c>
    </row>
    <row r="907" spans="1:3" x14ac:dyDescent="0.2">
      <c r="A907" s="1" t="str">
        <f>"603566"</f>
        <v>603566</v>
      </c>
      <c r="B907" s="1" t="s">
        <v>2514</v>
      </c>
      <c r="C907" s="1" t="s">
        <v>4877</v>
      </c>
    </row>
    <row r="908" spans="1:3" x14ac:dyDescent="0.2">
      <c r="A908" s="1" t="str">
        <f>"603565"</f>
        <v>603565</v>
      </c>
      <c r="B908" s="1" t="s">
        <v>198</v>
      </c>
      <c r="C908" s="1" t="s">
        <v>4933</v>
      </c>
    </row>
    <row r="909" spans="1:3" x14ac:dyDescent="0.2">
      <c r="A909" s="1" t="str">
        <f>"603558"</f>
        <v>603558</v>
      </c>
      <c r="B909" s="1" t="s">
        <v>2391</v>
      </c>
      <c r="C909" s="1" t="s">
        <v>4904</v>
      </c>
    </row>
    <row r="910" spans="1:3" x14ac:dyDescent="0.2">
      <c r="A910" s="1" t="str">
        <f>"603556"</f>
        <v>603556</v>
      </c>
      <c r="B910" s="1" t="s">
        <v>1511</v>
      </c>
      <c r="C910" s="1" t="s">
        <v>4866</v>
      </c>
    </row>
    <row r="911" spans="1:3" x14ac:dyDescent="0.2">
      <c r="A911" s="1" t="str">
        <f>"603551"</f>
        <v>603551</v>
      </c>
      <c r="B911" s="1" t="s">
        <v>2153</v>
      </c>
      <c r="C911" s="1" t="s">
        <v>4897</v>
      </c>
    </row>
    <row r="912" spans="1:3" x14ac:dyDescent="0.2">
      <c r="A912" s="1" t="str">
        <f>"603538"</f>
        <v>603538</v>
      </c>
      <c r="B912" s="1" t="s">
        <v>1781</v>
      </c>
      <c r="C912" s="1" t="s">
        <v>4843</v>
      </c>
    </row>
    <row r="913" spans="1:3" x14ac:dyDescent="0.2">
      <c r="A913" s="1" t="str">
        <f>"603536"</f>
        <v>603536</v>
      </c>
      <c r="B913" s="1" t="s">
        <v>3734</v>
      </c>
      <c r="C913" s="1" t="s">
        <v>4891</v>
      </c>
    </row>
    <row r="914" spans="1:3" x14ac:dyDescent="0.2">
      <c r="A914" s="1" t="str">
        <f>"603535"</f>
        <v>603535</v>
      </c>
      <c r="B914" s="1" t="s">
        <v>169</v>
      </c>
      <c r="C914" s="1" t="s">
        <v>4914</v>
      </c>
    </row>
    <row r="915" spans="1:3" x14ac:dyDescent="0.2">
      <c r="A915" s="1" t="str">
        <f>"603533"</f>
        <v>603533</v>
      </c>
      <c r="B915" s="1" t="s">
        <v>3735</v>
      </c>
      <c r="C915" s="1" t="s">
        <v>4923</v>
      </c>
    </row>
    <row r="916" spans="1:3" x14ac:dyDescent="0.2">
      <c r="A916" s="1" t="str">
        <f>"603530"</f>
        <v>603530</v>
      </c>
      <c r="B916" s="1" t="s">
        <v>1431</v>
      </c>
      <c r="C916" s="1" t="s">
        <v>4866</v>
      </c>
    </row>
    <row r="917" spans="1:3" x14ac:dyDescent="0.2">
      <c r="A917" s="1" t="str">
        <f>"603529"</f>
        <v>603529</v>
      </c>
      <c r="B917" s="1" t="s">
        <v>1871</v>
      </c>
      <c r="C917" s="1" t="s">
        <v>4839</v>
      </c>
    </row>
    <row r="918" spans="1:3" x14ac:dyDescent="0.2">
      <c r="A918" s="1" t="str">
        <f>"603528"</f>
        <v>603528</v>
      </c>
      <c r="B918" s="1" t="s">
        <v>546</v>
      </c>
      <c r="C918" s="1" t="s">
        <v>4847</v>
      </c>
    </row>
    <row r="919" spans="1:3" x14ac:dyDescent="0.2">
      <c r="A919" s="1" t="str">
        <f>"603527"</f>
        <v>603527</v>
      </c>
      <c r="B919" s="1" t="s">
        <v>2722</v>
      </c>
      <c r="C919" s="1" t="s">
        <v>4879</v>
      </c>
    </row>
    <row r="920" spans="1:3" x14ac:dyDescent="0.2">
      <c r="A920" s="1" t="str">
        <f>"603520"</f>
        <v>603520</v>
      </c>
      <c r="B920" s="1" t="s">
        <v>1782</v>
      </c>
      <c r="C920" s="1" t="s">
        <v>4843</v>
      </c>
    </row>
    <row r="921" spans="1:3" x14ac:dyDescent="0.2">
      <c r="A921" s="1" t="str">
        <f>"603519"</f>
        <v>603519</v>
      </c>
      <c r="B921" s="1" t="s">
        <v>2134</v>
      </c>
      <c r="C921" s="1" t="s">
        <v>4929</v>
      </c>
    </row>
    <row r="922" spans="1:3" x14ac:dyDescent="0.2">
      <c r="A922" s="1" t="str">
        <f>"603518"</f>
        <v>603518</v>
      </c>
      <c r="B922" s="1" t="s">
        <v>2329</v>
      </c>
      <c r="C922" s="1" t="s">
        <v>4909</v>
      </c>
    </row>
    <row r="923" spans="1:3" x14ac:dyDescent="0.2">
      <c r="A923" s="1" t="str">
        <f>"603517"</f>
        <v>603517</v>
      </c>
      <c r="B923" s="1" t="s">
        <v>2424</v>
      </c>
      <c r="C923" s="1" t="s">
        <v>4896</v>
      </c>
    </row>
    <row r="924" spans="1:3" x14ac:dyDescent="0.2">
      <c r="A924" s="1" t="str">
        <f>"603515"</f>
        <v>603515</v>
      </c>
      <c r="B924" s="1" t="s">
        <v>780</v>
      </c>
      <c r="C924" s="1" t="s">
        <v>4878</v>
      </c>
    </row>
    <row r="925" spans="1:3" x14ac:dyDescent="0.2">
      <c r="A925" s="1" t="str">
        <f>"603511"</f>
        <v>603511</v>
      </c>
      <c r="B925" s="1" t="s">
        <v>2356</v>
      </c>
      <c r="C925" s="1" t="s">
        <v>4909</v>
      </c>
    </row>
    <row r="926" spans="1:3" x14ac:dyDescent="0.2">
      <c r="A926" s="1" t="str">
        <f>"603508"</f>
        <v>603508</v>
      </c>
      <c r="B926" s="1" t="s">
        <v>630</v>
      </c>
      <c r="C926" s="1" t="s">
        <v>4873</v>
      </c>
    </row>
    <row r="927" spans="1:3" x14ac:dyDescent="0.2">
      <c r="A927" s="1" t="str">
        <f>"603507"</f>
        <v>603507</v>
      </c>
      <c r="B927" s="1" t="s">
        <v>1381</v>
      </c>
      <c r="C927" s="1" t="s">
        <v>4870</v>
      </c>
    </row>
    <row r="928" spans="1:3" x14ac:dyDescent="0.2">
      <c r="A928" s="1" t="str">
        <f>"603506"</f>
        <v>603506</v>
      </c>
      <c r="B928" s="1" t="s">
        <v>298</v>
      </c>
      <c r="C928" s="1" t="s">
        <v>4934</v>
      </c>
    </row>
    <row r="929" spans="1:3" x14ac:dyDescent="0.2">
      <c r="A929" s="1" t="str">
        <f>"603505"</f>
        <v>603505</v>
      </c>
      <c r="B929" s="1" t="s">
        <v>2950</v>
      </c>
      <c r="C929" s="1" t="s">
        <v>4865</v>
      </c>
    </row>
    <row r="930" spans="1:3" x14ac:dyDescent="0.2">
      <c r="A930" s="1" t="str">
        <f>"603501"</f>
        <v>603501</v>
      </c>
      <c r="B930" s="1" t="s">
        <v>3736</v>
      </c>
      <c r="C930" s="1" t="s">
        <v>4840</v>
      </c>
    </row>
    <row r="931" spans="1:3" x14ac:dyDescent="0.2">
      <c r="A931" s="1" t="str">
        <f>"603500"</f>
        <v>603500</v>
      </c>
      <c r="B931" s="1" t="s">
        <v>1293</v>
      </c>
      <c r="C931" s="1" t="s">
        <v>4875</v>
      </c>
    </row>
    <row r="932" spans="1:3" x14ac:dyDescent="0.2">
      <c r="A932" s="1" t="str">
        <f>"603499"</f>
        <v>603499</v>
      </c>
      <c r="B932" s="1" t="s">
        <v>2260</v>
      </c>
      <c r="C932" s="1" t="s">
        <v>4930</v>
      </c>
    </row>
    <row r="933" spans="1:3" x14ac:dyDescent="0.2">
      <c r="A933" s="1" t="str">
        <f>"603496"</f>
        <v>603496</v>
      </c>
      <c r="B933" s="1" t="s">
        <v>3737</v>
      </c>
      <c r="C933" s="1" t="s">
        <v>4873</v>
      </c>
    </row>
    <row r="934" spans="1:3" x14ac:dyDescent="0.2">
      <c r="A934" s="1" t="str">
        <f>"603489"</f>
        <v>603489</v>
      </c>
      <c r="B934" s="1" t="s">
        <v>1564</v>
      </c>
      <c r="C934" s="1" t="s">
        <v>4919</v>
      </c>
    </row>
    <row r="935" spans="1:3" x14ac:dyDescent="0.2">
      <c r="A935" s="1" t="str">
        <f>"603486"</f>
        <v>603486</v>
      </c>
      <c r="B935" s="1" t="s">
        <v>2164</v>
      </c>
      <c r="C935" s="1" t="s">
        <v>4844</v>
      </c>
    </row>
    <row r="936" spans="1:3" x14ac:dyDescent="0.2">
      <c r="A936" s="1" t="str">
        <f>"603477"</f>
        <v>603477</v>
      </c>
      <c r="B936" s="1" t="s">
        <v>2558</v>
      </c>
      <c r="C936" s="1" t="s">
        <v>4900</v>
      </c>
    </row>
    <row r="937" spans="1:3" x14ac:dyDescent="0.2">
      <c r="A937" s="1" t="str">
        <f>"603466"</f>
        <v>603466</v>
      </c>
      <c r="B937" s="1" t="s">
        <v>461</v>
      </c>
      <c r="C937" s="1" t="s">
        <v>4923</v>
      </c>
    </row>
    <row r="938" spans="1:3" x14ac:dyDescent="0.2">
      <c r="A938" s="1" t="str">
        <f>"603458"</f>
        <v>603458</v>
      </c>
      <c r="B938" s="1" t="s">
        <v>3738</v>
      </c>
      <c r="C938" s="1" t="s">
        <v>4922</v>
      </c>
    </row>
    <row r="939" spans="1:3" x14ac:dyDescent="0.2">
      <c r="A939" s="1" t="str">
        <f>"603456"</f>
        <v>603456</v>
      </c>
      <c r="B939" s="1" t="s">
        <v>1677</v>
      </c>
      <c r="C939" s="1" t="s">
        <v>4861</v>
      </c>
    </row>
    <row r="940" spans="1:3" x14ac:dyDescent="0.2">
      <c r="A940" s="1" t="str">
        <f>"603444"</f>
        <v>603444</v>
      </c>
      <c r="B940" s="1" t="s">
        <v>499</v>
      </c>
      <c r="C940" s="1" t="s">
        <v>4935</v>
      </c>
    </row>
    <row r="941" spans="1:3" x14ac:dyDescent="0.2">
      <c r="A941" s="1" t="str">
        <f>"603439"</f>
        <v>603439</v>
      </c>
      <c r="B941" s="1" t="s">
        <v>1589</v>
      </c>
      <c r="C941" s="1" t="s">
        <v>4917</v>
      </c>
    </row>
    <row r="942" spans="1:3" x14ac:dyDescent="0.2">
      <c r="A942" s="1" t="str">
        <f>"603429"</f>
        <v>603429</v>
      </c>
      <c r="B942" s="1" t="s">
        <v>2261</v>
      </c>
      <c r="C942" s="1" t="s">
        <v>4930</v>
      </c>
    </row>
    <row r="943" spans="1:3" x14ac:dyDescent="0.2">
      <c r="A943" s="1" t="str">
        <f>"603416"</f>
        <v>603416</v>
      </c>
      <c r="B943" s="1" t="s">
        <v>968</v>
      </c>
      <c r="C943" s="1" t="s">
        <v>4849</v>
      </c>
    </row>
    <row r="944" spans="1:3" x14ac:dyDescent="0.2">
      <c r="A944" s="1" t="str">
        <f>"603409"</f>
        <v>603409</v>
      </c>
      <c r="B944" s="1" t="s">
        <v>1915</v>
      </c>
      <c r="C944" s="1" t="s">
        <v>4856</v>
      </c>
    </row>
    <row r="945" spans="1:3" x14ac:dyDescent="0.2">
      <c r="A945" s="1" t="str">
        <f>"603408"</f>
        <v>603408</v>
      </c>
      <c r="B945" s="1" t="s">
        <v>2214</v>
      </c>
      <c r="C945" s="1" t="s">
        <v>4902</v>
      </c>
    </row>
    <row r="946" spans="1:3" x14ac:dyDescent="0.2">
      <c r="A946" s="1" t="str">
        <f>"603406"</f>
        <v>603406</v>
      </c>
      <c r="B946" s="1" t="s">
        <v>3739</v>
      </c>
      <c r="C946" s="1" t="s">
        <v>4858</v>
      </c>
    </row>
    <row r="947" spans="1:3" x14ac:dyDescent="0.2">
      <c r="A947" s="1" t="str">
        <f>"603400"</f>
        <v>603400</v>
      </c>
      <c r="B947" s="1" t="s">
        <v>3740</v>
      </c>
      <c r="C947" s="1" t="s">
        <v>4851</v>
      </c>
    </row>
    <row r="948" spans="1:3" x14ac:dyDescent="0.2">
      <c r="A948" s="1" t="str">
        <f>"603399"</f>
        <v>603399</v>
      </c>
      <c r="B948" s="1" t="s">
        <v>3741</v>
      </c>
      <c r="C948" s="1" t="s">
        <v>4855</v>
      </c>
    </row>
    <row r="949" spans="1:3" x14ac:dyDescent="0.2">
      <c r="A949" s="1" t="str">
        <f>"603396"</f>
        <v>603396</v>
      </c>
      <c r="B949" s="1" t="s">
        <v>1401</v>
      </c>
      <c r="C949" s="1" t="s">
        <v>4857</v>
      </c>
    </row>
    <row r="950" spans="1:3" x14ac:dyDescent="0.2">
      <c r="A950" s="1" t="str">
        <f>"603395"</f>
        <v>603395</v>
      </c>
      <c r="B950" s="1" t="s">
        <v>2774</v>
      </c>
      <c r="C950" s="1" t="s">
        <v>4915</v>
      </c>
    </row>
    <row r="951" spans="1:3" x14ac:dyDescent="0.2">
      <c r="A951" s="1" t="str">
        <f>"603393"</f>
        <v>603393</v>
      </c>
      <c r="B951" s="1" t="s">
        <v>100</v>
      </c>
      <c r="C951" s="1" t="s">
        <v>4895</v>
      </c>
    </row>
    <row r="952" spans="1:3" x14ac:dyDescent="0.2">
      <c r="A952" s="1" t="str">
        <f>"603392"</f>
        <v>603392</v>
      </c>
      <c r="B952" s="1" t="s">
        <v>3742</v>
      </c>
      <c r="C952" s="1" t="s">
        <v>4852</v>
      </c>
    </row>
    <row r="953" spans="1:3" x14ac:dyDescent="0.2">
      <c r="A953" s="1" t="str">
        <f>"603391"</f>
        <v>603391</v>
      </c>
      <c r="B953" s="1" t="s">
        <v>1108</v>
      </c>
      <c r="C953" s="1" t="s">
        <v>4845</v>
      </c>
    </row>
    <row r="954" spans="1:3" x14ac:dyDescent="0.2">
      <c r="A954" s="1" t="str">
        <f>"603390"</f>
        <v>603390</v>
      </c>
      <c r="B954" s="1" t="s">
        <v>1893</v>
      </c>
      <c r="C954" s="1" t="s">
        <v>4856</v>
      </c>
    </row>
    <row r="955" spans="1:3" x14ac:dyDescent="0.2">
      <c r="A955" s="1" t="str">
        <f>"603387"</f>
        <v>603387</v>
      </c>
      <c r="B955" s="1" t="s">
        <v>1760</v>
      </c>
      <c r="C955" s="1" t="s">
        <v>4852</v>
      </c>
    </row>
    <row r="956" spans="1:3" x14ac:dyDescent="0.2">
      <c r="A956" s="1" t="str">
        <f>"603386"</f>
        <v>603386</v>
      </c>
      <c r="B956" s="1" t="s">
        <v>752</v>
      </c>
      <c r="C956" s="1" t="s">
        <v>4872</v>
      </c>
    </row>
    <row r="957" spans="1:3" x14ac:dyDescent="0.2">
      <c r="A957" s="1" t="str">
        <f>"603385"</f>
        <v>603385</v>
      </c>
      <c r="B957" s="1" t="s">
        <v>2215</v>
      </c>
      <c r="C957" s="1" t="s">
        <v>4902</v>
      </c>
    </row>
    <row r="958" spans="1:3" x14ac:dyDescent="0.2">
      <c r="A958" s="1" t="str">
        <f>"603383"</f>
        <v>603383</v>
      </c>
      <c r="B958" s="1" t="s">
        <v>547</v>
      </c>
      <c r="C958" s="1" t="s">
        <v>4847</v>
      </c>
    </row>
    <row r="959" spans="1:3" x14ac:dyDescent="0.2">
      <c r="A959" s="1" t="str">
        <f>"603382"</f>
        <v>603382</v>
      </c>
      <c r="B959" s="1" t="s">
        <v>3743</v>
      </c>
      <c r="C959" s="1" t="s">
        <v>4858</v>
      </c>
    </row>
    <row r="960" spans="1:3" x14ac:dyDescent="0.2">
      <c r="A960" s="1" t="str">
        <f>"603381"</f>
        <v>603381</v>
      </c>
      <c r="B960" s="1" t="s">
        <v>1409</v>
      </c>
      <c r="C960" s="1" t="s">
        <v>4857</v>
      </c>
    </row>
    <row r="961" spans="1:3" x14ac:dyDescent="0.2">
      <c r="A961" s="1" t="str">
        <f>"603380"</f>
        <v>603380</v>
      </c>
      <c r="B961" s="1" t="s">
        <v>849</v>
      </c>
      <c r="C961" s="1" t="s">
        <v>4850</v>
      </c>
    </row>
    <row r="962" spans="1:3" x14ac:dyDescent="0.2">
      <c r="A962" s="1" t="str">
        <f>"603379"</f>
        <v>603379</v>
      </c>
      <c r="B962" s="1" t="s">
        <v>2951</v>
      </c>
      <c r="C962" s="1" t="s">
        <v>4865</v>
      </c>
    </row>
    <row r="963" spans="1:3" x14ac:dyDescent="0.2">
      <c r="A963" s="1" t="str">
        <f>"603375"</f>
        <v>603375</v>
      </c>
      <c r="B963" s="1" t="s">
        <v>919</v>
      </c>
      <c r="C963" s="1" t="s">
        <v>4840</v>
      </c>
    </row>
    <row r="964" spans="1:3" x14ac:dyDescent="0.2">
      <c r="A964" s="1" t="str">
        <f>"603373"</f>
        <v>603373</v>
      </c>
      <c r="B964" s="1" t="s">
        <v>3744</v>
      </c>
      <c r="C964" s="1" t="s">
        <v>4854</v>
      </c>
    </row>
    <row r="965" spans="1:3" x14ac:dyDescent="0.2">
      <c r="A965" s="1" t="str">
        <f>"603370"</f>
        <v>603370</v>
      </c>
      <c r="B965" s="1" t="s">
        <v>3745</v>
      </c>
      <c r="C965" s="1" t="s">
        <v>4919</v>
      </c>
    </row>
    <row r="966" spans="1:3" x14ac:dyDescent="0.2">
      <c r="A966" s="1" t="str">
        <f>"603369"</f>
        <v>603369</v>
      </c>
      <c r="B966" s="1" t="s">
        <v>2483</v>
      </c>
      <c r="C966" s="1" t="s">
        <v>4921</v>
      </c>
    </row>
    <row r="967" spans="1:3" x14ac:dyDescent="0.2">
      <c r="A967" s="1" t="str">
        <f>"603368"</f>
        <v>603368</v>
      </c>
      <c r="B967" s="1" t="s">
        <v>1642</v>
      </c>
      <c r="C967" s="1" t="s">
        <v>4903</v>
      </c>
    </row>
    <row r="968" spans="1:3" x14ac:dyDescent="0.2">
      <c r="A968" s="1" t="str">
        <f>"603367"</f>
        <v>603367</v>
      </c>
      <c r="B968" s="1" t="s">
        <v>1812</v>
      </c>
      <c r="C968" s="1" t="s">
        <v>4843</v>
      </c>
    </row>
    <row r="969" spans="1:3" x14ac:dyDescent="0.2">
      <c r="A969" s="1" t="str">
        <f>"603366"</f>
        <v>603366</v>
      </c>
      <c r="B969" s="1" t="s">
        <v>3746</v>
      </c>
      <c r="C969" s="1" t="s">
        <v>4897</v>
      </c>
    </row>
    <row r="970" spans="1:3" x14ac:dyDescent="0.2">
      <c r="A970" s="1" t="str">
        <f>"603365"</f>
        <v>603365</v>
      </c>
      <c r="B970" s="1" t="s">
        <v>2362</v>
      </c>
      <c r="C970" s="1" t="s">
        <v>4909</v>
      </c>
    </row>
    <row r="971" spans="1:3" x14ac:dyDescent="0.2">
      <c r="A971" s="1" t="str">
        <f>"603363"</f>
        <v>603363</v>
      </c>
      <c r="B971" s="1" t="s">
        <v>2540</v>
      </c>
      <c r="C971" s="1" t="s">
        <v>4885</v>
      </c>
    </row>
    <row r="972" spans="1:3" x14ac:dyDescent="0.2">
      <c r="A972" s="1" t="str">
        <f>"603360"</f>
        <v>603360</v>
      </c>
      <c r="B972" s="1" t="s">
        <v>2802</v>
      </c>
      <c r="C972" s="1" t="s">
        <v>4915</v>
      </c>
    </row>
    <row r="973" spans="1:3" x14ac:dyDescent="0.2">
      <c r="A973" s="1" t="str">
        <f>"603359"</f>
        <v>603359</v>
      </c>
      <c r="B973" s="1" t="s">
        <v>3747</v>
      </c>
      <c r="C973" s="1" t="s">
        <v>4898</v>
      </c>
    </row>
    <row r="974" spans="1:3" x14ac:dyDescent="0.2">
      <c r="A974" s="1" t="str">
        <f>"603358"</f>
        <v>603358</v>
      </c>
      <c r="B974" s="1" t="s">
        <v>2044</v>
      </c>
      <c r="C974" s="1" t="s">
        <v>4856</v>
      </c>
    </row>
    <row r="975" spans="1:3" x14ac:dyDescent="0.2">
      <c r="A975" s="1" t="str">
        <f>"603357"</f>
        <v>603357</v>
      </c>
      <c r="B975" s="1" t="s">
        <v>3748</v>
      </c>
      <c r="C975" s="1" t="s">
        <v>4922</v>
      </c>
    </row>
    <row r="976" spans="1:3" x14ac:dyDescent="0.2">
      <c r="A976" s="1" t="str">
        <f>"603356"</f>
        <v>603356</v>
      </c>
      <c r="B976" s="1" t="s">
        <v>3749</v>
      </c>
      <c r="C976" s="1" t="s">
        <v>4845</v>
      </c>
    </row>
    <row r="977" spans="1:3" x14ac:dyDescent="0.2">
      <c r="A977" s="1" t="str">
        <f>"603355"</f>
        <v>603355</v>
      </c>
      <c r="B977" s="1" t="s">
        <v>2165</v>
      </c>
      <c r="C977" s="1" t="s">
        <v>4844</v>
      </c>
    </row>
    <row r="978" spans="1:3" x14ac:dyDescent="0.2">
      <c r="A978" s="1" t="str">
        <f>"603353"</f>
        <v>603353</v>
      </c>
      <c r="B978" s="1" t="s">
        <v>3750</v>
      </c>
      <c r="C978" s="1" t="s">
        <v>4925</v>
      </c>
    </row>
    <row r="979" spans="1:3" x14ac:dyDescent="0.2">
      <c r="A979" s="1" t="str">
        <f>"603351"</f>
        <v>603351</v>
      </c>
      <c r="B979" s="1" t="s">
        <v>1783</v>
      </c>
      <c r="C979" s="1" t="s">
        <v>4843</v>
      </c>
    </row>
    <row r="980" spans="1:3" x14ac:dyDescent="0.2">
      <c r="A980" s="1" t="str">
        <f>"603350"</f>
        <v>603350</v>
      </c>
      <c r="B980" s="1" t="s">
        <v>1565</v>
      </c>
      <c r="C980" s="1" t="s">
        <v>4919</v>
      </c>
    </row>
    <row r="981" spans="1:3" x14ac:dyDescent="0.2">
      <c r="A981" s="1" t="str">
        <f>"603348"</f>
        <v>603348</v>
      </c>
      <c r="B981" s="1" t="s">
        <v>1916</v>
      </c>
      <c r="C981" s="1" t="s">
        <v>4856</v>
      </c>
    </row>
    <row r="982" spans="1:3" x14ac:dyDescent="0.2">
      <c r="A982" s="1" t="str">
        <f>"603345"</f>
        <v>603345</v>
      </c>
      <c r="B982" s="1" t="s">
        <v>2405</v>
      </c>
      <c r="C982" s="1" t="s">
        <v>4891</v>
      </c>
    </row>
    <row r="983" spans="1:3" x14ac:dyDescent="0.2">
      <c r="A983" s="1" t="str">
        <f>"603344"</f>
        <v>603344</v>
      </c>
      <c r="B983" s="1" t="s">
        <v>1566</v>
      </c>
      <c r="C983" s="1" t="s">
        <v>4919</v>
      </c>
    </row>
    <row r="984" spans="1:3" x14ac:dyDescent="0.2">
      <c r="A984" s="1" t="str">
        <f>"603341"</f>
        <v>603341</v>
      </c>
      <c r="B984" s="1" t="s">
        <v>665</v>
      </c>
      <c r="C984" s="1" t="s">
        <v>4869</v>
      </c>
    </row>
    <row r="985" spans="1:3" x14ac:dyDescent="0.2">
      <c r="A985" s="1" t="str">
        <f>"603339"</f>
        <v>603339</v>
      </c>
      <c r="B985" s="1" t="s">
        <v>1173</v>
      </c>
      <c r="C985" s="1" t="s">
        <v>4851</v>
      </c>
    </row>
    <row r="986" spans="1:3" x14ac:dyDescent="0.2">
      <c r="A986" s="1" t="str">
        <f>"603338"</f>
        <v>603338</v>
      </c>
      <c r="B986" s="1" t="s">
        <v>1001</v>
      </c>
      <c r="C986" s="1" t="s">
        <v>4880</v>
      </c>
    </row>
    <row r="987" spans="1:3" x14ac:dyDescent="0.2">
      <c r="A987" s="1" t="str">
        <f>"603337"</f>
        <v>603337</v>
      </c>
      <c r="B987" s="1" t="s">
        <v>1089</v>
      </c>
      <c r="C987" s="1" t="s">
        <v>4845</v>
      </c>
    </row>
    <row r="988" spans="1:3" x14ac:dyDescent="0.2">
      <c r="A988" s="1" t="str">
        <f>"603336"</f>
        <v>603336</v>
      </c>
      <c r="B988" s="1" t="s">
        <v>2525</v>
      </c>
      <c r="C988" s="1" t="s">
        <v>4936</v>
      </c>
    </row>
    <row r="989" spans="1:3" x14ac:dyDescent="0.2">
      <c r="A989" s="1" t="str">
        <f>"603335"</f>
        <v>603335</v>
      </c>
      <c r="B989" s="1" t="s">
        <v>3751</v>
      </c>
      <c r="C989" s="1" t="s">
        <v>4856</v>
      </c>
    </row>
    <row r="990" spans="1:3" x14ac:dyDescent="0.2">
      <c r="A990" s="1" t="str">
        <f>"603333"</f>
        <v>603333</v>
      </c>
      <c r="B990" s="1" t="s">
        <v>3752</v>
      </c>
      <c r="C990" s="1" t="s">
        <v>4866</v>
      </c>
    </row>
    <row r="991" spans="1:3" x14ac:dyDescent="0.2">
      <c r="A991" s="1" t="str">
        <f>"603332"</f>
        <v>603332</v>
      </c>
      <c r="B991" s="1" t="s">
        <v>3053</v>
      </c>
      <c r="C991" s="1" t="s">
        <v>4858</v>
      </c>
    </row>
    <row r="992" spans="1:3" x14ac:dyDescent="0.2">
      <c r="A992" s="1" t="str">
        <f>"603331"</f>
        <v>603331</v>
      </c>
      <c r="B992" s="1" t="s">
        <v>1174</v>
      </c>
      <c r="C992" s="1" t="s">
        <v>4851</v>
      </c>
    </row>
    <row r="993" spans="1:3" x14ac:dyDescent="0.2">
      <c r="A993" s="1" t="str">
        <f>"603330"</f>
        <v>603330</v>
      </c>
      <c r="B993" s="1" t="s">
        <v>3753</v>
      </c>
      <c r="C993" s="1" t="s">
        <v>4865</v>
      </c>
    </row>
    <row r="994" spans="1:3" x14ac:dyDescent="0.2">
      <c r="A994" s="1" t="str">
        <f>"603329"</f>
        <v>603329</v>
      </c>
      <c r="B994" s="1" t="s">
        <v>180</v>
      </c>
      <c r="C994" s="1" t="s">
        <v>4914</v>
      </c>
    </row>
    <row r="995" spans="1:3" x14ac:dyDescent="0.2">
      <c r="A995" s="1" t="str">
        <f>"603328"</f>
        <v>603328</v>
      </c>
      <c r="B995" s="1" t="s">
        <v>753</v>
      </c>
      <c r="C995" s="1" t="s">
        <v>4872</v>
      </c>
    </row>
    <row r="996" spans="1:3" x14ac:dyDescent="0.2">
      <c r="A996" s="1" t="str">
        <f>"603327"</f>
        <v>603327</v>
      </c>
      <c r="B996" s="1" t="s">
        <v>850</v>
      </c>
      <c r="C996" s="1" t="s">
        <v>4850</v>
      </c>
    </row>
    <row r="997" spans="1:3" x14ac:dyDescent="0.2">
      <c r="A997" s="1" t="str">
        <f>"603326"</f>
        <v>603326</v>
      </c>
      <c r="B997" s="1" t="s">
        <v>2234</v>
      </c>
      <c r="C997" s="1" t="s">
        <v>4902</v>
      </c>
    </row>
    <row r="998" spans="1:3" x14ac:dyDescent="0.2">
      <c r="A998" s="1" t="str">
        <f>"603325"</f>
        <v>603325</v>
      </c>
      <c r="B998" s="1" t="s">
        <v>1109</v>
      </c>
      <c r="C998" s="1" t="s">
        <v>4845</v>
      </c>
    </row>
    <row r="999" spans="1:3" x14ac:dyDescent="0.2">
      <c r="A999" s="1" t="str">
        <f>"603324"</f>
        <v>603324</v>
      </c>
      <c r="B999" s="1" t="s">
        <v>69</v>
      </c>
      <c r="C999" s="1" t="s">
        <v>4871</v>
      </c>
    </row>
    <row r="1000" spans="1:3" x14ac:dyDescent="0.2">
      <c r="A1000" s="1" t="str">
        <f>"603323"</f>
        <v>603323</v>
      </c>
      <c r="B1000" s="1" t="s">
        <v>3754</v>
      </c>
      <c r="C1000" s="1" t="s">
        <v>4937</v>
      </c>
    </row>
    <row r="1001" spans="1:3" x14ac:dyDescent="0.2">
      <c r="A1001" s="1" t="str">
        <f>"603322"</f>
        <v>603322</v>
      </c>
      <c r="B1001" s="1" t="s">
        <v>637</v>
      </c>
      <c r="C1001" s="1" t="s">
        <v>4932</v>
      </c>
    </row>
    <row r="1002" spans="1:3" x14ac:dyDescent="0.2">
      <c r="A1002" s="1" t="str">
        <f>"603321"</f>
        <v>603321</v>
      </c>
      <c r="B1002" s="1" t="s">
        <v>3755</v>
      </c>
      <c r="C1002" s="1" t="s">
        <v>4845</v>
      </c>
    </row>
    <row r="1003" spans="1:3" x14ac:dyDescent="0.2">
      <c r="A1003" s="1" t="str">
        <f>"603320"</f>
        <v>603320</v>
      </c>
      <c r="B1003" s="1" t="s">
        <v>1567</v>
      </c>
      <c r="C1003" s="1" t="s">
        <v>4919</v>
      </c>
    </row>
    <row r="1004" spans="1:3" x14ac:dyDescent="0.2">
      <c r="A1004" s="1" t="str">
        <f>"603319"</f>
        <v>603319</v>
      </c>
      <c r="B1004" s="1" t="s">
        <v>1980</v>
      </c>
      <c r="C1004" s="1" t="s">
        <v>4856</v>
      </c>
    </row>
    <row r="1005" spans="1:3" x14ac:dyDescent="0.2">
      <c r="A1005" s="1" t="str">
        <f>"603318"</f>
        <v>603318</v>
      </c>
      <c r="B1005" s="1" t="s">
        <v>101</v>
      </c>
      <c r="C1005" s="1" t="s">
        <v>4895</v>
      </c>
    </row>
    <row r="1006" spans="1:3" x14ac:dyDescent="0.2">
      <c r="A1006" s="1" t="str">
        <f>"603317"</f>
        <v>603317</v>
      </c>
      <c r="B1006" s="1" t="s">
        <v>2444</v>
      </c>
      <c r="C1006" s="1" t="s">
        <v>4927</v>
      </c>
    </row>
    <row r="1007" spans="1:3" x14ac:dyDescent="0.2">
      <c r="A1007" s="1" t="str">
        <f>"603316"</f>
        <v>603316</v>
      </c>
      <c r="B1007" s="1" t="s">
        <v>337</v>
      </c>
      <c r="C1007" s="1" t="s">
        <v>4898</v>
      </c>
    </row>
    <row r="1008" spans="1:3" x14ac:dyDescent="0.2">
      <c r="A1008" s="1" t="str">
        <f>"603315"</f>
        <v>603315</v>
      </c>
      <c r="B1008" s="1" t="s">
        <v>63</v>
      </c>
      <c r="C1008" s="1" t="s">
        <v>4863</v>
      </c>
    </row>
    <row r="1009" spans="1:3" x14ac:dyDescent="0.2">
      <c r="A1009" s="1" t="str">
        <f>"603313"</f>
        <v>603313</v>
      </c>
      <c r="B1009" s="1" t="s">
        <v>2235</v>
      </c>
      <c r="C1009" s="1" t="s">
        <v>4902</v>
      </c>
    </row>
    <row r="1010" spans="1:3" x14ac:dyDescent="0.2">
      <c r="A1010" s="1" t="str">
        <f>"603312"</f>
        <v>603312</v>
      </c>
      <c r="B1010" s="1" t="s">
        <v>1474</v>
      </c>
      <c r="C1010" s="1" t="s">
        <v>4866</v>
      </c>
    </row>
    <row r="1011" spans="1:3" x14ac:dyDescent="0.2">
      <c r="A1011" s="1" t="str">
        <f>"603311"</f>
        <v>603311</v>
      </c>
      <c r="B1011" s="1" t="s">
        <v>2135</v>
      </c>
      <c r="C1011" s="1" t="s">
        <v>4929</v>
      </c>
    </row>
    <row r="1012" spans="1:3" x14ac:dyDescent="0.2">
      <c r="A1012" s="1" t="str">
        <f>"603310"</f>
        <v>603310</v>
      </c>
      <c r="B1012" s="1" t="s">
        <v>2952</v>
      </c>
      <c r="C1012" s="1" t="s">
        <v>4865</v>
      </c>
    </row>
    <row r="1013" spans="1:3" x14ac:dyDescent="0.2">
      <c r="A1013" s="1" t="str">
        <f>"603309"</f>
        <v>603309</v>
      </c>
      <c r="B1013" s="1" t="s">
        <v>1700</v>
      </c>
      <c r="C1013" s="1" t="s">
        <v>4867</v>
      </c>
    </row>
    <row r="1014" spans="1:3" x14ac:dyDescent="0.2">
      <c r="A1014" s="1" t="str">
        <f>"603308"</f>
        <v>603308</v>
      </c>
      <c r="B1014" s="1" t="s">
        <v>1217</v>
      </c>
      <c r="C1014" s="1" t="s">
        <v>4851</v>
      </c>
    </row>
    <row r="1015" spans="1:3" x14ac:dyDescent="0.2">
      <c r="A1015" s="1" t="str">
        <f>"603307"</f>
        <v>603307</v>
      </c>
      <c r="B1015" s="1" t="s">
        <v>2195</v>
      </c>
      <c r="C1015" s="1" t="s">
        <v>4899</v>
      </c>
    </row>
    <row r="1016" spans="1:3" x14ac:dyDescent="0.2">
      <c r="A1016" s="1" t="str">
        <f>"603306"</f>
        <v>603306</v>
      </c>
      <c r="B1016" s="1" t="s">
        <v>2045</v>
      </c>
      <c r="C1016" s="1" t="s">
        <v>4856</v>
      </c>
    </row>
    <row r="1017" spans="1:3" x14ac:dyDescent="0.2">
      <c r="A1017" s="1" t="str">
        <f>"603305"</f>
        <v>603305</v>
      </c>
      <c r="B1017" s="1" t="s">
        <v>1981</v>
      </c>
      <c r="C1017" s="1" t="s">
        <v>4856</v>
      </c>
    </row>
    <row r="1018" spans="1:3" x14ac:dyDescent="0.2">
      <c r="A1018" s="1" t="str">
        <f>"603303"</f>
        <v>603303</v>
      </c>
      <c r="B1018" s="1" t="s">
        <v>781</v>
      </c>
      <c r="C1018" s="1" t="s">
        <v>4878</v>
      </c>
    </row>
    <row r="1019" spans="1:3" x14ac:dyDescent="0.2">
      <c r="A1019" s="1" t="str">
        <f>"603301"</f>
        <v>603301</v>
      </c>
      <c r="B1019" s="1" t="s">
        <v>1701</v>
      </c>
      <c r="C1019" s="1" t="s">
        <v>4867</v>
      </c>
    </row>
    <row r="1020" spans="1:3" x14ac:dyDescent="0.2">
      <c r="A1020" s="1" t="str">
        <f>"603300"</f>
        <v>603300</v>
      </c>
      <c r="B1020" s="1" t="s">
        <v>349</v>
      </c>
      <c r="C1020" s="1" t="s">
        <v>4938</v>
      </c>
    </row>
    <row r="1021" spans="1:3" x14ac:dyDescent="0.2">
      <c r="A1021" s="1" t="str">
        <f>"603299"</f>
        <v>603299</v>
      </c>
      <c r="B1021" s="1" t="s">
        <v>3021</v>
      </c>
      <c r="C1021" s="1" t="s">
        <v>4853</v>
      </c>
    </row>
    <row r="1022" spans="1:3" x14ac:dyDescent="0.2">
      <c r="A1022" s="1" t="str">
        <f>"603298"</f>
        <v>603298</v>
      </c>
      <c r="B1022" s="1" t="s">
        <v>1002</v>
      </c>
      <c r="C1022" s="1" t="s">
        <v>4880</v>
      </c>
    </row>
    <row r="1023" spans="1:3" x14ac:dyDescent="0.2">
      <c r="A1023" s="1" t="str">
        <f>"603297"</f>
        <v>603297</v>
      </c>
      <c r="B1023" s="1" t="s">
        <v>3756</v>
      </c>
      <c r="C1023" s="1" t="s">
        <v>4878</v>
      </c>
    </row>
    <row r="1024" spans="1:3" x14ac:dyDescent="0.2">
      <c r="A1024" s="1" t="str">
        <f>"603296"</f>
        <v>603296</v>
      </c>
      <c r="B1024" s="1" t="s">
        <v>851</v>
      </c>
      <c r="C1024" s="1" t="s">
        <v>4850</v>
      </c>
    </row>
    <row r="1025" spans="1:3" x14ac:dyDescent="0.2">
      <c r="A1025" s="1" t="str">
        <f>"603291"</f>
        <v>603291</v>
      </c>
      <c r="B1025" s="1" t="s">
        <v>83</v>
      </c>
      <c r="C1025" s="1" t="s">
        <v>4926</v>
      </c>
    </row>
    <row r="1026" spans="1:3" x14ac:dyDescent="0.2">
      <c r="A1026" s="1" t="str">
        <f>"603290"</f>
        <v>603290</v>
      </c>
      <c r="B1026" s="1" t="s">
        <v>910</v>
      </c>
      <c r="C1026" s="1" t="s">
        <v>4840</v>
      </c>
    </row>
    <row r="1027" spans="1:3" x14ac:dyDescent="0.2">
      <c r="A1027" s="1" t="str">
        <f>"603289"</f>
        <v>603289</v>
      </c>
      <c r="B1027" s="1" t="s">
        <v>1017</v>
      </c>
      <c r="C1027" s="1" t="s">
        <v>4845</v>
      </c>
    </row>
    <row r="1028" spans="1:3" x14ac:dyDescent="0.2">
      <c r="A1028" s="1" t="str">
        <f>"603288"</f>
        <v>603288</v>
      </c>
      <c r="B1028" s="1" t="s">
        <v>2445</v>
      </c>
      <c r="C1028" s="1" t="s">
        <v>4927</v>
      </c>
    </row>
    <row r="1029" spans="1:3" x14ac:dyDescent="0.2">
      <c r="A1029" s="1" t="str">
        <f>"603286"</f>
        <v>603286</v>
      </c>
      <c r="B1029" s="1" t="s">
        <v>3757</v>
      </c>
      <c r="C1029" s="1" t="s">
        <v>4856</v>
      </c>
    </row>
    <row r="1030" spans="1:3" x14ac:dyDescent="0.2">
      <c r="A1030" s="1" t="str">
        <f>"603285"</f>
        <v>603285</v>
      </c>
      <c r="B1030" s="1" t="s">
        <v>2894</v>
      </c>
      <c r="C1030" s="1" t="s">
        <v>4865</v>
      </c>
    </row>
    <row r="1031" spans="1:3" x14ac:dyDescent="0.2">
      <c r="A1031" s="1" t="str">
        <f>"603283"</f>
        <v>603283</v>
      </c>
      <c r="B1031" s="1" t="s">
        <v>969</v>
      </c>
      <c r="C1031" s="1" t="s">
        <v>4849</v>
      </c>
    </row>
    <row r="1032" spans="1:3" x14ac:dyDescent="0.2">
      <c r="A1032" s="1" t="str">
        <f>"603282"</f>
        <v>603282</v>
      </c>
      <c r="B1032" s="1" t="s">
        <v>1018</v>
      </c>
      <c r="C1032" s="1" t="s">
        <v>4845</v>
      </c>
    </row>
    <row r="1033" spans="1:3" x14ac:dyDescent="0.2">
      <c r="A1033" s="1" t="str">
        <f>"603281"</f>
        <v>603281</v>
      </c>
      <c r="B1033" s="1" t="s">
        <v>2932</v>
      </c>
      <c r="C1033" s="1" t="s">
        <v>4865</v>
      </c>
    </row>
    <row r="1034" spans="1:3" x14ac:dyDescent="0.2">
      <c r="A1034" s="1" t="str">
        <f>"603280"</f>
        <v>603280</v>
      </c>
      <c r="B1034" s="1" t="s">
        <v>1003</v>
      </c>
      <c r="C1034" s="1" t="s">
        <v>4880</v>
      </c>
    </row>
    <row r="1035" spans="1:3" x14ac:dyDescent="0.2">
      <c r="A1035" s="1" t="str">
        <f>"603279"</f>
        <v>603279</v>
      </c>
      <c r="B1035" s="1" t="s">
        <v>70</v>
      </c>
      <c r="C1035" s="1" t="s">
        <v>4871</v>
      </c>
    </row>
    <row r="1036" spans="1:3" x14ac:dyDescent="0.2">
      <c r="A1036" s="1" t="str">
        <f>"603278"</f>
        <v>603278</v>
      </c>
      <c r="B1036" s="1" t="s">
        <v>1186</v>
      </c>
      <c r="C1036" s="1" t="s">
        <v>4851</v>
      </c>
    </row>
    <row r="1037" spans="1:3" x14ac:dyDescent="0.2">
      <c r="A1037" s="1" t="str">
        <f>"603277"</f>
        <v>603277</v>
      </c>
      <c r="B1037" s="1" t="s">
        <v>1175</v>
      </c>
      <c r="C1037" s="1" t="s">
        <v>4851</v>
      </c>
    </row>
    <row r="1038" spans="1:3" x14ac:dyDescent="0.2">
      <c r="A1038" s="1" t="str">
        <f>"603276"</f>
        <v>603276</v>
      </c>
      <c r="B1038" s="1" t="s">
        <v>3005</v>
      </c>
      <c r="C1038" s="1" t="s">
        <v>4853</v>
      </c>
    </row>
    <row r="1039" spans="1:3" x14ac:dyDescent="0.2">
      <c r="A1039" s="1" t="str">
        <f>"603275"</f>
        <v>603275</v>
      </c>
      <c r="B1039" s="1" t="s">
        <v>970</v>
      </c>
      <c r="C1039" s="1" t="s">
        <v>4849</v>
      </c>
    </row>
    <row r="1040" spans="1:3" x14ac:dyDescent="0.2">
      <c r="A1040" s="1" t="str">
        <f>"603273"</f>
        <v>603273</v>
      </c>
      <c r="B1040" s="1" t="s">
        <v>1019</v>
      </c>
      <c r="C1040" s="1" t="s">
        <v>4845</v>
      </c>
    </row>
    <row r="1041" spans="1:3" x14ac:dyDescent="0.2">
      <c r="A1041" s="1" t="str">
        <f>"603272"</f>
        <v>603272</v>
      </c>
      <c r="B1041" s="1" t="s">
        <v>2216</v>
      </c>
      <c r="C1041" s="1" t="s">
        <v>4902</v>
      </c>
    </row>
    <row r="1042" spans="1:3" x14ac:dyDescent="0.2">
      <c r="A1042" s="1" t="str">
        <f>"603271"</f>
        <v>603271</v>
      </c>
      <c r="B1042" s="1" t="s">
        <v>2696</v>
      </c>
      <c r="C1042" s="1" t="s">
        <v>4879</v>
      </c>
    </row>
    <row r="1043" spans="1:3" x14ac:dyDescent="0.2">
      <c r="A1043" s="1" t="str">
        <f>"603270"</f>
        <v>603270</v>
      </c>
      <c r="B1043" s="1" t="s">
        <v>1187</v>
      </c>
      <c r="C1043" s="1" t="s">
        <v>4851</v>
      </c>
    </row>
    <row r="1044" spans="1:3" x14ac:dyDescent="0.2">
      <c r="A1044" s="1" t="str">
        <f>"603269"</f>
        <v>603269</v>
      </c>
      <c r="B1044" s="1" t="s">
        <v>1143</v>
      </c>
      <c r="C1044" s="1" t="s">
        <v>4851</v>
      </c>
    </row>
    <row r="1045" spans="1:3" x14ac:dyDescent="0.2">
      <c r="A1045" s="1" t="str">
        <f>"603267"</f>
        <v>603267</v>
      </c>
      <c r="B1045" s="1" t="s">
        <v>1307</v>
      </c>
      <c r="C1045" s="1" t="s">
        <v>4846</v>
      </c>
    </row>
    <row r="1046" spans="1:3" x14ac:dyDescent="0.2">
      <c r="A1046" s="1" t="str">
        <f>"603266"</f>
        <v>603266</v>
      </c>
      <c r="B1046" s="1" t="s">
        <v>1917</v>
      </c>
      <c r="C1046" s="1" t="s">
        <v>4856</v>
      </c>
    </row>
    <row r="1047" spans="1:3" x14ac:dyDescent="0.2">
      <c r="A1047" s="1" t="str">
        <f>"603262"</f>
        <v>603262</v>
      </c>
      <c r="B1047" s="1" t="s">
        <v>3758</v>
      </c>
      <c r="C1047" s="1" t="s">
        <v>4891</v>
      </c>
    </row>
    <row r="1048" spans="1:3" x14ac:dyDescent="0.2">
      <c r="A1048" s="1" t="str">
        <f>"603260"</f>
        <v>603260</v>
      </c>
      <c r="B1048" s="1" t="s">
        <v>2933</v>
      </c>
      <c r="C1048" s="1" t="s">
        <v>4865</v>
      </c>
    </row>
    <row r="1049" spans="1:3" x14ac:dyDescent="0.2">
      <c r="A1049" s="1" t="str">
        <f>"603259"</f>
        <v>603259</v>
      </c>
      <c r="B1049" s="1" t="s">
        <v>1678</v>
      </c>
      <c r="C1049" s="1" t="s">
        <v>4861</v>
      </c>
    </row>
    <row r="1050" spans="1:3" x14ac:dyDescent="0.2">
      <c r="A1050" s="1" t="str">
        <f>"603258"</f>
        <v>603258</v>
      </c>
      <c r="B1050" s="1" t="s">
        <v>500</v>
      </c>
      <c r="C1050" s="1" t="s">
        <v>4935</v>
      </c>
    </row>
    <row r="1051" spans="1:3" x14ac:dyDescent="0.2">
      <c r="A1051" s="1" t="str">
        <f>"603257"</f>
        <v>603257</v>
      </c>
      <c r="B1051" s="1" t="s">
        <v>3759</v>
      </c>
      <c r="C1051" s="1" t="s">
        <v>4922</v>
      </c>
    </row>
    <row r="1052" spans="1:3" x14ac:dyDescent="0.2">
      <c r="A1052" s="1" t="str">
        <f>"603256"</f>
        <v>603256</v>
      </c>
      <c r="B1052" s="1" t="s">
        <v>2605</v>
      </c>
      <c r="C1052" s="1" t="s">
        <v>4916</v>
      </c>
    </row>
    <row r="1053" spans="1:3" x14ac:dyDescent="0.2">
      <c r="A1053" s="1" t="str">
        <f>"603255"</f>
        <v>603255</v>
      </c>
      <c r="B1053" s="1" t="s">
        <v>3760</v>
      </c>
      <c r="C1053" s="1" t="s">
        <v>4860</v>
      </c>
    </row>
    <row r="1054" spans="1:3" x14ac:dyDescent="0.2">
      <c r="A1054" s="1" t="str">
        <f>"603239"</f>
        <v>603239</v>
      </c>
      <c r="B1054" s="1" t="s">
        <v>2046</v>
      </c>
      <c r="C1054" s="1" t="s">
        <v>4856</v>
      </c>
    </row>
    <row r="1055" spans="1:3" x14ac:dyDescent="0.2">
      <c r="A1055" s="1" t="str">
        <f>"603238"</f>
        <v>603238</v>
      </c>
      <c r="B1055" s="1" t="s">
        <v>2371</v>
      </c>
      <c r="C1055" s="1" t="s">
        <v>4904</v>
      </c>
    </row>
    <row r="1056" spans="1:3" x14ac:dyDescent="0.2">
      <c r="A1056" s="1" t="str">
        <f>"603237"</f>
        <v>603237</v>
      </c>
      <c r="B1056" s="1" t="s">
        <v>3761</v>
      </c>
      <c r="C1056" s="1" t="s">
        <v>4891</v>
      </c>
    </row>
    <row r="1057" spans="1:3" x14ac:dyDescent="0.2">
      <c r="A1057" s="1" t="str">
        <f>"603236"</f>
        <v>603236</v>
      </c>
      <c r="B1057" s="1" t="s">
        <v>666</v>
      </c>
      <c r="C1057" s="1" t="s">
        <v>4869</v>
      </c>
    </row>
    <row r="1058" spans="1:3" x14ac:dyDescent="0.2">
      <c r="A1058" s="1" t="str">
        <f>"603235"</f>
        <v>603235</v>
      </c>
      <c r="B1058" s="1" t="s">
        <v>1784</v>
      </c>
      <c r="C1058" s="1" t="s">
        <v>4843</v>
      </c>
    </row>
    <row r="1059" spans="1:3" x14ac:dyDescent="0.2">
      <c r="A1059" s="1" t="str">
        <f>"603233"</f>
        <v>603233</v>
      </c>
      <c r="B1059" s="1" t="s">
        <v>3762</v>
      </c>
      <c r="C1059" s="1" t="s">
        <v>4903</v>
      </c>
    </row>
    <row r="1060" spans="1:3" x14ac:dyDescent="0.2">
      <c r="A1060" s="1" t="str">
        <f>"603231"</f>
        <v>603231</v>
      </c>
      <c r="B1060" s="1" t="s">
        <v>2527</v>
      </c>
      <c r="C1060" s="1" t="s">
        <v>4936</v>
      </c>
    </row>
    <row r="1061" spans="1:3" x14ac:dyDescent="0.2">
      <c r="A1061" s="1" t="str">
        <f>"603230"</f>
        <v>603230</v>
      </c>
      <c r="B1061" s="1" t="s">
        <v>438</v>
      </c>
      <c r="C1061" s="1" t="s">
        <v>4890</v>
      </c>
    </row>
    <row r="1062" spans="1:3" x14ac:dyDescent="0.2">
      <c r="A1062" s="1" t="str">
        <f>"603229"</f>
        <v>603229</v>
      </c>
      <c r="B1062" s="1" t="s">
        <v>1785</v>
      </c>
      <c r="C1062" s="1" t="s">
        <v>4843</v>
      </c>
    </row>
    <row r="1063" spans="1:3" x14ac:dyDescent="0.2">
      <c r="A1063" s="1" t="str">
        <f>"603228"</f>
        <v>603228</v>
      </c>
      <c r="B1063" s="1" t="s">
        <v>754</v>
      </c>
      <c r="C1063" s="1" t="s">
        <v>4872</v>
      </c>
    </row>
    <row r="1064" spans="1:3" x14ac:dyDescent="0.2">
      <c r="A1064" s="1" t="str">
        <f>"603227"</f>
        <v>603227</v>
      </c>
      <c r="B1064" s="1" t="s">
        <v>2970</v>
      </c>
      <c r="C1064" s="1" t="s">
        <v>4865</v>
      </c>
    </row>
    <row r="1065" spans="1:3" x14ac:dyDescent="0.2">
      <c r="A1065" s="1" t="str">
        <f>"603225"</f>
        <v>603225</v>
      </c>
      <c r="B1065" s="1" t="s">
        <v>3054</v>
      </c>
      <c r="C1065" s="1" t="s">
        <v>4858</v>
      </c>
    </row>
    <row r="1066" spans="1:3" x14ac:dyDescent="0.2">
      <c r="A1066" s="1" t="str">
        <f>"603223"</f>
        <v>603223</v>
      </c>
      <c r="B1066" s="1" t="s">
        <v>159</v>
      </c>
      <c r="C1066" s="1" t="s">
        <v>4914</v>
      </c>
    </row>
    <row r="1067" spans="1:3" x14ac:dyDescent="0.2">
      <c r="A1067" s="1" t="str">
        <f>"603222"</f>
        <v>603222</v>
      </c>
      <c r="B1067" s="1" t="s">
        <v>3763</v>
      </c>
      <c r="C1067" s="1" t="s">
        <v>4867</v>
      </c>
    </row>
    <row r="1068" spans="1:3" x14ac:dyDescent="0.2">
      <c r="A1068" s="1" t="str">
        <f>"603221"</f>
        <v>603221</v>
      </c>
      <c r="B1068" s="1" t="s">
        <v>2236</v>
      </c>
      <c r="C1068" s="1" t="s">
        <v>4902</v>
      </c>
    </row>
    <row r="1069" spans="1:3" x14ac:dyDescent="0.2">
      <c r="A1069" s="1" t="str">
        <f>"603220"</f>
        <v>603220</v>
      </c>
      <c r="B1069" s="1" t="s">
        <v>642</v>
      </c>
      <c r="C1069" s="1" t="s">
        <v>4932</v>
      </c>
    </row>
    <row r="1070" spans="1:3" x14ac:dyDescent="0.2">
      <c r="A1070" s="1" t="str">
        <f>"603219"</f>
        <v>603219</v>
      </c>
      <c r="B1070" s="1" t="s">
        <v>2166</v>
      </c>
      <c r="C1070" s="1" t="s">
        <v>4844</v>
      </c>
    </row>
    <row r="1071" spans="1:3" x14ac:dyDescent="0.2">
      <c r="A1071" s="1" t="str">
        <f>"603218"</f>
        <v>603218</v>
      </c>
      <c r="B1071" s="1" t="s">
        <v>1382</v>
      </c>
      <c r="C1071" s="1" t="s">
        <v>4870</v>
      </c>
    </row>
    <row r="1072" spans="1:3" x14ac:dyDescent="0.2">
      <c r="A1072" s="1" t="str">
        <f>"603217"</f>
        <v>603217</v>
      </c>
      <c r="B1072" s="1" t="s">
        <v>3006</v>
      </c>
      <c r="C1072" s="1" t="s">
        <v>4853</v>
      </c>
    </row>
    <row r="1073" spans="1:3" x14ac:dyDescent="0.2">
      <c r="A1073" s="1" t="str">
        <f>"603216"</f>
        <v>603216</v>
      </c>
      <c r="B1073" s="1" t="s">
        <v>2237</v>
      </c>
      <c r="C1073" s="1" t="s">
        <v>4902</v>
      </c>
    </row>
    <row r="1074" spans="1:3" x14ac:dyDescent="0.2">
      <c r="A1074" s="1" t="str">
        <f>"603215"</f>
        <v>603215</v>
      </c>
      <c r="B1074" s="1" t="s">
        <v>2169</v>
      </c>
      <c r="C1074" s="1" t="s">
        <v>4844</v>
      </c>
    </row>
    <row r="1075" spans="1:3" x14ac:dyDescent="0.2">
      <c r="A1075" s="1" t="str">
        <f>"603214"</f>
        <v>603214</v>
      </c>
      <c r="B1075" s="1" t="s">
        <v>2113</v>
      </c>
      <c r="C1075" s="1" t="s">
        <v>4939</v>
      </c>
    </row>
    <row r="1076" spans="1:3" x14ac:dyDescent="0.2">
      <c r="A1076" s="1" t="str">
        <f>"603213"</f>
        <v>603213</v>
      </c>
      <c r="B1076" s="1" t="s">
        <v>3032</v>
      </c>
      <c r="C1076" s="1" t="s">
        <v>4853</v>
      </c>
    </row>
    <row r="1077" spans="1:3" x14ac:dyDescent="0.2">
      <c r="A1077" s="1" t="str">
        <f>"603212"</f>
        <v>603212</v>
      </c>
      <c r="B1077" s="1" t="s">
        <v>3764</v>
      </c>
      <c r="C1077" s="1" t="s">
        <v>4857</v>
      </c>
    </row>
    <row r="1078" spans="1:3" x14ac:dyDescent="0.2">
      <c r="A1078" s="1" t="str">
        <f>"603211"</f>
        <v>603211</v>
      </c>
      <c r="B1078" s="1" t="s">
        <v>1918</v>
      </c>
      <c r="C1078" s="1" t="s">
        <v>4856</v>
      </c>
    </row>
    <row r="1079" spans="1:3" x14ac:dyDescent="0.2">
      <c r="A1079" s="1" t="str">
        <f>"603210"</f>
        <v>603210</v>
      </c>
      <c r="B1079" s="1" t="s">
        <v>1919</v>
      </c>
      <c r="C1079" s="1" t="s">
        <v>4856</v>
      </c>
    </row>
    <row r="1080" spans="1:3" x14ac:dyDescent="0.2">
      <c r="A1080" s="1" t="str">
        <f>"603209"</f>
        <v>603209</v>
      </c>
      <c r="B1080" s="1" t="s">
        <v>199</v>
      </c>
      <c r="C1080" s="1" t="s">
        <v>4933</v>
      </c>
    </row>
    <row r="1081" spans="1:3" x14ac:dyDescent="0.2">
      <c r="A1081" s="1" t="str">
        <f>"603208"</f>
        <v>603208</v>
      </c>
      <c r="B1081" s="1" t="s">
        <v>2238</v>
      </c>
      <c r="C1081" s="1" t="s">
        <v>4902</v>
      </c>
    </row>
    <row r="1082" spans="1:3" x14ac:dyDescent="0.2">
      <c r="A1082" s="1" t="str">
        <f>"603207"</f>
        <v>603207</v>
      </c>
      <c r="B1082" s="1" t="s">
        <v>1813</v>
      </c>
      <c r="C1082" s="1" t="s">
        <v>4843</v>
      </c>
    </row>
    <row r="1083" spans="1:3" x14ac:dyDescent="0.2">
      <c r="A1083" s="1" t="str">
        <f>"603206"</f>
        <v>603206</v>
      </c>
      <c r="B1083" s="1" t="s">
        <v>643</v>
      </c>
      <c r="C1083" s="1" t="s">
        <v>4932</v>
      </c>
    </row>
    <row r="1084" spans="1:3" x14ac:dyDescent="0.2">
      <c r="A1084" s="1" t="str">
        <f>"603205"</f>
        <v>603205</v>
      </c>
      <c r="B1084" s="1" t="s">
        <v>1702</v>
      </c>
      <c r="C1084" s="1" t="s">
        <v>4867</v>
      </c>
    </row>
    <row r="1085" spans="1:3" x14ac:dyDescent="0.2">
      <c r="A1085" s="1" t="str">
        <f>"603203"</f>
        <v>603203</v>
      </c>
      <c r="B1085" s="1" t="s">
        <v>1020</v>
      </c>
      <c r="C1085" s="1" t="s">
        <v>4845</v>
      </c>
    </row>
    <row r="1086" spans="1:3" x14ac:dyDescent="0.2">
      <c r="A1086" s="1" t="str">
        <f>"603202"</f>
        <v>603202</v>
      </c>
      <c r="B1086" s="1" t="s">
        <v>1894</v>
      </c>
      <c r="C1086" s="1" t="s">
        <v>4856</v>
      </c>
    </row>
    <row r="1087" spans="1:3" x14ac:dyDescent="0.2">
      <c r="A1087" s="1" t="str">
        <f>"603201"</f>
        <v>603201</v>
      </c>
      <c r="B1087" s="1" t="s">
        <v>1920</v>
      </c>
      <c r="C1087" s="1" t="s">
        <v>4856</v>
      </c>
    </row>
    <row r="1088" spans="1:3" x14ac:dyDescent="0.2">
      <c r="A1088" s="1" t="str">
        <f>"603200"</f>
        <v>603200</v>
      </c>
      <c r="B1088" s="1" t="s">
        <v>44</v>
      </c>
      <c r="C1088" s="1" t="s">
        <v>4863</v>
      </c>
    </row>
    <row r="1089" spans="1:3" x14ac:dyDescent="0.2">
      <c r="A1089" s="1" t="str">
        <f>"603199"</f>
        <v>603199</v>
      </c>
      <c r="B1089" s="1" t="s">
        <v>281</v>
      </c>
      <c r="C1089" s="1" t="s">
        <v>4940</v>
      </c>
    </row>
    <row r="1090" spans="1:3" x14ac:dyDescent="0.2">
      <c r="A1090" s="1" t="str">
        <f>"603198"</f>
        <v>603198</v>
      </c>
      <c r="B1090" s="1" t="s">
        <v>2484</v>
      </c>
      <c r="C1090" s="1" t="s">
        <v>4921</v>
      </c>
    </row>
    <row r="1091" spans="1:3" x14ac:dyDescent="0.2">
      <c r="A1091" s="1" t="str">
        <f>"603197"</f>
        <v>603197</v>
      </c>
      <c r="B1091" s="1" t="s">
        <v>1895</v>
      </c>
      <c r="C1091" s="1" t="s">
        <v>4856</v>
      </c>
    </row>
    <row r="1092" spans="1:3" x14ac:dyDescent="0.2">
      <c r="A1092" s="1" t="str">
        <f>"603196"</f>
        <v>603196</v>
      </c>
      <c r="B1092" s="1" t="s">
        <v>2330</v>
      </c>
      <c r="C1092" s="1" t="s">
        <v>4909</v>
      </c>
    </row>
    <row r="1093" spans="1:3" x14ac:dyDescent="0.2">
      <c r="A1093" s="1" t="str">
        <f>"603195"</f>
        <v>603195</v>
      </c>
      <c r="B1093" s="1" t="s">
        <v>2217</v>
      </c>
      <c r="C1093" s="1" t="s">
        <v>4902</v>
      </c>
    </row>
    <row r="1094" spans="1:3" x14ac:dyDescent="0.2">
      <c r="A1094" s="1" t="str">
        <f>"603194"</f>
        <v>603194</v>
      </c>
      <c r="B1094" s="1" t="s">
        <v>3765</v>
      </c>
      <c r="C1094" s="1" t="s">
        <v>4880</v>
      </c>
    </row>
    <row r="1095" spans="1:3" x14ac:dyDescent="0.2">
      <c r="A1095" s="1" t="str">
        <f>"603193"</f>
        <v>603193</v>
      </c>
      <c r="B1095" s="1" t="s">
        <v>3075</v>
      </c>
      <c r="C1095" s="1" t="s">
        <v>4920</v>
      </c>
    </row>
    <row r="1096" spans="1:3" x14ac:dyDescent="0.2">
      <c r="A1096" s="1" t="str">
        <f>"603192"</f>
        <v>603192</v>
      </c>
      <c r="B1096" s="1" t="s">
        <v>2988</v>
      </c>
      <c r="C1096" s="1" t="s">
        <v>4865</v>
      </c>
    </row>
    <row r="1097" spans="1:3" x14ac:dyDescent="0.2">
      <c r="A1097" s="1" t="str">
        <f>"603191"</f>
        <v>603191</v>
      </c>
      <c r="B1097" s="1" t="s">
        <v>1475</v>
      </c>
      <c r="C1097" s="1" t="s">
        <v>4866</v>
      </c>
    </row>
    <row r="1098" spans="1:3" x14ac:dyDescent="0.2">
      <c r="A1098" s="1" t="str">
        <f>"603190"</f>
        <v>603190</v>
      </c>
      <c r="B1098" s="1" t="s">
        <v>1921</v>
      </c>
      <c r="C1098" s="1" t="s">
        <v>4856</v>
      </c>
    </row>
    <row r="1099" spans="1:3" x14ac:dyDescent="0.2">
      <c r="A1099" s="1" t="str">
        <f>"603189"</f>
        <v>603189</v>
      </c>
      <c r="B1099" s="1" t="s">
        <v>548</v>
      </c>
      <c r="C1099" s="1" t="s">
        <v>4847</v>
      </c>
    </row>
    <row r="1100" spans="1:3" x14ac:dyDescent="0.2">
      <c r="A1100" s="1" t="str">
        <f>"603188"</f>
        <v>603188</v>
      </c>
      <c r="B1100" s="1" t="s">
        <v>2960</v>
      </c>
      <c r="C1100" s="1" t="s">
        <v>4865</v>
      </c>
    </row>
    <row r="1101" spans="1:3" x14ac:dyDescent="0.2">
      <c r="A1101" s="1" t="str">
        <f>"603187"</f>
        <v>603187</v>
      </c>
      <c r="B1101" s="1" t="s">
        <v>1176</v>
      </c>
      <c r="C1101" s="1" t="s">
        <v>4851</v>
      </c>
    </row>
    <row r="1102" spans="1:3" x14ac:dyDescent="0.2">
      <c r="A1102" s="1" t="str">
        <f>"603186"</f>
        <v>603186</v>
      </c>
      <c r="B1102" s="1" t="s">
        <v>755</v>
      </c>
      <c r="C1102" s="1" t="s">
        <v>4872</v>
      </c>
    </row>
    <row r="1103" spans="1:3" x14ac:dyDescent="0.2">
      <c r="A1103" s="1" t="str">
        <f>"603185"</f>
        <v>603185</v>
      </c>
      <c r="B1103" s="1" t="s">
        <v>3766</v>
      </c>
      <c r="C1103" s="1" t="s">
        <v>4857</v>
      </c>
    </row>
    <row r="1104" spans="1:3" x14ac:dyDescent="0.2">
      <c r="A1104" s="1" t="str">
        <f>"603183"</f>
        <v>603183</v>
      </c>
      <c r="B1104" s="1" t="s">
        <v>3767</v>
      </c>
      <c r="C1104" s="1" t="s">
        <v>4854</v>
      </c>
    </row>
    <row r="1105" spans="1:3" x14ac:dyDescent="0.2">
      <c r="A1105" s="1" t="str">
        <f>"603182"</f>
        <v>603182</v>
      </c>
      <c r="B1105" s="1" t="s">
        <v>2520</v>
      </c>
      <c r="C1105" s="1" t="s">
        <v>4936</v>
      </c>
    </row>
    <row r="1106" spans="1:3" x14ac:dyDescent="0.2">
      <c r="A1106" s="1" t="str">
        <f>"603181"</f>
        <v>603181</v>
      </c>
      <c r="B1106" s="1" t="s">
        <v>2895</v>
      </c>
      <c r="C1106" s="1" t="s">
        <v>4865</v>
      </c>
    </row>
    <row r="1107" spans="1:3" x14ac:dyDescent="0.2">
      <c r="A1107" s="1" t="str">
        <f>"603180"</f>
        <v>603180</v>
      </c>
      <c r="B1107" s="1" t="s">
        <v>2239</v>
      </c>
      <c r="C1107" s="1" t="s">
        <v>4902</v>
      </c>
    </row>
    <row r="1108" spans="1:3" x14ac:dyDescent="0.2">
      <c r="A1108" s="1" t="str">
        <f>"603179"</f>
        <v>603179</v>
      </c>
      <c r="B1108" s="1" t="s">
        <v>1896</v>
      </c>
      <c r="C1108" s="1" t="s">
        <v>4856</v>
      </c>
    </row>
    <row r="1109" spans="1:3" x14ac:dyDescent="0.2">
      <c r="A1109" s="1" t="str">
        <f>"603178"</f>
        <v>603178</v>
      </c>
      <c r="B1109" s="1" t="s">
        <v>3768</v>
      </c>
      <c r="C1109" s="1" t="s">
        <v>4856</v>
      </c>
    </row>
    <row r="1110" spans="1:3" x14ac:dyDescent="0.2">
      <c r="A1110" s="1" t="str">
        <f>"603177"</f>
        <v>603177</v>
      </c>
      <c r="B1110" s="1" t="s">
        <v>64</v>
      </c>
      <c r="C1110" s="1" t="s">
        <v>4863</v>
      </c>
    </row>
    <row r="1111" spans="1:3" x14ac:dyDescent="0.2">
      <c r="A1111" s="1" t="str">
        <f>"603176"</f>
        <v>603176</v>
      </c>
      <c r="B1111" s="1" t="s">
        <v>3769</v>
      </c>
      <c r="C1111" s="1" t="s">
        <v>4898</v>
      </c>
    </row>
    <row r="1112" spans="1:3" x14ac:dyDescent="0.2">
      <c r="A1112" s="1" t="str">
        <f>"603173"</f>
        <v>603173</v>
      </c>
      <c r="B1112" s="1" t="s">
        <v>1021</v>
      </c>
      <c r="C1112" s="1" t="s">
        <v>4845</v>
      </c>
    </row>
    <row r="1113" spans="1:3" x14ac:dyDescent="0.2">
      <c r="A1113" s="1" t="str">
        <f>"603172"</f>
        <v>603172</v>
      </c>
      <c r="B1113" s="1" t="s">
        <v>3770</v>
      </c>
      <c r="C1113" s="1" t="s">
        <v>4865</v>
      </c>
    </row>
    <row r="1114" spans="1:3" x14ac:dyDescent="0.2">
      <c r="A1114" s="1" t="str">
        <f>"603171"</f>
        <v>603171</v>
      </c>
      <c r="B1114" s="1" t="s">
        <v>549</v>
      </c>
      <c r="C1114" s="1" t="s">
        <v>4847</v>
      </c>
    </row>
    <row r="1115" spans="1:3" x14ac:dyDescent="0.2">
      <c r="A1115" s="1" t="str">
        <f>"603170"</f>
        <v>603170</v>
      </c>
      <c r="B1115" s="1" t="s">
        <v>2446</v>
      </c>
      <c r="C1115" s="1" t="s">
        <v>4927</v>
      </c>
    </row>
    <row r="1116" spans="1:3" x14ac:dyDescent="0.2">
      <c r="A1116" s="1" t="str">
        <f>"603169"</f>
        <v>603169</v>
      </c>
      <c r="B1116" s="1" t="s">
        <v>1110</v>
      </c>
      <c r="C1116" s="1" t="s">
        <v>4845</v>
      </c>
    </row>
    <row r="1117" spans="1:3" x14ac:dyDescent="0.2">
      <c r="A1117" s="1" t="str">
        <f>"603168"</f>
        <v>603168</v>
      </c>
      <c r="B1117" s="1" t="s">
        <v>1814</v>
      </c>
      <c r="C1117" s="1" t="s">
        <v>4843</v>
      </c>
    </row>
    <row r="1118" spans="1:3" x14ac:dyDescent="0.2">
      <c r="A1118" s="1" t="str">
        <f>"603167"</f>
        <v>603167</v>
      </c>
      <c r="B1118" s="1" t="s">
        <v>200</v>
      </c>
      <c r="C1118" s="1" t="s">
        <v>4933</v>
      </c>
    </row>
    <row r="1119" spans="1:3" x14ac:dyDescent="0.2">
      <c r="A1119" s="1" t="str">
        <f>"603166"</f>
        <v>603166</v>
      </c>
      <c r="B1119" s="1" t="s">
        <v>1982</v>
      </c>
      <c r="C1119" s="1" t="s">
        <v>4856</v>
      </c>
    </row>
    <row r="1120" spans="1:3" x14ac:dyDescent="0.2">
      <c r="A1120" s="1" t="str">
        <f>"603165"</f>
        <v>603165</v>
      </c>
      <c r="B1120" s="1" t="s">
        <v>2305</v>
      </c>
      <c r="C1120" s="1" t="s">
        <v>4892</v>
      </c>
    </row>
    <row r="1121" spans="1:3" x14ac:dyDescent="0.2">
      <c r="A1121" s="1" t="str">
        <f>"603163"</f>
        <v>603163</v>
      </c>
      <c r="B1121" s="1" t="s">
        <v>316</v>
      </c>
      <c r="C1121" s="1" t="s">
        <v>4888</v>
      </c>
    </row>
    <row r="1122" spans="1:3" x14ac:dyDescent="0.2">
      <c r="A1122" s="1" t="str">
        <f>"603162"</f>
        <v>603162</v>
      </c>
      <c r="B1122" s="1" t="s">
        <v>201</v>
      </c>
      <c r="C1122" s="1" t="s">
        <v>4933</v>
      </c>
    </row>
    <row r="1123" spans="1:3" x14ac:dyDescent="0.2">
      <c r="A1123" s="1" t="str">
        <f>"603161"</f>
        <v>603161</v>
      </c>
      <c r="B1123" s="1" t="s">
        <v>1983</v>
      </c>
      <c r="C1123" s="1" t="s">
        <v>4856</v>
      </c>
    </row>
    <row r="1124" spans="1:3" x14ac:dyDescent="0.2">
      <c r="A1124" s="1" t="str">
        <f>"603160"</f>
        <v>603160</v>
      </c>
      <c r="B1124" s="1" t="s">
        <v>920</v>
      </c>
      <c r="C1124" s="1" t="s">
        <v>4840</v>
      </c>
    </row>
    <row r="1125" spans="1:3" x14ac:dyDescent="0.2">
      <c r="A1125" s="1" t="str">
        <f>"603159"</f>
        <v>603159</v>
      </c>
      <c r="B1125" s="1" t="s">
        <v>1022</v>
      </c>
      <c r="C1125" s="1" t="s">
        <v>4845</v>
      </c>
    </row>
    <row r="1126" spans="1:3" x14ac:dyDescent="0.2">
      <c r="A1126" s="1" t="str">
        <f>"603158"</f>
        <v>603158</v>
      </c>
      <c r="B1126" s="1" t="s">
        <v>1984</v>
      </c>
      <c r="C1126" s="1" t="s">
        <v>4856</v>
      </c>
    </row>
    <row r="1127" spans="1:3" x14ac:dyDescent="0.2">
      <c r="A1127" s="1" t="str">
        <f>"603156"</f>
        <v>603156</v>
      </c>
      <c r="B1127" s="1" t="s">
        <v>2475</v>
      </c>
      <c r="C1127" s="1" t="s">
        <v>4893</v>
      </c>
    </row>
    <row r="1128" spans="1:3" x14ac:dyDescent="0.2">
      <c r="A1128" s="1" t="str">
        <f>"603155"</f>
        <v>603155</v>
      </c>
      <c r="B1128" s="1" t="s">
        <v>2934</v>
      </c>
      <c r="C1128" s="1" t="s">
        <v>4865</v>
      </c>
    </row>
    <row r="1129" spans="1:3" x14ac:dyDescent="0.2">
      <c r="A1129" s="1" t="str">
        <f>"603153"</f>
        <v>603153</v>
      </c>
      <c r="B1129" s="1" t="s">
        <v>3771</v>
      </c>
      <c r="C1129" s="1" t="s">
        <v>4922</v>
      </c>
    </row>
    <row r="1130" spans="1:3" x14ac:dyDescent="0.2">
      <c r="A1130" s="1" t="str">
        <f>"603151"</f>
        <v>603151</v>
      </c>
      <c r="B1130" s="1" t="s">
        <v>2541</v>
      </c>
      <c r="C1130" s="1" t="s">
        <v>4885</v>
      </c>
    </row>
    <row r="1131" spans="1:3" x14ac:dyDescent="0.2">
      <c r="A1131" s="1" t="str">
        <f>"603150"</f>
        <v>603150</v>
      </c>
      <c r="B1131" s="1" t="s">
        <v>2837</v>
      </c>
      <c r="C1131" s="1" t="s">
        <v>4860</v>
      </c>
    </row>
    <row r="1132" spans="1:3" x14ac:dyDescent="0.2">
      <c r="A1132" s="1" t="str">
        <f>"603139"</f>
        <v>603139</v>
      </c>
      <c r="B1132" s="1" t="s">
        <v>3772</v>
      </c>
      <c r="C1132" s="1" t="s">
        <v>4917</v>
      </c>
    </row>
    <row r="1133" spans="1:3" x14ac:dyDescent="0.2">
      <c r="A1133" s="1" t="str">
        <f>"603138"</f>
        <v>603138</v>
      </c>
      <c r="B1133" s="1" t="s">
        <v>3773</v>
      </c>
      <c r="C1133" s="1" t="s">
        <v>4847</v>
      </c>
    </row>
    <row r="1134" spans="1:3" x14ac:dyDescent="0.2">
      <c r="A1134" s="1" t="str">
        <f>"603137"</f>
        <v>603137</v>
      </c>
      <c r="B1134" s="1" t="s">
        <v>3774</v>
      </c>
      <c r="C1134" s="1" t="s">
        <v>4901</v>
      </c>
    </row>
    <row r="1135" spans="1:3" x14ac:dyDescent="0.2">
      <c r="A1135" s="1" t="str">
        <f>"603136"</f>
        <v>603136</v>
      </c>
      <c r="B1135" s="1" t="s">
        <v>282</v>
      </c>
      <c r="C1135" s="1" t="s">
        <v>4940</v>
      </c>
    </row>
    <row r="1136" spans="1:3" x14ac:dyDescent="0.2">
      <c r="A1136" s="1" t="str">
        <f>"603135"</f>
        <v>603135</v>
      </c>
      <c r="B1136" s="1" t="s">
        <v>1023</v>
      </c>
      <c r="C1136" s="1" t="s">
        <v>4845</v>
      </c>
    </row>
    <row r="1137" spans="1:3" x14ac:dyDescent="0.2">
      <c r="A1137" s="1" t="str">
        <f>"603132"</f>
        <v>603132</v>
      </c>
      <c r="B1137" s="1" t="s">
        <v>2683</v>
      </c>
      <c r="C1137" s="1" t="s">
        <v>4879</v>
      </c>
    </row>
    <row r="1138" spans="1:3" x14ac:dyDescent="0.2">
      <c r="A1138" s="1" t="str">
        <f>"603131"</f>
        <v>603131</v>
      </c>
      <c r="B1138" s="1" t="s">
        <v>1144</v>
      </c>
      <c r="C1138" s="1" t="s">
        <v>4851</v>
      </c>
    </row>
    <row r="1139" spans="1:3" x14ac:dyDescent="0.2">
      <c r="A1139" s="1" t="str">
        <f>"603130"</f>
        <v>603130</v>
      </c>
      <c r="B1139" s="1" t="s">
        <v>2372</v>
      </c>
      <c r="C1139" s="1" t="s">
        <v>4904</v>
      </c>
    </row>
    <row r="1140" spans="1:3" x14ac:dyDescent="0.2">
      <c r="A1140" s="1" t="str">
        <f>"603129"</f>
        <v>603129</v>
      </c>
      <c r="B1140" s="1" t="s">
        <v>1879</v>
      </c>
      <c r="C1140" s="1" t="s">
        <v>4839</v>
      </c>
    </row>
    <row r="1141" spans="1:3" x14ac:dyDescent="0.2">
      <c r="A1141" s="1" t="str">
        <f>"603128"</f>
        <v>603128</v>
      </c>
      <c r="B1141" s="1" t="s">
        <v>170</v>
      </c>
      <c r="C1141" s="1" t="s">
        <v>4914</v>
      </c>
    </row>
    <row r="1142" spans="1:3" x14ac:dyDescent="0.2">
      <c r="A1142" s="1" t="str">
        <f>"603127"</f>
        <v>603127</v>
      </c>
      <c r="B1142" s="1" t="s">
        <v>1679</v>
      </c>
      <c r="C1142" s="1" t="s">
        <v>4861</v>
      </c>
    </row>
    <row r="1143" spans="1:3" x14ac:dyDescent="0.2">
      <c r="A1143" s="1" t="str">
        <f>"603126"</f>
        <v>603126</v>
      </c>
      <c r="B1143" s="1" t="s">
        <v>3775</v>
      </c>
      <c r="C1143" s="1" t="s">
        <v>4863</v>
      </c>
    </row>
    <row r="1144" spans="1:3" x14ac:dyDescent="0.2">
      <c r="A1144" s="1" t="str">
        <f>"603125"</f>
        <v>603125</v>
      </c>
      <c r="B1144" s="1" t="s">
        <v>3007</v>
      </c>
      <c r="C1144" s="1" t="s">
        <v>4853</v>
      </c>
    </row>
    <row r="1145" spans="1:3" x14ac:dyDescent="0.2">
      <c r="A1145" s="1" t="str">
        <f>"603124"</f>
        <v>603124</v>
      </c>
      <c r="B1145" s="1" t="s">
        <v>2619</v>
      </c>
      <c r="C1145" s="1" t="s">
        <v>4848</v>
      </c>
    </row>
    <row r="1146" spans="1:3" x14ac:dyDescent="0.2">
      <c r="A1146" s="1" t="str">
        <f>"603123"</f>
        <v>603123</v>
      </c>
      <c r="B1146" s="1" t="s">
        <v>3776</v>
      </c>
      <c r="C1146" s="1" t="s">
        <v>4938</v>
      </c>
    </row>
    <row r="1147" spans="1:3" x14ac:dyDescent="0.2">
      <c r="A1147" s="1" t="str">
        <f>"603122"</f>
        <v>603122</v>
      </c>
      <c r="B1147" s="1" t="s">
        <v>3777</v>
      </c>
      <c r="C1147" s="1" t="s">
        <v>4903</v>
      </c>
    </row>
    <row r="1148" spans="1:3" x14ac:dyDescent="0.2">
      <c r="A1148" s="1" t="str">
        <f>"603121"</f>
        <v>603121</v>
      </c>
      <c r="B1148" s="1" t="s">
        <v>1985</v>
      </c>
      <c r="C1148" s="1" t="s">
        <v>4856</v>
      </c>
    </row>
    <row r="1149" spans="1:3" x14ac:dyDescent="0.2">
      <c r="A1149" s="1" t="str">
        <f>"603120"</f>
        <v>603120</v>
      </c>
      <c r="B1149" s="1" t="s">
        <v>2896</v>
      </c>
      <c r="C1149" s="1" t="s">
        <v>4865</v>
      </c>
    </row>
    <row r="1150" spans="1:3" x14ac:dyDescent="0.2">
      <c r="A1150" s="1" t="str">
        <f>"603119"</f>
        <v>603119</v>
      </c>
      <c r="B1150" s="1" t="s">
        <v>1922</v>
      </c>
      <c r="C1150" s="1" t="s">
        <v>4856</v>
      </c>
    </row>
    <row r="1151" spans="1:3" x14ac:dyDescent="0.2">
      <c r="A1151" s="1" t="str">
        <f>"603118"</f>
        <v>603118</v>
      </c>
      <c r="B1151" s="1" t="s">
        <v>667</v>
      </c>
      <c r="C1151" s="1" t="s">
        <v>4869</v>
      </c>
    </row>
    <row r="1152" spans="1:3" x14ac:dyDescent="0.2">
      <c r="A1152" s="1" t="str">
        <f>"603117"</f>
        <v>603117</v>
      </c>
      <c r="B1152" s="1" t="s">
        <v>171</v>
      </c>
      <c r="C1152" s="1" t="s">
        <v>4914</v>
      </c>
    </row>
    <row r="1153" spans="1:3" x14ac:dyDescent="0.2">
      <c r="A1153" s="1" t="str">
        <f>"603116"</f>
        <v>603116</v>
      </c>
      <c r="B1153" s="1" t="s">
        <v>2357</v>
      </c>
      <c r="C1153" s="1" t="s">
        <v>4909</v>
      </c>
    </row>
    <row r="1154" spans="1:3" x14ac:dyDescent="0.2">
      <c r="A1154" s="1" t="str">
        <f>"603115"</f>
        <v>603115</v>
      </c>
      <c r="B1154" s="1" t="s">
        <v>2697</v>
      </c>
      <c r="C1154" s="1" t="s">
        <v>4879</v>
      </c>
    </row>
    <row r="1155" spans="1:3" x14ac:dyDescent="0.2">
      <c r="A1155" s="1" t="str">
        <f>"603113"</f>
        <v>603113</v>
      </c>
      <c r="B1155" s="1" t="s">
        <v>3778</v>
      </c>
      <c r="C1155" s="1" t="s">
        <v>4853</v>
      </c>
    </row>
    <row r="1156" spans="1:3" x14ac:dyDescent="0.2">
      <c r="A1156" s="1" t="str">
        <f>"603112"</f>
        <v>603112</v>
      </c>
      <c r="B1156" s="1" t="s">
        <v>1188</v>
      </c>
      <c r="C1156" s="1" t="s">
        <v>4851</v>
      </c>
    </row>
    <row r="1157" spans="1:3" x14ac:dyDescent="0.2">
      <c r="A1157" s="1" t="str">
        <f>"603111"</f>
        <v>603111</v>
      </c>
      <c r="B1157" s="1" t="s">
        <v>1294</v>
      </c>
      <c r="C1157" s="1" t="s">
        <v>4875</v>
      </c>
    </row>
    <row r="1158" spans="1:3" x14ac:dyDescent="0.2">
      <c r="A1158" s="1" t="str">
        <f>"603110"</f>
        <v>603110</v>
      </c>
      <c r="B1158" s="1" t="s">
        <v>2981</v>
      </c>
      <c r="C1158" s="1" t="s">
        <v>4865</v>
      </c>
    </row>
    <row r="1159" spans="1:3" x14ac:dyDescent="0.2">
      <c r="A1159" s="1" t="str">
        <f>"603109"</f>
        <v>603109</v>
      </c>
      <c r="B1159" s="1" t="s">
        <v>1568</v>
      </c>
      <c r="C1159" s="1" t="s">
        <v>4919</v>
      </c>
    </row>
    <row r="1160" spans="1:3" x14ac:dyDescent="0.2">
      <c r="A1160" s="1" t="str">
        <f>"603108"</f>
        <v>603108</v>
      </c>
      <c r="B1160" s="1" t="s">
        <v>3779</v>
      </c>
      <c r="C1160" s="1" t="s">
        <v>4903</v>
      </c>
    </row>
    <row r="1161" spans="1:3" x14ac:dyDescent="0.2">
      <c r="A1161" s="1" t="str">
        <f>"603107"</f>
        <v>603107</v>
      </c>
      <c r="B1161" s="1" t="s">
        <v>1986</v>
      </c>
      <c r="C1161" s="1" t="s">
        <v>4856</v>
      </c>
    </row>
    <row r="1162" spans="1:3" x14ac:dyDescent="0.2">
      <c r="A1162" s="1" t="str">
        <f>"603106"</f>
        <v>603106</v>
      </c>
      <c r="B1162" s="1" t="s">
        <v>606</v>
      </c>
      <c r="C1162" s="1" t="s">
        <v>4873</v>
      </c>
    </row>
    <row r="1163" spans="1:3" x14ac:dyDescent="0.2">
      <c r="A1163" s="1" t="str">
        <f>"603105"</f>
        <v>603105</v>
      </c>
      <c r="B1163" s="1" t="s">
        <v>124</v>
      </c>
      <c r="C1163" s="1" t="s">
        <v>4889</v>
      </c>
    </row>
    <row r="1164" spans="1:3" x14ac:dyDescent="0.2">
      <c r="A1164" s="1" t="str">
        <f>"603103"</f>
        <v>603103</v>
      </c>
      <c r="B1164" s="1" t="s">
        <v>468</v>
      </c>
      <c r="C1164" s="1" t="s">
        <v>4941</v>
      </c>
    </row>
    <row r="1165" spans="1:3" x14ac:dyDescent="0.2">
      <c r="A1165" s="1" t="str">
        <f>"603102"</f>
        <v>603102</v>
      </c>
      <c r="B1165" s="1" t="s">
        <v>2399</v>
      </c>
      <c r="C1165" s="1" t="s">
        <v>4891</v>
      </c>
    </row>
    <row r="1166" spans="1:3" x14ac:dyDescent="0.2">
      <c r="A1166" s="1" t="str">
        <f>"603101"</f>
        <v>603101</v>
      </c>
      <c r="B1166" s="1" t="s">
        <v>3780</v>
      </c>
      <c r="C1166" s="1" t="s">
        <v>4905</v>
      </c>
    </row>
    <row r="1167" spans="1:3" x14ac:dyDescent="0.2">
      <c r="A1167" s="1" t="str">
        <f>"603100"</f>
        <v>603100</v>
      </c>
      <c r="B1167" s="1" t="s">
        <v>1268</v>
      </c>
      <c r="C1167" s="1" t="s">
        <v>4851</v>
      </c>
    </row>
    <row r="1168" spans="1:3" x14ac:dyDescent="0.2">
      <c r="A1168" s="1" t="str">
        <f>"603099"</f>
        <v>603099</v>
      </c>
      <c r="B1168" s="1" t="s">
        <v>283</v>
      </c>
      <c r="C1168" s="1" t="s">
        <v>4940</v>
      </c>
    </row>
    <row r="1169" spans="1:3" x14ac:dyDescent="0.2">
      <c r="A1169" s="1" t="str">
        <f>"603098"</f>
        <v>603098</v>
      </c>
      <c r="B1169" s="1" t="s">
        <v>3781</v>
      </c>
      <c r="C1169" s="1" t="s">
        <v>4888</v>
      </c>
    </row>
    <row r="1170" spans="1:3" x14ac:dyDescent="0.2">
      <c r="A1170" s="1" t="str">
        <f>"603097"</f>
        <v>603097</v>
      </c>
      <c r="B1170" s="1" t="s">
        <v>1476</v>
      </c>
      <c r="C1170" s="1" t="s">
        <v>4866</v>
      </c>
    </row>
    <row r="1171" spans="1:3" x14ac:dyDescent="0.2">
      <c r="A1171" s="1" t="str">
        <f>"603096"</f>
        <v>603096</v>
      </c>
      <c r="B1171" s="1" t="s">
        <v>439</v>
      </c>
      <c r="C1171" s="1" t="s">
        <v>4890</v>
      </c>
    </row>
    <row r="1172" spans="1:3" x14ac:dyDescent="0.2">
      <c r="A1172" s="1" t="str">
        <f>"603095"</f>
        <v>603095</v>
      </c>
      <c r="B1172" s="1" t="s">
        <v>1090</v>
      </c>
      <c r="C1172" s="1" t="s">
        <v>4845</v>
      </c>
    </row>
    <row r="1173" spans="1:3" x14ac:dyDescent="0.2">
      <c r="A1173" s="1" t="str">
        <f>"603093"</f>
        <v>603093</v>
      </c>
      <c r="B1173" s="1" t="s">
        <v>352</v>
      </c>
      <c r="C1173" s="1" t="s">
        <v>4938</v>
      </c>
    </row>
    <row r="1174" spans="1:3" x14ac:dyDescent="0.2">
      <c r="A1174" s="1" t="str">
        <f>"603091"</f>
        <v>603091</v>
      </c>
      <c r="B1174" s="1" t="s">
        <v>2218</v>
      </c>
      <c r="C1174" s="1" t="s">
        <v>4902</v>
      </c>
    </row>
    <row r="1175" spans="1:3" x14ac:dyDescent="0.2">
      <c r="A1175" s="1" t="str">
        <f>"603090"</f>
        <v>603090</v>
      </c>
      <c r="B1175" s="1" t="s">
        <v>1145</v>
      </c>
      <c r="C1175" s="1" t="s">
        <v>4851</v>
      </c>
    </row>
    <row r="1176" spans="1:3" x14ac:dyDescent="0.2">
      <c r="A1176" s="1" t="str">
        <f>"603089"</f>
        <v>603089</v>
      </c>
      <c r="B1176" s="1" t="s">
        <v>1987</v>
      </c>
      <c r="C1176" s="1" t="s">
        <v>4856</v>
      </c>
    </row>
    <row r="1177" spans="1:3" x14ac:dyDescent="0.2">
      <c r="A1177" s="1" t="str">
        <f>"603088"</f>
        <v>603088</v>
      </c>
      <c r="B1177" s="1" t="s">
        <v>1253</v>
      </c>
      <c r="C1177" s="1" t="s">
        <v>4851</v>
      </c>
    </row>
    <row r="1178" spans="1:3" x14ac:dyDescent="0.2">
      <c r="A1178" s="1" t="str">
        <f>"603087"</f>
        <v>603087</v>
      </c>
      <c r="B1178" s="1" t="s">
        <v>1754</v>
      </c>
      <c r="C1178" s="1" t="s">
        <v>4852</v>
      </c>
    </row>
    <row r="1179" spans="1:3" x14ac:dyDescent="0.2">
      <c r="A1179" s="1" t="str">
        <f>"603086"</f>
        <v>603086</v>
      </c>
      <c r="B1179" s="1" t="s">
        <v>2803</v>
      </c>
      <c r="C1179" s="1" t="s">
        <v>4915</v>
      </c>
    </row>
    <row r="1180" spans="1:3" x14ac:dyDescent="0.2">
      <c r="A1180" s="1" t="str">
        <f>"603085"</f>
        <v>603085</v>
      </c>
      <c r="B1180" s="1" t="s">
        <v>2047</v>
      </c>
      <c r="C1180" s="1" t="s">
        <v>4856</v>
      </c>
    </row>
    <row r="1181" spans="1:3" x14ac:dyDescent="0.2">
      <c r="A1181" s="1" t="str">
        <f>"603083"</f>
        <v>603083</v>
      </c>
      <c r="B1181" s="1" t="s">
        <v>668</v>
      </c>
      <c r="C1181" s="1" t="s">
        <v>4869</v>
      </c>
    </row>
    <row r="1182" spans="1:3" x14ac:dyDescent="0.2">
      <c r="A1182" s="1" t="str">
        <f>"603082"</f>
        <v>603082</v>
      </c>
      <c r="B1182" s="1" t="s">
        <v>958</v>
      </c>
      <c r="C1182" s="1" t="s">
        <v>4849</v>
      </c>
    </row>
    <row r="1183" spans="1:3" x14ac:dyDescent="0.2">
      <c r="A1183" s="1" t="str">
        <f>"603081"</f>
        <v>603081</v>
      </c>
      <c r="B1183" s="1" t="s">
        <v>1024</v>
      </c>
      <c r="C1183" s="1" t="s">
        <v>4845</v>
      </c>
    </row>
    <row r="1184" spans="1:3" x14ac:dyDescent="0.2">
      <c r="A1184" s="1" t="str">
        <f>"603080"</f>
        <v>603080</v>
      </c>
      <c r="B1184" s="1" t="s">
        <v>102</v>
      </c>
      <c r="C1184" s="1" t="s">
        <v>4895</v>
      </c>
    </row>
    <row r="1185" spans="1:3" x14ac:dyDescent="0.2">
      <c r="A1185" s="1" t="str">
        <f>"603079"</f>
        <v>603079</v>
      </c>
      <c r="B1185" s="1" t="s">
        <v>2940</v>
      </c>
      <c r="C1185" s="1" t="s">
        <v>4865</v>
      </c>
    </row>
    <row r="1186" spans="1:3" x14ac:dyDescent="0.2">
      <c r="A1186" s="1" t="str">
        <f>"603078"</f>
        <v>603078</v>
      </c>
      <c r="B1186" s="1" t="s">
        <v>940</v>
      </c>
      <c r="C1186" s="1" t="s">
        <v>4840</v>
      </c>
    </row>
    <row r="1187" spans="1:3" x14ac:dyDescent="0.2">
      <c r="A1187" s="1" t="str">
        <f>"603077"</f>
        <v>603077</v>
      </c>
      <c r="B1187" s="1" t="s">
        <v>3030</v>
      </c>
      <c r="C1187" s="1" t="s">
        <v>4853</v>
      </c>
    </row>
    <row r="1188" spans="1:3" x14ac:dyDescent="0.2">
      <c r="A1188" s="1" t="str">
        <f>"603076"</f>
        <v>603076</v>
      </c>
      <c r="B1188" s="1" t="s">
        <v>1025</v>
      </c>
      <c r="C1188" s="1" t="s">
        <v>4845</v>
      </c>
    </row>
    <row r="1189" spans="1:3" x14ac:dyDescent="0.2">
      <c r="A1189" s="1" t="str">
        <f>"603075"</f>
        <v>603075</v>
      </c>
      <c r="B1189" s="1" t="s">
        <v>2136</v>
      </c>
      <c r="C1189" s="1" t="s">
        <v>4929</v>
      </c>
    </row>
    <row r="1190" spans="1:3" x14ac:dyDescent="0.2">
      <c r="A1190" s="1" t="str">
        <f>"603073"</f>
        <v>603073</v>
      </c>
      <c r="B1190" s="1" t="s">
        <v>2373</v>
      </c>
      <c r="C1190" s="1" t="s">
        <v>4904</v>
      </c>
    </row>
    <row r="1191" spans="1:3" x14ac:dyDescent="0.2">
      <c r="A1191" s="1" t="str">
        <f>"603072"</f>
        <v>603072</v>
      </c>
      <c r="B1191" s="1" t="s">
        <v>2628</v>
      </c>
      <c r="C1191" s="1" t="s">
        <v>4848</v>
      </c>
    </row>
    <row r="1192" spans="1:3" x14ac:dyDescent="0.2">
      <c r="A1192" s="1" t="str">
        <f>"603071"</f>
        <v>603071</v>
      </c>
      <c r="B1192" s="1" t="s">
        <v>2101</v>
      </c>
      <c r="C1192" s="1" t="s">
        <v>4942</v>
      </c>
    </row>
    <row r="1193" spans="1:3" x14ac:dyDescent="0.2">
      <c r="A1193" s="1" t="str">
        <f>"603070"</f>
        <v>603070</v>
      </c>
      <c r="B1193" s="1" t="s">
        <v>1458</v>
      </c>
      <c r="C1193" s="1" t="s">
        <v>4866</v>
      </c>
    </row>
    <row r="1194" spans="1:3" x14ac:dyDescent="0.2">
      <c r="A1194" s="1" t="str">
        <f>"603069"</f>
        <v>603069</v>
      </c>
      <c r="B1194" s="1" t="s">
        <v>3782</v>
      </c>
      <c r="C1194" s="1" t="s">
        <v>4943</v>
      </c>
    </row>
    <row r="1195" spans="1:3" x14ac:dyDescent="0.2">
      <c r="A1195" s="1" t="str">
        <f>"603068"</f>
        <v>603068</v>
      </c>
      <c r="B1195" s="1" t="s">
        <v>921</v>
      </c>
      <c r="C1195" s="1" t="s">
        <v>4840</v>
      </c>
    </row>
    <row r="1196" spans="1:3" x14ac:dyDescent="0.2">
      <c r="A1196" s="1" t="str">
        <f>"603067"</f>
        <v>603067</v>
      </c>
      <c r="B1196" s="1" t="s">
        <v>3022</v>
      </c>
      <c r="C1196" s="1" t="s">
        <v>4853</v>
      </c>
    </row>
    <row r="1197" spans="1:3" x14ac:dyDescent="0.2">
      <c r="A1197" s="1" t="str">
        <f>"603066"</f>
        <v>603066</v>
      </c>
      <c r="B1197" s="1" t="s">
        <v>162</v>
      </c>
      <c r="C1197" s="1" t="s">
        <v>4914</v>
      </c>
    </row>
    <row r="1198" spans="1:3" x14ac:dyDescent="0.2">
      <c r="A1198" s="1" t="str">
        <f>"603065"</f>
        <v>603065</v>
      </c>
      <c r="B1198" s="1" t="s">
        <v>2848</v>
      </c>
      <c r="C1198" s="1" t="s">
        <v>4860</v>
      </c>
    </row>
    <row r="1199" spans="1:3" x14ac:dyDescent="0.2">
      <c r="A1199" s="1" t="str">
        <f>"603063"</f>
        <v>603063</v>
      </c>
      <c r="B1199" s="1" t="s">
        <v>1383</v>
      </c>
      <c r="C1199" s="1" t="s">
        <v>4870</v>
      </c>
    </row>
    <row r="1200" spans="1:3" x14ac:dyDescent="0.2">
      <c r="A1200" s="1" t="str">
        <f>"603062"</f>
        <v>603062</v>
      </c>
      <c r="B1200" s="1" t="s">
        <v>2982</v>
      </c>
      <c r="C1200" s="1" t="s">
        <v>4865</v>
      </c>
    </row>
    <row r="1201" spans="1:3" x14ac:dyDescent="0.2">
      <c r="A1201" s="1" t="str">
        <f>"603061"</f>
        <v>603061</v>
      </c>
      <c r="B1201" s="1" t="s">
        <v>933</v>
      </c>
      <c r="C1201" s="1" t="s">
        <v>4840</v>
      </c>
    </row>
    <row r="1202" spans="1:3" x14ac:dyDescent="0.2">
      <c r="A1202" s="1" t="str">
        <f>"603060"</f>
        <v>603060</v>
      </c>
      <c r="B1202" s="1" t="s">
        <v>3783</v>
      </c>
      <c r="C1202" s="1" t="s">
        <v>4854</v>
      </c>
    </row>
    <row r="1203" spans="1:3" x14ac:dyDescent="0.2">
      <c r="A1203" s="1" t="str">
        <f>"603059"</f>
        <v>603059</v>
      </c>
      <c r="B1203" s="1" t="s">
        <v>3076</v>
      </c>
      <c r="C1203" s="1" t="s">
        <v>4920</v>
      </c>
    </row>
    <row r="1204" spans="1:3" x14ac:dyDescent="0.2">
      <c r="A1204" s="1" t="str">
        <f>"603058"</f>
        <v>603058</v>
      </c>
      <c r="B1204" s="1" t="s">
        <v>2262</v>
      </c>
      <c r="C1204" s="1" t="s">
        <v>4930</v>
      </c>
    </row>
    <row r="1205" spans="1:3" x14ac:dyDescent="0.2">
      <c r="A1205" s="1" t="str">
        <f>"603057"</f>
        <v>603057</v>
      </c>
      <c r="B1205" s="1" t="s">
        <v>2425</v>
      </c>
      <c r="C1205" s="1" t="s">
        <v>4896</v>
      </c>
    </row>
    <row r="1206" spans="1:3" x14ac:dyDescent="0.2">
      <c r="A1206" s="1" t="str">
        <f>"603056"</f>
        <v>603056</v>
      </c>
      <c r="B1206" s="1" t="s">
        <v>3784</v>
      </c>
      <c r="C1206" s="1" t="s">
        <v>4914</v>
      </c>
    </row>
    <row r="1207" spans="1:3" x14ac:dyDescent="0.2">
      <c r="A1207" s="1" t="str">
        <f>"603055"</f>
        <v>603055</v>
      </c>
      <c r="B1207" s="1" t="s">
        <v>2374</v>
      </c>
      <c r="C1207" s="1" t="s">
        <v>4904</v>
      </c>
    </row>
    <row r="1208" spans="1:3" x14ac:dyDescent="0.2">
      <c r="A1208" s="1" t="str">
        <f>"603053"</f>
        <v>603053</v>
      </c>
      <c r="B1208" s="1" t="s">
        <v>103</v>
      </c>
      <c r="C1208" s="1" t="s">
        <v>4895</v>
      </c>
    </row>
    <row r="1209" spans="1:3" x14ac:dyDescent="0.2">
      <c r="A1209" s="1" t="str">
        <f>"603052"</f>
        <v>603052</v>
      </c>
      <c r="B1209" s="1" t="s">
        <v>852</v>
      </c>
      <c r="C1209" s="1" t="s">
        <v>4850</v>
      </c>
    </row>
    <row r="1210" spans="1:3" x14ac:dyDescent="0.2">
      <c r="A1210" s="1" t="str">
        <f>"603051"</f>
        <v>603051</v>
      </c>
      <c r="B1210" s="1" t="s">
        <v>2927</v>
      </c>
      <c r="C1210" s="1" t="s">
        <v>4865</v>
      </c>
    </row>
    <row r="1211" spans="1:3" x14ac:dyDescent="0.2">
      <c r="A1211" s="1" t="str">
        <f>"603050"</f>
        <v>603050</v>
      </c>
      <c r="B1211" s="1" t="s">
        <v>1499</v>
      </c>
      <c r="C1211" s="1" t="s">
        <v>4866</v>
      </c>
    </row>
    <row r="1212" spans="1:3" x14ac:dyDescent="0.2">
      <c r="A1212" s="1" t="str">
        <f>"603049"</f>
        <v>603049</v>
      </c>
      <c r="B1212" s="1" t="s">
        <v>1948</v>
      </c>
      <c r="C1212" s="1" t="s">
        <v>4856</v>
      </c>
    </row>
    <row r="1213" spans="1:3" x14ac:dyDescent="0.2">
      <c r="A1213" s="1" t="str">
        <f>"603048"</f>
        <v>603048</v>
      </c>
      <c r="B1213" s="1" t="s">
        <v>1988</v>
      </c>
      <c r="C1213" s="1" t="s">
        <v>4856</v>
      </c>
    </row>
    <row r="1214" spans="1:3" x14ac:dyDescent="0.2">
      <c r="A1214" s="1" t="str">
        <f>"603045"</f>
        <v>603045</v>
      </c>
      <c r="B1214" s="1" t="s">
        <v>3785</v>
      </c>
      <c r="C1214" s="1" t="s">
        <v>4848</v>
      </c>
    </row>
    <row r="1215" spans="1:3" x14ac:dyDescent="0.2">
      <c r="A1215" s="1" t="str">
        <f>"603043"</f>
        <v>603043</v>
      </c>
      <c r="B1215" s="1" t="s">
        <v>2429</v>
      </c>
      <c r="C1215" s="1" t="s">
        <v>4896</v>
      </c>
    </row>
    <row r="1216" spans="1:3" x14ac:dyDescent="0.2">
      <c r="A1216" s="1" t="str">
        <f>"603042"</f>
        <v>603042</v>
      </c>
      <c r="B1216" s="1" t="s">
        <v>3786</v>
      </c>
      <c r="C1216" s="1" t="s">
        <v>4869</v>
      </c>
    </row>
    <row r="1217" spans="1:3" x14ac:dyDescent="0.2">
      <c r="A1217" s="1" t="str">
        <f>"603041"</f>
        <v>603041</v>
      </c>
      <c r="B1217" s="1" t="s">
        <v>2989</v>
      </c>
      <c r="C1217" s="1" t="s">
        <v>4865</v>
      </c>
    </row>
    <row r="1218" spans="1:3" x14ac:dyDescent="0.2">
      <c r="A1218" s="1" t="str">
        <f>"603040"</f>
        <v>603040</v>
      </c>
      <c r="B1218" s="1" t="s">
        <v>1989</v>
      </c>
      <c r="C1218" s="1" t="s">
        <v>4856</v>
      </c>
    </row>
    <row r="1219" spans="1:3" x14ac:dyDescent="0.2">
      <c r="A1219" s="1" t="str">
        <f>"603039"</f>
        <v>603039</v>
      </c>
      <c r="B1219" s="1" t="s">
        <v>604</v>
      </c>
      <c r="C1219" s="1" t="s">
        <v>4847</v>
      </c>
    </row>
    <row r="1220" spans="1:3" x14ac:dyDescent="0.2">
      <c r="A1220" s="1" t="str">
        <f>"603038"</f>
        <v>603038</v>
      </c>
      <c r="B1220" s="1" t="s">
        <v>2240</v>
      </c>
      <c r="C1220" s="1" t="s">
        <v>4902</v>
      </c>
    </row>
    <row r="1221" spans="1:3" x14ac:dyDescent="0.2">
      <c r="A1221" s="1" t="str">
        <f>"603037"</f>
        <v>603037</v>
      </c>
      <c r="B1221" s="1" t="s">
        <v>1990</v>
      </c>
      <c r="C1221" s="1" t="s">
        <v>4856</v>
      </c>
    </row>
    <row r="1222" spans="1:3" x14ac:dyDescent="0.2">
      <c r="A1222" s="1" t="str">
        <f>"603036"</f>
        <v>603036</v>
      </c>
      <c r="B1222" s="1" t="s">
        <v>1111</v>
      </c>
      <c r="C1222" s="1" t="s">
        <v>4845</v>
      </c>
    </row>
    <row r="1223" spans="1:3" x14ac:dyDescent="0.2">
      <c r="A1223" s="1" t="str">
        <f>"603035"</f>
        <v>603035</v>
      </c>
      <c r="B1223" s="1" t="s">
        <v>2048</v>
      </c>
      <c r="C1223" s="1" t="s">
        <v>4856</v>
      </c>
    </row>
    <row r="1224" spans="1:3" x14ac:dyDescent="0.2">
      <c r="A1224" s="1" t="str">
        <f>"603033"</f>
        <v>603033</v>
      </c>
      <c r="B1224" s="1" t="s">
        <v>2822</v>
      </c>
      <c r="C1224" s="1" t="s">
        <v>4906</v>
      </c>
    </row>
    <row r="1225" spans="1:3" x14ac:dyDescent="0.2">
      <c r="A1225" s="1" t="str">
        <f>"603032"</f>
        <v>603032</v>
      </c>
      <c r="B1225" s="1" t="s">
        <v>3787</v>
      </c>
      <c r="C1225" s="1" t="s">
        <v>4845</v>
      </c>
    </row>
    <row r="1226" spans="1:3" x14ac:dyDescent="0.2">
      <c r="A1226" s="1" t="str">
        <f>"603031"</f>
        <v>603031</v>
      </c>
      <c r="B1226" s="1" t="s">
        <v>1521</v>
      </c>
      <c r="C1226" s="1" t="s">
        <v>4841</v>
      </c>
    </row>
    <row r="1227" spans="1:3" x14ac:dyDescent="0.2">
      <c r="A1227" s="1" t="str">
        <f>"603030"</f>
        <v>603030</v>
      </c>
      <c r="B1227" s="1" t="s">
        <v>3788</v>
      </c>
      <c r="C1227" s="1" t="s">
        <v>4901</v>
      </c>
    </row>
    <row r="1228" spans="1:3" x14ac:dyDescent="0.2">
      <c r="A1228" s="1" t="str">
        <f>"603029"</f>
        <v>603029</v>
      </c>
      <c r="B1228" s="1" t="s">
        <v>1082</v>
      </c>
      <c r="C1228" s="1" t="s">
        <v>4845</v>
      </c>
    </row>
    <row r="1229" spans="1:3" x14ac:dyDescent="0.2">
      <c r="A1229" s="1" t="str">
        <f>"603028"</f>
        <v>603028</v>
      </c>
      <c r="B1229" s="1" t="s">
        <v>3789</v>
      </c>
      <c r="C1229" s="1" t="s">
        <v>4851</v>
      </c>
    </row>
    <row r="1230" spans="1:3" x14ac:dyDescent="0.2">
      <c r="A1230" s="1" t="str">
        <f>"603027"</f>
        <v>603027</v>
      </c>
      <c r="B1230" s="1" t="s">
        <v>2447</v>
      </c>
      <c r="C1230" s="1" t="s">
        <v>4927</v>
      </c>
    </row>
    <row r="1231" spans="1:3" x14ac:dyDescent="0.2">
      <c r="A1231" s="1" t="str">
        <f>"603026"</f>
        <v>603026</v>
      </c>
      <c r="B1231" s="1" t="s">
        <v>3790</v>
      </c>
      <c r="C1231" s="1" t="s">
        <v>4841</v>
      </c>
    </row>
    <row r="1232" spans="1:3" x14ac:dyDescent="0.2">
      <c r="A1232" s="1" t="str">
        <f>"603025"</f>
        <v>603025</v>
      </c>
      <c r="B1232" s="1" t="s">
        <v>971</v>
      </c>
      <c r="C1232" s="1" t="s">
        <v>4849</v>
      </c>
    </row>
    <row r="1233" spans="1:3" x14ac:dyDescent="0.2">
      <c r="A1233" s="1" t="str">
        <f>"603023"</f>
        <v>603023</v>
      </c>
      <c r="B1233" s="1" t="s">
        <v>3791</v>
      </c>
      <c r="C1233" s="1" t="s">
        <v>4856</v>
      </c>
    </row>
    <row r="1234" spans="1:3" x14ac:dyDescent="0.2">
      <c r="A1234" s="1" t="str">
        <f>"603022"</f>
        <v>603022</v>
      </c>
      <c r="B1234" s="1" t="s">
        <v>2256</v>
      </c>
      <c r="C1234" s="1" t="s">
        <v>4930</v>
      </c>
    </row>
    <row r="1235" spans="1:3" x14ac:dyDescent="0.2">
      <c r="A1235" s="1" t="str">
        <f>"603020"</f>
        <v>603020</v>
      </c>
      <c r="B1235" s="1" t="s">
        <v>2448</v>
      </c>
      <c r="C1235" s="1" t="s">
        <v>4927</v>
      </c>
    </row>
    <row r="1236" spans="1:3" x14ac:dyDescent="0.2">
      <c r="A1236" s="1" t="str">
        <f>"603019"</f>
        <v>603019</v>
      </c>
      <c r="B1236" s="1" t="s">
        <v>607</v>
      </c>
      <c r="C1236" s="1" t="s">
        <v>4873</v>
      </c>
    </row>
    <row r="1237" spans="1:3" x14ac:dyDescent="0.2">
      <c r="A1237" s="1" t="str">
        <f>"603018"</f>
        <v>603018</v>
      </c>
      <c r="B1237" s="1" t="s">
        <v>3792</v>
      </c>
      <c r="C1237" s="1" t="s">
        <v>4922</v>
      </c>
    </row>
    <row r="1238" spans="1:3" x14ac:dyDescent="0.2">
      <c r="A1238" s="1" t="str">
        <f>"603017"</f>
        <v>603017</v>
      </c>
      <c r="B1238" s="1" t="s">
        <v>3793</v>
      </c>
      <c r="C1238" s="1" t="s">
        <v>4922</v>
      </c>
    </row>
    <row r="1239" spans="1:3" x14ac:dyDescent="0.2">
      <c r="A1239" s="1" t="str">
        <f>"603016"</f>
        <v>603016</v>
      </c>
      <c r="B1239" s="1" t="s">
        <v>1459</v>
      </c>
      <c r="C1239" s="1" t="s">
        <v>4866</v>
      </c>
    </row>
    <row r="1240" spans="1:3" x14ac:dyDescent="0.2">
      <c r="A1240" s="1" t="str">
        <f>"603015"</f>
        <v>603015</v>
      </c>
      <c r="B1240" s="1" t="s">
        <v>972</v>
      </c>
      <c r="C1240" s="1" t="s">
        <v>4849</v>
      </c>
    </row>
    <row r="1241" spans="1:3" x14ac:dyDescent="0.2">
      <c r="A1241" s="1" t="str">
        <f>"603014"</f>
        <v>603014</v>
      </c>
      <c r="B1241" s="1" t="s">
        <v>1723</v>
      </c>
      <c r="C1241" s="1" t="s">
        <v>4867</v>
      </c>
    </row>
    <row r="1242" spans="1:3" x14ac:dyDescent="0.2">
      <c r="A1242" s="1" t="str">
        <f>"603013"</f>
        <v>603013</v>
      </c>
      <c r="B1242" s="1" t="s">
        <v>1991</v>
      </c>
      <c r="C1242" s="1" t="s">
        <v>4856</v>
      </c>
    </row>
    <row r="1243" spans="1:3" x14ac:dyDescent="0.2">
      <c r="A1243" s="1" t="str">
        <f>"603012"</f>
        <v>603012</v>
      </c>
      <c r="B1243" s="1" t="s">
        <v>1112</v>
      </c>
      <c r="C1243" s="1" t="s">
        <v>4845</v>
      </c>
    </row>
    <row r="1244" spans="1:3" x14ac:dyDescent="0.2">
      <c r="A1244" s="1" t="str">
        <f>"603011"</f>
        <v>603011</v>
      </c>
      <c r="B1244" s="1" t="s">
        <v>1026</v>
      </c>
      <c r="C1244" s="1" t="s">
        <v>4845</v>
      </c>
    </row>
    <row r="1245" spans="1:3" x14ac:dyDescent="0.2">
      <c r="A1245" s="1" t="str">
        <f>"603010"</f>
        <v>603010</v>
      </c>
      <c r="B1245" s="1" t="s">
        <v>2849</v>
      </c>
      <c r="C1245" s="1" t="s">
        <v>4860</v>
      </c>
    </row>
    <row r="1246" spans="1:3" x14ac:dyDescent="0.2">
      <c r="A1246" s="1" t="str">
        <f>"603009"</f>
        <v>603009</v>
      </c>
      <c r="B1246" s="1" t="s">
        <v>1992</v>
      </c>
      <c r="C1246" s="1" t="s">
        <v>4856</v>
      </c>
    </row>
    <row r="1247" spans="1:3" x14ac:dyDescent="0.2">
      <c r="A1247" s="1" t="str">
        <f>"603008"</f>
        <v>603008</v>
      </c>
      <c r="B1247" s="1" t="s">
        <v>2241</v>
      </c>
      <c r="C1247" s="1" t="s">
        <v>4902</v>
      </c>
    </row>
    <row r="1248" spans="1:3" x14ac:dyDescent="0.2">
      <c r="A1248" s="1" t="str">
        <f>"603006"</f>
        <v>603006</v>
      </c>
      <c r="B1248" s="1" t="s">
        <v>2049</v>
      </c>
      <c r="C1248" s="1" t="s">
        <v>4856</v>
      </c>
    </row>
    <row r="1249" spans="1:3" x14ac:dyDescent="0.2">
      <c r="A1249" s="1" t="str">
        <f>"603005"</f>
        <v>603005</v>
      </c>
      <c r="B1249" s="1" t="s">
        <v>904</v>
      </c>
      <c r="C1249" s="1" t="s">
        <v>4840</v>
      </c>
    </row>
    <row r="1250" spans="1:3" x14ac:dyDescent="0.2">
      <c r="A1250" s="1" t="str">
        <f>"603004"</f>
        <v>603004</v>
      </c>
      <c r="B1250" s="1" t="s">
        <v>2897</v>
      </c>
      <c r="C1250" s="1" t="s">
        <v>4865</v>
      </c>
    </row>
    <row r="1251" spans="1:3" x14ac:dyDescent="0.2">
      <c r="A1251" s="1" t="str">
        <f>"603002"</f>
        <v>603002</v>
      </c>
      <c r="B1251" s="1" t="s">
        <v>2883</v>
      </c>
      <c r="C1251" s="1" t="s">
        <v>4860</v>
      </c>
    </row>
    <row r="1252" spans="1:3" x14ac:dyDescent="0.2">
      <c r="A1252" s="1" t="str">
        <f>"603001"</f>
        <v>603001</v>
      </c>
      <c r="B1252" s="1" t="s">
        <v>3794</v>
      </c>
      <c r="C1252" s="1" t="s">
        <v>4909</v>
      </c>
    </row>
    <row r="1253" spans="1:3" x14ac:dyDescent="0.2">
      <c r="A1253" s="1" t="str">
        <f>"603000"</f>
        <v>603000</v>
      </c>
      <c r="B1253" s="1" t="s">
        <v>3795</v>
      </c>
      <c r="C1253" s="1" t="s">
        <v>4923</v>
      </c>
    </row>
    <row r="1254" spans="1:3" x14ac:dyDescent="0.2">
      <c r="A1254" s="1" t="str">
        <f>"601999"</f>
        <v>601999</v>
      </c>
      <c r="B1254" s="1" t="s">
        <v>440</v>
      </c>
      <c r="C1254" s="1" t="s">
        <v>4890</v>
      </c>
    </row>
    <row r="1255" spans="1:3" x14ac:dyDescent="0.2">
      <c r="A1255" s="1" t="str">
        <f>"601998"</f>
        <v>601998</v>
      </c>
      <c r="B1255" s="1" t="s">
        <v>414</v>
      </c>
      <c r="C1255" s="1" t="s">
        <v>4944</v>
      </c>
    </row>
    <row r="1256" spans="1:3" x14ac:dyDescent="0.2">
      <c r="A1256" s="1" t="str">
        <f>"601997"</f>
        <v>601997</v>
      </c>
      <c r="B1256" s="1" t="s">
        <v>3796</v>
      </c>
      <c r="C1256" s="1" t="s">
        <v>4937</v>
      </c>
    </row>
    <row r="1257" spans="1:3" x14ac:dyDescent="0.2">
      <c r="A1257" s="1" t="str">
        <f>"601995"</f>
        <v>601995</v>
      </c>
      <c r="B1257" s="1" t="s">
        <v>366</v>
      </c>
      <c r="C1257" s="1" t="s">
        <v>4945</v>
      </c>
    </row>
    <row r="1258" spans="1:3" x14ac:dyDescent="0.2">
      <c r="A1258" s="1" t="str">
        <f>"601992"</f>
        <v>601992</v>
      </c>
      <c r="B1258" s="1" t="s">
        <v>3797</v>
      </c>
      <c r="C1258" s="1" t="s">
        <v>4911</v>
      </c>
    </row>
    <row r="1259" spans="1:3" x14ac:dyDescent="0.2">
      <c r="A1259" s="1" t="str">
        <f>"601991"</f>
        <v>601991</v>
      </c>
      <c r="B1259" s="1" t="s">
        <v>3798</v>
      </c>
      <c r="C1259" s="1" t="s">
        <v>4889</v>
      </c>
    </row>
    <row r="1260" spans="1:3" x14ac:dyDescent="0.2">
      <c r="A1260" s="1" t="str">
        <f>"601990"</f>
        <v>601990</v>
      </c>
      <c r="B1260" s="1" t="s">
        <v>367</v>
      </c>
      <c r="C1260" s="1" t="s">
        <v>4945</v>
      </c>
    </row>
    <row r="1261" spans="1:3" x14ac:dyDescent="0.2">
      <c r="A1261" s="1" t="str">
        <f>"601989"</f>
        <v>601989</v>
      </c>
      <c r="B1261" s="1" t="s">
        <v>1324</v>
      </c>
      <c r="C1261" s="1" t="s">
        <v>4946</v>
      </c>
    </row>
    <row r="1262" spans="1:3" x14ac:dyDescent="0.2">
      <c r="A1262" s="1" t="str">
        <f>"601988"</f>
        <v>601988</v>
      </c>
      <c r="B1262" s="1" t="s">
        <v>423</v>
      </c>
      <c r="C1262" s="1" t="s">
        <v>4944</v>
      </c>
    </row>
    <row r="1263" spans="1:3" x14ac:dyDescent="0.2">
      <c r="A1263" s="1" t="str">
        <f>"601985"</f>
        <v>601985</v>
      </c>
      <c r="B1263" s="1" t="s">
        <v>122</v>
      </c>
      <c r="C1263" s="1" t="s">
        <v>4889</v>
      </c>
    </row>
    <row r="1264" spans="1:3" x14ac:dyDescent="0.2">
      <c r="A1264" s="1" t="str">
        <f>"601975"</f>
        <v>601975</v>
      </c>
      <c r="B1264" s="1" t="s">
        <v>202</v>
      </c>
      <c r="C1264" s="1" t="s">
        <v>4933</v>
      </c>
    </row>
    <row r="1265" spans="1:3" x14ac:dyDescent="0.2">
      <c r="A1265" s="1" t="str">
        <f>"601969"</f>
        <v>601969</v>
      </c>
      <c r="B1265" s="1" t="s">
        <v>2761</v>
      </c>
      <c r="C1265" s="1" t="s">
        <v>4947</v>
      </c>
    </row>
    <row r="1266" spans="1:3" x14ac:dyDescent="0.2">
      <c r="A1266" s="1" t="str">
        <f>"601968"</f>
        <v>601968</v>
      </c>
      <c r="B1266" s="1" t="s">
        <v>2278</v>
      </c>
      <c r="C1266" s="1" t="s">
        <v>4930</v>
      </c>
    </row>
    <row r="1267" spans="1:3" x14ac:dyDescent="0.2">
      <c r="A1267" s="1" t="str">
        <f>"601966"</f>
        <v>601966</v>
      </c>
      <c r="B1267" s="1" t="s">
        <v>1949</v>
      </c>
      <c r="C1267" s="1" t="s">
        <v>4856</v>
      </c>
    </row>
    <row r="1268" spans="1:3" x14ac:dyDescent="0.2">
      <c r="A1268" s="1" t="str">
        <f>"601965"</f>
        <v>601965</v>
      </c>
      <c r="B1268" s="1" t="s">
        <v>1882</v>
      </c>
      <c r="C1268" s="1" t="s">
        <v>4948</v>
      </c>
    </row>
    <row r="1269" spans="1:3" x14ac:dyDescent="0.2">
      <c r="A1269" s="1" t="str">
        <f>"601963"</f>
        <v>601963</v>
      </c>
      <c r="B1269" s="1" t="s">
        <v>3799</v>
      </c>
      <c r="C1269" s="1" t="s">
        <v>4937</v>
      </c>
    </row>
    <row r="1270" spans="1:3" x14ac:dyDescent="0.2">
      <c r="A1270" s="1" t="str">
        <f>"601958"</f>
        <v>601958</v>
      </c>
      <c r="B1270" s="1" t="s">
        <v>2653</v>
      </c>
      <c r="C1270" s="1" t="s">
        <v>4855</v>
      </c>
    </row>
    <row r="1271" spans="1:3" x14ac:dyDescent="0.2">
      <c r="A1271" s="1" t="str">
        <f>"601956"</f>
        <v>601956</v>
      </c>
      <c r="B1271" s="1" t="s">
        <v>2137</v>
      </c>
      <c r="C1271" s="1" t="s">
        <v>4929</v>
      </c>
    </row>
    <row r="1272" spans="1:3" x14ac:dyDescent="0.2">
      <c r="A1272" s="1" t="str">
        <f>"601952"</f>
        <v>601952</v>
      </c>
      <c r="B1272" s="1" t="s">
        <v>2576</v>
      </c>
      <c r="C1272" s="1" t="s">
        <v>4949</v>
      </c>
    </row>
    <row r="1273" spans="1:3" x14ac:dyDescent="0.2">
      <c r="A1273" s="1" t="str">
        <f>"601949"</f>
        <v>601949</v>
      </c>
      <c r="B1273" s="1" t="s">
        <v>3800</v>
      </c>
      <c r="C1273" s="1" t="s">
        <v>4890</v>
      </c>
    </row>
    <row r="1274" spans="1:3" x14ac:dyDescent="0.2">
      <c r="A1274" s="1" t="str">
        <f>"601939"</f>
        <v>601939</v>
      </c>
      <c r="B1274" s="1" t="s">
        <v>424</v>
      </c>
      <c r="C1274" s="1" t="s">
        <v>4944</v>
      </c>
    </row>
    <row r="1275" spans="1:3" x14ac:dyDescent="0.2">
      <c r="A1275" s="1" t="str">
        <f>"601933"</f>
        <v>601933</v>
      </c>
      <c r="B1275" s="1" t="s">
        <v>3801</v>
      </c>
      <c r="C1275" s="1" t="s">
        <v>4905</v>
      </c>
    </row>
    <row r="1276" spans="1:3" x14ac:dyDescent="0.2">
      <c r="A1276" s="1" t="str">
        <f>"601929"</f>
        <v>601929</v>
      </c>
      <c r="B1276" s="1" t="s">
        <v>3802</v>
      </c>
      <c r="C1276" s="1" t="s">
        <v>4950</v>
      </c>
    </row>
    <row r="1277" spans="1:3" x14ac:dyDescent="0.2">
      <c r="A1277" s="1" t="str">
        <f>"601928"</f>
        <v>601928</v>
      </c>
      <c r="B1277" s="1" t="s">
        <v>453</v>
      </c>
      <c r="C1277" s="1" t="s">
        <v>4890</v>
      </c>
    </row>
    <row r="1278" spans="1:3" x14ac:dyDescent="0.2">
      <c r="A1278" s="1" t="str">
        <f>"601921"</f>
        <v>601921</v>
      </c>
      <c r="B1278" s="1" t="s">
        <v>441</v>
      </c>
      <c r="C1278" s="1" t="s">
        <v>4890</v>
      </c>
    </row>
    <row r="1279" spans="1:3" x14ac:dyDescent="0.2">
      <c r="A1279" s="1" t="str">
        <f>"601919"</f>
        <v>601919</v>
      </c>
      <c r="B1279" s="1" t="s">
        <v>203</v>
      </c>
      <c r="C1279" s="1" t="s">
        <v>4933</v>
      </c>
    </row>
    <row r="1280" spans="1:3" x14ac:dyDescent="0.2">
      <c r="A1280" s="1" t="str">
        <f>"601918"</f>
        <v>601918</v>
      </c>
      <c r="B1280" s="1" t="s">
        <v>3803</v>
      </c>
      <c r="C1280" s="1" t="s">
        <v>4951</v>
      </c>
    </row>
    <row r="1281" spans="1:3" x14ac:dyDescent="0.2">
      <c r="A1281" s="1" t="str">
        <f>"601916"</f>
        <v>601916</v>
      </c>
      <c r="B1281" s="1" t="s">
        <v>415</v>
      </c>
      <c r="C1281" s="1" t="s">
        <v>4944</v>
      </c>
    </row>
    <row r="1282" spans="1:3" x14ac:dyDescent="0.2">
      <c r="A1282" s="1" t="str">
        <f>"601908"</f>
        <v>601908</v>
      </c>
      <c r="B1282" s="1" t="s">
        <v>3804</v>
      </c>
      <c r="C1282" s="1" t="s">
        <v>4857</v>
      </c>
    </row>
    <row r="1283" spans="1:3" x14ac:dyDescent="0.2">
      <c r="A1283" s="1" t="str">
        <f>"601901"</f>
        <v>601901</v>
      </c>
      <c r="B1283" s="1" t="s">
        <v>368</v>
      </c>
      <c r="C1283" s="1" t="s">
        <v>4945</v>
      </c>
    </row>
    <row r="1284" spans="1:3" x14ac:dyDescent="0.2">
      <c r="A1284" s="1" t="str">
        <f>"601900"</f>
        <v>601900</v>
      </c>
      <c r="B1284" s="1" t="s">
        <v>454</v>
      </c>
      <c r="C1284" s="1" t="s">
        <v>4890</v>
      </c>
    </row>
    <row r="1285" spans="1:3" x14ac:dyDescent="0.2">
      <c r="A1285" s="1" t="str">
        <f>"601899"</f>
        <v>601899</v>
      </c>
      <c r="B1285" s="1" t="s">
        <v>2723</v>
      </c>
      <c r="C1285" s="1" t="s">
        <v>4879</v>
      </c>
    </row>
    <row r="1286" spans="1:3" x14ac:dyDescent="0.2">
      <c r="A1286" s="1" t="str">
        <f>"601898"</f>
        <v>601898</v>
      </c>
      <c r="B1286" s="1" t="s">
        <v>3805</v>
      </c>
      <c r="C1286" s="1" t="s">
        <v>4951</v>
      </c>
    </row>
    <row r="1287" spans="1:3" x14ac:dyDescent="0.2">
      <c r="A1287" s="1" t="str">
        <f>"601890"</f>
        <v>601890</v>
      </c>
      <c r="B1287" s="1" t="s">
        <v>1325</v>
      </c>
      <c r="C1287" s="1" t="s">
        <v>4946</v>
      </c>
    </row>
    <row r="1288" spans="1:3" x14ac:dyDescent="0.2">
      <c r="A1288" s="1" t="str">
        <f>"601888"</f>
        <v>601888</v>
      </c>
      <c r="B1288" s="1" t="s">
        <v>277</v>
      </c>
      <c r="C1288" s="1" t="s">
        <v>4940</v>
      </c>
    </row>
    <row r="1289" spans="1:3" x14ac:dyDescent="0.2">
      <c r="A1289" s="1" t="str">
        <f>"601886"</f>
        <v>601886</v>
      </c>
      <c r="B1289" s="1" t="s">
        <v>3806</v>
      </c>
      <c r="C1289" s="1" t="s">
        <v>4901</v>
      </c>
    </row>
    <row r="1290" spans="1:3" x14ac:dyDescent="0.2">
      <c r="A1290" s="1" t="str">
        <f>"601882"</f>
        <v>601882</v>
      </c>
      <c r="B1290" s="1" t="s">
        <v>1254</v>
      </c>
      <c r="C1290" s="1" t="s">
        <v>4851</v>
      </c>
    </row>
    <row r="1291" spans="1:3" x14ac:dyDescent="0.2">
      <c r="A1291" s="1" t="str">
        <f>"601881"</f>
        <v>601881</v>
      </c>
      <c r="B1291" s="1" t="s">
        <v>369</v>
      </c>
      <c r="C1291" s="1" t="s">
        <v>4945</v>
      </c>
    </row>
    <row r="1292" spans="1:3" x14ac:dyDescent="0.2">
      <c r="A1292" s="1" t="str">
        <f>"601880"</f>
        <v>601880</v>
      </c>
      <c r="B1292" s="1" t="s">
        <v>214</v>
      </c>
      <c r="C1292" s="1" t="s">
        <v>4933</v>
      </c>
    </row>
    <row r="1293" spans="1:3" x14ac:dyDescent="0.2">
      <c r="A1293" s="1" t="str">
        <f>"601878"</f>
        <v>601878</v>
      </c>
      <c r="B1293" s="1" t="s">
        <v>370</v>
      </c>
      <c r="C1293" s="1" t="s">
        <v>4945</v>
      </c>
    </row>
    <row r="1294" spans="1:3" x14ac:dyDescent="0.2">
      <c r="A1294" s="1" t="str">
        <f>"601877"</f>
        <v>601877</v>
      </c>
      <c r="B1294" s="1" t="s">
        <v>1460</v>
      </c>
      <c r="C1294" s="1" t="s">
        <v>4866</v>
      </c>
    </row>
    <row r="1295" spans="1:3" x14ac:dyDescent="0.2">
      <c r="A1295" s="1" t="str">
        <f>"601872"</f>
        <v>601872</v>
      </c>
      <c r="B1295" s="1" t="s">
        <v>204</v>
      </c>
      <c r="C1295" s="1" t="s">
        <v>4933</v>
      </c>
    </row>
    <row r="1296" spans="1:3" x14ac:dyDescent="0.2">
      <c r="A1296" s="1" t="str">
        <f>"601869"</f>
        <v>601869</v>
      </c>
      <c r="B1296" s="1" t="s">
        <v>694</v>
      </c>
      <c r="C1296" s="1" t="s">
        <v>4869</v>
      </c>
    </row>
    <row r="1297" spans="1:3" x14ac:dyDescent="0.2">
      <c r="A1297" s="1" t="str">
        <f>"601868"</f>
        <v>601868</v>
      </c>
      <c r="B1297" s="1" t="s">
        <v>3807</v>
      </c>
      <c r="C1297" s="1" t="s">
        <v>4898</v>
      </c>
    </row>
    <row r="1298" spans="1:3" x14ac:dyDescent="0.2">
      <c r="A1298" s="1" t="str">
        <f>"601866"</f>
        <v>601866</v>
      </c>
      <c r="B1298" s="1" t="s">
        <v>205</v>
      </c>
      <c r="C1298" s="1" t="s">
        <v>4933</v>
      </c>
    </row>
    <row r="1299" spans="1:3" x14ac:dyDescent="0.2">
      <c r="A1299" s="1" t="str">
        <f>"601865"</f>
        <v>601865</v>
      </c>
      <c r="B1299" s="1" t="s">
        <v>1410</v>
      </c>
      <c r="C1299" s="1" t="s">
        <v>4857</v>
      </c>
    </row>
    <row r="1300" spans="1:3" x14ac:dyDescent="0.2">
      <c r="A1300" s="1" t="str">
        <f>"601860"</f>
        <v>601860</v>
      </c>
      <c r="B1300" s="1" t="s">
        <v>3808</v>
      </c>
      <c r="C1300" s="1" t="s">
        <v>4937</v>
      </c>
    </row>
    <row r="1301" spans="1:3" x14ac:dyDescent="0.2">
      <c r="A1301" s="1" t="str">
        <f>"601858"</f>
        <v>601858</v>
      </c>
      <c r="B1301" s="1" t="s">
        <v>436</v>
      </c>
      <c r="C1301" s="1" t="s">
        <v>4890</v>
      </c>
    </row>
    <row r="1302" spans="1:3" x14ac:dyDescent="0.2">
      <c r="A1302" s="1" t="str">
        <f>"601857"</f>
        <v>601857</v>
      </c>
      <c r="B1302" s="1" t="s">
        <v>3809</v>
      </c>
      <c r="C1302" s="1" t="s">
        <v>4952</v>
      </c>
    </row>
    <row r="1303" spans="1:3" x14ac:dyDescent="0.2">
      <c r="A1303" s="1" t="str">
        <f>"601838"</f>
        <v>601838</v>
      </c>
      <c r="B1303" s="1" t="s">
        <v>3810</v>
      </c>
      <c r="C1303" s="1" t="s">
        <v>4937</v>
      </c>
    </row>
    <row r="1304" spans="1:3" x14ac:dyDescent="0.2">
      <c r="A1304" s="1" t="str">
        <f>"601827"</f>
        <v>601827</v>
      </c>
      <c r="B1304" s="1" t="s">
        <v>19</v>
      </c>
      <c r="C1304" s="1" t="s">
        <v>4863</v>
      </c>
    </row>
    <row r="1305" spans="1:3" x14ac:dyDescent="0.2">
      <c r="A1305" s="1" t="str">
        <f>"601825"</f>
        <v>601825</v>
      </c>
      <c r="B1305" s="1" t="s">
        <v>3811</v>
      </c>
      <c r="C1305" s="1" t="s">
        <v>4937</v>
      </c>
    </row>
    <row r="1306" spans="1:3" x14ac:dyDescent="0.2">
      <c r="A1306" s="1" t="str">
        <f>"601818"</f>
        <v>601818</v>
      </c>
      <c r="B1306" s="1" t="s">
        <v>416</v>
      </c>
      <c r="C1306" s="1" t="s">
        <v>4944</v>
      </c>
    </row>
    <row r="1307" spans="1:3" x14ac:dyDescent="0.2">
      <c r="A1307" s="1" t="str">
        <f>"601816"</f>
        <v>601816</v>
      </c>
      <c r="B1307" s="1" t="s">
        <v>262</v>
      </c>
      <c r="C1307" s="1" t="s">
        <v>4943</v>
      </c>
    </row>
    <row r="1308" spans="1:3" x14ac:dyDescent="0.2">
      <c r="A1308" s="1" t="str">
        <f>"601811"</f>
        <v>601811</v>
      </c>
      <c r="B1308" s="1" t="s">
        <v>455</v>
      </c>
      <c r="C1308" s="1" t="s">
        <v>4890</v>
      </c>
    </row>
    <row r="1309" spans="1:3" x14ac:dyDescent="0.2">
      <c r="A1309" s="1" t="str">
        <f>"601808"</f>
        <v>601808</v>
      </c>
      <c r="B1309" s="1" t="s">
        <v>3812</v>
      </c>
      <c r="C1309" s="1" t="s">
        <v>4928</v>
      </c>
    </row>
    <row r="1310" spans="1:3" x14ac:dyDescent="0.2">
      <c r="A1310" s="1" t="str">
        <f>"601801"</f>
        <v>601801</v>
      </c>
      <c r="B1310" s="1" t="s">
        <v>442</v>
      </c>
      <c r="C1310" s="1" t="s">
        <v>4890</v>
      </c>
    </row>
    <row r="1311" spans="1:3" x14ac:dyDescent="0.2">
      <c r="A1311" s="1" t="str">
        <f>"601800"</f>
        <v>601800</v>
      </c>
      <c r="B1311" s="1" t="s">
        <v>3813</v>
      </c>
      <c r="C1311" s="1" t="s">
        <v>4898</v>
      </c>
    </row>
    <row r="1312" spans="1:3" x14ac:dyDescent="0.2">
      <c r="A1312" s="1" t="str">
        <f>"601799"</f>
        <v>601799</v>
      </c>
      <c r="B1312" s="1" t="s">
        <v>2050</v>
      </c>
      <c r="C1312" s="1" t="s">
        <v>4856</v>
      </c>
    </row>
    <row r="1313" spans="1:3" x14ac:dyDescent="0.2">
      <c r="A1313" s="1" t="str">
        <f>"601798"</f>
        <v>601798</v>
      </c>
      <c r="B1313" s="1" t="s">
        <v>1113</v>
      </c>
      <c r="C1313" s="1" t="s">
        <v>4845</v>
      </c>
    </row>
    <row r="1314" spans="1:3" x14ac:dyDescent="0.2">
      <c r="A1314" s="1" t="str">
        <f>"601789"</f>
        <v>601789</v>
      </c>
      <c r="B1314" s="1" t="s">
        <v>3814</v>
      </c>
      <c r="C1314" s="1" t="s">
        <v>4953</v>
      </c>
    </row>
    <row r="1315" spans="1:3" x14ac:dyDescent="0.2">
      <c r="A1315" s="1" t="str">
        <f>"601788"</f>
        <v>601788</v>
      </c>
      <c r="B1315" s="1" t="s">
        <v>371</v>
      </c>
      <c r="C1315" s="1" t="s">
        <v>4945</v>
      </c>
    </row>
    <row r="1316" spans="1:3" x14ac:dyDescent="0.2">
      <c r="A1316" s="1" t="str">
        <f>"601778"</f>
        <v>601778</v>
      </c>
      <c r="B1316" s="1" t="s">
        <v>3815</v>
      </c>
      <c r="C1316" s="1" t="s">
        <v>4889</v>
      </c>
    </row>
    <row r="1317" spans="1:3" x14ac:dyDescent="0.2">
      <c r="A1317" s="1" t="str">
        <f>"601777"</f>
        <v>601777</v>
      </c>
      <c r="B1317" s="1" t="s">
        <v>1880</v>
      </c>
      <c r="C1317" s="1" t="s">
        <v>4839</v>
      </c>
    </row>
    <row r="1318" spans="1:3" x14ac:dyDescent="0.2">
      <c r="A1318" s="1" t="str">
        <f>"601766"</f>
        <v>601766</v>
      </c>
      <c r="B1318" s="1" t="s">
        <v>1295</v>
      </c>
      <c r="C1318" s="1" t="s">
        <v>4875</v>
      </c>
    </row>
    <row r="1319" spans="1:3" x14ac:dyDescent="0.2">
      <c r="A1319" s="1" t="str">
        <f>"601728"</f>
        <v>601728</v>
      </c>
      <c r="B1319" s="1" t="s">
        <v>653</v>
      </c>
      <c r="C1319" s="1" t="s">
        <v>4954</v>
      </c>
    </row>
    <row r="1320" spans="1:3" x14ac:dyDescent="0.2">
      <c r="A1320" s="1" t="str">
        <f>"601727"</f>
        <v>601727</v>
      </c>
      <c r="B1320" s="1" t="s">
        <v>1364</v>
      </c>
      <c r="C1320" s="1" t="s">
        <v>4859</v>
      </c>
    </row>
    <row r="1321" spans="1:3" x14ac:dyDescent="0.2">
      <c r="A1321" s="1" t="str">
        <f>"601718"</f>
        <v>601718</v>
      </c>
      <c r="B1321" s="1" t="s">
        <v>2331</v>
      </c>
      <c r="C1321" s="1" t="s">
        <v>4909</v>
      </c>
    </row>
    <row r="1322" spans="1:3" x14ac:dyDescent="0.2">
      <c r="A1322" s="1" t="str">
        <f>"601717"</f>
        <v>601717</v>
      </c>
      <c r="B1322" s="1" t="s">
        <v>3816</v>
      </c>
      <c r="C1322" s="1" t="s">
        <v>4845</v>
      </c>
    </row>
    <row r="1323" spans="1:3" x14ac:dyDescent="0.2">
      <c r="A1323" s="1" t="str">
        <f>"601702"</f>
        <v>601702</v>
      </c>
      <c r="B1323" s="1" t="s">
        <v>2698</v>
      </c>
      <c r="C1323" s="1" t="s">
        <v>4879</v>
      </c>
    </row>
    <row r="1324" spans="1:3" x14ac:dyDescent="0.2">
      <c r="A1324" s="1" t="str">
        <f>"601700"</f>
        <v>601700</v>
      </c>
      <c r="B1324" s="1" t="s">
        <v>3817</v>
      </c>
      <c r="C1324" s="1" t="s">
        <v>4866</v>
      </c>
    </row>
    <row r="1325" spans="1:3" x14ac:dyDescent="0.2">
      <c r="A1325" s="1" t="str">
        <f>"601699"</f>
        <v>601699</v>
      </c>
      <c r="B1325" s="1" t="s">
        <v>3818</v>
      </c>
      <c r="C1325" s="1" t="s">
        <v>4951</v>
      </c>
    </row>
    <row r="1326" spans="1:3" x14ac:dyDescent="0.2">
      <c r="A1326" s="1" t="str">
        <f>"601698"</f>
        <v>601698</v>
      </c>
      <c r="B1326" s="1" t="s">
        <v>1332</v>
      </c>
      <c r="C1326" s="1" t="s">
        <v>4884</v>
      </c>
    </row>
    <row r="1327" spans="1:3" x14ac:dyDescent="0.2">
      <c r="A1327" s="1" t="str">
        <f>"601696"</f>
        <v>601696</v>
      </c>
      <c r="B1327" s="1" t="s">
        <v>372</v>
      </c>
      <c r="C1327" s="1" t="s">
        <v>4945</v>
      </c>
    </row>
    <row r="1328" spans="1:3" x14ac:dyDescent="0.2">
      <c r="A1328" s="1" t="str">
        <f>"601689"</f>
        <v>601689</v>
      </c>
      <c r="B1328" s="1" t="s">
        <v>2051</v>
      </c>
      <c r="C1328" s="1" t="s">
        <v>4856</v>
      </c>
    </row>
    <row r="1329" spans="1:3" x14ac:dyDescent="0.2">
      <c r="A1329" s="1" t="str">
        <f>"601688"</f>
        <v>601688</v>
      </c>
      <c r="B1329" s="1" t="s">
        <v>373</v>
      </c>
      <c r="C1329" s="1" t="s">
        <v>4945</v>
      </c>
    </row>
    <row r="1330" spans="1:3" x14ac:dyDescent="0.2">
      <c r="A1330" s="1" t="str">
        <f>"601686"</f>
        <v>601686</v>
      </c>
      <c r="B1330" s="1" t="s">
        <v>2746</v>
      </c>
      <c r="C1330" s="1" t="s">
        <v>4908</v>
      </c>
    </row>
    <row r="1331" spans="1:3" x14ac:dyDescent="0.2">
      <c r="A1331" s="1" t="str">
        <f>"601678"</f>
        <v>601678</v>
      </c>
      <c r="B1331" s="1" t="s">
        <v>3033</v>
      </c>
      <c r="C1331" s="1" t="s">
        <v>4853</v>
      </c>
    </row>
    <row r="1332" spans="1:3" x14ac:dyDescent="0.2">
      <c r="A1332" s="1" t="str">
        <f>"601677"</f>
        <v>601677</v>
      </c>
      <c r="B1332" s="1" t="s">
        <v>2699</v>
      </c>
      <c r="C1332" s="1" t="s">
        <v>4879</v>
      </c>
    </row>
    <row r="1333" spans="1:3" x14ac:dyDescent="0.2">
      <c r="A1333" s="1" t="str">
        <f>"601669"</f>
        <v>601669</v>
      </c>
      <c r="B1333" s="1" t="s">
        <v>3819</v>
      </c>
      <c r="C1333" s="1" t="s">
        <v>4898</v>
      </c>
    </row>
    <row r="1334" spans="1:3" x14ac:dyDescent="0.2">
      <c r="A1334" s="1" t="str">
        <f>"601668"</f>
        <v>601668</v>
      </c>
      <c r="B1334" s="1" t="s">
        <v>3820</v>
      </c>
      <c r="C1334" s="1" t="s">
        <v>4953</v>
      </c>
    </row>
    <row r="1335" spans="1:3" x14ac:dyDescent="0.2">
      <c r="A1335" s="1" t="str">
        <f>"601666"</f>
        <v>601666</v>
      </c>
      <c r="B1335" s="1" t="s">
        <v>3821</v>
      </c>
      <c r="C1335" s="1" t="s">
        <v>4951</v>
      </c>
    </row>
    <row r="1336" spans="1:3" x14ac:dyDescent="0.2">
      <c r="A1336" s="1" t="str">
        <f>"601665"</f>
        <v>601665</v>
      </c>
      <c r="B1336" s="1" t="s">
        <v>3822</v>
      </c>
      <c r="C1336" s="1" t="s">
        <v>4937</v>
      </c>
    </row>
    <row r="1337" spans="1:3" x14ac:dyDescent="0.2">
      <c r="A1337" s="1" t="str">
        <f>"601658"</f>
        <v>601658</v>
      </c>
      <c r="B1337" s="1" t="s">
        <v>425</v>
      </c>
      <c r="C1337" s="1" t="s">
        <v>4944</v>
      </c>
    </row>
    <row r="1338" spans="1:3" x14ac:dyDescent="0.2">
      <c r="A1338" s="1" t="str">
        <f>"601636"</f>
        <v>601636</v>
      </c>
      <c r="B1338" s="1" t="s">
        <v>2611</v>
      </c>
      <c r="C1338" s="1" t="s">
        <v>4916</v>
      </c>
    </row>
    <row r="1339" spans="1:3" x14ac:dyDescent="0.2">
      <c r="A1339" s="1" t="str">
        <f>"601633"</f>
        <v>601633</v>
      </c>
      <c r="B1339" s="1" t="s">
        <v>2084</v>
      </c>
      <c r="C1339" s="1" t="s">
        <v>4955</v>
      </c>
    </row>
    <row r="1340" spans="1:3" x14ac:dyDescent="0.2">
      <c r="A1340" s="1" t="str">
        <f>"601628"</f>
        <v>601628</v>
      </c>
      <c r="B1340" s="1" t="s">
        <v>361</v>
      </c>
      <c r="C1340" s="1" t="s">
        <v>4956</v>
      </c>
    </row>
    <row r="1341" spans="1:3" x14ac:dyDescent="0.2">
      <c r="A1341" s="1" t="str">
        <f>"601619"</f>
        <v>601619</v>
      </c>
      <c r="B1341" s="1" t="s">
        <v>132</v>
      </c>
      <c r="C1341" s="1" t="s">
        <v>4889</v>
      </c>
    </row>
    <row r="1342" spans="1:3" x14ac:dyDescent="0.2">
      <c r="A1342" s="1" t="str">
        <f>"601618"</f>
        <v>601618</v>
      </c>
      <c r="B1342" s="1" t="s">
        <v>317</v>
      </c>
      <c r="C1342" s="1" t="s">
        <v>4888</v>
      </c>
    </row>
    <row r="1343" spans="1:3" x14ac:dyDescent="0.2">
      <c r="A1343" s="1" t="str">
        <f>"601616"</f>
        <v>601616</v>
      </c>
      <c r="B1343" s="1" t="s">
        <v>1461</v>
      </c>
      <c r="C1343" s="1" t="s">
        <v>4866</v>
      </c>
    </row>
    <row r="1344" spans="1:3" x14ac:dyDescent="0.2">
      <c r="A1344" s="1" t="str">
        <f>"601615"</f>
        <v>601615</v>
      </c>
      <c r="B1344" s="1" t="s">
        <v>1398</v>
      </c>
      <c r="C1344" s="1" t="s">
        <v>4870</v>
      </c>
    </row>
    <row r="1345" spans="1:3" x14ac:dyDescent="0.2">
      <c r="A1345" s="1" t="str">
        <f>"601611"</f>
        <v>601611</v>
      </c>
      <c r="B1345" s="1" t="s">
        <v>3823</v>
      </c>
      <c r="C1345" s="1" t="s">
        <v>4898</v>
      </c>
    </row>
    <row r="1346" spans="1:3" x14ac:dyDescent="0.2">
      <c r="A1346" s="1" t="str">
        <f>"601609"</f>
        <v>601609</v>
      </c>
      <c r="B1346" s="1" t="s">
        <v>2724</v>
      </c>
      <c r="C1346" s="1" t="s">
        <v>4879</v>
      </c>
    </row>
    <row r="1347" spans="1:3" x14ac:dyDescent="0.2">
      <c r="A1347" s="1" t="str">
        <f>"601608"</f>
        <v>601608</v>
      </c>
      <c r="B1347" s="1" t="s">
        <v>1114</v>
      </c>
      <c r="C1347" s="1" t="s">
        <v>4845</v>
      </c>
    </row>
    <row r="1348" spans="1:3" x14ac:dyDescent="0.2">
      <c r="A1348" s="1" t="str">
        <f>"601607"</f>
        <v>601607</v>
      </c>
      <c r="B1348" s="1" t="s">
        <v>1643</v>
      </c>
      <c r="C1348" s="1" t="s">
        <v>4903</v>
      </c>
    </row>
    <row r="1349" spans="1:3" x14ac:dyDescent="0.2">
      <c r="A1349" s="1" t="str">
        <f>"601601"</f>
        <v>601601</v>
      </c>
      <c r="B1349" s="1" t="s">
        <v>362</v>
      </c>
      <c r="C1349" s="1" t="s">
        <v>4956</v>
      </c>
    </row>
    <row r="1350" spans="1:3" x14ac:dyDescent="0.2">
      <c r="A1350" s="1" t="str">
        <f>"601600"</f>
        <v>601600</v>
      </c>
      <c r="B1350" s="1" t="s">
        <v>2700</v>
      </c>
      <c r="C1350" s="1" t="s">
        <v>4879</v>
      </c>
    </row>
    <row r="1351" spans="1:3" x14ac:dyDescent="0.2">
      <c r="A1351" s="1" t="str">
        <f>"601599"</f>
        <v>601599</v>
      </c>
      <c r="B1351" s="1" t="s">
        <v>2375</v>
      </c>
      <c r="C1351" s="1" t="s">
        <v>4904</v>
      </c>
    </row>
    <row r="1352" spans="1:3" x14ac:dyDescent="0.2">
      <c r="A1352" s="1" t="str">
        <f>"601598"</f>
        <v>601598</v>
      </c>
      <c r="B1352" s="1" t="s">
        <v>172</v>
      </c>
      <c r="C1352" s="1" t="s">
        <v>4914</v>
      </c>
    </row>
    <row r="1353" spans="1:3" x14ac:dyDescent="0.2">
      <c r="A1353" s="1" t="str">
        <f>"601595"</f>
        <v>601595</v>
      </c>
      <c r="B1353" s="1" t="s">
        <v>469</v>
      </c>
      <c r="C1353" s="1" t="s">
        <v>4941</v>
      </c>
    </row>
    <row r="1354" spans="1:3" x14ac:dyDescent="0.2">
      <c r="A1354" s="1" t="str">
        <f>"601588"</f>
        <v>601588</v>
      </c>
      <c r="B1354" s="1" t="s">
        <v>3824</v>
      </c>
      <c r="C1354" s="1" t="s">
        <v>4957</v>
      </c>
    </row>
    <row r="1355" spans="1:3" x14ac:dyDescent="0.2">
      <c r="A1355" s="1" t="str">
        <f>"601579"</f>
        <v>601579</v>
      </c>
      <c r="B1355" s="1" t="s">
        <v>2500</v>
      </c>
      <c r="C1355" s="1" t="s">
        <v>4921</v>
      </c>
    </row>
    <row r="1356" spans="1:3" x14ac:dyDescent="0.2">
      <c r="A1356" s="1" t="str">
        <f>"601577"</f>
        <v>601577</v>
      </c>
      <c r="B1356" s="1" t="s">
        <v>3825</v>
      </c>
      <c r="C1356" s="1" t="s">
        <v>4937</v>
      </c>
    </row>
    <row r="1357" spans="1:3" x14ac:dyDescent="0.2">
      <c r="A1357" s="1" t="str">
        <f>"601568"</f>
        <v>601568</v>
      </c>
      <c r="B1357" s="1" t="s">
        <v>3034</v>
      </c>
      <c r="C1357" s="1" t="s">
        <v>4853</v>
      </c>
    </row>
    <row r="1358" spans="1:3" x14ac:dyDescent="0.2">
      <c r="A1358" s="1" t="str">
        <f>"601567"</f>
        <v>601567</v>
      </c>
      <c r="B1358" s="1" t="s">
        <v>1462</v>
      </c>
      <c r="C1358" s="1" t="s">
        <v>4866</v>
      </c>
    </row>
    <row r="1359" spans="1:3" x14ac:dyDescent="0.2">
      <c r="A1359" s="1" t="str">
        <f>"601566"</f>
        <v>601566</v>
      </c>
      <c r="B1359" s="1" t="s">
        <v>2332</v>
      </c>
      <c r="C1359" s="1" t="s">
        <v>4909</v>
      </c>
    </row>
    <row r="1360" spans="1:3" x14ac:dyDescent="0.2">
      <c r="A1360" s="1" t="str">
        <f>"601555"</f>
        <v>601555</v>
      </c>
      <c r="B1360" s="1" t="s">
        <v>374</v>
      </c>
      <c r="C1360" s="1" t="s">
        <v>4945</v>
      </c>
    </row>
    <row r="1361" spans="1:3" x14ac:dyDescent="0.2">
      <c r="A1361" s="1" t="str">
        <f>"601528"</f>
        <v>601528</v>
      </c>
      <c r="B1361" s="1" t="s">
        <v>3826</v>
      </c>
      <c r="C1361" s="1" t="s">
        <v>4937</v>
      </c>
    </row>
    <row r="1362" spans="1:3" x14ac:dyDescent="0.2">
      <c r="A1362" s="1" t="str">
        <f>"601519"</f>
        <v>601519</v>
      </c>
      <c r="B1362" s="1" t="s">
        <v>550</v>
      </c>
      <c r="C1362" s="1" t="s">
        <v>4847</v>
      </c>
    </row>
    <row r="1363" spans="1:3" x14ac:dyDescent="0.2">
      <c r="A1363" s="1" t="str">
        <f>"601518"</f>
        <v>601518</v>
      </c>
      <c r="B1363" s="1" t="s">
        <v>243</v>
      </c>
      <c r="C1363" s="1" t="s">
        <v>4943</v>
      </c>
    </row>
    <row r="1364" spans="1:3" x14ac:dyDescent="0.2">
      <c r="A1364" s="1" t="str">
        <f>"601515"</f>
        <v>601515</v>
      </c>
      <c r="B1364" s="1" t="s">
        <v>3827</v>
      </c>
      <c r="C1364" s="1" t="s">
        <v>4930</v>
      </c>
    </row>
    <row r="1365" spans="1:3" x14ac:dyDescent="0.2">
      <c r="A1365" s="1" t="str">
        <f>"601512"</f>
        <v>601512</v>
      </c>
      <c r="B1365" s="1" t="s">
        <v>304</v>
      </c>
      <c r="C1365" s="1" t="s">
        <v>4957</v>
      </c>
    </row>
    <row r="1366" spans="1:3" x14ac:dyDescent="0.2">
      <c r="A1366" s="1" t="str">
        <f>"601500"</f>
        <v>601500</v>
      </c>
      <c r="B1366" s="1" t="s">
        <v>1950</v>
      </c>
      <c r="C1366" s="1" t="s">
        <v>4856</v>
      </c>
    </row>
    <row r="1367" spans="1:3" x14ac:dyDescent="0.2">
      <c r="A1367" s="1" t="str">
        <f>"601456"</f>
        <v>601456</v>
      </c>
      <c r="B1367" s="1" t="s">
        <v>375</v>
      </c>
      <c r="C1367" s="1" t="s">
        <v>4945</v>
      </c>
    </row>
    <row r="1368" spans="1:3" x14ac:dyDescent="0.2">
      <c r="A1368" s="1" t="str">
        <f>"601399"</f>
        <v>601399</v>
      </c>
      <c r="B1368" s="1" t="s">
        <v>1115</v>
      </c>
      <c r="C1368" s="1" t="s">
        <v>4845</v>
      </c>
    </row>
    <row r="1369" spans="1:3" x14ac:dyDescent="0.2">
      <c r="A1369" s="1" t="str">
        <f>"601398"</f>
        <v>601398</v>
      </c>
      <c r="B1369" s="1" t="s">
        <v>426</v>
      </c>
      <c r="C1369" s="1" t="s">
        <v>4944</v>
      </c>
    </row>
    <row r="1370" spans="1:3" x14ac:dyDescent="0.2">
      <c r="A1370" s="1" t="str">
        <f>"601390"</f>
        <v>601390</v>
      </c>
      <c r="B1370" s="1" t="s">
        <v>3828</v>
      </c>
      <c r="C1370" s="1" t="s">
        <v>4898</v>
      </c>
    </row>
    <row r="1371" spans="1:3" x14ac:dyDescent="0.2">
      <c r="A1371" s="1" t="str">
        <f>"601388"</f>
        <v>601388</v>
      </c>
      <c r="B1371" s="1" t="s">
        <v>2701</v>
      </c>
      <c r="C1371" s="1" t="s">
        <v>4879</v>
      </c>
    </row>
    <row r="1372" spans="1:3" x14ac:dyDescent="0.2">
      <c r="A1372" s="1" t="str">
        <f>"601377"</f>
        <v>601377</v>
      </c>
      <c r="B1372" s="1" t="s">
        <v>376</v>
      </c>
      <c r="C1372" s="1" t="s">
        <v>4945</v>
      </c>
    </row>
    <row r="1373" spans="1:3" x14ac:dyDescent="0.2">
      <c r="A1373" s="1" t="str">
        <f>"601375"</f>
        <v>601375</v>
      </c>
      <c r="B1373" s="1" t="s">
        <v>377</v>
      </c>
      <c r="C1373" s="1" t="s">
        <v>4945</v>
      </c>
    </row>
    <row r="1374" spans="1:3" x14ac:dyDescent="0.2">
      <c r="A1374" s="1" t="str">
        <f>"601369"</f>
        <v>601369</v>
      </c>
      <c r="B1374" s="1" t="s">
        <v>1146</v>
      </c>
      <c r="C1374" s="1" t="s">
        <v>4851</v>
      </c>
    </row>
    <row r="1375" spans="1:3" x14ac:dyDescent="0.2">
      <c r="A1375" s="1" t="str">
        <f>"601368"</f>
        <v>601368</v>
      </c>
      <c r="B1375" s="1" t="s">
        <v>84</v>
      </c>
      <c r="C1375" s="1" t="s">
        <v>4926</v>
      </c>
    </row>
    <row r="1376" spans="1:3" x14ac:dyDescent="0.2">
      <c r="A1376" s="1" t="str">
        <f>"601366"</f>
        <v>601366</v>
      </c>
      <c r="B1376" s="1" t="s">
        <v>2119</v>
      </c>
      <c r="C1376" s="1" t="s">
        <v>4905</v>
      </c>
    </row>
    <row r="1377" spans="1:3" x14ac:dyDescent="0.2">
      <c r="A1377" s="1" t="str">
        <f>"601360"</f>
        <v>601360</v>
      </c>
      <c r="B1377" s="1" t="s">
        <v>3829</v>
      </c>
      <c r="C1377" s="1" t="s">
        <v>4847</v>
      </c>
    </row>
    <row r="1378" spans="1:3" x14ac:dyDescent="0.2">
      <c r="A1378" s="1" t="str">
        <f>"601339"</f>
        <v>601339</v>
      </c>
      <c r="B1378" s="1" t="s">
        <v>2392</v>
      </c>
      <c r="C1378" s="1" t="s">
        <v>4904</v>
      </c>
    </row>
    <row r="1379" spans="1:3" x14ac:dyDescent="0.2">
      <c r="A1379" s="1" t="str">
        <f>"601336"</f>
        <v>601336</v>
      </c>
      <c r="B1379" s="1" t="s">
        <v>363</v>
      </c>
      <c r="C1379" s="1" t="s">
        <v>4956</v>
      </c>
    </row>
    <row r="1380" spans="1:3" x14ac:dyDescent="0.2">
      <c r="A1380" s="1" t="str">
        <f>"601333"</f>
        <v>601333</v>
      </c>
      <c r="B1380" s="1" t="s">
        <v>263</v>
      </c>
      <c r="C1380" s="1" t="s">
        <v>4943</v>
      </c>
    </row>
    <row r="1381" spans="1:3" x14ac:dyDescent="0.2">
      <c r="A1381" s="1" t="str">
        <f>"601330"</f>
        <v>601330</v>
      </c>
      <c r="B1381" s="1" t="s">
        <v>20</v>
      </c>
      <c r="C1381" s="1" t="s">
        <v>4863</v>
      </c>
    </row>
    <row r="1382" spans="1:3" x14ac:dyDescent="0.2">
      <c r="A1382" s="1" t="str">
        <f>"601328"</f>
        <v>601328</v>
      </c>
      <c r="B1382" s="1" t="s">
        <v>427</v>
      </c>
      <c r="C1382" s="1" t="s">
        <v>4944</v>
      </c>
    </row>
    <row r="1383" spans="1:3" x14ac:dyDescent="0.2">
      <c r="A1383" s="1" t="str">
        <f>"601326"</f>
        <v>601326</v>
      </c>
      <c r="B1383" s="1" t="s">
        <v>215</v>
      </c>
      <c r="C1383" s="1" t="s">
        <v>4933</v>
      </c>
    </row>
    <row r="1384" spans="1:3" x14ac:dyDescent="0.2">
      <c r="A1384" s="1" t="str">
        <f>"601319"</f>
        <v>601319</v>
      </c>
      <c r="B1384" s="1" t="s">
        <v>364</v>
      </c>
      <c r="C1384" s="1" t="s">
        <v>4956</v>
      </c>
    </row>
    <row r="1385" spans="1:3" x14ac:dyDescent="0.2">
      <c r="A1385" s="1" t="str">
        <f>"601318"</f>
        <v>601318</v>
      </c>
      <c r="B1385" s="1" t="s">
        <v>365</v>
      </c>
      <c r="C1385" s="1" t="s">
        <v>4956</v>
      </c>
    </row>
    <row r="1386" spans="1:3" x14ac:dyDescent="0.2">
      <c r="A1386" s="1" t="str">
        <f>"601311"</f>
        <v>601311</v>
      </c>
      <c r="B1386" s="1" t="s">
        <v>1522</v>
      </c>
      <c r="C1386" s="1" t="s">
        <v>4841</v>
      </c>
    </row>
    <row r="1387" spans="1:3" x14ac:dyDescent="0.2">
      <c r="A1387" s="1" t="str">
        <f>"601298"</f>
        <v>601298</v>
      </c>
      <c r="B1387" s="1" t="s">
        <v>216</v>
      </c>
      <c r="C1387" s="1" t="s">
        <v>4933</v>
      </c>
    </row>
    <row r="1388" spans="1:3" x14ac:dyDescent="0.2">
      <c r="A1388" s="1" t="str">
        <f>"601288"</f>
        <v>601288</v>
      </c>
      <c r="B1388" s="1" t="s">
        <v>428</v>
      </c>
      <c r="C1388" s="1" t="s">
        <v>4944</v>
      </c>
    </row>
    <row r="1389" spans="1:3" x14ac:dyDescent="0.2">
      <c r="A1389" s="1" t="str">
        <f>"601279"</f>
        <v>601279</v>
      </c>
      <c r="B1389" s="1" t="s">
        <v>3830</v>
      </c>
      <c r="C1389" s="1" t="s">
        <v>4856</v>
      </c>
    </row>
    <row r="1390" spans="1:3" x14ac:dyDescent="0.2">
      <c r="A1390" s="1" t="str">
        <f>"601238"</f>
        <v>601238</v>
      </c>
      <c r="B1390" s="1" t="s">
        <v>3831</v>
      </c>
      <c r="C1390" s="1" t="s">
        <v>4955</v>
      </c>
    </row>
    <row r="1391" spans="1:3" x14ac:dyDescent="0.2">
      <c r="A1391" s="1" t="str">
        <f>"601236"</f>
        <v>601236</v>
      </c>
      <c r="B1391" s="1" t="s">
        <v>378</v>
      </c>
      <c r="C1391" s="1" t="s">
        <v>4945</v>
      </c>
    </row>
    <row r="1392" spans="1:3" x14ac:dyDescent="0.2">
      <c r="A1392" s="1" t="str">
        <f>"601233"</f>
        <v>601233</v>
      </c>
      <c r="B1392" s="1" t="s">
        <v>3055</v>
      </c>
      <c r="C1392" s="1" t="s">
        <v>4858</v>
      </c>
    </row>
    <row r="1393" spans="1:3" x14ac:dyDescent="0.2">
      <c r="A1393" s="1" t="str">
        <f>"601231"</f>
        <v>601231</v>
      </c>
      <c r="B1393" s="1" t="s">
        <v>853</v>
      </c>
      <c r="C1393" s="1" t="s">
        <v>4850</v>
      </c>
    </row>
    <row r="1394" spans="1:3" x14ac:dyDescent="0.2">
      <c r="A1394" s="1" t="str">
        <f>"601229"</f>
        <v>601229</v>
      </c>
      <c r="B1394" s="1" t="s">
        <v>3832</v>
      </c>
      <c r="C1394" s="1" t="s">
        <v>4937</v>
      </c>
    </row>
    <row r="1395" spans="1:3" x14ac:dyDescent="0.2">
      <c r="A1395" s="1" t="str">
        <f>"601228"</f>
        <v>601228</v>
      </c>
      <c r="B1395" s="1" t="s">
        <v>217</v>
      </c>
      <c r="C1395" s="1" t="s">
        <v>4933</v>
      </c>
    </row>
    <row r="1396" spans="1:3" x14ac:dyDescent="0.2">
      <c r="A1396" s="1" t="str">
        <f>"601226"</f>
        <v>601226</v>
      </c>
      <c r="B1396" s="1" t="s">
        <v>3833</v>
      </c>
      <c r="C1396" s="1" t="s">
        <v>4888</v>
      </c>
    </row>
    <row r="1397" spans="1:3" x14ac:dyDescent="0.2">
      <c r="A1397" s="1" t="str">
        <f>"601225"</f>
        <v>601225</v>
      </c>
      <c r="B1397" s="1" t="s">
        <v>3834</v>
      </c>
      <c r="C1397" s="1" t="s">
        <v>4951</v>
      </c>
    </row>
    <row r="1398" spans="1:3" x14ac:dyDescent="0.2">
      <c r="A1398" s="1" t="str">
        <f>"601222"</f>
        <v>601222</v>
      </c>
      <c r="B1398" s="1" t="s">
        <v>125</v>
      </c>
      <c r="C1398" s="1" t="s">
        <v>4889</v>
      </c>
    </row>
    <row r="1399" spans="1:3" x14ac:dyDescent="0.2">
      <c r="A1399" s="1" t="str">
        <f>"601218"</f>
        <v>601218</v>
      </c>
      <c r="B1399" s="1" t="s">
        <v>1384</v>
      </c>
      <c r="C1399" s="1" t="s">
        <v>4870</v>
      </c>
    </row>
    <row r="1400" spans="1:3" x14ac:dyDescent="0.2">
      <c r="A1400" s="1" t="str">
        <f>"601216"</f>
        <v>601216</v>
      </c>
      <c r="B1400" s="1" t="s">
        <v>3035</v>
      </c>
      <c r="C1400" s="1" t="s">
        <v>4853</v>
      </c>
    </row>
    <row r="1401" spans="1:3" x14ac:dyDescent="0.2">
      <c r="A1401" s="1" t="str">
        <f>"601212"</f>
        <v>601212</v>
      </c>
      <c r="B1401" s="1" t="s">
        <v>3835</v>
      </c>
      <c r="C1401" s="1" t="s">
        <v>4879</v>
      </c>
    </row>
    <row r="1402" spans="1:3" x14ac:dyDescent="0.2">
      <c r="A1402" s="1" t="str">
        <f>"601211"</f>
        <v>601211</v>
      </c>
      <c r="B1402" s="1" t="s">
        <v>379</v>
      </c>
      <c r="C1402" s="1" t="s">
        <v>4945</v>
      </c>
    </row>
    <row r="1403" spans="1:3" x14ac:dyDescent="0.2">
      <c r="A1403" s="1" t="str">
        <f>"601208"</f>
        <v>601208</v>
      </c>
      <c r="B1403" s="1" t="s">
        <v>2873</v>
      </c>
      <c r="C1403" s="1" t="s">
        <v>4860</v>
      </c>
    </row>
    <row r="1404" spans="1:3" x14ac:dyDescent="0.2">
      <c r="A1404" s="1" t="str">
        <f>"601200"</f>
        <v>601200</v>
      </c>
      <c r="B1404" s="1" t="s">
        <v>21</v>
      </c>
      <c r="C1404" s="1" t="s">
        <v>4863</v>
      </c>
    </row>
    <row r="1405" spans="1:3" x14ac:dyDescent="0.2">
      <c r="A1405" s="1" t="str">
        <f>"601199"</f>
        <v>601199</v>
      </c>
      <c r="B1405" s="1" t="s">
        <v>85</v>
      </c>
      <c r="C1405" s="1" t="s">
        <v>4926</v>
      </c>
    </row>
    <row r="1406" spans="1:3" x14ac:dyDescent="0.2">
      <c r="A1406" s="1" t="str">
        <f>"601198"</f>
        <v>601198</v>
      </c>
      <c r="B1406" s="1" t="s">
        <v>380</v>
      </c>
      <c r="C1406" s="1" t="s">
        <v>4945</v>
      </c>
    </row>
    <row r="1407" spans="1:3" x14ac:dyDescent="0.2">
      <c r="A1407" s="1" t="str">
        <f>"601188"</f>
        <v>601188</v>
      </c>
      <c r="B1407" s="1" t="s">
        <v>244</v>
      </c>
      <c r="C1407" s="1" t="s">
        <v>4943</v>
      </c>
    </row>
    <row r="1408" spans="1:3" x14ac:dyDescent="0.2">
      <c r="A1408" s="1" t="str">
        <f>"601187"</f>
        <v>601187</v>
      </c>
      <c r="B1408" s="1" t="s">
        <v>3836</v>
      </c>
      <c r="C1408" s="1" t="s">
        <v>4937</v>
      </c>
    </row>
    <row r="1409" spans="1:3" x14ac:dyDescent="0.2">
      <c r="A1409" s="1" t="str">
        <f>"601186"</f>
        <v>601186</v>
      </c>
      <c r="B1409" s="1" t="s">
        <v>3837</v>
      </c>
      <c r="C1409" s="1" t="s">
        <v>4898</v>
      </c>
    </row>
    <row r="1410" spans="1:3" x14ac:dyDescent="0.2">
      <c r="A1410" s="1" t="str">
        <f>"601179"</f>
        <v>601179</v>
      </c>
      <c r="B1410" s="1" t="s">
        <v>1477</v>
      </c>
      <c r="C1410" s="1" t="s">
        <v>4866</v>
      </c>
    </row>
    <row r="1411" spans="1:3" x14ac:dyDescent="0.2">
      <c r="A1411" s="1" t="str">
        <f>"601177"</f>
        <v>601177</v>
      </c>
      <c r="B1411" s="1" t="s">
        <v>1218</v>
      </c>
      <c r="C1411" s="1" t="s">
        <v>4851</v>
      </c>
    </row>
    <row r="1412" spans="1:3" x14ac:dyDescent="0.2">
      <c r="A1412" s="1" t="str">
        <f>"601169"</f>
        <v>601169</v>
      </c>
      <c r="B1412" s="1" t="s">
        <v>3838</v>
      </c>
      <c r="C1412" s="1" t="s">
        <v>4937</v>
      </c>
    </row>
    <row r="1413" spans="1:3" x14ac:dyDescent="0.2">
      <c r="A1413" s="1" t="str">
        <f>"601168"</f>
        <v>601168</v>
      </c>
      <c r="B1413" s="1" t="s">
        <v>2725</v>
      </c>
      <c r="C1413" s="1" t="s">
        <v>4879</v>
      </c>
    </row>
    <row r="1414" spans="1:3" x14ac:dyDescent="0.2">
      <c r="A1414" s="1" t="str">
        <f>"601166"</f>
        <v>601166</v>
      </c>
      <c r="B1414" s="1" t="s">
        <v>417</v>
      </c>
      <c r="C1414" s="1" t="s">
        <v>4944</v>
      </c>
    </row>
    <row r="1415" spans="1:3" x14ac:dyDescent="0.2">
      <c r="A1415" s="1" t="str">
        <f>"601163"</f>
        <v>601163</v>
      </c>
      <c r="B1415" s="1" t="s">
        <v>1951</v>
      </c>
      <c r="C1415" s="1" t="s">
        <v>4856</v>
      </c>
    </row>
    <row r="1416" spans="1:3" x14ac:dyDescent="0.2">
      <c r="A1416" s="1" t="str">
        <f>"601162"</f>
        <v>601162</v>
      </c>
      <c r="B1416" s="1" t="s">
        <v>381</v>
      </c>
      <c r="C1416" s="1" t="s">
        <v>4945</v>
      </c>
    </row>
    <row r="1417" spans="1:3" x14ac:dyDescent="0.2">
      <c r="A1417" s="1" t="str">
        <f>"601158"</f>
        <v>601158</v>
      </c>
      <c r="B1417" s="1" t="s">
        <v>86</v>
      </c>
      <c r="C1417" s="1" t="s">
        <v>4926</v>
      </c>
    </row>
    <row r="1418" spans="1:3" x14ac:dyDescent="0.2">
      <c r="A1418" s="1" t="str">
        <f>"601156"</f>
        <v>601156</v>
      </c>
      <c r="B1418" s="1" t="s">
        <v>173</v>
      </c>
      <c r="C1418" s="1" t="s">
        <v>4914</v>
      </c>
    </row>
    <row r="1419" spans="1:3" x14ac:dyDescent="0.2">
      <c r="A1419" s="1" t="str">
        <f>"601155"</f>
        <v>601155</v>
      </c>
      <c r="B1419" s="1" t="s">
        <v>3839</v>
      </c>
      <c r="C1419" s="1" t="s">
        <v>4957</v>
      </c>
    </row>
    <row r="1420" spans="1:3" x14ac:dyDescent="0.2">
      <c r="A1420" s="1" t="str">
        <f>"601139"</f>
        <v>601139</v>
      </c>
      <c r="B1420" s="1" t="s">
        <v>104</v>
      </c>
      <c r="C1420" s="1" t="s">
        <v>4895</v>
      </c>
    </row>
    <row r="1421" spans="1:3" x14ac:dyDescent="0.2">
      <c r="A1421" s="1" t="str">
        <f>"601138"</f>
        <v>601138</v>
      </c>
      <c r="B1421" s="1" t="s">
        <v>854</v>
      </c>
      <c r="C1421" s="1" t="s">
        <v>4850</v>
      </c>
    </row>
    <row r="1422" spans="1:3" x14ac:dyDescent="0.2">
      <c r="A1422" s="1" t="str">
        <f>"601137"</f>
        <v>601137</v>
      </c>
      <c r="B1422" s="1" t="s">
        <v>2620</v>
      </c>
      <c r="C1422" s="1" t="s">
        <v>4848</v>
      </c>
    </row>
    <row r="1423" spans="1:3" x14ac:dyDescent="0.2">
      <c r="A1423" s="1" t="str">
        <f>"601136"</f>
        <v>601136</v>
      </c>
      <c r="B1423" s="1" t="s">
        <v>382</v>
      </c>
      <c r="C1423" s="1" t="s">
        <v>4945</v>
      </c>
    </row>
    <row r="1424" spans="1:3" x14ac:dyDescent="0.2">
      <c r="A1424" s="1" t="str">
        <f>"601133"</f>
        <v>601133</v>
      </c>
      <c r="B1424" s="1" t="s">
        <v>318</v>
      </c>
      <c r="C1424" s="1" t="s">
        <v>4888</v>
      </c>
    </row>
    <row r="1425" spans="1:3" x14ac:dyDescent="0.2">
      <c r="A1425" s="1" t="str">
        <f>"601128"</f>
        <v>601128</v>
      </c>
      <c r="B1425" s="1" t="s">
        <v>3840</v>
      </c>
      <c r="C1425" s="1" t="s">
        <v>4937</v>
      </c>
    </row>
    <row r="1426" spans="1:3" x14ac:dyDescent="0.2">
      <c r="A1426" s="1" t="str">
        <f>"601127"</f>
        <v>601127</v>
      </c>
      <c r="B1426" s="1" t="s">
        <v>2085</v>
      </c>
      <c r="C1426" s="1" t="s">
        <v>4955</v>
      </c>
    </row>
    <row r="1427" spans="1:3" x14ac:dyDescent="0.2">
      <c r="A1427" s="1" t="str">
        <f>"601126"</f>
        <v>601126</v>
      </c>
      <c r="B1427" s="1" t="s">
        <v>1500</v>
      </c>
      <c r="C1427" s="1" t="s">
        <v>4866</v>
      </c>
    </row>
    <row r="1428" spans="1:3" x14ac:dyDescent="0.2">
      <c r="A1428" s="1" t="str">
        <f>"601121"</f>
        <v>601121</v>
      </c>
      <c r="B1428" s="1" t="s">
        <v>2762</v>
      </c>
      <c r="C1428" s="1" t="s">
        <v>4947</v>
      </c>
    </row>
    <row r="1429" spans="1:3" x14ac:dyDescent="0.2">
      <c r="A1429" s="1" t="str">
        <f>"601118"</f>
        <v>601118</v>
      </c>
      <c r="B1429" s="1" t="s">
        <v>3841</v>
      </c>
      <c r="C1429" s="1" t="s">
        <v>4949</v>
      </c>
    </row>
    <row r="1430" spans="1:3" x14ac:dyDescent="0.2">
      <c r="A1430" s="1" t="str">
        <f>"601117"</f>
        <v>601117</v>
      </c>
      <c r="B1430" s="1" t="s">
        <v>333</v>
      </c>
      <c r="C1430" s="1" t="s">
        <v>4888</v>
      </c>
    </row>
    <row r="1431" spans="1:3" x14ac:dyDescent="0.2">
      <c r="A1431" s="1" t="str">
        <f>"601116"</f>
        <v>601116</v>
      </c>
      <c r="B1431" s="1" t="s">
        <v>3842</v>
      </c>
      <c r="C1431" s="1" t="s">
        <v>4905</v>
      </c>
    </row>
    <row r="1432" spans="1:3" x14ac:dyDescent="0.2">
      <c r="A1432" s="1" t="str">
        <f>"601113"</f>
        <v>601113</v>
      </c>
      <c r="B1432" s="1" t="s">
        <v>2095</v>
      </c>
      <c r="C1432" s="1" t="s">
        <v>4910</v>
      </c>
    </row>
    <row r="1433" spans="1:3" x14ac:dyDescent="0.2">
      <c r="A1433" s="1" t="str">
        <f>"601111"</f>
        <v>601111</v>
      </c>
      <c r="B1433" s="1" t="s">
        <v>3843</v>
      </c>
      <c r="C1433" s="1" t="s">
        <v>4924</v>
      </c>
    </row>
    <row r="1434" spans="1:3" x14ac:dyDescent="0.2">
      <c r="A1434" s="1" t="str">
        <f>"601108"</f>
        <v>601108</v>
      </c>
      <c r="B1434" s="1" t="s">
        <v>383</v>
      </c>
      <c r="C1434" s="1" t="s">
        <v>4945</v>
      </c>
    </row>
    <row r="1435" spans="1:3" x14ac:dyDescent="0.2">
      <c r="A1435" s="1" t="str">
        <f>"601107"</f>
        <v>601107</v>
      </c>
      <c r="B1435" s="1" t="s">
        <v>245</v>
      </c>
      <c r="C1435" s="1" t="s">
        <v>4943</v>
      </c>
    </row>
    <row r="1436" spans="1:3" x14ac:dyDescent="0.2">
      <c r="A1436" s="1" t="str">
        <f>"601106"</f>
        <v>601106</v>
      </c>
      <c r="B1436" s="1" t="s">
        <v>3844</v>
      </c>
      <c r="C1436" s="1" t="s">
        <v>4845</v>
      </c>
    </row>
    <row r="1437" spans="1:3" x14ac:dyDescent="0.2">
      <c r="A1437" s="1" t="str">
        <f>"601101"</f>
        <v>601101</v>
      </c>
      <c r="B1437" s="1" t="s">
        <v>3845</v>
      </c>
      <c r="C1437" s="1" t="s">
        <v>4951</v>
      </c>
    </row>
    <row r="1438" spans="1:3" x14ac:dyDescent="0.2">
      <c r="A1438" s="1" t="str">
        <f>"601100"</f>
        <v>601100</v>
      </c>
      <c r="B1438" s="1" t="s">
        <v>993</v>
      </c>
      <c r="C1438" s="1" t="s">
        <v>4880</v>
      </c>
    </row>
    <row r="1439" spans="1:3" x14ac:dyDescent="0.2">
      <c r="A1439" s="1" t="str">
        <f>"601099"</f>
        <v>601099</v>
      </c>
      <c r="B1439" s="1" t="s">
        <v>384</v>
      </c>
      <c r="C1439" s="1" t="s">
        <v>4945</v>
      </c>
    </row>
    <row r="1440" spans="1:3" x14ac:dyDescent="0.2">
      <c r="A1440" s="1" t="str">
        <f>"601098"</f>
        <v>601098</v>
      </c>
      <c r="B1440" s="1" t="s">
        <v>456</v>
      </c>
      <c r="C1440" s="1" t="s">
        <v>4890</v>
      </c>
    </row>
    <row r="1441" spans="1:3" x14ac:dyDescent="0.2">
      <c r="A1441" s="1" t="str">
        <f>"601096"</f>
        <v>601096</v>
      </c>
      <c r="B1441" s="1" t="s">
        <v>3846</v>
      </c>
      <c r="C1441" s="1" t="s">
        <v>4888</v>
      </c>
    </row>
    <row r="1442" spans="1:3" x14ac:dyDescent="0.2">
      <c r="A1442" s="1" t="str">
        <f>"601089"</f>
        <v>601089</v>
      </c>
      <c r="B1442" s="1" t="s">
        <v>1815</v>
      </c>
      <c r="C1442" s="1" t="s">
        <v>4843</v>
      </c>
    </row>
    <row r="1443" spans="1:3" x14ac:dyDescent="0.2">
      <c r="A1443" s="1" t="str">
        <f>"601088"</f>
        <v>601088</v>
      </c>
      <c r="B1443" s="1" t="s">
        <v>3847</v>
      </c>
      <c r="C1443" s="1" t="s">
        <v>4951</v>
      </c>
    </row>
    <row r="1444" spans="1:3" x14ac:dyDescent="0.2">
      <c r="A1444" s="1" t="str">
        <f>"601086"</f>
        <v>601086</v>
      </c>
      <c r="B1444" s="1" t="s">
        <v>3848</v>
      </c>
      <c r="C1444" s="1" t="s">
        <v>4905</v>
      </c>
    </row>
    <row r="1445" spans="1:3" x14ac:dyDescent="0.2">
      <c r="A1445" s="1" t="str">
        <f>"601083"</f>
        <v>601083</v>
      </c>
      <c r="B1445" s="1" t="s">
        <v>206</v>
      </c>
      <c r="C1445" s="1" t="s">
        <v>4933</v>
      </c>
    </row>
    <row r="1446" spans="1:3" x14ac:dyDescent="0.2">
      <c r="A1446" s="1" t="str">
        <f>"601077"</f>
        <v>601077</v>
      </c>
      <c r="B1446" s="1" t="s">
        <v>3849</v>
      </c>
      <c r="C1446" s="1" t="s">
        <v>4937</v>
      </c>
    </row>
    <row r="1447" spans="1:3" x14ac:dyDescent="0.2">
      <c r="A1447" s="1" t="str">
        <f>"601069"</f>
        <v>601069</v>
      </c>
      <c r="B1447" s="1" t="s">
        <v>2674</v>
      </c>
      <c r="C1447" s="1" t="s">
        <v>4958</v>
      </c>
    </row>
    <row r="1448" spans="1:3" x14ac:dyDescent="0.2">
      <c r="A1448" s="1" t="str">
        <f>"601068"</f>
        <v>601068</v>
      </c>
      <c r="B1448" s="1" t="s">
        <v>319</v>
      </c>
      <c r="C1448" s="1" t="s">
        <v>4888</v>
      </c>
    </row>
    <row r="1449" spans="1:3" x14ac:dyDescent="0.2">
      <c r="A1449" s="1" t="str">
        <f>"601066"</f>
        <v>601066</v>
      </c>
      <c r="B1449" s="1" t="s">
        <v>385</v>
      </c>
      <c r="C1449" s="1" t="s">
        <v>4945</v>
      </c>
    </row>
    <row r="1450" spans="1:3" x14ac:dyDescent="0.2">
      <c r="A1450" s="1" t="str">
        <f>"601065"</f>
        <v>601065</v>
      </c>
      <c r="B1450" s="1" t="s">
        <v>3023</v>
      </c>
      <c r="C1450" s="1" t="s">
        <v>4853</v>
      </c>
    </row>
    <row r="1451" spans="1:3" x14ac:dyDescent="0.2">
      <c r="A1451" s="1" t="str">
        <f>"601061"</f>
        <v>601061</v>
      </c>
      <c r="B1451" s="1" t="s">
        <v>2102</v>
      </c>
      <c r="C1451" s="1" t="s">
        <v>4942</v>
      </c>
    </row>
    <row r="1452" spans="1:3" x14ac:dyDescent="0.2">
      <c r="A1452" s="1" t="str">
        <f>"601059"</f>
        <v>601059</v>
      </c>
      <c r="B1452" s="1" t="s">
        <v>386</v>
      </c>
      <c r="C1452" s="1" t="s">
        <v>4945</v>
      </c>
    </row>
    <row r="1453" spans="1:3" x14ac:dyDescent="0.2">
      <c r="A1453" s="1" t="str">
        <f>"601058"</f>
        <v>601058</v>
      </c>
      <c r="B1453" s="1" t="s">
        <v>1952</v>
      </c>
      <c r="C1453" s="1" t="s">
        <v>4856</v>
      </c>
    </row>
    <row r="1454" spans="1:3" x14ac:dyDescent="0.2">
      <c r="A1454" s="1" t="str">
        <f>"601038"</f>
        <v>601038</v>
      </c>
      <c r="B1454" s="1" t="s">
        <v>1083</v>
      </c>
      <c r="C1454" s="1" t="s">
        <v>4845</v>
      </c>
    </row>
    <row r="1455" spans="1:3" x14ac:dyDescent="0.2">
      <c r="A1455" s="1" t="str">
        <f>"601033"</f>
        <v>601033</v>
      </c>
      <c r="B1455" s="1" t="s">
        <v>22</v>
      </c>
      <c r="C1455" s="1" t="s">
        <v>4863</v>
      </c>
    </row>
    <row r="1456" spans="1:3" x14ac:dyDescent="0.2">
      <c r="A1456" s="1" t="str">
        <f>"601022"</f>
        <v>601022</v>
      </c>
      <c r="B1456" s="1" t="s">
        <v>207</v>
      </c>
      <c r="C1456" s="1" t="s">
        <v>4933</v>
      </c>
    </row>
    <row r="1457" spans="1:3" x14ac:dyDescent="0.2">
      <c r="A1457" s="1" t="str">
        <f>"601021"</f>
        <v>601021</v>
      </c>
      <c r="B1457" s="1" t="s">
        <v>236</v>
      </c>
      <c r="C1457" s="1" t="s">
        <v>4924</v>
      </c>
    </row>
    <row r="1458" spans="1:3" x14ac:dyDescent="0.2">
      <c r="A1458" s="1" t="str">
        <f>"601020"</f>
        <v>601020</v>
      </c>
      <c r="B1458" s="1" t="s">
        <v>2684</v>
      </c>
      <c r="C1458" s="1" t="s">
        <v>4879</v>
      </c>
    </row>
    <row r="1459" spans="1:3" x14ac:dyDescent="0.2">
      <c r="A1459" s="1" t="str">
        <f>"601019"</f>
        <v>601019</v>
      </c>
      <c r="B1459" s="1" t="s">
        <v>457</v>
      </c>
      <c r="C1459" s="1" t="s">
        <v>4890</v>
      </c>
    </row>
    <row r="1460" spans="1:3" x14ac:dyDescent="0.2">
      <c r="A1460" s="1" t="str">
        <f>"601018"</f>
        <v>601018</v>
      </c>
      <c r="B1460" s="1" t="s">
        <v>218</v>
      </c>
      <c r="C1460" s="1" t="s">
        <v>4933</v>
      </c>
    </row>
    <row r="1461" spans="1:3" x14ac:dyDescent="0.2">
      <c r="A1461" s="1" t="str">
        <f>"601016"</f>
        <v>601016</v>
      </c>
      <c r="B1461" s="1" t="s">
        <v>133</v>
      </c>
      <c r="C1461" s="1" t="s">
        <v>4889</v>
      </c>
    </row>
    <row r="1462" spans="1:3" x14ac:dyDescent="0.2">
      <c r="A1462" s="1" t="str">
        <f>"601012"</f>
        <v>601012</v>
      </c>
      <c r="B1462" s="1" t="s">
        <v>3850</v>
      </c>
      <c r="C1462" s="1" t="s">
        <v>4857</v>
      </c>
    </row>
    <row r="1463" spans="1:3" x14ac:dyDescent="0.2">
      <c r="A1463" s="1" t="str">
        <f>"601010"</f>
        <v>601010</v>
      </c>
      <c r="B1463" s="1" t="s">
        <v>3851</v>
      </c>
      <c r="C1463" s="1" t="s">
        <v>4905</v>
      </c>
    </row>
    <row r="1464" spans="1:3" x14ac:dyDescent="0.2">
      <c r="A1464" s="1" t="str">
        <f>"601009"</f>
        <v>601009</v>
      </c>
      <c r="B1464" s="1" t="s">
        <v>3852</v>
      </c>
      <c r="C1464" s="1" t="s">
        <v>4937</v>
      </c>
    </row>
    <row r="1465" spans="1:3" x14ac:dyDescent="0.2">
      <c r="A1465" s="1" t="str">
        <f>"601008"</f>
        <v>601008</v>
      </c>
      <c r="B1465" s="1" t="s">
        <v>219</v>
      </c>
      <c r="C1465" s="1" t="s">
        <v>4933</v>
      </c>
    </row>
    <row r="1466" spans="1:3" x14ac:dyDescent="0.2">
      <c r="A1466" s="1" t="str">
        <f>"601007"</f>
        <v>601007</v>
      </c>
      <c r="B1466" s="1" t="s">
        <v>293</v>
      </c>
      <c r="C1466" s="1" t="s">
        <v>4912</v>
      </c>
    </row>
    <row r="1467" spans="1:3" x14ac:dyDescent="0.2">
      <c r="A1467" s="1" t="str">
        <f>"601006"</f>
        <v>601006</v>
      </c>
      <c r="B1467" s="1" t="s">
        <v>264</v>
      </c>
      <c r="C1467" s="1" t="s">
        <v>4943</v>
      </c>
    </row>
    <row r="1468" spans="1:3" x14ac:dyDescent="0.2">
      <c r="A1468" s="1" t="str">
        <f>"601005"</f>
        <v>601005</v>
      </c>
      <c r="B1468" s="1" t="s">
        <v>3853</v>
      </c>
      <c r="C1468" s="1" t="s">
        <v>4908</v>
      </c>
    </row>
    <row r="1469" spans="1:3" x14ac:dyDescent="0.2">
      <c r="A1469" s="1" t="str">
        <f>"601003"</f>
        <v>601003</v>
      </c>
      <c r="B1469" s="1" t="s">
        <v>2749</v>
      </c>
      <c r="C1469" s="1" t="s">
        <v>4908</v>
      </c>
    </row>
    <row r="1470" spans="1:3" x14ac:dyDescent="0.2">
      <c r="A1470" s="1" t="str">
        <f>"601002"</f>
        <v>601002</v>
      </c>
      <c r="B1470" s="1" t="s">
        <v>1219</v>
      </c>
      <c r="C1470" s="1" t="s">
        <v>4851</v>
      </c>
    </row>
    <row r="1471" spans="1:3" x14ac:dyDescent="0.2">
      <c r="A1471" s="1" t="str">
        <f>"601001"</f>
        <v>601001</v>
      </c>
      <c r="B1471" s="1" t="s">
        <v>3854</v>
      </c>
      <c r="C1471" s="1" t="s">
        <v>4951</v>
      </c>
    </row>
    <row r="1472" spans="1:3" x14ac:dyDescent="0.2">
      <c r="A1472" s="1" t="str">
        <f>"601000"</f>
        <v>601000</v>
      </c>
      <c r="B1472" s="1" t="s">
        <v>220</v>
      </c>
      <c r="C1472" s="1" t="s">
        <v>4933</v>
      </c>
    </row>
    <row r="1473" spans="1:3" x14ac:dyDescent="0.2">
      <c r="A1473" s="1" t="str">
        <f>"600999"</f>
        <v>600999</v>
      </c>
      <c r="B1473" s="1" t="s">
        <v>387</v>
      </c>
      <c r="C1473" s="1" t="s">
        <v>4945</v>
      </c>
    </row>
    <row r="1474" spans="1:3" x14ac:dyDescent="0.2">
      <c r="A1474" s="1" t="str">
        <f>"600998"</f>
        <v>600998</v>
      </c>
      <c r="B1474" s="1" t="s">
        <v>1644</v>
      </c>
      <c r="C1474" s="1" t="s">
        <v>4903</v>
      </c>
    </row>
    <row r="1475" spans="1:3" x14ac:dyDescent="0.2">
      <c r="A1475" s="1" t="str">
        <f>"600997"</f>
        <v>600997</v>
      </c>
      <c r="B1475" s="1" t="s">
        <v>3855</v>
      </c>
      <c r="C1475" s="1" t="s">
        <v>4959</v>
      </c>
    </row>
    <row r="1476" spans="1:3" x14ac:dyDescent="0.2">
      <c r="A1476" s="1" t="str">
        <f>"600995"</f>
        <v>600995</v>
      </c>
      <c r="B1476" s="1" t="s">
        <v>141</v>
      </c>
      <c r="C1476" s="1" t="s">
        <v>4889</v>
      </c>
    </row>
    <row r="1477" spans="1:3" x14ac:dyDescent="0.2">
      <c r="A1477" s="1" t="str">
        <f>"600993"</f>
        <v>600993</v>
      </c>
      <c r="B1477" s="1" t="s">
        <v>1590</v>
      </c>
      <c r="C1477" s="1" t="s">
        <v>4917</v>
      </c>
    </row>
    <row r="1478" spans="1:3" x14ac:dyDescent="0.2">
      <c r="A1478" s="1" t="str">
        <f>"600992"</f>
        <v>600992</v>
      </c>
      <c r="B1478" s="1" t="s">
        <v>3856</v>
      </c>
      <c r="C1478" s="1" t="s">
        <v>4851</v>
      </c>
    </row>
    <row r="1479" spans="1:3" x14ac:dyDescent="0.2">
      <c r="A1479" s="1" t="str">
        <f>"600990"</f>
        <v>600990</v>
      </c>
      <c r="B1479" s="1" t="s">
        <v>3857</v>
      </c>
      <c r="C1479" s="1" t="s">
        <v>4846</v>
      </c>
    </row>
    <row r="1480" spans="1:3" x14ac:dyDescent="0.2">
      <c r="A1480" s="1" t="str">
        <f>"600989"</f>
        <v>600989</v>
      </c>
      <c r="B1480" s="1" t="s">
        <v>3858</v>
      </c>
      <c r="C1480" s="1" t="s">
        <v>4853</v>
      </c>
    </row>
    <row r="1481" spans="1:3" x14ac:dyDescent="0.2">
      <c r="A1481" s="1" t="str">
        <f>"600988"</f>
        <v>600988</v>
      </c>
      <c r="B1481" s="1" t="s">
        <v>2675</v>
      </c>
      <c r="C1481" s="1" t="s">
        <v>4958</v>
      </c>
    </row>
    <row r="1482" spans="1:3" x14ac:dyDescent="0.2">
      <c r="A1482" s="1" t="str">
        <f>"600987"</f>
        <v>600987</v>
      </c>
      <c r="B1482" s="1" t="s">
        <v>2389</v>
      </c>
      <c r="C1482" s="1" t="s">
        <v>4904</v>
      </c>
    </row>
    <row r="1483" spans="1:3" x14ac:dyDescent="0.2">
      <c r="A1483" s="1" t="str">
        <f>"600986"</f>
        <v>600986</v>
      </c>
      <c r="B1483" s="1" t="s">
        <v>488</v>
      </c>
      <c r="C1483" s="1" t="s">
        <v>4907</v>
      </c>
    </row>
    <row r="1484" spans="1:3" x14ac:dyDescent="0.2">
      <c r="A1484" s="1" t="str">
        <f>"600985"</f>
        <v>600985</v>
      </c>
      <c r="B1484" s="1" t="s">
        <v>3859</v>
      </c>
      <c r="C1484" s="1" t="s">
        <v>4951</v>
      </c>
    </row>
    <row r="1485" spans="1:3" x14ac:dyDescent="0.2">
      <c r="A1485" s="1" t="str">
        <f>"600983"</f>
        <v>600983</v>
      </c>
      <c r="B1485" s="1" t="s">
        <v>2183</v>
      </c>
      <c r="C1485" s="1" t="s">
        <v>4960</v>
      </c>
    </row>
    <row r="1486" spans="1:3" x14ac:dyDescent="0.2">
      <c r="A1486" s="1" t="str">
        <f>"600982"</f>
        <v>600982</v>
      </c>
      <c r="B1486" s="1" t="s">
        <v>3860</v>
      </c>
      <c r="C1486" s="1" t="s">
        <v>4889</v>
      </c>
    </row>
    <row r="1487" spans="1:3" x14ac:dyDescent="0.2">
      <c r="A1487" s="1" t="str">
        <f>"600981"</f>
        <v>600981</v>
      </c>
      <c r="B1487" s="1" t="s">
        <v>3861</v>
      </c>
      <c r="C1487" s="1" t="s">
        <v>4942</v>
      </c>
    </row>
    <row r="1488" spans="1:3" x14ac:dyDescent="0.2">
      <c r="A1488" s="1" t="str">
        <f>"600980"</f>
        <v>600980</v>
      </c>
      <c r="B1488" s="1" t="s">
        <v>1116</v>
      </c>
      <c r="C1488" s="1" t="s">
        <v>4845</v>
      </c>
    </row>
    <row r="1489" spans="1:3" x14ac:dyDescent="0.2">
      <c r="A1489" s="1" t="str">
        <f>"600979"</f>
        <v>600979</v>
      </c>
      <c r="B1489" s="1" t="s">
        <v>142</v>
      </c>
      <c r="C1489" s="1" t="s">
        <v>4889</v>
      </c>
    </row>
    <row r="1490" spans="1:3" x14ac:dyDescent="0.2">
      <c r="A1490" s="1" t="str">
        <f>"600976"</f>
        <v>600976</v>
      </c>
      <c r="B1490" s="1" t="s">
        <v>1591</v>
      </c>
      <c r="C1490" s="1" t="s">
        <v>4917</v>
      </c>
    </row>
    <row r="1491" spans="1:3" x14ac:dyDescent="0.2">
      <c r="A1491" s="1" t="str">
        <f>"600975"</f>
        <v>600975</v>
      </c>
      <c r="B1491" s="1" t="s">
        <v>2559</v>
      </c>
      <c r="C1491" s="1" t="s">
        <v>4900</v>
      </c>
    </row>
    <row r="1492" spans="1:3" x14ac:dyDescent="0.2">
      <c r="A1492" s="1" t="str">
        <f>"600973"</f>
        <v>600973</v>
      </c>
      <c r="B1492" s="1" t="s">
        <v>1432</v>
      </c>
      <c r="C1492" s="1" t="s">
        <v>4866</v>
      </c>
    </row>
    <row r="1493" spans="1:3" x14ac:dyDescent="0.2">
      <c r="A1493" s="1" t="str">
        <f>"600971"</f>
        <v>600971</v>
      </c>
      <c r="B1493" s="1" t="s">
        <v>3862</v>
      </c>
      <c r="C1493" s="1" t="s">
        <v>4951</v>
      </c>
    </row>
    <row r="1494" spans="1:3" x14ac:dyDescent="0.2">
      <c r="A1494" s="1" t="str">
        <f>"600970"</f>
        <v>600970</v>
      </c>
      <c r="B1494" s="1" t="s">
        <v>327</v>
      </c>
      <c r="C1494" s="1" t="s">
        <v>4888</v>
      </c>
    </row>
    <row r="1495" spans="1:3" x14ac:dyDescent="0.2">
      <c r="A1495" s="1" t="str">
        <f>"600969"</f>
        <v>600969</v>
      </c>
      <c r="B1495" s="1" t="s">
        <v>143</v>
      </c>
      <c r="C1495" s="1" t="s">
        <v>4889</v>
      </c>
    </row>
    <row r="1496" spans="1:3" x14ac:dyDescent="0.2">
      <c r="A1496" s="1" t="str">
        <f>"600968"</f>
        <v>600968</v>
      </c>
      <c r="B1496" s="1" t="s">
        <v>3863</v>
      </c>
      <c r="C1496" s="1" t="s">
        <v>4928</v>
      </c>
    </row>
    <row r="1497" spans="1:3" x14ac:dyDescent="0.2">
      <c r="A1497" s="1" t="str">
        <f>"600967"</f>
        <v>600967</v>
      </c>
      <c r="B1497" s="1" t="s">
        <v>1359</v>
      </c>
      <c r="C1497" s="1" t="s">
        <v>4876</v>
      </c>
    </row>
    <row r="1498" spans="1:3" x14ac:dyDescent="0.2">
      <c r="A1498" s="1" t="str">
        <f>"600966"</f>
        <v>600966</v>
      </c>
      <c r="B1498" s="1" t="s">
        <v>2306</v>
      </c>
      <c r="C1498" s="1" t="s">
        <v>4892</v>
      </c>
    </row>
    <row r="1499" spans="1:3" x14ac:dyDescent="0.2">
      <c r="A1499" s="1" t="str">
        <f>"600965"</f>
        <v>600965</v>
      </c>
      <c r="B1499" s="1" t="s">
        <v>2550</v>
      </c>
      <c r="C1499" s="1" t="s">
        <v>4900</v>
      </c>
    </row>
    <row r="1500" spans="1:3" x14ac:dyDescent="0.2">
      <c r="A1500" s="1" t="str">
        <f>"600963"</f>
        <v>600963</v>
      </c>
      <c r="B1500" s="1" t="s">
        <v>2307</v>
      </c>
      <c r="C1500" s="1" t="s">
        <v>4892</v>
      </c>
    </row>
    <row r="1501" spans="1:3" x14ac:dyDescent="0.2">
      <c r="A1501" s="1" t="str">
        <f>"600962"</f>
        <v>600962</v>
      </c>
      <c r="B1501" s="1" t="s">
        <v>2476</v>
      </c>
      <c r="C1501" s="1" t="s">
        <v>4893</v>
      </c>
    </row>
    <row r="1502" spans="1:3" x14ac:dyDescent="0.2">
      <c r="A1502" s="1" t="str">
        <f>"600961"</f>
        <v>600961</v>
      </c>
      <c r="B1502" s="1" t="s">
        <v>2685</v>
      </c>
      <c r="C1502" s="1" t="s">
        <v>4879</v>
      </c>
    </row>
    <row r="1503" spans="1:3" x14ac:dyDescent="0.2">
      <c r="A1503" s="1" t="str">
        <f>"600960"</f>
        <v>600960</v>
      </c>
      <c r="B1503" s="1" t="s">
        <v>1993</v>
      </c>
      <c r="C1503" s="1" t="s">
        <v>4856</v>
      </c>
    </row>
    <row r="1504" spans="1:3" x14ac:dyDescent="0.2">
      <c r="A1504" s="1" t="str">
        <f>"600959"</f>
        <v>600959</v>
      </c>
      <c r="B1504" s="1" t="s">
        <v>429</v>
      </c>
      <c r="C1504" s="1" t="s">
        <v>4950</v>
      </c>
    </row>
    <row r="1505" spans="1:3" x14ac:dyDescent="0.2">
      <c r="A1505" s="1" t="str">
        <f>"600958"</f>
        <v>600958</v>
      </c>
      <c r="B1505" s="1" t="s">
        <v>388</v>
      </c>
      <c r="C1505" s="1" t="s">
        <v>4945</v>
      </c>
    </row>
    <row r="1506" spans="1:3" x14ac:dyDescent="0.2">
      <c r="A1506" s="1" t="str">
        <f>"600956"</f>
        <v>600956</v>
      </c>
      <c r="B1506" s="1" t="s">
        <v>3864</v>
      </c>
      <c r="C1506" s="1" t="s">
        <v>4895</v>
      </c>
    </row>
    <row r="1507" spans="1:3" x14ac:dyDescent="0.2">
      <c r="A1507" s="1" t="str">
        <f>"600941"</f>
        <v>600941</v>
      </c>
      <c r="B1507" s="1" t="s">
        <v>654</v>
      </c>
      <c r="C1507" s="1" t="s">
        <v>4954</v>
      </c>
    </row>
    <row r="1508" spans="1:3" x14ac:dyDescent="0.2">
      <c r="A1508" s="1" t="str">
        <f>"600939"</f>
        <v>600939</v>
      </c>
      <c r="B1508" s="1" t="s">
        <v>3865</v>
      </c>
      <c r="C1508" s="1" t="s">
        <v>4953</v>
      </c>
    </row>
    <row r="1509" spans="1:3" x14ac:dyDescent="0.2">
      <c r="A1509" s="1" t="str">
        <f>"600938"</f>
        <v>600938</v>
      </c>
      <c r="B1509" s="1" t="s">
        <v>3866</v>
      </c>
      <c r="C1509" s="1" t="s">
        <v>4952</v>
      </c>
    </row>
    <row r="1510" spans="1:3" x14ac:dyDescent="0.2">
      <c r="A1510" s="1" t="str">
        <f>"600935"</f>
        <v>600935</v>
      </c>
      <c r="B1510" s="1" t="s">
        <v>3867</v>
      </c>
      <c r="C1510" s="1" t="s">
        <v>4853</v>
      </c>
    </row>
    <row r="1511" spans="1:3" x14ac:dyDescent="0.2">
      <c r="A1511" s="1" t="str">
        <f>"600933"</f>
        <v>600933</v>
      </c>
      <c r="B1511" s="1" t="s">
        <v>1994</v>
      </c>
      <c r="C1511" s="1" t="s">
        <v>4856</v>
      </c>
    </row>
    <row r="1512" spans="1:3" x14ac:dyDescent="0.2">
      <c r="A1512" s="1" t="str">
        <f>"600930"</f>
        <v>600930</v>
      </c>
      <c r="B1512" s="1" t="s">
        <v>3868</v>
      </c>
      <c r="C1512" s="1" t="s">
        <v>4889</v>
      </c>
    </row>
    <row r="1513" spans="1:3" x14ac:dyDescent="0.2">
      <c r="A1513" s="1" t="str">
        <f>"600929"</f>
        <v>600929</v>
      </c>
      <c r="B1513" s="1" t="s">
        <v>3024</v>
      </c>
      <c r="C1513" s="1" t="s">
        <v>4853</v>
      </c>
    </row>
    <row r="1514" spans="1:3" x14ac:dyDescent="0.2">
      <c r="A1514" s="1" t="str">
        <f>"600928"</f>
        <v>600928</v>
      </c>
      <c r="B1514" s="1" t="s">
        <v>3869</v>
      </c>
      <c r="C1514" s="1" t="s">
        <v>4937</v>
      </c>
    </row>
    <row r="1515" spans="1:3" x14ac:dyDescent="0.2">
      <c r="A1515" s="1" t="str">
        <f>"600926"</f>
        <v>600926</v>
      </c>
      <c r="B1515" s="1" t="s">
        <v>3870</v>
      </c>
      <c r="C1515" s="1" t="s">
        <v>4937</v>
      </c>
    </row>
    <row r="1516" spans="1:3" x14ac:dyDescent="0.2">
      <c r="A1516" s="1" t="str">
        <f>"600925"</f>
        <v>600925</v>
      </c>
      <c r="B1516" s="1" t="s">
        <v>3871</v>
      </c>
      <c r="C1516" s="1" t="s">
        <v>4951</v>
      </c>
    </row>
    <row r="1517" spans="1:3" x14ac:dyDescent="0.2">
      <c r="A1517" s="1" t="str">
        <f>"600919"</f>
        <v>600919</v>
      </c>
      <c r="B1517" s="1" t="s">
        <v>3872</v>
      </c>
      <c r="C1517" s="1" t="s">
        <v>4937</v>
      </c>
    </row>
    <row r="1518" spans="1:3" x14ac:dyDescent="0.2">
      <c r="A1518" s="1" t="str">
        <f>"600918"</f>
        <v>600918</v>
      </c>
      <c r="B1518" s="1" t="s">
        <v>389</v>
      </c>
      <c r="C1518" s="1" t="s">
        <v>4945</v>
      </c>
    </row>
    <row r="1519" spans="1:3" x14ac:dyDescent="0.2">
      <c r="A1519" s="1" t="str">
        <f>"600917"</f>
        <v>600917</v>
      </c>
      <c r="B1519" s="1" t="s">
        <v>3873</v>
      </c>
      <c r="C1519" s="1" t="s">
        <v>4895</v>
      </c>
    </row>
    <row r="1520" spans="1:3" x14ac:dyDescent="0.2">
      <c r="A1520" s="1" t="str">
        <f>"600916"</f>
        <v>600916</v>
      </c>
      <c r="B1520" s="1" t="s">
        <v>2315</v>
      </c>
      <c r="C1520" s="1" t="s">
        <v>4887</v>
      </c>
    </row>
    <row r="1521" spans="1:3" x14ac:dyDescent="0.2">
      <c r="A1521" s="1" t="str">
        <f>"600909"</f>
        <v>600909</v>
      </c>
      <c r="B1521" s="1" t="s">
        <v>390</v>
      </c>
      <c r="C1521" s="1" t="s">
        <v>4945</v>
      </c>
    </row>
    <row r="1522" spans="1:3" x14ac:dyDescent="0.2">
      <c r="A1522" s="1" t="str">
        <f>"600908"</f>
        <v>600908</v>
      </c>
      <c r="B1522" s="1" t="s">
        <v>3874</v>
      </c>
      <c r="C1522" s="1" t="s">
        <v>4937</v>
      </c>
    </row>
    <row r="1523" spans="1:3" x14ac:dyDescent="0.2">
      <c r="A1523" s="1" t="str">
        <f>"600906"</f>
        <v>600906</v>
      </c>
      <c r="B1523" s="1" t="s">
        <v>391</v>
      </c>
      <c r="C1523" s="1" t="s">
        <v>4945</v>
      </c>
    </row>
    <row r="1524" spans="1:3" x14ac:dyDescent="0.2">
      <c r="A1524" s="1" t="str">
        <f>"600905"</f>
        <v>600905</v>
      </c>
      <c r="B1524" s="1" t="s">
        <v>134</v>
      </c>
      <c r="C1524" s="1" t="s">
        <v>4889</v>
      </c>
    </row>
    <row r="1525" spans="1:3" x14ac:dyDescent="0.2">
      <c r="A1525" s="1" t="str">
        <f>"600903"</f>
        <v>600903</v>
      </c>
      <c r="B1525" s="1" t="s">
        <v>3875</v>
      </c>
      <c r="C1525" s="1" t="s">
        <v>4895</v>
      </c>
    </row>
    <row r="1526" spans="1:3" x14ac:dyDescent="0.2">
      <c r="A1526" s="1" t="str">
        <f>"600901"</f>
        <v>600901</v>
      </c>
      <c r="B1526" s="1" t="s">
        <v>359</v>
      </c>
      <c r="C1526" s="1" t="s">
        <v>4938</v>
      </c>
    </row>
    <row r="1527" spans="1:3" x14ac:dyDescent="0.2">
      <c r="A1527" s="1" t="str">
        <f>"600900"</f>
        <v>600900</v>
      </c>
      <c r="B1527" s="1" t="s">
        <v>144</v>
      </c>
      <c r="C1527" s="1" t="s">
        <v>4889</v>
      </c>
    </row>
    <row r="1528" spans="1:3" x14ac:dyDescent="0.2">
      <c r="A1528" s="1" t="str">
        <f>"600897"</f>
        <v>600897</v>
      </c>
      <c r="B1528" s="1" t="s">
        <v>230</v>
      </c>
      <c r="C1528" s="1" t="s">
        <v>4924</v>
      </c>
    </row>
    <row r="1529" spans="1:3" x14ac:dyDescent="0.2">
      <c r="A1529" s="1" t="str">
        <f>"600895"</f>
        <v>600895</v>
      </c>
      <c r="B1529" s="1" t="s">
        <v>305</v>
      </c>
      <c r="C1529" s="1" t="s">
        <v>4957</v>
      </c>
    </row>
    <row r="1530" spans="1:3" x14ac:dyDescent="0.2">
      <c r="A1530" s="1" t="str">
        <f>"600894"</f>
        <v>600894</v>
      </c>
      <c r="B1530" s="1" t="s">
        <v>3876</v>
      </c>
      <c r="C1530" s="1" t="s">
        <v>4845</v>
      </c>
    </row>
    <row r="1531" spans="1:3" x14ac:dyDescent="0.2">
      <c r="A1531" s="1" t="str">
        <f>"600893"</f>
        <v>600893</v>
      </c>
      <c r="B1531" s="1" t="s">
        <v>1336</v>
      </c>
      <c r="C1531" s="1" t="s">
        <v>4862</v>
      </c>
    </row>
    <row r="1532" spans="1:3" x14ac:dyDescent="0.2">
      <c r="A1532" s="1" t="str">
        <f>"600888"</f>
        <v>600888</v>
      </c>
      <c r="B1532" s="1" t="s">
        <v>2702</v>
      </c>
      <c r="C1532" s="1" t="s">
        <v>4879</v>
      </c>
    </row>
    <row r="1533" spans="1:3" x14ac:dyDescent="0.2">
      <c r="A1533" s="1" t="str">
        <f>"600887"</f>
        <v>600887</v>
      </c>
      <c r="B1533" s="1" t="s">
        <v>2460</v>
      </c>
      <c r="C1533" s="1" t="s">
        <v>4893</v>
      </c>
    </row>
    <row r="1534" spans="1:3" x14ac:dyDescent="0.2">
      <c r="A1534" s="1" t="str">
        <f>"600886"</f>
        <v>600886</v>
      </c>
      <c r="B1534" s="1" t="s">
        <v>145</v>
      </c>
      <c r="C1534" s="1" t="s">
        <v>4889</v>
      </c>
    </row>
    <row r="1535" spans="1:3" x14ac:dyDescent="0.2">
      <c r="A1535" s="1" t="str">
        <f>"600885"</f>
        <v>600885</v>
      </c>
      <c r="B1535" s="1" t="s">
        <v>1478</v>
      </c>
      <c r="C1535" s="1" t="s">
        <v>4866</v>
      </c>
    </row>
    <row r="1536" spans="1:3" x14ac:dyDescent="0.2">
      <c r="A1536" s="1" t="str">
        <f>"600884"</f>
        <v>600884</v>
      </c>
      <c r="B1536" s="1" t="s">
        <v>1531</v>
      </c>
      <c r="C1536" s="1" t="s">
        <v>4841</v>
      </c>
    </row>
    <row r="1537" spans="1:3" x14ac:dyDescent="0.2">
      <c r="A1537" s="1" t="str">
        <f>"600883"</f>
        <v>600883</v>
      </c>
      <c r="B1537" s="1" t="s">
        <v>2572</v>
      </c>
      <c r="C1537" s="1" t="s">
        <v>4949</v>
      </c>
    </row>
    <row r="1538" spans="1:3" x14ac:dyDescent="0.2">
      <c r="A1538" s="1" t="str">
        <f>"600882"</f>
        <v>600882</v>
      </c>
      <c r="B1538" s="1" t="s">
        <v>2461</v>
      </c>
      <c r="C1538" s="1" t="s">
        <v>4893</v>
      </c>
    </row>
    <row r="1539" spans="1:3" x14ac:dyDescent="0.2">
      <c r="A1539" s="1" t="str">
        <f>"600880"</f>
        <v>600880</v>
      </c>
      <c r="B1539" s="1" t="s">
        <v>3877</v>
      </c>
      <c r="C1539" s="1" t="s">
        <v>4913</v>
      </c>
    </row>
    <row r="1540" spans="1:3" x14ac:dyDescent="0.2">
      <c r="A1540" s="1" t="str">
        <f>"600879"</f>
        <v>600879</v>
      </c>
      <c r="B1540" s="1" t="s">
        <v>1333</v>
      </c>
      <c r="C1540" s="1" t="s">
        <v>4884</v>
      </c>
    </row>
    <row r="1541" spans="1:3" x14ac:dyDescent="0.2">
      <c r="A1541" s="1" t="str">
        <f>"600877"</f>
        <v>600877</v>
      </c>
      <c r="B1541" s="1" t="s">
        <v>922</v>
      </c>
      <c r="C1541" s="1" t="s">
        <v>4840</v>
      </c>
    </row>
    <row r="1542" spans="1:3" x14ac:dyDescent="0.2">
      <c r="A1542" s="1" t="str">
        <f>"600875"</f>
        <v>600875</v>
      </c>
      <c r="B1542" s="1" t="s">
        <v>1365</v>
      </c>
      <c r="C1542" s="1" t="s">
        <v>4859</v>
      </c>
    </row>
    <row r="1543" spans="1:3" x14ac:dyDescent="0.2">
      <c r="A1543" s="1" t="str">
        <f>"600874"</f>
        <v>600874</v>
      </c>
      <c r="B1543" s="1" t="s">
        <v>45</v>
      </c>
      <c r="C1543" s="1" t="s">
        <v>4863</v>
      </c>
    </row>
    <row r="1544" spans="1:3" x14ac:dyDescent="0.2">
      <c r="A1544" s="1" t="str">
        <f>"600873"</f>
        <v>600873</v>
      </c>
      <c r="B1544" s="1" t="s">
        <v>2449</v>
      </c>
      <c r="C1544" s="1" t="s">
        <v>4927</v>
      </c>
    </row>
    <row r="1545" spans="1:3" x14ac:dyDescent="0.2">
      <c r="A1545" s="1" t="str">
        <f>"600872"</f>
        <v>600872</v>
      </c>
      <c r="B1545" s="1" t="s">
        <v>2450</v>
      </c>
      <c r="C1545" s="1" t="s">
        <v>4927</v>
      </c>
    </row>
    <row r="1546" spans="1:3" x14ac:dyDescent="0.2">
      <c r="A1546" s="1" t="str">
        <f>"600871"</f>
        <v>600871</v>
      </c>
      <c r="B1546" s="1" t="s">
        <v>3878</v>
      </c>
      <c r="C1546" s="1" t="s">
        <v>4928</v>
      </c>
    </row>
    <row r="1547" spans="1:3" x14ac:dyDescent="0.2">
      <c r="A1547" s="1" t="str">
        <f>"600869"</f>
        <v>600869</v>
      </c>
      <c r="B1547" s="1" t="s">
        <v>1433</v>
      </c>
      <c r="C1547" s="1" t="s">
        <v>4866</v>
      </c>
    </row>
    <row r="1548" spans="1:3" x14ac:dyDescent="0.2">
      <c r="A1548" s="1" t="str">
        <f>"600867"</f>
        <v>600867</v>
      </c>
      <c r="B1548" s="1" t="s">
        <v>1755</v>
      </c>
      <c r="C1548" s="1" t="s">
        <v>4852</v>
      </c>
    </row>
    <row r="1549" spans="1:3" x14ac:dyDescent="0.2">
      <c r="A1549" s="1" t="str">
        <f>"600866"</f>
        <v>600866</v>
      </c>
      <c r="B1549" s="1" t="s">
        <v>2542</v>
      </c>
      <c r="C1549" s="1" t="s">
        <v>4885</v>
      </c>
    </row>
    <row r="1550" spans="1:3" x14ac:dyDescent="0.2">
      <c r="A1550" s="1" t="str">
        <f>"600865"</f>
        <v>600865</v>
      </c>
      <c r="B1550" s="1" t="s">
        <v>3879</v>
      </c>
      <c r="C1550" s="1" t="s">
        <v>4905</v>
      </c>
    </row>
    <row r="1551" spans="1:3" x14ac:dyDescent="0.2">
      <c r="A1551" s="1" t="str">
        <f>"600864"</f>
        <v>600864</v>
      </c>
      <c r="B1551" s="1" t="s">
        <v>392</v>
      </c>
      <c r="C1551" s="1" t="s">
        <v>4945</v>
      </c>
    </row>
    <row r="1552" spans="1:3" x14ac:dyDescent="0.2">
      <c r="A1552" s="1" t="str">
        <f>"600863"</f>
        <v>600863</v>
      </c>
      <c r="B1552" s="1" t="s">
        <v>3880</v>
      </c>
      <c r="C1552" s="1" t="s">
        <v>4889</v>
      </c>
    </row>
    <row r="1553" spans="1:3" x14ac:dyDescent="0.2">
      <c r="A1553" s="1" t="str">
        <f>"600862"</f>
        <v>600862</v>
      </c>
      <c r="B1553" s="1" t="s">
        <v>1337</v>
      </c>
      <c r="C1553" s="1" t="s">
        <v>4862</v>
      </c>
    </row>
    <row r="1554" spans="1:3" x14ac:dyDescent="0.2">
      <c r="A1554" s="1" t="str">
        <f>"600861"</f>
        <v>600861</v>
      </c>
      <c r="B1554" s="1" t="s">
        <v>3881</v>
      </c>
      <c r="C1554" s="1" t="s">
        <v>4854</v>
      </c>
    </row>
    <row r="1555" spans="1:3" x14ac:dyDescent="0.2">
      <c r="A1555" s="1" t="str">
        <f>"600860"</f>
        <v>600860</v>
      </c>
      <c r="B1555" s="1" t="s">
        <v>3882</v>
      </c>
      <c r="C1555" s="1" t="s">
        <v>4851</v>
      </c>
    </row>
    <row r="1556" spans="1:3" x14ac:dyDescent="0.2">
      <c r="A1556" s="1" t="str">
        <f>"600859"</f>
        <v>600859</v>
      </c>
      <c r="B1556" s="1" t="s">
        <v>3883</v>
      </c>
      <c r="C1556" s="1" t="s">
        <v>4905</v>
      </c>
    </row>
    <row r="1557" spans="1:3" x14ac:dyDescent="0.2">
      <c r="A1557" s="1" t="str">
        <f>"600858"</f>
        <v>600858</v>
      </c>
      <c r="B1557" s="1" t="s">
        <v>2120</v>
      </c>
      <c r="C1557" s="1" t="s">
        <v>4905</v>
      </c>
    </row>
    <row r="1558" spans="1:3" x14ac:dyDescent="0.2">
      <c r="A1558" s="1" t="str">
        <f>"600857"</f>
        <v>600857</v>
      </c>
      <c r="B1558" s="1" t="s">
        <v>3884</v>
      </c>
      <c r="C1558" s="1" t="s">
        <v>4905</v>
      </c>
    </row>
    <row r="1559" spans="1:3" x14ac:dyDescent="0.2">
      <c r="A1559" s="1" t="str">
        <f>"600854"</f>
        <v>600854</v>
      </c>
      <c r="B1559" s="1" t="s">
        <v>2189</v>
      </c>
      <c r="C1559" s="1" t="s">
        <v>4960</v>
      </c>
    </row>
    <row r="1560" spans="1:3" x14ac:dyDescent="0.2">
      <c r="A1560" s="1" t="str">
        <f>"600853"</f>
        <v>600853</v>
      </c>
      <c r="B1560" s="1" t="s">
        <v>3885</v>
      </c>
      <c r="C1560" s="1" t="s">
        <v>4898</v>
      </c>
    </row>
    <row r="1561" spans="1:3" x14ac:dyDescent="0.2">
      <c r="A1561" s="1" t="str">
        <f>"600851"</f>
        <v>600851</v>
      </c>
      <c r="B1561" s="1" t="s">
        <v>1816</v>
      </c>
      <c r="C1561" s="1" t="s">
        <v>4843</v>
      </c>
    </row>
    <row r="1562" spans="1:3" x14ac:dyDescent="0.2">
      <c r="A1562" s="1" t="str">
        <f>"600850"</f>
        <v>600850</v>
      </c>
      <c r="B1562" s="1" t="s">
        <v>524</v>
      </c>
      <c r="C1562" s="1" t="s">
        <v>4874</v>
      </c>
    </row>
    <row r="1563" spans="1:3" x14ac:dyDescent="0.2">
      <c r="A1563" s="1" t="str">
        <f>"600848"</f>
        <v>600848</v>
      </c>
      <c r="B1563" s="1" t="s">
        <v>306</v>
      </c>
      <c r="C1563" s="1" t="s">
        <v>4957</v>
      </c>
    </row>
    <row r="1564" spans="1:3" x14ac:dyDescent="0.2">
      <c r="A1564" s="1" t="str">
        <f>"600847"</f>
        <v>600847</v>
      </c>
      <c r="B1564" s="1" t="s">
        <v>3886</v>
      </c>
      <c r="C1564" s="1" t="s">
        <v>4841</v>
      </c>
    </row>
    <row r="1565" spans="1:3" x14ac:dyDescent="0.2">
      <c r="A1565" s="1" t="str">
        <f>"600846"</f>
        <v>600846</v>
      </c>
      <c r="B1565" s="1" t="s">
        <v>3887</v>
      </c>
      <c r="C1565" s="1" t="s">
        <v>4922</v>
      </c>
    </row>
    <row r="1566" spans="1:3" x14ac:dyDescent="0.2">
      <c r="A1566" s="1" t="str">
        <f>"600845"</f>
        <v>600845</v>
      </c>
      <c r="B1566" s="1" t="s">
        <v>551</v>
      </c>
      <c r="C1566" s="1" t="s">
        <v>4847</v>
      </c>
    </row>
    <row r="1567" spans="1:3" x14ac:dyDescent="0.2">
      <c r="A1567" s="1" t="str">
        <f>"600843"</f>
        <v>600843</v>
      </c>
      <c r="B1567" s="1" t="s">
        <v>3888</v>
      </c>
      <c r="C1567" s="1" t="s">
        <v>4845</v>
      </c>
    </row>
    <row r="1568" spans="1:3" x14ac:dyDescent="0.2">
      <c r="A1568" s="1" t="str">
        <f>"600841"</f>
        <v>600841</v>
      </c>
      <c r="B1568" s="1" t="s">
        <v>3889</v>
      </c>
      <c r="C1568" s="1" t="s">
        <v>4856</v>
      </c>
    </row>
    <row r="1569" spans="1:3" x14ac:dyDescent="0.2">
      <c r="A1569" s="1" t="str">
        <f>"600839"</f>
        <v>600839</v>
      </c>
      <c r="B1569" s="1" t="s">
        <v>2179</v>
      </c>
      <c r="C1569" s="1" t="s">
        <v>4864</v>
      </c>
    </row>
    <row r="1570" spans="1:3" x14ac:dyDescent="0.2">
      <c r="A1570" s="1" t="str">
        <f>"600838"</f>
        <v>600838</v>
      </c>
      <c r="B1570" s="1" t="s">
        <v>2121</v>
      </c>
      <c r="C1570" s="1" t="s">
        <v>4905</v>
      </c>
    </row>
    <row r="1571" spans="1:3" x14ac:dyDescent="0.2">
      <c r="A1571" s="1" t="str">
        <f>"600835"</f>
        <v>600835</v>
      </c>
      <c r="B1571" s="1" t="s">
        <v>3890</v>
      </c>
      <c r="C1571" s="1" t="s">
        <v>4845</v>
      </c>
    </row>
    <row r="1572" spans="1:3" x14ac:dyDescent="0.2">
      <c r="A1572" s="1" t="str">
        <f>"600834"</f>
        <v>600834</v>
      </c>
      <c r="B1572" s="1" t="s">
        <v>240</v>
      </c>
      <c r="C1572" s="1" t="s">
        <v>4943</v>
      </c>
    </row>
    <row r="1573" spans="1:3" x14ac:dyDescent="0.2">
      <c r="A1573" s="1" t="str">
        <f>"600833"</f>
        <v>600833</v>
      </c>
      <c r="B1573" s="1" t="s">
        <v>3891</v>
      </c>
      <c r="C1573" s="1" t="s">
        <v>4903</v>
      </c>
    </row>
    <row r="1574" spans="1:3" x14ac:dyDescent="0.2">
      <c r="A1574" s="1" t="str">
        <f>"600830"</f>
        <v>600830</v>
      </c>
      <c r="B1574" s="1" t="s">
        <v>350</v>
      </c>
      <c r="C1574" s="1" t="s">
        <v>4938</v>
      </c>
    </row>
    <row r="1575" spans="1:3" x14ac:dyDescent="0.2">
      <c r="A1575" s="1" t="str">
        <f>"600829"</f>
        <v>600829</v>
      </c>
      <c r="B1575" s="1" t="s">
        <v>1645</v>
      </c>
      <c r="C1575" s="1" t="s">
        <v>4903</v>
      </c>
    </row>
    <row r="1576" spans="1:3" x14ac:dyDescent="0.2">
      <c r="A1576" s="1" t="str">
        <f>"600828"</f>
        <v>600828</v>
      </c>
      <c r="B1576" s="1" t="s">
        <v>3892</v>
      </c>
      <c r="C1576" s="1" t="s">
        <v>4905</v>
      </c>
    </row>
    <row r="1577" spans="1:3" x14ac:dyDescent="0.2">
      <c r="A1577" s="1" t="str">
        <f>"600827"</f>
        <v>600827</v>
      </c>
      <c r="B1577" s="1" t="s">
        <v>2122</v>
      </c>
      <c r="C1577" s="1" t="s">
        <v>4905</v>
      </c>
    </row>
    <row r="1578" spans="1:3" x14ac:dyDescent="0.2">
      <c r="A1578" s="1" t="str">
        <f>"600826"</f>
        <v>600826</v>
      </c>
      <c r="B1578" s="1" t="s">
        <v>3893</v>
      </c>
      <c r="C1578" s="1" t="s">
        <v>4854</v>
      </c>
    </row>
    <row r="1579" spans="1:3" x14ac:dyDescent="0.2">
      <c r="A1579" s="1" t="str">
        <f>"600825"</f>
        <v>600825</v>
      </c>
      <c r="B1579" s="1" t="s">
        <v>443</v>
      </c>
      <c r="C1579" s="1" t="s">
        <v>4890</v>
      </c>
    </row>
    <row r="1580" spans="1:3" x14ac:dyDescent="0.2">
      <c r="A1580" s="1" t="str">
        <f>"600824"</f>
        <v>600824</v>
      </c>
      <c r="B1580" s="1" t="s">
        <v>2123</v>
      </c>
      <c r="C1580" s="1" t="s">
        <v>4905</v>
      </c>
    </row>
    <row r="1581" spans="1:3" x14ac:dyDescent="0.2">
      <c r="A1581" s="1" t="str">
        <f>"600822"</f>
        <v>600822</v>
      </c>
      <c r="B1581" s="1" t="s">
        <v>1886</v>
      </c>
      <c r="C1581" s="1" t="s">
        <v>4948</v>
      </c>
    </row>
    <row r="1582" spans="1:3" x14ac:dyDescent="0.2">
      <c r="A1582" s="1" t="str">
        <f>"600821"</f>
        <v>600821</v>
      </c>
      <c r="B1582" s="1" t="s">
        <v>126</v>
      </c>
      <c r="C1582" s="1" t="s">
        <v>4889</v>
      </c>
    </row>
    <row r="1583" spans="1:3" x14ac:dyDescent="0.2">
      <c r="A1583" s="1" t="str">
        <f>"600820"</f>
        <v>600820</v>
      </c>
      <c r="B1583" s="1" t="s">
        <v>3894</v>
      </c>
      <c r="C1583" s="1" t="s">
        <v>4898</v>
      </c>
    </row>
    <row r="1584" spans="1:3" x14ac:dyDescent="0.2">
      <c r="A1584" s="1" t="str">
        <f>"600819"</f>
        <v>600819</v>
      </c>
      <c r="B1584" s="1" t="s">
        <v>2612</v>
      </c>
      <c r="C1584" s="1" t="s">
        <v>4916</v>
      </c>
    </row>
    <row r="1585" spans="1:3" x14ac:dyDescent="0.2">
      <c r="A1585" s="1" t="str">
        <f>"600818"</f>
        <v>600818</v>
      </c>
      <c r="B1585" s="1" t="s">
        <v>3895</v>
      </c>
      <c r="C1585" s="1" t="s">
        <v>4839</v>
      </c>
    </row>
    <row r="1586" spans="1:3" x14ac:dyDescent="0.2">
      <c r="A1586" s="1" t="str">
        <f>"600817"</f>
        <v>600817</v>
      </c>
      <c r="B1586" s="1" t="s">
        <v>71</v>
      </c>
      <c r="C1586" s="1" t="s">
        <v>4871</v>
      </c>
    </row>
    <row r="1587" spans="1:3" x14ac:dyDescent="0.2">
      <c r="A1587" s="1" t="str">
        <f>"600816"</f>
        <v>600816</v>
      </c>
      <c r="B1587" s="1" t="s">
        <v>356</v>
      </c>
      <c r="C1587" s="1" t="s">
        <v>4938</v>
      </c>
    </row>
    <row r="1588" spans="1:3" x14ac:dyDescent="0.2">
      <c r="A1588" s="1" t="str">
        <f>"600815"</f>
        <v>600815</v>
      </c>
      <c r="B1588" s="1" t="s">
        <v>1004</v>
      </c>
      <c r="C1588" s="1" t="s">
        <v>4880</v>
      </c>
    </row>
    <row r="1589" spans="1:3" x14ac:dyDescent="0.2">
      <c r="A1589" s="1" t="str">
        <f>"600814"</f>
        <v>600814</v>
      </c>
      <c r="B1589" s="1" t="s">
        <v>3896</v>
      </c>
      <c r="C1589" s="1" t="s">
        <v>4905</v>
      </c>
    </row>
    <row r="1590" spans="1:3" x14ac:dyDescent="0.2">
      <c r="A1590" s="1" t="str">
        <f>"600812"</f>
        <v>600812</v>
      </c>
      <c r="B1590" s="1" t="s">
        <v>1817</v>
      </c>
      <c r="C1590" s="1" t="s">
        <v>4843</v>
      </c>
    </row>
    <row r="1591" spans="1:3" x14ac:dyDescent="0.2">
      <c r="A1591" s="1" t="str">
        <f>"600810"</f>
        <v>600810</v>
      </c>
      <c r="B1591" s="1" t="s">
        <v>3897</v>
      </c>
      <c r="C1591" s="1" t="s">
        <v>4858</v>
      </c>
    </row>
    <row r="1592" spans="1:3" x14ac:dyDescent="0.2">
      <c r="A1592" s="1" t="str">
        <f>"600809"</f>
        <v>600809</v>
      </c>
      <c r="B1592" s="1" t="s">
        <v>2485</v>
      </c>
      <c r="C1592" s="1" t="s">
        <v>4921</v>
      </c>
    </row>
    <row r="1593" spans="1:3" x14ac:dyDescent="0.2">
      <c r="A1593" s="1" t="str">
        <f>"600808"</f>
        <v>600808</v>
      </c>
      <c r="B1593" s="1" t="s">
        <v>3898</v>
      </c>
      <c r="C1593" s="1" t="s">
        <v>4908</v>
      </c>
    </row>
    <row r="1594" spans="1:3" x14ac:dyDescent="0.2">
      <c r="A1594" s="1" t="str">
        <f>"600807"</f>
        <v>600807</v>
      </c>
      <c r="B1594" s="1" t="s">
        <v>3899</v>
      </c>
      <c r="C1594" s="1" t="s">
        <v>4852</v>
      </c>
    </row>
    <row r="1595" spans="1:3" x14ac:dyDescent="0.2">
      <c r="A1595" s="1" t="str">
        <f>"600805"</f>
        <v>600805</v>
      </c>
      <c r="B1595" s="1" t="s">
        <v>0</v>
      </c>
      <c r="C1595" s="1" t="s">
        <v>4961</v>
      </c>
    </row>
    <row r="1596" spans="1:3" x14ac:dyDescent="0.2">
      <c r="A1596" s="1" t="str">
        <f>"600803"</f>
        <v>600803</v>
      </c>
      <c r="B1596" s="1" t="s">
        <v>105</v>
      </c>
      <c r="C1596" s="1" t="s">
        <v>4895</v>
      </c>
    </row>
    <row r="1597" spans="1:3" x14ac:dyDescent="0.2">
      <c r="A1597" s="1" t="str">
        <f>"600802"</f>
        <v>600802</v>
      </c>
      <c r="B1597" s="1" t="s">
        <v>3900</v>
      </c>
      <c r="C1597" s="1" t="s">
        <v>4911</v>
      </c>
    </row>
    <row r="1598" spans="1:3" x14ac:dyDescent="0.2">
      <c r="A1598" s="1" t="str">
        <f>"600801"</f>
        <v>600801</v>
      </c>
      <c r="B1598" s="1" t="s">
        <v>3901</v>
      </c>
      <c r="C1598" s="1" t="s">
        <v>4911</v>
      </c>
    </row>
    <row r="1599" spans="1:3" x14ac:dyDescent="0.2">
      <c r="A1599" s="1" t="str">
        <f>"600797"</f>
        <v>600797</v>
      </c>
      <c r="B1599" s="1" t="s">
        <v>3902</v>
      </c>
      <c r="C1599" s="1" t="s">
        <v>4847</v>
      </c>
    </row>
    <row r="1600" spans="1:3" x14ac:dyDescent="0.2">
      <c r="A1600" s="1" t="str">
        <f>"600796"</f>
        <v>600796</v>
      </c>
      <c r="B1600" s="1" t="s">
        <v>46</v>
      </c>
      <c r="C1600" s="1" t="s">
        <v>4863</v>
      </c>
    </row>
    <row r="1601" spans="1:3" x14ac:dyDescent="0.2">
      <c r="A1601" s="1" t="str">
        <f>"600795"</f>
        <v>600795</v>
      </c>
      <c r="B1601" s="1" t="s">
        <v>3903</v>
      </c>
      <c r="C1601" s="1" t="s">
        <v>4889</v>
      </c>
    </row>
    <row r="1602" spans="1:3" x14ac:dyDescent="0.2">
      <c r="A1602" s="1" t="str">
        <f>"600794"</f>
        <v>600794</v>
      </c>
      <c r="B1602" s="1" t="s">
        <v>163</v>
      </c>
      <c r="C1602" s="1" t="s">
        <v>4914</v>
      </c>
    </row>
    <row r="1603" spans="1:3" x14ac:dyDescent="0.2">
      <c r="A1603" s="1" t="str">
        <f>"600793"</f>
        <v>600793</v>
      </c>
      <c r="B1603" s="1" t="s">
        <v>2290</v>
      </c>
      <c r="C1603" s="1" t="s">
        <v>4892</v>
      </c>
    </row>
    <row r="1604" spans="1:3" x14ac:dyDescent="0.2">
      <c r="A1604" s="1" t="str">
        <f>"600790"</f>
        <v>600790</v>
      </c>
      <c r="B1604" s="1" t="s">
        <v>3904</v>
      </c>
      <c r="C1604" s="1" t="s">
        <v>4931</v>
      </c>
    </row>
    <row r="1605" spans="1:3" x14ac:dyDescent="0.2">
      <c r="A1605" s="1" t="str">
        <f>"600789"</f>
        <v>600789</v>
      </c>
      <c r="B1605" s="1" t="s">
        <v>1818</v>
      </c>
      <c r="C1605" s="1" t="s">
        <v>4843</v>
      </c>
    </row>
    <row r="1606" spans="1:3" x14ac:dyDescent="0.2">
      <c r="A1606" s="1" t="str">
        <f>"600787"</f>
        <v>600787</v>
      </c>
      <c r="B1606" s="1" t="s">
        <v>164</v>
      </c>
      <c r="C1606" s="1" t="s">
        <v>4914</v>
      </c>
    </row>
    <row r="1607" spans="1:3" x14ac:dyDescent="0.2">
      <c r="A1607" s="1" t="str">
        <f>"600785"</f>
        <v>600785</v>
      </c>
      <c r="B1607" s="1" t="s">
        <v>2124</v>
      </c>
      <c r="C1607" s="1" t="s">
        <v>4905</v>
      </c>
    </row>
    <row r="1608" spans="1:3" x14ac:dyDescent="0.2">
      <c r="A1608" s="1" t="str">
        <f>"600784"</f>
        <v>600784</v>
      </c>
      <c r="B1608" s="1" t="s">
        <v>1</v>
      </c>
      <c r="C1608" s="1" t="s">
        <v>4961</v>
      </c>
    </row>
    <row r="1609" spans="1:3" x14ac:dyDescent="0.2">
      <c r="A1609" s="1" t="str">
        <f>"600782"</f>
        <v>600782</v>
      </c>
      <c r="B1609" s="1" t="s">
        <v>2750</v>
      </c>
      <c r="C1609" s="1" t="s">
        <v>4908</v>
      </c>
    </row>
    <row r="1610" spans="1:3" x14ac:dyDescent="0.2">
      <c r="A1610" s="1" t="str">
        <f>"600780"</f>
        <v>600780</v>
      </c>
      <c r="B1610" s="1" t="s">
        <v>3905</v>
      </c>
      <c r="C1610" s="1" t="s">
        <v>4889</v>
      </c>
    </row>
    <row r="1611" spans="1:3" x14ac:dyDescent="0.2">
      <c r="A1611" s="1" t="str">
        <f>"600779"</f>
        <v>600779</v>
      </c>
      <c r="B1611" s="1" t="s">
        <v>2486</v>
      </c>
      <c r="C1611" s="1" t="s">
        <v>4921</v>
      </c>
    </row>
    <row r="1612" spans="1:3" x14ac:dyDescent="0.2">
      <c r="A1612" s="1" t="str">
        <f>"600778"</f>
        <v>600778</v>
      </c>
      <c r="B1612" s="1" t="s">
        <v>2125</v>
      </c>
      <c r="C1612" s="1" t="s">
        <v>4905</v>
      </c>
    </row>
    <row r="1613" spans="1:3" x14ac:dyDescent="0.2">
      <c r="A1613" s="1" t="str">
        <f>"600776"</f>
        <v>600776</v>
      </c>
      <c r="B1613" s="1" t="s">
        <v>3906</v>
      </c>
      <c r="C1613" s="1" t="s">
        <v>4869</v>
      </c>
    </row>
    <row r="1614" spans="1:3" x14ac:dyDescent="0.2">
      <c r="A1614" s="1" t="str">
        <f>"600775"</f>
        <v>600775</v>
      </c>
      <c r="B1614" s="1" t="s">
        <v>3907</v>
      </c>
      <c r="C1614" s="1" t="s">
        <v>4869</v>
      </c>
    </row>
    <row r="1615" spans="1:3" x14ac:dyDescent="0.2">
      <c r="A1615" s="1" t="str">
        <f>"600774"</f>
        <v>600774</v>
      </c>
      <c r="B1615" s="1" t="s">
        <v>3908</v>
      </c>
      <c r="C1615" s="1" t="s">
        <v>4843</v>
      </c>
    </row>
    <row r="1616" spans="1:3" x14ac:dyDescent="0.2">
      <c r="A1616" s="1" t="str">
        <f>"600773"</f>
        <v>600773</v>
      </c>
      <c r="B1616" s="1" t="s">
        <v>3909</v>
      </c>
      <c r="C1616" s="1" t="s">
        <v>4957</v>
      </c>
    </row>
    <row r="1617" spans="1:3" x14ac:dyDescent="0.2">
      <c r="A1617" s="1" t="str">
        <f>"600771"</f>
        <v>600771</v>
      </c>
      <c r="B1617" s="1" t="s">
        <v>1592</v>
      </c>
      <c r="C1617" s="1" t="s">
        <v>4917</v>
      </c>
    </row>
    <row r="1618" spans="1:3" x14ac:dyDescent="0.2">
      <c r="A1618" s="1" t="str">
        <f>"600770"</f>
        <v>600770</v>
      </c>
      <c r="B1618" s="1" t="s">
        <v>3910</v>
      </c>
      <c r="C1618" s="1" t="s">
        <v>4961</v>
      </c>
    </row>
    <row r="1619" spans="1:3" x14ac:dyDescent="0.2">
      <c r="A1619" s="1" t="str">
        <f>"600769"</f>
        <v>600769</v>
      </c>
      <c r="B1619" s="1" t="s">
        <v>87</v>
      </c>
      <c r="C1619" s="1" t="s">
        <v>4926</v>
      </c>
    </row>
    <row r="1620" spans="1:3" x14ac:dyDescent="0.2">
      <c r="A1620" s="1" t="str">
        <f>"600768"</f>
        <v>600768</v>
      </c>
      <c r="B1620" s="1" t="s">
        <v>2703</v>
      </c>
      <c r="C1620" s="1" t="s">
        <v>4879</v>
      </c>
    </row>
    <row r="1621" spans="1:3" x14ac:dyDescent="0.2">
      <c r="A1621" s="1" t="str">
        <f>"600765"</f>
        <v>600765</v>
      </c>
      <c r="B1621" s="1" t="s">
        <v>1338</v>
      </c>
      <c r="C1621" s="1" t="s">
        <v>4862</v>
      </c>
    </row>
    <row r="1622" spans="1:3" x14ac:dyDescent="0.2">
      <c r="A1622" s="1" t="str">
        <f>"600764"</f>
        <v>600764</v>
      </c>
      <c r="B1622" s="1" t="s">
        <v>1326</v>
      </c>
      <c r="C1622" s="1" t="s">
        <v>4946</v>
      </c>
    </row>
    <row r="1623" spans="1:3" x14ac:dyDescent="0.2">
      <c r="A1623" s="1" t="str">
        <f>"600763"</f>
        <v>600763</v>
      </c>
      <c r="B1623" s="1" t="s">
        <v>1666</v>
      </c>
      <c r="C1623" s="1" t="s">
        <v>4861</v>
      </c>
    </row>
    <row r="1624" spans="1:3" x14ac:dyDescent="0.2">
      <c r="A1624" s="1" t="str">
        <f>"600761"</f>
        <v>600761</v>
      </c>
      <c r="B1624" s="1" t="s">
        <v>1005</v>
      </c>
      <c r="C1624" s="1" t="s">
        <v>4880</v>
      </c>
    </row>
    <row r="1625" spans="1:3" x14ac:dyDescent="0.2">
      <c r="A1625" s="1" t="str">
        <f>"600760"</f>
        <v>600760</v>
      </c>
      <c r="B1625" s="1" t="s">
        <v>1339</v>
      </c>
      <c r="C1625" s="1" t="s">
        <v>4862</v>
      </c>
    </row>
    <row r="1626" spans="1:3" x14ac:dyDescent="0.2">
      <c r="A1626" s="1" t="str">
        <f>"600759"</f>
        <v>600759</v>
      </c>
      <c r="B1626" s="1" t="s">
        <v>3911</v>
      </c>
      <c r="C1626" s="1" t="s">
        <v>4952</v>
      </c>
    </row>
    <row r="1627" spans="1:3" x14ac:dyDescent="0.2">
      <c r="A1627" s="1" t="str">
        <f>"600758"</f>
        <v>600758</v>
      </c>
      <c r="B1627" s="1" t="s">
        <v>3912</v>
      </c>
      <c r="C1627" s="1" t="s">
        <v>4951</v>
      </c>
    </row>
    <row r="1628" spans="1:3" x14ac:dyDescent="0.2">
      <c r="A1628" s="1" t="str">
        <f>"600757"</f>
        <v>600757</v>
      </c>
      <c r="B1628" s="1" t="s">
        <v>458</v>
      </c>
      <c r="C1628" s="1" t="s">
        <v>4890</v>
      </c>
    </row>
    <row r="1629" spans="1:3" x14ac:dyDescent="0.2">
      <c r="A1629" s="1" t="str">
        <f>"600756"</f>
        <v>600756</v>
      </c>
      <c r="B1629" s="1" t="s">
        <v>3913</v>
      </c>
      <c r="C1629" s="1" t="s">
        <v>4847</v>
      </c>
    </row>
    <row r="1630" spans="1:3" x14ac:dyDescent="0.2">
      <c r="A1630" s="1" t="str">
        <f>"600755"</f>
        <v>600755</v>
      </c>
      <c r="B1630" s="1" t="s">
        <v>181</v>
      </c>
      <c r="C1630" s="1" t="s">
        <v>4914</v>
      </c>
    </row>
    <row r="1631" spans="1:3" x14ac:dyDescent="0.2">
      <c r="A1631" s="1" t="str">
        <f>"600754"</f>
        <v>600754</v>
      </c>
      <c r="B1631" s="1" t="s">
        <v>294</v>
      </c>
      <c r="C1631" s="1" t="s">
        <v>4912</v>
      </c>
    </row>
    <row r="1632" spans="1:3" x14ac:dyDescent="0.2">
      <c r="A1632" s="1" t="str">
        <f>"600751"</f>
        <v>600751</v>
      </c>
      <c r="B1632" s="1" t="s">
        <v>208</v>
      </c>
      <c r="C1632" s="1" t="s">
        <v>4933</v>
      </c>
    </row>
    <row r="1633" spans="1:3" x14ac:dyDescent="0.2">
      <c r="A1633" s="1" t="str">
        <f>"600750"</f>
        <v>600750</v>
      </c>
      <c r="B1633" s="1" t="s">
        <v>1593</v>
      </c>
      <c r="C1633" s="1" t="s">
        <v>4917</v>
      </c>
    </row>
    <row r="1634" spans="1:3" x14ac:dyDescent="0.2">
      <c r="A1634" s="1" t="str">
        <f>"600748"</f>
        <v>600748</v>
      </c>
      <c r="B1634" s="1" t="s">
        <v>3914</v>
      </c>
      <c r="C1634" s="1" t="s">
        <v>4957</v>
      </c>
    </row>
    <row r="1635" spans="1:3" x14ac:dyDescent="0.2">
      <c r="A1635" s="1" t="str">
        <f>"600746"</f>
        <v>600746</v>
      </c>
      <c r="B1635" s="1" t="s">
        <v>2850</v>
      </c>
      <c r="C1635" s="1" t="s">
        <v>4860</v>
      </c>
    </row>
    <row r="1636" spans="1:3" x14ac:dyDescent="0.2">
      <c r="A1636" s="1" t="str">
        <f>"600745"</f>
        <v>600745</v>
      </c>
      <c r="B1636" s="1" t="s">
        <v>911</v>
      </c>
      <c r="C1636" s="1" t="s">
        <v>4840</v>
      </c>
    </row>
    <row r="1637" spans="1:3" x14ac:dyDescent="0.2">
      <c r="A1637" s="1" t="str">
        <f>"600744"</f>
        <v>600744</v>
      </c>
      <c r="B1637" s="1" t="s">
        <v>3915</v>
      </c>
      <c r="C1637" s="1" t="s">
        <v>4889</v>
      </c>
    </row>
    <row r="1638" spans="1:3" x14ac:dyDescent="0.2">
      <c r="A1638" s="1" t="str">
        <f>"600743"</f>
        <v>600743</v>
      </c>
      <c r="B1638" s="1" t="s">
        <v>3916</v>
      </c>
      <c r="C1638" s="1" t="s">
        <v>4957</v>
      </c>
    </row>
    <row r="1639" spans="1:3" x14ac:dyDescent="0.2">
      <c r="A1639" s="1" t="str">
        <f>"600742"</f>
        <v>600742</v>
      </c>
      <c r="B1639" s="1" t="s">
        <v>2052</v>
      </c>
      <c r="C1639" s="1" t="s">
        <v>4856</v>
      </c>
    </row>
    <row r="1640" spans="1:3" x14ac:dyDescent="0.2">
      <c r="A1640" s="1" t="str">
        <f>"600741"</f>
        <v>600741</v>
      </c>
      <c r="B1640" s="1" t="s">
        <v>2053</v>
      </c>
      <c r="C1640" s="1" t="s">
        <v>4856</v>
      </c>
    </row>
    <row r="1641" spans="1:3" x14ac:dyDescent="0.2">
      <c r="A1641" s="1" t="str">
        <f>"600739"</f>
        <v>600739</v>
      </c>
      <c r="B1641" s="1" t="s">
        <v>1769</v>
      </c>
      <c r="C1641" s="1" t="s">
        <v>4852</v>
      </c>
    </row>
    <row r="1642" spans="1:3" x14ac:dyDescent="0.2">
      <c r="A1642" s="1" t="str">
        <f>"600738"</f>
        <v>600738</v>
      </c>
      <c r="B1642" s="1" t="s">
        <v>3917</v>
      </c>
      <c r="C1642" s="1" t="s">
        <v>4931</v>
      </c>
    </row>
    <row r="1643" spans="1:3" x14ac:dyDescent="0.2">
      <c r="A1643" s="1" t="str">
        <f>"600737"</f>
        <v>600737</v>
      </c>
      <c r="B1643" s="1" t="s">
        <v>2410</v>
      </c>
      <c r="C1643" s="1" t="s">
        <v>4891</v>
      </c>
    </row>
    <row r="1644" spans="1:3" x14ac:dyDescent="0.2">
      <c r="A1644" s="1" t="str">
        <f>"600736"</f>
        <v>600736</v>
      </c>
      <c r="B1644" s="1" t="s">
        <v>3918</v>
      </c>
      <c r="C1644" s="1" t="s">
        <v>4957</v>
      </c>
    </row>
    <row r="1645" spans="1:3" x14ac:dyDescent="0.2">
      <c r="A1645" s="1" t="str">
        <f>"600735"</f>
        <v>600735</v>
      </c>
      <c r="B1645" s="1" t="s">
        <v>2312</v>
      </c>
      <c r="C1645" s="1" t="s">
        <v>4887</v>
      </c>
    </row>
    <row r="1646" spans="1:3" x14ac:dyDescent="0.2">
      <c r="A1646" s="1" t="str">
        <f>"600733"</f>
        <v>600733</v>
      </c>
      <c r="B1646" s="1" t="s">
        <v>3919</v>
      </c>
      <c r="C1646" s="1" t="s">
        <v>4955</v>
      </c>
    </row>
    <row r="1647" spans="1:3" x14ac:dyDescent="0.2">
      <c r="A1647" s="1" t="str">
        <f>"600732"</f>
        <v>600732</v>
      </c>
      <c r="B1647" s="1" t="s">
        <v>3920</v>
      </c>
      <c r="C1647" s="1" t="s">
        <v>4857</v>
      </c>
    </row>
    <row r="1648" spans="1:3" x14ac:dyDescent="0.2">
      <c r="A1648" s="1" t="str">
        <f>"600731"</f>
        <v>600731</v>
      </c>
      <c r="B1648" s="1" t="s">
        <v>2804</v>
      </c>
      <c r="C1648" s="1" t="s">
        <v>4915</v>
      </c>
    </row>
    <row r="1649" spans="1:3" x14ac:dyDescent="0.2">
      <c r="A1649" s="1" t="str">
        <f>"600730"</f>
        <v>600730</v>
      </c>
      <c r="B1649" s="1" t="s">
        <v>3921</v>
      </c>
      <c r="C1649" s="1" t="s">
        <v>4913</v>
      </c>
    </row>
    <row r="1650" spans="1:3" x14ac:dyDescent="0.2">
      <c r="A1650" s="1" t="str">
        <f>"600729"</f>
        <v>600729</v>
      </c>
      <c r="B1650" s="1" t="s">
        <v>2126</v>
      </c>
      <c r="C1650" s="1" t="s">
        <v>4905</v>
      </c>
    </row>
    <row r="1651" spans="1:3" x14ac:dyDescent="0.2">
      <c r="A1651" s="1" t="str">
        <f>"600728"</f>
        <v>600728</v>
      </c>
      <c r="B1651" s="1" t="s">
        <v>552</v>
      </c>
      <c r="C1651" s="1" t="s">
        <v>4847</v>
      </c>
    </row>
    <row r="1652" spans="1:3" x14ac:dyDescent="0.2">
      <c r="A1652" s="1" t="str">
        <f>"600727"</f>
        <v>600727</v>
      </c>
      <c r="B1652" s="1" t="s">
        <v>3040</v>
      </c>
      <c r="C1652" s="1" t="s">
        <v>4853</v>
      </c>
    </row>
    <row r="1653" spans="1:3" x14ac:dyDescent="0.2">
      <c r="A1653" s="1" t="str">
        <f>"600726"</f>
        <v>600726</v>
      </c>
      <c r="B1653" s="1" t="s">
        <v>3922</v>
      </c>
      <c r="C1653" s="1" t="s">
        <v>4889</v>
      </c>
    </row>
    <row r="1654" spans="1:3" x14ac:dyDescent="0.2">
      <c r="A1654" s="1" t="str">
        <f>"600725"</f>
        <v>600725</v>
      </c>
      <c r="B1654" s="1" t="s">
        <v>3923</v>
      </c>
      <c r="C1654" s="1" t="s">
        <v>4942</v>
      </c>
    </row>
    <row r="1655" spans="1:3" x14ac:dyDescent="0.2">
      <c r="A1655" s="1" t="str">
        <f>"600724"</f>
        <v>600724</v>
      </c>
      <c r="B1655" s="1" t="s">
        <v>2</v>
      </c>
      <c r="C1655" s="1" t="s">
        <v>4961</v>
      </c>
    </row>
    <row r="1656" spans="1:3" x14ac:dyDescent="0.2">
      <c r="A1656" s="1" t="str">
        <f>"600722"</f>
        <v>600722</v>
      </c>
      <c r="B1656" s="1" t="s">
        <v>3924</v>
      </c>
      <c r="C1656" s="1" t="s">
        <v>4853</v>
      </c>
    </row>
    <row r="1657" spans="1:3" x14ac:dyDescent="0.2">
      <c r="A1657" s="1" t="str">
        <f>"600721"</f>
        <v>600721</v>
      </c>
      <c r="B1657" s="1" t="s">
        <v>1680</v>
      </c>
      <c r="C1657" s="1" t="s">
        <v>4861</v>
      </c>
    </row>
    <row r="1658" spans="1:3" x14ac:dyDescent="0.2">
      <c r="A1658" s="1" t="str">
        <f>"600720"</f>
        <v>600720</v>
      </c>
      <c r="B1658" s="1" t="s">
        <v>3925</v>
      </c>
      <c r="C1658" s="1" t="s">
        <v>4922</v>
      </c>
    </row>
    <row r="1659" spans="1:3" x14ac:dyDescent="0.2">
      <c r="A1659" s="1" t="str">
        <f>"600719"</f>
        <v>600719</v>
      </c>
      <c r="B1659" s="1" t="s">
        <v>3926</v>
      </c>
      <c r="C1659" s="1" t="s">
        <v>4889</v>
      </c>
    </row>
    <row r="1660" spans="1:3" x14ac:dyDescent="0.2">
      <c r="A1660" s="1" t="str">
        <f>"600718"</f>
        <v>600718</v>
      </c>
      <c r="B1660" s="1" t="s">
        <v>3927</v>
      </c>
      <c r="C1660" s="1" t="s">
        <v>4847</v>
      </c>
    </row>
    <row r="1661" spans="1:3" x14ac:dyDescent="0.2">
      <c r="A1661" s="1" t="str">
        <f>"600717"</f>
        <v>600717</v>
      </c>
      <c r="B1661" s="1" t="s">
        <v>221</v>
      </c>
      <c r="C1661" s="1" t="s">
        <v>4933</v>
      </c>
    </row>
    <row r="1662" spans="1:3" x14ac:dyDescent="0.2">
      <c r="A1662" s="1" t="str">
        <f>"600716"</f>
        <v>600716</v>
      </c>
      <c r="B1662" s="1" t="s">
        <v>3928</v>
      </c>
      <c r="C1662" s="1" t="s">
        <v>4957</v>
      </c>
    </row>
    <row r="1663" spans="1:3" x14ac:dyDescent="0.2">
      <c r="A1663" s="1" t="str">
        <f>"600715"</f>
        <v>600715</v>
      </c>
      <c r="B1663" s="1" t="s">
        <v>470</v>
      </c>
      <c r="C1663" s="1" t="s">
        <v>4941</v>
      </c>
    </row>
    <row r="1664" spans="1:3" x14ac:dyDescent="0.2">
      <c r="A1664" s="1" t="str">
        <f>"600714"</f>
        <v>600714</v>
      </c>
      <c r="B1664" s="1" t="s">
        <v>3025</v>
      </c>
      <c r="C1664" s="1" t="s">
        <v>4853</v>
      </c>
    </row>
    <row r="1665" spans="1:3" x14ac:dyDescent="0.2">
      <c r="A1665" s="1" t="str">
        <f>"600713"</f>
        <v>600713</v>
      </c>
      <c r="B1665" s="1" t="s">
        <v>1646</v>
      </c>
      <c r="C1665" s="1" t="s">
        <v>4903</v>
      </c>
    </row>
    <row r="1666" spans="1:3" x14ac:dyDescent="0.2">
      <c r="A1666" s="1" t="str">
        <f>"600712"</f>
        <v>600712</v>
      </c>
      <c r="B1666" s="1" t="s">
        <v>3929</v>
      </c>
      <c r="C1666" s="1" t="s">
        <v>4905</v>
      </c>
    </row>
    <row r="1667" spans="1:3" x14ac:dyDescent="0.2">
      <c r="A1667" s="1" t="str">
        <f>"600711"</f>
        <v>600711</v>
      </c>
      <c r="B1667" s="1" t="s">
        <v>3930</v>
      </c>
      <c r="C1667" s="1" t="s">
        <v>4894</v>
      </c>
    </row>
    <row r="1668" spans="1:3" x14ac:dyDescent="0.2">
      <c r="A1668" s="1" t="str">
        <f>"600710"</f>
        <v>600710</v>
      </c>
      <c r="B1668" s="1" t="s">
        <v>2103</v>
      </c>
      <c r="C1668" s="1" t="s">
        <v>4942</v>
      </c>
    </row>
    <row r="1669" spans="1:3" x14ac:dyDescent="0.2">
      <c r="A1669" s="1" t="str">
        <f>"600708"</f>
        <v>600708</v>
      </c>
      <c r="B1669" s="1" t="s">
        <v>3931</v>
      </c>
      <c r="C1669" s="1" t="s">
        <v>4957</v>
      </c>
    </row>
    <row r="1670" spans="1:3" x14ac:dyDescent="0.2">
      <c r="A1670" s="1" t="str">
        <f>"600707"</f>
        <v>600707</v>
      </c>
      <c r="B1670" s="1" t="s">
        <v>827</v>
      </c>
      <c r="C1670" s="1" t="s">
        <v>4878</v>
      </c>
    </row>
    <row r="1671" spans="1:3" x14ac:dyDescent="0.2">
      <c r="A1671" s="1" t="str">
        <f>"600706"</f>
        <v>600706</v>
      </c>
      <c r="B1671" s="1" t="s">
        <v>3932</v>
      </c>
      <c r="C1671" s="1" t="s">
        <v>4940</v>
      </c>
    </row>
    <row r="1672" spans="1:3" x14ac:dyDescent="0.2">
      <c r="A1672" s="1" t="str">
        <f>"600704"</f>
        <v>600704</v>
      </c>
      <c r="B1672" s="1" t="s">
        <v>182</v>
      </c>
      <c r="C1672" s="1" t="s">
        <v>4914</v>
      </c>
    </row>
    <row r="1673" spans="1:3" x14ac:dyDescent="0.2">
      <c r="A1673" s="1" t="str">
        <f>"600703"</f>
        <v>600703</v>
      </c>
      <c r="B1673" s="1" t="s">
        <v>782</v>
      </c>
      <c r="C1673" s="1" t="s">
        <v>4878</v>
      </c>
    </row>
    <row r="1674" spans="1:3" x14ac:dyDescent="0.2">
      <c r="A1674" s="1" t="str">
        <f>"600702"</f>
        <v>600702</v>
      </c>
      <c r="B1674" s="1" t="s">
        <v>2487</v>
      </c>
      <c r="C1674" s="1" t="s">
        <v>4921</v>
      </c>
    </row>
    <row r="1675" spans="1:3" x14ac:dyDescent="0.2">
      <c r="A1675" s="1" t="str">
        <f>"600699"</f>
        <v>600699</v>
      </c>
      <c r="B1675" s="1" t="s">
        <v>1897</v>
      </c>
      <c r="C1675" s="1" t="s">
        <v>4856</v>
      </c>
    </row>
    <row r="1676" spans="1:3" x14ac:dyDescent="0.2">
      <c r="A1676" s="1" t="str">
        <f>"600698"</f>
        <v>600698</v>
      </c>
      <c r="B1676" s="1" t="s">
        <v>1995</v>
      </c>
      <c r="C1676" s="1" t="s">
        <v>4856</v>
      </c>
    </row>
    <row r="1677" spans="1:3" x14ac:dyDescent="0.2">
      <c r="A1677" s="1" t="str">
        <f>"600697"</f>
        <v>600697</v>
      </c>
      <c r="B1677" s="1" t="s">
        <v>2127</v>
      </c>
      <c r="C1677" s="1" t="s">
        <v>4905</v>
      </c>
    </row>
    <row r="1678" spans="1:3" x14ac:dyDescent="0.2">
      <c r="A1678" s="1" t="str">
        <f>"600694"</f>
        <v>600694</v>
      </c>
      <c r="B1678" s="1" t="s">
        <v>2128</v>
      </c>
      <c r="C1678" s="1" t="s">
        <v>4905</v>
      </c>
    </row>
    <row r="1679" spans="1:3" x14ac:dyDescent="0.2">
      <c r="A1679" s="1" t="str">
        <f>"600693"</f>
        <v>600693</v>
      </c>
      <c r="B1679" s="1" t="s">
        <v>3933</v>
      </c>
      <c r="C1679" s="1" t="s">
        <v>4905</v>
      </c>
    </row>
    <row r="1680" spans="1:3" x14ac:dyDescent="0.2">
      <c r="A1680" s="1" t="str">
        <f>"600692"</f>
        <v>600692</v>
      </c>
      <c r="B1680" s="1" t="s">
        <v>3934</v>
      </c>
      <c r="C1680" s="1" t="s">
        <v>4957</v>
      </c>
    </row>
    <row r="1681" spans="1:3" x14ac:dyDescent="0.2">
      <c r="A1681" s="1" t="str">
        <f>"600691"</f>
        <v>600691</v>
      </c>
      <c r="B1681" s="1" t="s">
        <v>3935</v>
      </c>
      <c r="C1681" s="1" t="s">
        <v>4853</v>
      </c>
    </row>
    <row r="1682" spans="1:3" x14ac:dyDescent="0.2">
      <c r="A1682" s="1" t="str">
        <f>"600690"</f>
        <v>600690</v>
      </c>
      <c r="B1682" s="1" t="s">
        <v>2184</v>
      </c>
      <c r="C1682" s="1" t="s">
        <v>4960</v>
      </c>
    </row>
    <row r="1683" spans="1:3" x14ac:dyDescent="0.2">
      <c r="A1683" s="1" t="str">
        <f>"600689"</f>
        <v>600689</v>
      </c>
      <c r="B1683" s="1" t="s">
        <v>3</v>
      </c>
      <c r="C1683" s="1" t="s">
        <v>4961</v>
      </c>
    </row>
    <row r="1684" spans="1:3" x14ac:dyDescent="0.2">
      <c r="A1684" s="1" t="str">
        <f>"600688"</f>
        <v>600688</v>
      </c>
      <c r="B1684" s="1" t="s">
        <v>3936</v>
      </c>
      <c r="C1684" s="1" t="s">
        <v>4925</v>
      </c>
    </row>
    <row r="1685" spans="1:3" x14ac:dyDescent="0.2">
      <c r="A1685" s="1" t="str">
        <f>"600686"</f>
        <v>600686</v>
      </c>
      <c r="B1685" s="1" t="s">
        <v>2074</v>
      </c>
      <c r="C1685" s="1" t="s">
        <v>4962</v>
      </c>
    </row>
    <row r="1686" spans="1:3" x14ac:dyDescent="0.2">
      <c r="A1686" s="1" t="str">
        <f>"600685"</f>
        <v>600685</v>
      </c>
      <c r="B1686" s="1" t="s">
        <v>1327</v>
      </c>
      <c r="C1686" s="1" t="s">
        <v>4946</v>
      </c>
    </row>
    <row r="1687" spans="1:3" x14ac:dyDescent="0.2">
      <c r="A1687" s="1" t="str">
        <f>"600684"</f>
        <v>600684</v>
      </c>
      <c r="B1687" s="1" t="s">
        <v>3937</v>
      </c>
      <c r="C1687" s="1" t="s">
        <v>4957</v>
      </c>
    </row>
    <row r="1688" spans="1:3" x14ac:dyDescent="0.2">
      <c r="A1688" s="1" t="str">
        <f>"600682"</f>
        <v>600682</v>
      </c>
      <c r="B1688" s="1" t="s">
        <v>1745</v>
      </c>
      <c r="C1688" s="1" t="s">
        <v>4852</v>
      </c>
    </row>
    <row r="1689" spans="1:3" x14ac:dyDescent="0.2">
      <c r="A1689" s="1" t="str">
        <f>"600681"</f>
        <v>600681</v>
      </c>
      <c r="B1689" s="1" t="s">
        <v>106</v>
      </c>
      <c r="C1689" s="1" t="s">
        <v>4895</v>
      </c>
    </row>
    <row r="1690" spans="1:3" x14ac:dyDescent="0.2">
      <c r="A1690" s="1" t="str">
        <f>"600679"</f>
        <v>600679</v>
      </c>
      <c r="B1690" s="1" t="s">
        <v>1872</v>
      </c>
      <c r="C1690" s="1" t="s">
        <v>4839</v>
      </c>
    </row>
    <row r="1691" spans="1:3" x14ac:dyDescent="0.2">
      <c r="A1691" s="1" t="str">
        <f>"600678"</f>
        <v>600678</v>
      </c>
      <c r="B1691" s="1" t="s">
        <v>3938</v>
      </c>
      <c r="C1691" s="1" t="s">
        <v>4911</v>
      </c>
    </row>
    <row r="1692" spans="1:3" x14ac:dyDescent="0.2">
      <c r="A1692" s="1" t="str">
        <f>"600676"</f>
        <v>600676</v>
      </c>
      <c r="B1692" s="1" t="s">
        <v>3939</v>
      </c>
      <c r="C1692" s="1" t="s">
        <v>4961</v>
      </c>
    </row>
    <row r="1693" spans="1:3" x14ac:dyDescent="0.2">
      <c r="A1693" s="1" t="str">
        <f>"600675"</f>
        <v>600675</v>
      </c>
      <c r="B1693" s="1" t="s">
        <v>3940</v>
      </c>
      <c r="C1693" s="1" t="s">
        <v>4957</v>
      </c>
    </row>
    <row r="1694" spans="1:3" x14ac:dyDescent="0.2">
      <c r="A1694" s="1" t="str">
        <f>"600674"</f>
        <v>600674</v>
      </c>
      <c r="B1694" s="1" t="s">
        <v>146</v>
      </c>
      <c r="C1694" s="1" t="s">
        <v>4889</v>
      </c>
    </row>
    <row r="1695" spans="1:3" x14ac:dyDescent="0.2">
      <c r="A1695" s="1" t="str">
        <f>"600673"</f>
        <v>600673</v>
      </c>
      <c r="B1695" s="1" t="s">
        <v>4</v>
      </c>
      <c r="C1695" s="1" t="s">
        <v>4961</v>
      </c>
    </row>
    <row r="1696" spans="1:3" x14ac:dyDescent="0.2">
      <c r="A1696" s="1" t="str">
        <f>"600671"</f>
        <v>600671</v>
      </c>
      <c r="B1696" s="1" t="s">
        <v>1594</v>
      </c>
      <c r="C1696" s="1" t="s">
        <v>4917</v>
      </c>
    </row>
    <row r="1697" spans="1:3" x14ac:dyDescent="0.2">
      <c r="A1697" s="1" t="str">
        <f>"600668"</f>
        <v>600668</v>
      </c>
      <c r="B1697" s="1" t="s">
        <v>3941</v>
      </c>
      <c r="C1697" s="1" t="s">
        <v>4911</v>
      </c>
    </row>
    <row r="1698" spans="1:3" x14ac:dyDescent="0.2">
      <c r="A1698" s="1" t="str">
        <f>"600667"</f>
        <v>600667</v>
      </c>
      <c r="B1698" s="1" t="s">
        <v>905</v>
      </c>
      <c r="C1698" s="1" t="s">
        <v>4840</v>
      </c>
    </row>
    <row r="1699" spans="1:3" x14ac:dyDescent="0.2">
      <c r="A1699" s="1" t="str">
        <f>"600666"</f>
        <v>600666</v>
      </c>
      <c r="B1699" s="1" t="s">
        <v>3942</v>
      </c>
      <c r="C1699" s="1" t="s">
        <v>4840</v>
      </c>
    </row>
    <row r="1700" spans="1:3" x14ac:dyDescent="0.2">
      <c r="A1700" s="1" t="str">
        <f>"600665"</f>
        <v>600665</v>
      </c>
      <c r="B1700" s="1" t="s">
        <v>3943</v>
      </c>
      <c r="C1700" s="1" t="s">
        <v>4957</v>
      </c>
    </row>
    <row r="1701" spans="1:3" x14ac:dyDescent="0.2">
      <c r="A1701" s="1" t="str">
        <f>"600664"</f>
        <v>600664</v>
      </c>
      <c r="B1701" s="1" t="s">
        <v>1819</v>
      </c>
      <c r="C1701" s="1" t="s">
        <v>4843</v>
      </c>
    </row>
    <row r="1702" spans="1:3" x14ac:dyDescent="0.2">
      <c r="A1702" s="1" t="str">
        <f>"600663"</f>
        <v>600663</v>
      </c>
      <c r="B1702" s="1" t="s">
        <v>311</v>
      </c>
      <c r="C1702" s="1" t="s">
        <v>4957</v>
      </c>
    </row>
    <row r="1703" spans="1:3" x14ac:dyDescent="0.2">
      <c r="A1703" s="1" t="str">
        <f>"600662"</f>
        <v>600662</v>
      </c>
      <c r="B1703" s="1" t="s">
        <v>3944</v>
      </c>
      <c r="C1703" s="1" t="s">
        <v>4854</v>
      </c>
    </row>
    <row r="1704" spans="1:3" x14ac:dyDescent="0.2">
      <c r="A1704" s="1" t="str">
        <f>"600661"</f>
        <v>600661</v>
      </c>
      <c r="B1704" s="1" t="s">
        <v>3945</v>
      </c>
      <c r="C1704" s="1" t="s">
        <v>4913</v>
      </c>
    </row>
    <row r="1705" spans="1:3" x14ac:dyDescent="0.2">
      <c r="A1705" s="1" t="str">
        <f>"600660"</f>
        <v>600660</v>
      </c>
      <c r="B1705" s="1" t="s">
        <v>2054</v>
      </c>
      <c r="C1705" s="1" t="s">
        <v>4856</v>
      </c>
    </row>
    <row r="1706" spans="1:3" x14ac:dyDescent="0.2">
      <c r="A1706" s="1" t="str">
        <f>"600658"</f>
        <v>600658</v>
      </c>
      <c r="B1706" s="1" t="s">
        <v>3946</v>
      </c>
      <c r="C1706" s="1" t="s">
        <v>4957</v>
      </c>
    </row>
    <row r="1707" spans="1:3" x14ac:dyDescent="0.2">
      <c r="A1707" s="1" t="str">
        <f>"600655"</f>
        <v>600655</v>
      </c>
      <c r="B1707" s="1" t="s">
        <v>3947</v>
      </c>
      <c r="C1707" s="1" t="s">
        <v>4931</v>
      </c>
    </row>
    <row r="1708" spans="1:3" x14ac:dyDescent="0.2">
      <c r="A1708" s="1" t="str">
        <f>"600654"</f>
        <v>600654</v>
      </c>
      <c r="B1708" s="1" t="s">
        <v>268</v>
      </c>
      <c r="C1708" s="1" t="s">
        <v>4854</v>
      </c>
    </row>
    <row r="1709" spans="1:3" x14ac:dyDescent="0.2">
      <c r="A1709" s="1" t="str">
        <f>"600653"</f>
        <v>600653</v>
      </c>
      <c r="B1709" s="1" t="s">
        <v>3948</v>
      </c>
      <c r="C1709" s="1" t="s">
        <v>4948</v>
      </c>
    </row>
    <row r="1710" spans="1:3" x14ac:dyDescent="0.2">
      <c r="A1710" s="1" t="str">
        <f>"600651"</f>
        <v>600651</v>
      </c>
      <c r="B1710" s="1" t="s">
        <v>783</v>
      </c>
      <c r="C1710" s="1" t="s">
        <v>4878</v>
      </c>
    </row>
    <row r="1711" spans="1:3" x14ac:dyDescent="0.2">
      <c r="A1711" s="1" t="str">
        <f>"600650"</f>
        <v>600650</v>
      </c>
      <c r="B1711" s="1" t="s">
        <v>241</v>
      </c>
      <c r="C1711" s="1" t="s">
        <v>4943</v>
      </c>
    </row>
    <row r="1712" spans="1:3" x14ac:dyDescent="0.2">
      <c r="A1712" s="1" t="str">
        <f>"600649"</f>
        <v>600649</v>
      </c>
      <c r="B1712" s="1" t="s">
        <v>3949</v>
      </c>
      <c r="C1712" s="1" t="s">
        <v>4957</v>
      </c>
    </row>
    <row r="1713" spans="1:3" x14ac:dyDescent="0.2">
      <c r="A1713" s="1" t="str">
        <f>"600648"</f>
        <v>600648</v>
      </c>
      <c r="B1713" s="1" t="s">
        <v>307</v>
      </c>
      <c r="C1713" s="1" t="s">
        <v>4957</v>
      </c>
    </row>
    <row r="1714" spans="1:3" x14ac:dyDescent="0.2">
      <c r="A1714" s="1" t="str">
        <f>"600645"</f>
        <v>600645</v>
      </c>
      <c r="B1714" s="1" t="s">
        <v>1761</v>
      </c>
      <c r="C1714" s="1" t="s">
        <v>4852</v>
      </c>
    </row>
    <row r="1715" spans="1:3" x14ac:dyDescent="0.2">
      <c r="A1715" s="1" t="str">
        <f>"600644"</f>
        <v>600644</v>
      </c>
      <c r="B1715" s="1" t="s">
        <v>3950</v>
      </c>
      <c r="C1715" s="1" t="s">
        <v>4889</v>
      </c>
    </row>
    <row r="1716" spans="1:3" x14ac:dyDescent="0.2">
      <c r="A1716" s="1" t="str">
        <f>"600643"</f>
        <v>600643</v>
      </c>
      <c r="B1716" s="1" t="s">
        <v>342</v>
      </c>
      <c r="C1716" s="1" t="s">
        <v>4938</v>
      </c>
    </row>
    <row r="1717" spans="1:3" x14ac:dyDescent="0.2">
      <c r="A1717" s="1" t="str">
        <f>"600642"</f>
        <v>600642</v>
      </c>
      <c r="B1717" s="1" t="s">
        <v>3951</v>
      </c>
      <c r="C1717" s="1" t="s">
        <v>4889</v>
      </c>
    </row>
    <row r="1718" spans="1:3" x14ac:dyDescent="0.2">
      <c r="A1718" s="1" t="str">
        <f>"600641"</f>
        <v>600641</v>
      </c>
      <c r="B1718" s="1" t="s">
        <v>3952</v>
      </c>
      <c r="C1718" s="1" t="s">
        <v>4957</v>
      </c>
    </row>
    <row r="1719" spans="1:3" x14ac:dyDescent="0.2">
      <c r="A1719" s="1" t="str">
        <f>"600640"</f>
        <v>600640</v>
      </c>
      <c r="B1719" s="1" t="s">
        <v>466</v>
      </c>
      <c r="C1719" s="1" t="s">
        <v>4923</v>
      </c>
    </row>
    <row r="1720" spans="1:3" x14ac:dyDescent="0.2">
      <c r="A1720" s="1" t="str">
        <f>"600639"</f>
        <v>600639</v>
      </c>
      <c r="B1720" s="1" t="s">
        <v>308</v>
      </c>
      <c r="C1720" s="1" t="s">
        <v>4957</v>
      </c>
    </row>
    <row r="1721" spans="1:3" x14ac:dyDescent="0.2">
      <c r="A1721" s="1" t="str">
        <f>"600638"</f>
        <v>600638</v>
      </c>
      <c r="B1721" s="1" t="s">
        <v>3953</v>
      </c>
      <c r="C1721" s="1" t="s">
        <v>4957</v>
      </c>
    </row>
    <row r="1722" spans="1:3" x14ac:dyDescent="0.2">
      <c r="A1722" s="1" t="str">
        <f>"600637"</f>
        <v>600637</v>
      </c>
      <c r="B1722" s="1" t="s">
        <v>430</v>
      </c>
      <c r="C1722" s="1" t="s">
        <v>4950</v>
      </c>
    </row>
    <row r="1723" spans="1:3" x14ac:dyDescent="0.2">
      <c r="A1723" s="1" t="str">
        <f>"600635"</f>
        <v>600635</v>
      </c>
      <c r="B1723" s="1" t="s">
        <v>107</v>
      </c>
      <c r="C1723" s="1" t="s">
        <v>4895</v>
      </c>
    </row>
    <row r="1724" spans="1:3" x14ac:dyDescent="0.2">
      <c r="A1724" s="1" t="str">
        <f>"600633"</f>
        <v>600633</v>
      </c>
      <c r="B1724" s="1" t="s">
        <v>501</v>
      </c>
      <c r="C1724" s="1" t="s">
        <v>4935</v>
      </c>
    </row>
    <row r="1725" spans="1:3" x14ac:dyDescent="0.2">
      <c r="A1725" s="1" t="str">
        <f>"600630"</f>
        <v>600630</v>
      </c>
      <c r="B1725" s="1" t="s">
        <v>2333</v>
      </c>
      <c r="C1725" s="1" t="s">
        <v>4909</v>
      </c>
    </row>
    <row r="1726" spans="1:3" x14ac:dyDescent="0.2">
      <c r="A1726" s="1" t="str">
        <f>"600629"</f>
        <v>600629</v>
      </c>
      <c r="B1726" s="1" t="s">
        <v>3954</v>
      </c>
      <c r="C1726" s="1" t="s">
        <v>4922</v>
      </c>
    </row>
    <row r="1727" spans="1:3" x14ac:dyDescent="0.2">
      <c r="A1727" s="1" t="str">
        <f>"600628"</f>
        <v>600628</v>
      </c>
      <c r="B1727" s="1" t="s">
        <v>3955</v>
      </c>
      <c r="C1727" s="1" t="s">
        <v>4905</v>
      </c>
    </row>
    <row r="1728" spans="1:3" x14ac:dyDescent="0.2">
      <c r="A1728" s="1" t="str">
        <f>"600626"</f>
        <v>600626</v>
      </c>
      <c r="B1728" s="1" t="s">
        <v>3956</v>
      </c>
      <c r="C1728" s="1" t="s">
        <v>4856</v>
      </c>
    </row>
    <row r="1729" spans="1:3" x14ac:dyDescent="0.2">
      <c r="A1729" s="1" t="str">
        <f>"600624"</f>
        <v>600624</v>
      </c>
      <c r="B1729" s="1" t="s">
        <v>3957</v>
      </c>
      <c r="C1729" s="1" t="s">
        <v>4843</v>
      </c>
    </row>
    <row r="1730" spans="1:3" x14ac:dyDescent="0.2">
      <c r="A1730" s="1" t="str">
        <f>"600623"</f>
        <v>600623</v>
      </c>
      <c r="B1730" s="1" t="s">
        <v>3958</v>
      </c>
      <c r="C1730" s="1" t="s">
        <v>4853</v>
      </c>
    </row>
    <row r="1731" spans="1:3" x14ac:dyDescent="0.2">
      <c r="A1731" s="1" t="str">
        <f>"600621"</f>
        <v>600621</v>
      </c>
      <c r="B1731" s="1" t="s">
        <v>393</v>
      </c>
      <c r="C1731" s="1" t="s">
        <v>4945</v>
      </c>
    </row>
    <row r="1732" spans="1:3" x14ac:dyDescent="0.2">
      <c r="A1732" s="1" t="str">
        <f>"600620"</f>
        <v>600620</v>
      </c>
      <c r="B1732" s="1" t="s">
        <v>5</v>
      </c>
      <c r="C1732" s="1" t="s">
        <v>4961</v>
      </c>
    </row>
    <row r="1733" spans="1:3" x14ac:dyDescent="0.2">
      <c r="A1733" s="1" t="str">
        <f>"600619"</f>
        <v>600619</v>
      </c>
      <c r="B1733" s="1" t="s">
        <v>2138</v>
      </c>
      <c r="C1733" s="1" t="s">
        <v>4929</v>
      </c>
    </row>
    <row r="1734" spans="1:3" x14ac:dyDescent="0.2">
      <c r="A1734" s="1" t="str">
        <f>"600618"</f>
        <v>600618</v>
      </c>
      <c r="B1734" s="1" t="s">
        <v>3036</v>
      </c>
      <c r="C1734" s="1" t="s">
        <v>4853</v>
      </c>
    </row>
    <row r="1735" spans="1:3" x14ac:dyDescent="0.2">
      <c r="A1735" s="1" t="str">
        <f>"600617"</f>
        <v>600617</v>
      </c>
      <c r="B1735" s="1" t="s">
        <v>108</v>
      </c>
      <c r="C1735" s="1" t="s">
        <v>4895</v>
      </c>
    </row>
    <row r="1736" spans="1:3" x14ac:dyDescent="0.2">
      <c r="A1736" s="1" t="str">
        <f>"600616"</f>
        <v>600616</v>
      </c>
      <c r="B1736" s="1" t="s">
        <v>2501</v>
      </c>
      <c r="C1736" s="1" t="s">
        <v>4921</v>
      </c>
    </row>
    <row r="1737" spans="1:3" x14ac:dyDescent="0.2">
      <c r="A1737" s="1" t="str">
        <f>"600615"</f>
        <v>600615</v>
      </c>
      <c r="B1737" s="1" t="s">
        <v>2704</v>
      </c>
      <c r="C1737" s="1" t="s">
        <v>4879</v>
      </c>
    </row>
    <row r="1738" spans="1:3" x14ac:dyDescent="0.2">
      <c r="A1738" s="1" t="str">
        <f>"600613"</f>
        <v>600613</v>
      </c>
      <c r="B1738" s="1" t="s">
        <v>1595</v>
      </c>
      <c r="C1738" s="1" t="s">
        <v>4917</v>
      </c>
    </row>
    <row r="1739" spans="1:3" x14ac:dyDescent="0.2">
      <c r="A1739" s="1" t="str">
        <f>"600612"</f>
        <v>600612</v>
      </c>
      <c r="B1739" s="1" t="s">
        <v>2316</v>
      </c>
      <c r="C1739" s="1" t="s">
        <v>4887</v>
      </c>
    </row>
    <row r="1740" spans="1:3" x14ac:dyDescent="0.2">
      <c r="A1740" s="1" t="str">
        <f>"600611"</f>
        <v>600611</v>
      </c>
      <c r="B1740" s="1" t="s">
        <v>3959</v>
      </c>
      <c r="C1740" s="1" t="s">
        <v>4943</v>
      </c>
    </row>
    <row r="1741" spans="1:3" x14ac:dyDescent="0.2">
      <c r="A1741" s="1" t="str">
        <f>"600610"</f>
        <v>600610</v>
      </c>
      <c r="B1741" s="1" t="s">
        <v>3008</v>
      </c>
      <c r="C1741" s="1" t="s">
        <v>4853</v>
      </c>
    </row>
    <row r="1742" spans="1:3" x14ac:dyDescent="0.2">
      <c r="A1742" s="1" t="str">
        <f>"600609"</f>
        <v>600609</v>
      </c>
      <c r="B1742" s="1" t="s">
        <v>2055</v>
      </c>
      <c r="C1742" s="1" t="s">
        <v>4856</v>
      </c>
    </row>
    <row r="1743" spans="1:3" x14ac:dyDescent="0.2">
      <c r="A1743" s="1" t="str">
        <f>"600606"</f>
        <v>600606</v>
      </c>
      <c r="B1743" s="1" t="s">
        <v>3960</v>
      </c>
      <c r="C1743" s="1" t="s">
        <v>4957</v>
      </c>
    </row>
    <row r="1744" spans="1:3" x14ac:dyDescent="0.2">
      <c r="A1744" s="1" t="str">
        <f>"600605"</f>
        <v>600605</v>
      </c>
      <c r="B1744" s="1" t="s">
        <v>3961</v>
      </c>
      <c r="C1744" s="1" t="s">
        <v>4931</v>
      </c>
    </row>
    <row r="1745" spans="1:3" x14ac:dyDescent="0.2">
      <c r="A1745" s="1" t="str">
        <f>"600604"</f>
        <v>600604</v>
      </c>
      <c r="B1745" s="1" t="s">
        <v>3962</v>
      </c>
      <c r="C1745" s="1" t="s">
        <v>4957</v>
      </c>
    </row>
    <row r="1746" spans="1:3" x14ac:dyDescent="0.2">
      <c r="A1746" s="1" t="str">
        <f>"600602"</f>
        <v>600602</v>
      </c>
      <c r="B1746" s="1" t="s">
        <v>537</v>
      </c>
      <c r="C1746" s="1" t="s">
        <v>4874</v>
      </c>
    </row>
    <row r="1747" spans="1:3" x14ac:dyDescent="0.2">
      <c r="A1747" s="1" t="str">
        <f>"600601"</f>
        <v>600601</v>
      </c>
      <c r="B1747" s="1" t="s">
        <v>756</v>
      </c>
      <c r="C1747" s="1" t="s">
        <v>4872</v>
      </c>
    </row>
    <row r="1748" spans="1:3" x14ac:dyDescent="0.2">
      <c r="A1748" s="1" t="str">
        <f>"600600"</f>
        <v>600600</v>
      </c>
      <c r="B1748" s="1" t="s">
        <v>2506</v>
      </c>
      <c r="C1748" s="1" t="s">
        <v>4921</v>
      </c>
    </row>
    <row r="1749" spans="1:3" x14ac:dyDescent="0.2">
      <c r="A1749" s="1" t="str">
        <f>"600598"</f>
        <v>600598</v>
      </c>
      <c r="B1749" s="1" t="s">
        <v>2577</v>
      </c>
      <c r="C1749" s="1" t="s">
        <v>4949</v>
      </c>
    </row>
    <row r="1750" spans="1:3" x14ac:dyDescent="0.2">
      <c r="A1750" s="1" t="str">
        <f>"600597"</f>
        <v>600597</v>
      </c>
      <c r="B1750" s="1" t="s">
        <v>2462</v>
      </c>
      <c r="C1750" s="1" t="s">
        <v>4893</v>
      </c>
    </row>
    <row r="1751" spans="1:3" x14ac:dyDescent="0.2">
      <c r="A1751" s="1" t="str">
        <f>"600596"</f>
        <v>600596</v>
      </c>
      <c r="B1751" s="1" t="s">
        <v>2935</v>
      </c>
      <c r="C1751" s="1" t="s">
        <v>4865</v>
      </c>
    </row>
    <row r="1752" spans="1:3" x14ac:dyDescent="0.2">
      <c r="A1752" s="1" t="str">
        <f>"600595"</f>
        <v>600595</v>
      </c>
      <c r="B1752" s="1" t="s">
        <v>2705</v>
      </c>
      <c r="C1752" s="1" t="s">
        <v>4879</v>
      </c>
    </row>
    <row r="1753" spans="1:3" x14ac:dyDescent="0.2">
      <c r="A1753" s="1" t="str">
        <f>"600594"</f>
        <v>600594</v>
      </c>
      <c r="B1753" s="1" t="s">
        <v>3963</v>
      </c>
      <c r="C1753" s="1" t="s">
        <v>4917</v>
      </c>
    </row>
    <row r="1754" spans="1:3" x14ac:dyDescent="0.2">
      <c r="A1754" s="1" t="str">
        <f>"600593"</f>
        <v>600593</v>
      </c>
      <c r="B1754" s="1" t="s">
        <v>3964</v>
      </c>
      <c r="C1754" s="1" t="s">
        <v>4940</v>
      </c>
    </row>
    <row r="1755" spans="1:3" x14ac:dyDescent="0.2">
      <c r="A1755" s="1" t="str">
        <f>"600592"</f>
        <v>600592</v>
      </c>
      <c r="B1755" s="1" t="s">
        <v>1220</v>
      </c>
      <c r="C1755" s="1" t="s">
        <v>4851</v>
      </c>
    </row>
    <row r="1756" spans="1:3" x14ac:dyDescent="0.2">
      <c r="A1756" s="1" t="str">
        <f>"600590"</f>
        <v>600590</v>
      </c>
      <c r="B1756" s="1" t="s">
        <v>1308</v>
      </c>
      <c r="C1756" s="1" t="s">
        <v>4846</v>
      </c>
    </row>
    <row r="1757" spans="1:3" x14ac:dyDescent="0.2">
      <c r="A1757" s="1" t="str">
        <f>"600589"</f>
        <v>600589</v>
      </c>
      <c r="B1757" s="1" t="s">
        <v>538</v>
      </c>
      <c r="C1757" s="1" t="s">
        <v>4874</v>
      </c>
    </row>
    <row r="1758" spans="1:3" x14ac:dyDescent="0.2">
      <c r="A1758" s="1" t="str">
        <f>"600587"</f>
        <v>600587</v>
      </c>
      <c r="B1758" s="1" t="s">
        <v>1724</v>
      </c>
      <c r="C1758" s="1" t="s">
        <v>4867</v>
      </c>
    </row>
    <row r="1759" spans="1:3" x14ac:dyDescent="0.2">
      <c r="A1759" s="1" t="str">
        <f>"600586"</f>
        <v>600586</v>
      </c>
      <c r="B1759" s="1" t="s">
        <v>2613</v>
      </c>
      <c r="C1759" s="1" t="s">
        <v>4916</v>
      </c>
    </row>
    <row r="1760" spans="1:3" x14ac:dyDescent="0.2">
      <c r="A1760" s="1" t="str">
        <f>"600585"</f>
        <v>600585</v>
      </c>
      <c r="B1760" s="1" t="s">
        <v>3965</v>
      </c>
      <c r="C1760" s="1" t="s">
        <v>4911</v>
      </c>
    </row>
    <row r="1761" spans="1:3" x14ac:dyDescent="0.2">
      <c r="A1761" s="1" t="str">
        <f>"600584"</f>
        <v>600584</v>
      </c>
      <c r="B1761" s="1" t="s">
        <v>906</v>
      </c>
      <c r="C1761" s="1" t="s">
        <v>4840</v>
      </c>
    </row>
    <row r="1762" spans="1:3" x14ac:dyDescent="0.2">
      <c r="A1762" s="1" t="str">
        <f>"600583"</f>
        <v>600583</v>
      </c>
      <c r="B1762" s="1" t="s">
        <v>3966</v>
      </c>
      <c r="C1762" s="1" t="s">
        <v>4928</v>
      </c>
    </row>
    <row r="1763" spans="1:3" x14ac:dyDescent="0.2">
      <c r="A1763" s="1" t="str">
        <f>"600582"</f>
        <v>600582</v>
      </c>
      <c r="B1763" s="1" t="s">
        <v>1117</v>
      </c>
      <c r="C1763" s="1" t="s">
        <v>4845</v>
      </c>
    </row>
    <row r="1764" spans="1:3" x14ac:dyDescent="0.2">
      <c r="A1764" s="1" t="str">
        <f>"600580"</f>
        <v>600580</v>
      </c>
      <c r="B1764" s="1" t="s">
        <v>1569</v>
      </c>
      <c r="C1764" s="1" t="s">
        <v>4919</v>
      </c>
    </row>
    <row r="1765" spans="1:3" x14ac:dyDescent="0.2">
      <c r="A1765" s="1" t="str">
        <f>"600579"</f>
        <v>600579</v>
      </c>
      <c r="B1765" s="1" t="s">
        <v>3967</v>
      </c>
      <c r="C1765" s="1" t="s">
        <v>4845</v>
      </c>
    </row>
    <row r="1766" spans="1:3" x14ac:dyDescent="0.2">
      <c r="A1766" s="1" t="str">
        <f>"600578"</f>
        <v>600578</v>
      </c>
      <c r="B1766" s="1" t="s">
        <v>3968</v>
      </c>
      <c r="C1766" s="1" t="s">
        <v>4889</v>
      </c>
    </row>
    <row r="1767" spans="1:3" x14ac:dyDescent="0.2">
      <c r="A1767" s="1" t="str">
        <f>"600577"</f>
        <v>600577</v>
      </c>
      <c r="B1767" s="1" t="s">
        <v>1434</v>
      </c>
      <c r="C1767" s="1" t="s">
        <v>4866</v>
      </c>
    </row>
    <row r="1768" spans="1:3" x14ac:dyDescent="0.2">
      <c r="A1768" s="1" t="str">
        <f>"600576"</f>
        <v>600576</v>
      </c>
      <c r="B1768" s="1" t="s">
        <v>284</v>
      </c>
      <c r="C1768" s="1" t="s">
        <v>4940</v>
      </c>
    </row>
    <row r="1769" spans="1:3" x14ac:dyDescent="0.2">
      <c r="A1769" s="1" t="str">
        <f>"600575"</f>
        <v>600575</v>
      </c>
      <c r="B1769" s="1" t="s">
        <v>3969</v>
      </c>
      <c r="C1769" s="1" t="s">
        <v>4889</v>
      </c>
    </row>
    <row r="1770" spans="1:3" x14ac:dyDescent="0.2">
      <c r="A1770" s="1" t="str">
        <f>"600573"</f>
        <v>600573</v>
      </c>
      <c r="B1770" s="1" t="s">
        <v>2507</v>
      </c>
      <c r="C1770" s="1" t="s">
        <v>4921</v>
      </c>
    </row>
    <row r="1771" spans="1:3" x14ac:dyDescent="0.2">
      <c r="A1771" s="1" t="str">
        <f>"600572"</f>
        <v>600572</v>
      </c>
      <c r="B1771" s="1" t="s">
        <v>1596</v>
      </c>
      <c r="C1771" s="1" t="s">
        <v>4917</v>
      </c>
    </row>
    <row r="1772" spans="1:3" x14ac:dyDescent="0.2">
      <c r="A1772" s="1" t="str">
        <f>"600571"</f>
        <v>600571</v>
      </c>
      <c r="B1772" s="1" t="s">
        <v>3970</v>
      </c>
      <c r="C1772" s="1" t="s">
        <v>4847</v>
      </c>
    </row>
    <row r="1773" spans="1:3" x14ac:dyDescent="0.2">
      <c r="A1773" s="1" t="str">
        <f>"600570"</f>
        <v>600570</v>
      </c>
      <c r="B1773" s="1" t="s">
        <v>553</v>
      </c>
      <c r="C1773" s="1" t="s">
        <v>4847</v>
      </c>
    </row>
    <row r="1774" spans="1:3" x14ac:dyDescent="0.2">
      <c r="A1774" s="1" t="str">
        <f>"600569"</f>
        <v>600569</v>
      </c>
      <c r="B1774" s="1" t="s">
        <v>2751</v>
      </c>
      <c r="C1774" s="1" t="s">
        <v>4908</v>
      </c>
    </row>
    <row r="1775" spans="1:3" x14ac:dyDescent="0.2">
      <c r="A1775" s="1" t="str">
        <f>"600567"</f>
        <v>600567</v>
      </c>
      <c r="B1775" s="1" t="s">
        <v>2308</v>
      </c>
      <c r="C1775" s="1" t="s">
        <v>4892</v>
      </c>
    </row>
    <row r="1776" spans="1:3" x14ac:dyDescent="0.2">
      <c r="A1776" s="1" t="str">
        <f>"600566"</f>
        <v>600566</v>
      </c>
      <c r="B1776" s="1" t="s">
        <v>1597</v>
      </c>
      <c r="C1776" s="1" t="s">
        <v>4917</v>
      </c>
    </row>
    <row r="1777" spans="1:3" x14ac:dyDescent="0.2">
      <c r="A1777" s="1" t="str">
        <f>"600563"</f>
        <v>600563</v>
      </c>
      <c r="B1777" s="1" t="s">
        <v>738</v>
      </c>
      <c r="C1777" s="1" t="s">
        <v>4872</v>
      </c>
    </row>
    <row r="1778" spans="1:3" x14ac:dyDescent="0.2">
      <c r="A1778" s="1" t="str">
        <f>"600562"</f>
        <v>600562</v>
      </c>
      <c r="B1778" s="1" t="s">
        <v>1309</v>
      </c>
      <c r="C1778" s="1" t="s">
        <v>4846</v>
      </c>
    </row>
    <row r="1779" spans="1:3" x14ac:dyDescent="0.2">
      <c r="A1779" s="1" t="str">
        <f>"600560"</f>
        <v>600560</v>
      </c>
      <c r="B1779" s="1" t="s">
        <v>973</v>
      </c>
      <c r="C1779" s="1" t="s">
        <v>4849</v>
      </c>
    </row>
    <row r="1780" spans="1:3" x14ac:dyDescent="0.2">
      <c r="A1780" s="1" t="str">
        <f>"600559"</f>
        <v>600559</v>
      </c>
      <c r="B1780" s="1" t="s">
        <v>2488</v>
      </c>
      <c r="C1780" s="1" t="s">
        <v>4921</v>
      </c>
    </row>
    <row r="1781" spans="1:3" x14ac:dyDescent="0.2">
      <c r="A1781" s="1" t="str">
        <f>"600558"</f>
        <v>600558</v>
      </c>
      <c r="B1781" s="1" t="s">
        <v>1189</v>
      </c>
      <c r="C1781" s="1" t="s">
        <v>4851</v>
      </c>
    </row>
    <row r="1782" spans="1:3" x14ac:dyDescent="0.2">
      <c r="A1782" s="1" t="str">
        <f>"600557"</f>
        <v>600557</v>
      </c>
      <c r="B1782" s="1" t="s">
        <v>1598</v>
      </c>
      <c r="C1782" s="1" t="s">
        <v>4917</v>
      </c>
    </row>
    <row r="1783" spans="1:3" x14ac:dyDescent="0.2">
      <c r="A1783" s="1" t="str">
        <f>"600556"</f>
        <v>600556</v>
      </c>
      <c r="B1783" s="1" t="s">
        <v>489</v>
      </c>
      <c r="C1783" s="1" t="s">
        <v>4907</v>
      </c>
    </row>
    <row r="1784" spans="1:3" x14ac:dyDescent="0.2">
      <c r="A1784" s="1" t="str">
        <f>"600552"</f>
        <v>600552</v>
      </c>
      <c r="B1784" s="1" t="s">
        <v>828</v>
      </c>
      <c r="C1784" s="1" t="s">
        <v>4878</v>
      </c>
    </row>
    <row r="1785" spans="1:3" x14ac:dyDescent="0.2">
      <c r="A1785" s="1" t="str">
        <f>"600551"</f>
        <v>600551</v>
      </c>
      <c r="B1785" s="1" t="s">
        <v>444</v>
      </c>
      <c r="C1785" s="1" t="s">
        <v>4890</v>
      </c>
    </row>
    <row r="1786" spans="1:3" x14ac:dyDescent="0.2">
      <c r="A1786" s="1" t="str">
        <f>"600550"</f>
        <v>600550</v>
      </c>
      <c r="B1786" s="1" t="s">
        <v>1479</v>
      </c>
      <c r="C1786" s="1" t="s">
        <v>4866</v>
      </c>
    </row>
    <row r="1787" spans="1:3" x14ac:dyDescent="0.2">
      <c r="A1787" s="1" t="str">
        <f>"600549"</f>
        <v>600549</v>
      </c>
      <c r="B1787" s="1" t="s">
        <v>2654</v>
      </c>
      <c r="C1787" s="1" t="s">
        <v>4855</v>
      </c>
    </row>
    <row r="1788" spans="1:3" x14ac:dyDescent="0.2">
      <c r="A1788" s="1" t="str">
        <f>"600548"</f>
        <v>600548</v>
      </c>
      <c r="B1788" s="1" t="s">
        <v>246</v>
      </c>
      <c r="C1788" s="1" t="s">
        <v>4943</v>
      </c>
    </row>
    <row r="1789" spans="1:3" x14ac:dyDescent="0.2">
      <c r="A1789" s="1" t="str">
        <f>"600547"</f>
        <v>600547</v>
      </c>
      <c r="B1789" s="1" t="s">
        <v>2676</v>
      </c>
      <c r="C1789" s="1" t="s">
        <v>4958</v>
      </c>
    </row>
    <row r="1790" spans="1:3" x14ac:dyDescent="0.2">
      <c r="A1790" s="1" t="str">
        <f>"600546"</f>
        <v>600546</v>
      </c>
      <c r="B1790" s="1" t="s">
        <v>3971</v>
      </c>
      <c r="C1790" s="1" t="s">
        <v>4951</v>
      </c>
    </row>
    <row r="1791" spans="1:3" x14ac:dyDescent="0.2">
      <c r="A1791" s="1" t="str">
        <f>"600545"</f>
        <v>600545</v>
      </c>
      <c r="B1791" s="1" t="s">
        <v>3972</v>
      </c>
      <c r="C1791" s="1" t="s">
        <v>4845</v>
      </c>
    </row>
    <row r="1792" spans="1:3" x14ac:dyDescent="0.2">
      <c r="A1792" s="1" t="str">
        <f>"600543"</f>
        <v>600543</v>
      </c>
      <c r="B1792" s="1" t="s">
        <v>3973</v>
      </c>
      <c r="C1792" s="1" t="s">
        <v>4921</v>
      </c>
    </row>
    <row r="1793" spans="1:3" x14ac:dyDescent="0.2">
      <c r="A1793" s="1" t="str">
        <f>"600540"</f>
        <v>600540</v>
      </c>
      <c r="B1793" s="1" t="s">
        <v>2565</v>
      </c>
      <c r="C1793" s="1" t="s">
        <v>4949</v>
      </c>
    </row>
    <row r="1794" spans="1:3" x14ac:dyDescent="0.2">
      <c r="A1794" s="1" t="str">
        <f>"600539"</f>
        <v>600539</v>
      </c>
      <c r="B1794" s="1" t="s">
        <v>2089</v>
      </c>
      <c r="C1794" s="1" t="s">
        <v>4910</v>
      </c>
    </row>
    <row r="1795" spans="1:3" x14ac:dyDescent="0.2">
      <c r="A1795" s="1" t="str">
        <f>"600538"</f>
        <v>600538</v>
      </c>
      <c r="B1795" s="1" t="s">
        <v>1647</v>
      </c>
      <c r="C1795" s="1" t="s">
        <v>4903</v>
      </c>
    </row>
    <row r="1796" spans="1:3" x14ac:dyDescent="0.2">
      <c r="A1796" s="1" t="str">
        <f>"600537"</f>
        <v>600537</v>
      </c>
      <c r="B1796" s="1" t="s">
        <v>3974</v>
      </c>
      <c r="C1796" s="1" t="s">
        <v>4857</v>
      </c>
    </row>
    <row r="1797" spans="1:3" x14ac:dyDescent="0.2">
      <c r="A1797" s="1" t="str">
        <f>"600536"</f>
        <v>600536</v>
      </c>
      <c r="B1797" s="1" t="s">
        <v>3975</v>
      </c>
      <c r="C1797" s="1" t="s">
        <v>4847</v>
      </c>
    </row>
    <row r="1798" spans="1:3" x14ac:dyDescent="0.2">
      <c r="A1798" s="1" t="str">
        <f>"600535"</f>
        <v>600535</v>
      </c>
      <c r="B1798" s="1" t="s">
        <v>1599</v>
      </c>
      <c r="C1798" s="1" t="s">
        <v>4917</v>
      </c>
    </row>
    <row r="1799" spans="1:3" x14ac:dyDescent="0.2">
      <c r="A1799" s="1" t="str">
        <f>"600533"</f>
        <v>600533</v>
      </c>
      <c r="B1799" s="1" t="s">
        <v>3976</v>
      </c>
      <c r="C1799" s="1" t="s">
        <v>4957</v>
      </c>
    </row>
    <row r="1800" spans="1:3" x14ac:dyDescent="0.2">
      <c r="A1800" s="1" t="str">
        <f>"600531"</f>
        <v>600531</v>
      </c>
      <c r="B1800" s="1" t="s">
        <v>2686</v>
      </c>
      <c r="C1800" s="1" t="s">
        <v>4879</v>
      </c>
    </row>
    <row r="1801" spans="1:3" x14ac:dyDescent="0.2">
      <c r="A1801" s="1" t="str">
        <f>"600530"</f>
        <v>600530</v>
      </c>
      <c r="B1801" s="1" t="s">
        <v>3977</v>
      </c>
      <c r="C1801" s="1" t="s">
        <v>4891</v>
      </c>
    </row>
    <row r="1802" spans="1:3" x14ac:dyDescent="0.2">
      <c r="A1802" s="1" t="str">
        <f>"600529"</f>
        <v>600529</v>
      </c>
      <c r="B1802" s="1" t="s">
        <v>1703</v>
      </c>
      <c r="C1802" s="1" t="s">
        <v>4867</v>
      </c>
    </row>
    <row r="1803" spans="1:3" x14ac:dyDescent="0.2">
      <c r="A1803" s="1" t="str">
        <f>"600528"</f>
        <v>600528</v>
      </c>
      <c r="B1803" s="1" t="s">
        <v>1296</v>
      </c>
      <c r="C1803" s="1" t="s">
        <v>4875</v>
      </c>
    </row>
    <row r="1804" spans="1:3" x14ac:dyDescent="0.2">
      <c r="A1804" s="1" t="str">
        <f>"600527"</f>
        <v>600527</v>
      </c>
      <c r="B1804" s="1" t="s">
        <v>3044</v>
      </c>
      <c r="C1804" s="1" t="s">
        <v>4858</v>
      </c>
    </row>
    <row r="1805" spans="1:3" x14ac:dyDescent="0.2">
      <c r="A1805" s="1" t="str">
        <f>"600526"</f>
        <v>600526</v>
      </c>
      <c r="B1805" s="1" t="s">
        <v>72</v>
      </c>
      <c r="C1805" s="1" t="s">
        <v>4871</v>
      </c>
    </row>
    <row r="1806" spans="1:3" x14ac:dyDescent="0.2">
      <c r="A1806" s="1" t="str">
        <f>"600523"</f>
        <v>600523</v>
      </c>
      <c r="B1806" s="1" t="s">
        <v>3978</v>
      </c>
      <c r="C1806" s="1" t="s">
        <v>4856</v>
      </c>
    </row>
    <row r="1807" spans="1:3" x14ac:dyDescent="0.2">
      <c r="A1807" s="1" t="str">
        <f>"600522"</f>
        <v>600522</v>
      </c>
      <c r="B1807" s="1" t="s">
        <v>695</v>
      </c>
      <c r="C1807" s="1" t="s">
        <v>4869</v>
      </c>
    </row>
    <row r="1808" spans="1:3" x14ac:dyDescent="0.2">
      <c r="A1808" s="1" t="str">
        <f>"600521"</f>
        <v>600521</v>
      </c>
      <c r="B1808" s="1" t="s">
        <v>1820</v>
      </c>
      <c r="C1808" s="1" t="s">
        <v>4843</v>
      </c>
    </row>
    <row r="1809" spans="1:3" x14ac:dyDescent="0.2">
      <c r="A1809" s="1" t="str">
        <f>"600520"</f>
        <v>600520</v>
      </c>
      <c r="B1809" s="1" t="s">
        <v>3979</v>
      </c>
      <c r="C1809" s="1" t="s">
        <v>4840</v>
      </c>
    </row>
    <row r="1810" spans="1:3" x14ac:dyDescent="0.2">
      <c r="A1810" s="1" t="str">
        <f>"600519"</f>
        <v>600519</v>
      </c>
      <c r="B1810" s="1" t="s">
        <v>2489</v>
      </c>
      <c r="C1810" s="1" t="s">
        <v>4921</v>
      </c>
    </row>
    <row r="1811" spans="1:3" x14ac:dyDescent="0.2">
      <c r="A1811" s="1" t="str">
        <f>"600518"</f>
        <v>600518</v>
      </c>
      <c r="B1811" s="1" t="s">
        <v>1600</v>
      </c>
      <c r="C1811" s="1" t="s">
        <v>4917</v>
      </c>
    </row>
    <row r="1812" spans="1:3" x14ac:dyDescent="0.2">
      <c r="A1812" s="1" t="str">
        <f>"600517"</f>
        <v>600517</v>
      </c>
      <c r="B1812" s="1" t="s">
        <v>357</v>
      </c>
      <c r="C1812" s="1" t="s">
        <v>4938</v>
      </c>
    </row>
    <row r="1813" spans="1:3" x14ac:dyDescent="0.2">
      <c r="A1813" s="1" t="str">
        <f>"600516"</f>
        <v>600516</v>
      </c>
      <c r="B1813" s="1" t="s">
        <v>2759</v>
      </c>
      <c r="C1813" s="1" t="s">
        <v>4947</v>
      </c>
    </row>
    <row r="1814" spans="1:3" x14ac:dyDescent="0.2">
      <c r="A1814" s="1" t="str">
        <f>"600515"</f>
        <v>600515</v>
      </c>
      <c r="B1814" s="1" t="s">
        <v>231</v>
      </c>
      <c r="C1814" s="1" t="s">
        <v>4924</v>
      </c>
    </row>
    <row r="1815" spans="1:3" x14ac:dyDescent="0.2">
      <c r="A1815" s="1" t="str">
        <f>"600513"</f>
        <v>600513</v>
      </c>
      <c r="B1815" s="1" t="s">
        <v>1821</v>
      </c>
      <c r="C1815" s="1" t="s">
        <v>4843</v>
      </c>
    </row>
    <row r="1816" spans="1:3" x14ac:dyDescent="0.2">
      <c r="A1816" s="1" t="str">
        <f>"600512"</f>
        <v>600512</v>
      </c>
      <c r="B1816" s="1" t="s">
        <v>3980</v>
      </c>
      <c r="C1816" s="1" t="s">
        <v>4898</v>
      </c>
    </row>
    <row r="1817" spans="1:3" x14ac:dyDescent="0.2">
      <c r="A1817" s="1" t="str">
        <f>"600511"</f>
        <v>600511</v>
      </c>
      <c r="B1817" s="1" t="s">
        <v>1648</v>
      </c>
      <c r="C1817" s="1" t="s">
        <v>4903</v>
      </c>
    </row>
    <row r="1818" spans="1:3" x14ac:dyDescent="0.2">
      <c r="A1818" s="1" t="str">
        <f>"600510"</f>
        <v>600510</v>
      </c>
      <c r="B1818" s="1" t="s">
        <v>3981</v>
      </c>
      <c r="C1818" s="1" t="s">
        <v>4957</v>
      </c>
    </row>
    <row r="1819" spans="1:3" x14ac:dyDescent="0.2">
      <c r="A1819" s="1" t="str">
        <f>"600509"</f>
        <v>600509</v>
      </c>
      <c r="B1819" s="1" t="s">
        <v>3982</v>
      </c>
      <c r="C1819" s="1" t="s">
        <v>4889</v>
      </c>
    </row>
    <row r="1820" spans="1:3" x14ac:dyDescent="0.2">
      <c r="A1820" s="1" t="str">
        <f>"600508"</f>
        <v>600508</v>
      </c>
      <c r="B1820" s="1" t="s">
        <v>3983</v>
      </c>
      <c r="C1820" s="1" t="s">
        <v>4951</v>
      </c>
    </row>
    <row r="1821" spans="1:3" x14ac:dyDescent="0.2">
      <c r="A1821" s="1" t="str">
        <f>"600507"</f>
        <v>600507</v>
      </c>
      <c r="B1821" s="1" t="s">
        <v>2737</v>
      </c>
      <c r="C1821" s="1" t="s">
        <v>4918</v>
      </c>
    </row>
    <row r="1822" spans="1:3" x14ac:dyDescent="0.2">
      <c r="A1822" s="1" t="str">
        <f>"600506"</f>
        <v>600506</v>
      </c>
      <c r="B1822" s="1" t="s">
        <v>3082</v>
      </c>
      <c r="C1822" s="1" t="s">
        <v>4925</v>
      </c>
    </row>
    <row r="1823" spans="1:3" x14ac:dyDescent="0.2">
      <c r="A1823" s="1" t="str">
        <f>"600505"</f>
        <v>600505</v>
      </c>
      <c r="B1823" s="1" t="s">
        <v>147</v>
      </c>
      <c r="C1823" s="1" t="s">
        <v>4889</v>
      </c>
    </row>
    <row r="1824" spans="1:3" x14ac:dyDescent="0.2">
      <c r="A1824" s="1" t="str">
        <f>"600503"</f>
        <v>600503</v>
      </c>
      <c r="B1824" s="1" t="s">
        <v>3984</v>
      </c>
      <c r="C1824" s="1" t="s">
        <v>4957</v>
      </c>
    </row>
    <row r="1825" spans="1:3" x14ac:dyDescent="0.2">
      <c r="A1825" s="1" t="str">
        <f>"600502"</f>
        <v>600502</v>
      </c>
      <c r="B1825" s="1" t="s">
        <v>3985</v>
      </c>
      <c r="C1825" s="1" t="s">
        <v>4898</v>
      </c>
    </row>
    <row r="1826" spans="1:3" x14ac:dyDescent="0.2">
      <c r="A1826" s="1" t="str">
        <f>"600500"</f>
        <v>600500</v>
      </c>
      <c r="B1826" s="1" t="s">
        <v>3986</v>
      </c>
      <c r="C1826" s="1" t="s">
        <v>4865</v>
      </c>
    </row>
    <row r="1827" spans="1:3" x14ac:dyDescent="0.2">
      <c r="A1827" s="1" t="str">
        <f>"600499"</f>
        <v>600499</v>
      </c>
      <c r="B1827" s="1" t="s">
        <v>1027</v>
      </c>
      <c r="C1827" s="1" t="s">
        <v>4845</v>
      </c>
    </row>
    <row r="1828" spans="1:3" x14ac:dyDescent="0.2">
      <c r="A1828" s="1" t="str">
        <f>"600498"</f>
        <v>600498</v>
      </c>
      <c r="B1828" s="1" t="s">
        <v>678</v>
      </c>
      <c r="C1828" s="1" t="s">
        <v>4869</v>
      </c>
    </row>
    <row r="1829" spans="1:3" x14ac:dyDescent="0.2">
      <c r="A1829" s="1" t="str">
        <f>"600497"</f>
        <v>600497</v>
      </c>
      <c r="B1829" s="1" t="s">
        <v>2687</v>
      </c>
      <c r="C1829" s="1" t="s">
        <v>4879</v>
      </c>
    </row>
    <row r="1830" spans="1:3" x14ac:dyDescent="0.2">
      <c r="A1830" s="1" t="str">
        <f>"600496"</f>
        <v>600496</v>
      </c>
      <c r="B1830" s="1" t="s">
        <v>3987</v>
      </c>
      <c r="C1830" s="1" t="s">
        <v>4888</v>
      </c>
    </row>
    <row r="1831" spans="1:3" x14ac:dyDescent="0.2">
      <c r="A1831" s="1" t="str">
        <f>"600495"</f>
        <v>600495</v>
      </c>
      <c r="B1831" s="1" t="s">
        <v>1297</v>
      </c>
      <c r="C1831" s="1" t="s">
        <v>4875</v>
      </c>
    </row>
    <row r="1832" spans="1:3" x14ac:dyDescent="0.2">
      <c r="A1832" s="1" t="str">
        <f>"600493"</f>
        <v>600493</v>
      </c>
      <c r="B1832" s="1" t="s">
        <v>2393</v>
      </c>
      <c r="C1832" s="1" t="s">
        <v>4904</v>
      </c>
    </row>
    <row r="1833" spans="1:3" x14ac:dyDescent="0.2">
      <c r="A1833" s="1" t="str">
        <f>"600491"</f>
        <v>600491</v>
      </c>
      <c r="B1833" s="1" t="s">
        <v>3988</v>
      </c>
      <c r="C1833" s="1" t="s">
        <v>4953</v>
      </c>
    </row>
    <row r="1834" spans="1:3" x14ac:dyDescent="0.2">
      <c r="A1834" s="1" t="str">
        <f>"600490"</f>
        <v>600490</v>
      </c>
      <c r="B1834" s="1" t="s">
        <v>2726</v>
      </c>
      <c r="C1834" s="1" t="s">
        <v>4879</v>
      </c>
    </row>
    <row r="1835" spans="1:3" x14ac:dyDescent="0.2">
      <c r="A1835" s="1" t="str">
        <f>"600489"</f>
        <v>600489</v>
      </c>
      <c r="B1835" s="1" t="s">
        <v>2677</v>
      </c>
      <c r="C1835" s="1" t="s">
        <v>4958</v>
      </c>
    </row>
    <row r="1836" spans="1:3" x14ac:dyDescent="0.2">
      <c r="A1836" s="1" t="str">
        <f>"600488"</f>
        <v>600488</v>
      </c>
      <c r="B1836" s="1" t="s">
        <v>1786</v>
      </c>
      <c r="C1836" s="1" t="s">
        <v>4843</v>
      </c>
    </row>
    <row r="1837" spans="1:3" x14ac:dyDescent="0.2">
      <c r="A1837" s="1" t="str">
        <f>"600487"</f>
        <v>600487</v>
      </c>
      <c r="B1837" s="1" t="s">
        <v>696</v>
      </c>
      <c r="C1837" s="1" t="s">
        <v>4869</v>
      </c>
    </row>
    <row r="1838" spans="1:3" x14ac:dyDescent="0.2">
      <c r="A1838" s="1" t="str">
        <f>"600486"</f>
        <v>600486</v>
      </c>
      <c r="B1838" s="1" t="s">
        <v>2805</v>
      </c>
      <c r="C1838" s="1" t="s">
        <v>4915</v>
      </c>
    </row>
    <row r="1839" spans="1:3" x14ac:dyDescent="0.2">
      <c r="A1839" s="1" t="str">
        <f>"600483"</f>
        <v>600483</v>
      </c>
      <c r="B1839" s="1" t="s">
        <v>3989</v>
      </c>
      <c r="C1839" s="1" t="s">
        <v>4889</v>
      </c>
    </row>
    <row r="1840" spans="1:3" x14ac:dyDescent="0.2">
      <c r="A1840" s="1" t="str">
        <f>"600482"</f>
        <v>600482</v>
      </c>
      <c r="B1840" s="1" t="s">
        <v>1328</v>
      </c>
      <c r="C1840" s="1" t="s">
        <v>4946</v>
      </c>
    </row>
    <row r="1841" spans="1:3" x14ac:dyDescent="0.2">
      <c r="A1841" s="1" t="str">
        <f>"600481"</f>
        <v>600481</v>
      </c>
      <c r="B1841" s="1" t="s">
        <v>3990</v>
      </c>
      <c r="C1841" s="1" t="s">
        <v>4857</v>
      </c>
    </row>
    <row r="1842" spans="1:3" x14ac:dyDescent="0.2">
      <c r="A1842" s="1" t="str">
        <f>"600480"</f>
        <v>600480</v>
      </c>
      <c r="B1842" s="1" t="s">
        <v>1923</v>
      </c>
      <c r="C1842" s="1" t="s">
        <v>4856</v>
      </c>
    </row>
    <row r="1843" spans="1:3" x14ac:dyDescent="0.2">
      <c r="A1843" s="1" t="str">
        <f>"600479"</f>
        <v>600479</v>
      </c>
      <c r="B1843" s="1" t="s">
        <v>1601</v>
      </c>
      <c r="C1843" s="1" t="s">
        <v>4917</v>
      </c>
    </row>
    <row r="1844" spans="1:3" x14ac:dyDescent="0.2">
      <c r="A1844" s="1" t="str">
        <f>"600478"</f>
        <v>600478</v>
      </c>
      <c r="B1844" s="1" t="s">
        <v>1547</v>
      </c>
      <c r="C1844" s="1" t="s">
        <v>4841</v>
      </c>
    </row>
    <row r="1845" spans="1:3" x14ac:dyDescent="0.2">
      <c r="A1845" s="1" t="str">
        <f>"600477"</f>
        <v>600477</v>
      </c>
      <c r="B1845" s="1" t="s">
        <v>3991</v>
      </c>
      <c r="C1845" s="1" t="s">
        <v>4888</v>
      </c>
    </row>
    <row r="1846" spans="1:3" x14ac:dyDescent="0.2">
      <c r="A1846" s="1" t="str">
        <f>"600476"</f>
        <v>600476</v>
      </c>
      <c r="B1846" s="1" t="s">
        <v>554</v>
      </c>
      <c r="C1846" s="1" t="s">
        <v>4847</v>
      </c>
    </row>
    <row r="1847" spans="1:3" x14ac:dyDescent="0.2">
      <c r="A1847" s="1" t="str">
        <f>"600475"</f>
        <v>600475</v>
      </c>
      <c r="B1847" s="1" t="s">
        <v>1366</v>
      </c>
      <c r="C1847" s="1" t="s">
        <v>4889</v>
      </c>
    </row>
    <row r="1848" spans="1:3" x14ac:dyDescent="0.2">
      <c r="A1848" s="1" t="str">
        <f>"600470"</f>
        <v>600470</v>
      </c>
      <c r="B1848" s="1" t="s">
        <v>3992</v>
      </c>
      <c r="C1848" s="1" t="s">
        <v>4915</v>
      </c>
    </row>
    <row r="1849" spans="1:3" x14ac:dyDescent="0.2">
      <c r="A1849" s="1" t="str">
        <f>"600469"</f>
        <v>600469</v>
      </c>
      <c r="B1849" s="1" t="s">
        <v>1953</v>
      </c>
      <c r="C1849" s="1" t="s">
        <v>4856</v>
      </c>
    </row>
    <row r="1850" spans="1:3" x14ac:dyDescent="0.2">
      <c r="A1850" s="1" t="str">
        <f>"600468"</f>
        <v>600468</v>
      </c>
      <c r="B1850" s="1" t="s">
        <v>1463</v>
      </c>
      <c r="C1850" s="1" t="s">
        <v>4866</v>
      </c>
    </row>
    <row r="1851" spans="1:3" x14ac:dyDescent="0.2">
      <c r="A1851" s="1" t="str">
        <f>"600467"</f>
        <v>600467</v>
      </c>
      <c r="B1851" s="1" t="s">
        <v>2547</v>
      </c>
      <c r="C1851" s="1" t="s">
        <v>4963</v>
      </c>
    </row>
    <row r="1852" spans="1:3" x14ac:dyDescent="0.2">
      <c r="A1852" s="1" t="str">
        <f>"600463"</f>
        <v>600463</v>
      </c>
      <c r="B1852" s="1" t="s">
        <v>309</v>
      </c>
      <c r="C1852" s="1" t="s">
        <v>4957</v>
      </c>
    </row>
    <row r="1853" spans="1:3" x14ac:dyDescent="0.2">
      <c r="A1853" s="1" t="str">
        <f>"600461"</f>
        <v>600461</v>
      </c>
      <c r="B1853" s="1" t="s">
        <v>88</v>
      </c>
      <c r="C1853" s="1" t="s">
        <v>4926</v>
      </c>
    </row>
    <row r="1854" spans="1:3" x14ac:dyDescent="0.2">
      <c r="A1854" s="1" t="str">
        <f>"600460"</f>
        <v>600460</v>
      </c>
      <c r="B1854" s="1" t="s">
        <v>912</v>
      </c>
      <c r="C1854" s="1" t="s">
        <v>4840</v>
      </c>
    </row>
    <row r="1855" spans="1:3" x14ac:dyDescent="0.2">
      <c r="A1855" s="1" t="str">
        <f>"600459"</f>
        <v>600459</v>
      </c>
      <c r="B1855" s="1" t="s">
        <v>2641</v>
      </c>
      <c r="C1855" s="1" t="s">
        <v>4855</v>
      </c>
    </row>
    <row r="1856" spans="1:3" x14ac:dyDescent="0.2">
      <c r="A1856" s="1" t="str">
        <f>"600458"</f>
        <v>600458</v>
      </c>
      <c r="B1856" s="1" t="s">
        <v>1385</v>
      </c>
      <c r="C1856" s="1" t="s">
        <v>4870</v>
      </c>
    </row>
    <row r="1857" spans="1:3" x14ac:dyDescent="0.2">
      <c r="A1857" s="1" t="str">
        <f>"600456"</f>
        <v>600456</v>
      </c>
      <c r="B1857" s="1" t="s">
        <v>2649</v>
      </c>
      <c r="C1857" s="1" t="s">
        <v>4855</v>
      </c>
    </row>
    <row r="1858" spans="1:3" x14ac:dyDescent="0.2">
      <c r="A1858" s="1" t="str">
        <f>"600455"</f>
        <v>600455</v>
      </c>
      <c r="B1858" s="1" t="s">
        <v>3993</v>
      </c>
      <c r="C1858" s="1" t="s">
        <v>4913</v>
      </c>
    </row>
    <row r="1859" spans="1:3" x14ac:dyDescent="0.2">
      <c r="A1859" s="1" t="str">
        <f>"600452"</f>
        <v>600452</v>
      </c>
      <c r="B1859" s="1" t="s">
        <v>148</v>
      </c>
      <c r="C1859" s="1" t="s">
        <v>4889</v>
      </c>
    </row>
    <row r="1860" spans="1:3" x14ac:dyDescent="0.2">
      <c r="A1860" s="1" t="str">
        <f>"600449"</f>
        <v>600449</v>
      </c>
      <c r="B1860" s="1" t="s">
        <v>3994</v>
      </c>
      <c r="C1860" s="1" t="s">
        <v>4911</v>
      </c>
    </row>
    <row r="1861" spans="1:3" x14ac:dyDescent="0.2">
      <c r="A1861" s="1" t="str">
        <f>"600448"</f>
        <v>600448</v>
      </c>
      <c r="B1861" s="1" t="s">
        <v>2390</v>
      </c>
      <c r="C1861" s="1" t="s">
        <v>4904</v>
      </c>
    </row>
    <row r="1862" spans="1:3" x14ac:dyDescent="0.2">
      <c r="A1862" s="1" t="str">
        <f>"600446"</f>
        <v>600446</v>
      </c>
      <c r="B1862" s="1" t="s">
        <v>3995</v>
      </c>
      <c r="C1862" s="1" t="s">
        <v>4847</v>
      </c>
    </row>
    <row r="1863" spans="1:3" x14ac:dyDescent="0.2">
      <c r="A1863" s="1" t="str">
        <f>"600444"</f>
        <v>600444</v>
      </c>
      <c r="B1863" s="1" t="s">
        <v>1028</v>
      </c>
      <c r="C1863" s="1" t="s">
        <v>4845</v>
      </c>
    </row>
    <row r="1864" spans="1:3" x14ac:dyDescent="0.2">
      <c r="A1864" s="1" t="str">
        <f>"600439"</f>
        <v>600439</v>
      </c>
      <c r="B1864" s="1" t="s">
        <v>2313</v>
      </c>
      <c r="C1864" s="1" t="s">
        <v>4887</v>
      </c>
    </row>
    <row r="1865" spans="1:3" x14ac:dyDescent="0.2">
      <c r="A1865" s="1" t="str">
        <f>"600436"</f>
        <v>600436</v>
      </c>
      <c r="B1865" s="1" t="s">
        <v>1602</v>
      </c>
      <c r="C1865" s="1" t="s">
        <v>4917</v>
      </c>
    </row>
    <row r="1866" spans="1:3" x14ac:dyDescent="0.2">
      <c r="A1866" s="1" t="str">
        <f>"600435"</f>
        <v>600435</v>
      </c>
      <c r="B1866" s="1" t="s">
        <v>3996</v>
      </c>
      <c r="C1866" s="1" t="s">
        <v>4876</v>
      </c>
    </row>
    <row r="1867" spans="1:3" x14ac:dyDescent="0.2">
      <c r="A1867" s="1" t="str">
        <f>"600433"</f>
        <v>600433</v>
      </c>
      <c r="B1867" s="1" t="s">
        <v>2291</v>
      </c>
      <c r="C1867" s="1" t="s">
        <v>4892</v>
      </c>
    </row>
    <row r="1868" spans="1:3" x14ac:dyDescent="0.2">
      <c r="A1868" s="1" t="str">
        <f>"600429"</f>
        <v>600429</v>
      </c>
      <c r="B1868" s="1" t="s">
        <v>2463</v>
      </c>
      <c r="C1868" s="1" t="s">
        <v>4893</v>
      </c>
    </row>
    <row r="1869" spans="1:3" x14ac:dyDescent="0.2">
      <c r="A1869" s="1" t="str">
        <f>"600428"</f>
        <v>600428</v>
      </c>
      <c r="B1869" s="1" t="s">
        <v>209</v>
      </c>
      <c r="C1869" s="1" t="s">
        <v>4933</v>
      </c>
    </row>
    <row r="1870" spans="1:3" x14ac:dyDescent="0.2">
      <c r="A1870" s="1" t="str">
        <f>"600426"</f>
        <v>600426</v>
      </c>
      <c r="B1870" s="1" t="s">
        <v>3997</v>
      </c>
      <c r="C1870" s="1" t="s">
        <v>4853</v>
      </c>
    </row>
    <row r="1871" spans="1:3" x14ac:dyDescent="0.2">
      <c r="A1871" s="1" t="str">
        <f>"600425"</f>
        <v>600425</v>
      </c>
      <c r="B1871" s="1" t="s">
        <v>3998</v>
      </c>
      <c r="C1871" s="1" t="s">
        <v>4911</v>
      </c>
    </row>
    <row r="1872" spans="1:3" x14ac:dyDescent="0.2">
      <c r="A1872" s="1" t="str">
        <f>"600423"</f>
        <v>600423</v>
      </c>
      <c r="B1872" s="1" t="s">
        <v>3009</v>
      </c>
      <c r="C1872" s="1" t="s">
        <v>4853</v>
      </c>
    </row>
    <row r="1873" spans="1:3" x14ac:dyDescent="0.2">
      <c r="A1873" s="1" t="str">
        <f>"600422"</f>
        <v>600422</v>
      </c>
      <c r="B1873" s="1" t="s">
        <v>1603</v>
      </c>
      <c r="C1873" s="1" t="s">
        <v>4917</v>
      </c>
    </row>
    <row r="1874" spans="1:3" x14ac:dyDescent="0.2">
      <c r="A1874" s="1" t="str">
        <f>"600420"</f>
        <v>600420</v>
      </c>
      <c r="B1874" s="1" t="s">
        <v>1822</v>
      </c>
      <c r="C1874" s="1" t="s">
        <v>4843</v>
      </c>
    </row>
    <row r="1875" spans="1:3" x14ac:dyDescent="0.2">
      <c r="A1875" s="1" t="str">
        <f>"600419"</f>
        <v>600419</v>
      </c>
      <c r="B1875" s="1" t="s">
        <v>3999</v>
      </c>
      <c r="C1875" s="1" t="s">
        <v>4893</v>
      </c>
    </row>
    <row r="1876" spans="1:3" x14ac:dyDescent="0.2">
      <c r="A1876" s="1" t="str">
        <f>"600418"</f>
        <v>600418</v>
      </c>
      <c r="B1876" s="1" t="s">
        <v>4000</v>
      </c>
      <c r="C1876" s="1" t="s">
        <v>4962</v>
      </c>
    </row>
    <row r="1877" spans="1:3" x14ac:dyDescent="0.2">
      <c r="A1877" s="1" t="str">
        <f>"600416"</f>
        <v>600416</v>
      </c>
      <c r="B1877" s="1" t="s">
        <v>1570</v>
      </c>
      <c r="C1877" s="1" t="s">
        <v>4919</v>
      </c>
    </row>
    <row r="1878" spans="1:3" x14ac:dyDescent="0.2">
      <c r="A1878" s="1" t="str">
        <f>"600415"</f>
        <v>600415</v>
      </c>
      <c r="B1878" s="1" t="s">
        <v>4001</v>
      </c>
      <c r="C1878" s="1" t="s">
        <v>4931</v>
      </c>
    </row>
    <row r="1879" spans="1:3" x14ac:dyDescent="0.2">
      <c r="A1879" s="1" t="str">
        <f>"600410"</f>
        <v>600410</v>
      </c>
      <c r="B1879" s="1" t="s">
        <v>525</v>
      </c>
      <c r="C1879" s="1" t="s">
        <v>4874</v>
      </c>
    </row>
    <row r="1880" spans="1:3" x14ac:dyDescent="0.2">
      <c r="A1880" s="1" t="str">
        <f>"600409"</f>
        <v>600409</v>
      </c>
      <c r="B1880" s="1" t="s">
        <v>4002</v>
      </c>
      <c r="C1880" s="1" t="s">
        <v>4858</v>
      </c>
    </row>
    <row r="1881" spans="1:3" x14ac:dyDescent="0.2">
      <c r="A1881" s="1" t="str">
        <f>"600408"</f>
        <v>600408</v>
      </c>
      <c r="B1881" s="1" t="s">
        <v>4003</v>
      </c>
      <c r="C1881" s="1" t="s">
        <v>4959</v>
      </c>
    </row>
    <row r="1882" spans="1:3" x14ac:dyDescent="0.2">
      <c r="A1882" s="1" t="str">
        <f>"600406"</f>
        <v>600406</v>
      </c>
      <c r="B1882" s="1" t="s">
        <v>1501</v>
      </c>
      <c r="C1882" s="1" t="s">
        <v>4866</v>
      </c>
    </row>
    <row r="1883" spans="1:3" x14ac:dyDescent="0.2">
      <c r="A1883" s="1" t="str">
        <f>"600403"</f>
        <v>600403</v>
      </c>
      <c r="B1883" s="1" t="s">
        <v>4004</v>
      </c>
      <c r="C1883" s="1" t="s">
        <v>4951</v>
      </c>
    </row>
    <row r="1884" spans="1:3" x14ac:dyDescent="0.2">
      <c r="A1884" s="1" t="str">
        <f>"600400"</f>
        <v>600400</v>
      </c>
      <c r="B1884" s="1" t="s">
        <v>4005</v>
      </c>
      <c r="C1884" s="1" t="s">
        <v>4909</v>
      </c>
    </row>
    <row r="1885" spans="1:3" x14ac:dyDescent="0.2">
      <c r="A1885" s="1" t="str">
        <f>"600399"</f>
        <v>600399</v>
      </c>
      <c r="B1885" s="1" t="s">
        <v>4006</v>
      </c>
      <c r="C1885" s="1" t="s">
        <v>4918</v>
      </c>
    </row>
    <row r="1886" spans="1:3" x14ac:dyDescent="0.2">
      <c r="A1886" s="1" t="str">
        <f>"600398"</f>
        <v>600398</v>
      </c>
      <c r="B1886" s="1" t="s">
        <v>2334</v>
      </c>
      <c r="C1886" s="1" t="s">
        <v>4909</v>
      </c>
    </row>
    <row r="1887" spans="1:3" x14ac:dyDescent="0.2">
      <c r="A1887" s="1" t="str">
        <f>"600396"</f>
        <v>600396</v>
      </c>
      <c r="B1887" s="1" t="s">
        <v>4007</v>
      </c>
      <c r="C1887" s="1" t="s">
        <v>4889</v>
      </c>
    </row>
    <row r="1888" spans="1:3" x14ac:dyDescent="0.2">
      <c r="A1888" s="1" t="str">
        <f>"600395"</f>
        <v>600395</v>
      </c>
      <c r="B1888" s="1" t="s">
        <v>4008</v>
      </c>
      <c r="C1888" s="1" t="s">
        <v>4951</v>
      </c>
    </row>
    <row r="1889" spans="1:3" x14ac:dyDescent="0.2">
      <c r="A1889" s="1" t="str">
        <f>"600392"</f>
        <v>600392</v>
      </c>
      <c r="B1889" s="1" t="s">
        <v>2658</v>
      </c>
      <c r="C1889" s="1" t="s">
        <v>4855</v>
      </c>
    </row>
    <row r="1890" spans="1:3" x14ac:dyDescent="0.2">
      <c r="A1890" s="1" t="str">
        <f>"600391"</f>
        <v>600391</v>
      </c>
      <c r="B1890" s="1" t="s">
        <v>1340</v>
      </c>
      <c r="C1890" s="1" t="s">
        <v>4862</v>
      </c>
    </row>
    <row r="1891" spans="1:3" x14ac:dyDescent="0.2">
      <c r="A1891" s="1" t="str">
        <f>"600390"</f>
        <v>600390</v>
      </c>
      <c r="B1891" s="1" t="s">
        <v>343</v>
      </c>
      <c r="C1891" s="1" t="s">
        <v>4938</v>
      </c>
    </row>
    <row r="1892" spans="1:3" x14ac:dyDescent="0.2">
      <c r="A1892" s="1" t="str">
        <f>"600389"</f>
        <v>600389</v>
      </c>
      <c r="B1892" s="1" t="s">
        <v>2806</v>
      </c>
      <c r="C1892" s="1" t="s">
        <v>4915</v>
      </c>
    </row>
    <row r="1893" spans="1:3" x14ac:dyDescent="0.2">
      <c r="A1893" s="1" t="str">
        <f>"600388"</f>
        <v>600388</v>
      </c>
      <c r="B1893" s="1" t="s">
        <v>73</v>
      </c>
      <c r="C1893" s="1" t="s">
        <v>4871</v>
      </c>
    </row>
    <row r="1894" spans="1:3" x14ac:dyDescent="0.2">
      <c r="A1894" s="1" t="str">
        <f>"600386"</f>
        <v>600386</v>
      </c>
      <c r="B1894" s="1" t="s">
        <v>4009</v>
      </c>
      <c r="C1894" s="1" t="s">
        <v>4948</v>
      </c>
    </row>
    <row r="1895" spans="1:3" x14ac:dyDescent="0.2">
      <c r="A1895" s="1" t="str">
        <f>"600383"</f>
        <v>600383</v>
      </c>
      <c r="B1895" s="1" t="s">
        <v>4010</v>
      </c>
      <c r="C1895" s="1" t="s">
        <v>4957</v>
      </c>
    </row>
    <row r="1896" spans="1:3" x14ac:dyDescent="0.2">
      <c r="A1896" s="1" t="str">
        <f>"600382"</f>
        <v>600382</v>
      </c>
      <c r="B1896" s="1" t="s">
        <v>2763</v>
      </c>
      <c r="C1896" s="1" t="s">
        <v>4947</v>
      </c>
    </row>
    <row r="1897" spans="1:3" x14ac:dyDescent="0.2">
      <c r="A1897" s="1" t="str">
        <f>"600380"</f>
        <v>600380</v>
      </c>
      <c r="B1897" s="1" t="s">
        <v>1823</v>
      </c>
      <c r="C1897" s="1" t="s">
        <v>4843</v>
      </c>
    </row>
    <row r="1898" spans="1:3" x14ac:dyDescent="0.2">
      <c r="A1898" s="1" t="str">
        <f>"600379"</f>
        <v>600379</v>
      </c>
      <c r="B1898" s="1" t="s">
        <v>1480</v>
      </c>
      <c r="C1898" s="1" t="s">
        <v>4866</v>
      </c>
    </row>
    <row r="1899" spans="1:3" x14ac:dyDescent="0.2">
      <c r="A1899" s="1" t="str">
        <f>"600378"</f>
        <v>600378</v>
      </c>
      <c r="B1899" s="1" t="s">
        <v>2953</v>
      </c>
      <c r="C1899" s="1" t="s">
        <v>4865</v>
      </c>
    </row>
    <row r="1900" spans="1:3" x14ac:dyDescent="0.2">
      <c r="A1900" s="1" t="str">
        <f>"600377"</f>
        <v>600377</v>
      </c>
      <c r="B1900" s="1" t="s">
        <v>247</v>
      </c>
      <c r="C1900" s="1" t="s">
        <v>4943</v>
      </c>
    </row>
    <row r="1901" spans="1:3" x14ac:dyDescent="0.2">
      <c r="A1901" s="1" t="str">
        <f>"600376"</f>
        <v>600376</v>
      </c>
      <c r="B1901" s="1" t="s">
        <v>4011</v>
      </c>
      <c r="C1901" s="1" t="s">
        <v>4957</v>
      </c>
    </row>
    <row r="1902" spans="1:3" x14ac:dyDescent="0.2">
      <c r="A1902" s="1" t="str">
        <f>"600375"</f>
        <v>600375</v>
      </c>
      <c r="B1902" s="1" t="s">
        <v>2078</v>
      </c>
      <c r="C1902" s="1" t="s">
        <v>4962</v>
      </c>
    </row>
    <row r="1903" spans="1:3" x14ac:dyDescent="0.2">
      <c r="A1903" s="1" t="str">
        <f>"600373"</f>
        <v>600373</v>
      </c>
      <c r="B1903" s="1" t="s">
        <v>445</v>
      </c>
      <c r="C1903" s="1" t="s">
        <v>4890</v>
      </c>
    </row>
    <row r="1904" spans="1:3" x14ac:dyDescent="0.2">
      <c r="A1904" s="1" t="str">
        <f>"600372"</f>
        <v>600372</v>
      </c>
      <c r="B1904" s="1" t="s">
        <v>1341</v>
      </c>
      <c r="C1904" s="1" t="s">
        <v>4862</v>
      </c>
    </row>
    <row r="1905" spans="1:3" x14ac:dyDescent="0.2">
      <c r="A1905" s="1" t="str">
        <f>"600371"</f>
        <v>600371</v>
      </c>
      <c r="B1905" s="1" t="s">
        <v>2568</v>
      </c>
      <c r="C1905" s="1" t="s">
        <v>4949</v>
      </c>
    </row>
    <row r="1906" spans="1:3" x14ac:dyDescent="0.2">
      <c r="A1906" s="1" t="str">
        <f>"600370"</f>
        <v>600370</v>
      </c>
      <c r="B1906" s="1" t="s">
        <v>4012</v>
      </c>
      <c r="C1906" s="1" t="s">
        <v>4860</v>
      </c>
    </row>
    <row r="1907" spans="1:3" x14ac:dyDescent="0.2">
      <c r="A1907" s="1" t="str">
        <f>"600369"</f>
        <v>600369</v>
      </c>
      <c r="B1907" s="1" t="s">
        <v>394</v>
      </c>
      <c r="C1907" s="1" t="s">
        <v>4945</v>
      </c>
    </row>
    <row r="1908" spans="1:3" x14ac:dyDescent="0.2">
      <c r="A1908" s="1" t="str">
        <f>"600368"</f>
        <v>600368</v>
      </c>
      <c r="B1908" s="1" t="s">
        <v>248</v>
      </c>
      <c r="C1908" s="1" t="s">
        <v>4943</v>
      </c>
    </row>
    <row r="1909" spans="1:3" x14ac:dyDescent="0.2">
      <c r="A1909" s="1" t="str">
        <f>"600367"</f>
        <v>600367</v>
      </c>
      <c r="B1909" s="1" t="s">
        <v>3026</v>
      </c>
      <c r="C1909" s="1" t="s">
        <v>4853</v>
      </c>
    </row>
    <row r="1910" spans="1:3" x14ac:dyDescent="0.2">
      <c r="A1910" s="1" t="str">
        <f>"600366"</f>
        <v>600366</v>
      </c>
      <c r="B1910" s="1" t="s">
        <v>2629</v>
      </c>
      <c r="C1910" s="1" t="s">
        <v>4848</v>
      </c>
    </row>
    <row r="1911" spans="1:3" x14ac:dyDescent="0.2">
      <c r="A1911" s="1" t="str">
        <f>"600363"</f>
        <v>600363</v>
      </c>
      <c r="B1911" s="1" t="s">
        <v>703</v>
      </c>
      <c r="C1911" s="1" t="s">
        <v>4842</v>
      </c>
    </row>
    <row r="1912" spans="1:3" x14ac:dyDescent="0.2">
      <c r="A1912" s="1" t="str">
        <f>"600362"</f>
        <v>600362</v>
      </c>
      <c r="B1912" s="1" t="s">
        <v>2727</v>
      </c>
      <c r="C1912" s="1" t="s">
        <v>4879</v>
      </c>
    </row>
    <row r="1913" spans="1:3" x14ac:dyDescent="0.2">
      <c r="A1913" s="1" t="str">
        <f>"600361"</f>
        <v>600361</v>
      </c>
      <c r="B1913" s="1" t="s">
        <v>2706</v>
      </c>
      <c r="C1913" s="1" t="s">
        <v>4879</v>
      </c>
    </row>
    <row r="1914" spans="1:3" x14ac:dyDescent="0.2">
      <c r="A1914" s="1" t="str">
        <f>"600359"</f>
        <v>600359</v>
      </c>
      <c r="B1914" s="1" t="s">
        <v>2566</v>
      </c>
      <c r="C1914" s="1" t="s">
        <v>4949</v>
      </c>
    </row>
    <row r="1915" spans="1:3" x14ac:dyDescent="0.2">
      <c r="A1915" s="1" t="str">
        <f>"600356"</f>
        <v>600356</v>
      </c>
      <c r="B1915" s="1" t="s">
        <v>2292</v>
      </c>
      <c r="C1915" s="1" t="s">
        <v>4892</v>
      </c>
    </row>
    <row r="1916" spans="1:3" x14ac:dyDescent="0.2">
      <c r="A1916" s="1" t="str">
        <f>"600354"</f>
        <v>600354</v>
      </c>
      <c r="B1916" s="1" t="s">
        <v>2569</v>
      </c>
      <c r="C1916" s="1" t="s">
        <v>4949</v>
      </c>
    </row>
    <row r="1917" spans="1:3" x14ac:dyDescent="0.2">
      <c r="A1917" s="1" t="str">
        <f>"600353"</f>
        <v>600353</v>
      </c>
      <c r="B1917" s="1" t="s">
        <v>704</v>
      </c>
      <c r="C1917" s="1" t="s">
        <v>4842</v>
      </c>
    </row>
    <row r="1918" spans="1:3" x14ac:dyDescent="0.2">
      <c r="A1918" s="1" t="str">
        <f>"600352"</f>
        <v>600352</v>
      </c>
      <c r="B1918" s="1" t="s">
        <v>2961</v>
      </c>
      <c r="C1918" s="1" t="s">
        <v>4865</v>
      </c>
    </row>
    <row r="1919" spans="1:3" x14ac:dyDescent="0.2">
      <c r="A1919" s="1" t="str">
        <f>"600351"</f>
        <v>600351</v>
      </c>
      <c r="B1919" s="1" t="s">
        <v>1604</v>
      </c>
      <c r="C1919" s="1" t="s">
        <v>4917</v>
      </c>
    </row>
    <row r="1920" spans="1:3" x14ac:dyDescent="0.2">
      <c r="A1920" s="1" t="str">
        <f>"600350"</f>
        <v>600350</v>
      </c>
      <c r="B1920" s="1" t="s">
        <v>249</v>
      </c>
      <c r="C1920" s="1" t="s">
        <v>4943</v>
      </c>
    </row>
    <row r="1921" spans="1:3" x14ac:dyDescent="0.2">
      <c r="A1921" s="1" t="str">
        <f>"600348"</f>
        <v>600348</v>
      </c>
      <c r="B1921" s="1" t="s">
        <v>4013</v>
      </c>
      <c r="C1921" s="1" t="s">
        <v>4951</v>
      </c>
    </row>
    <row r="1922" spans="1:3" x14ac:dyDescent="0.2">
      <c r="A1922" s="1" t="str">
        <f>"600346"</f>
        <v>600346</v>
      </c>
      <c r="B1922" s="1" t="s">
        <v>4014</v>
      </c>
      <c r="C1922" s="1" t="s">
        <v>4925</v>
      </c>
    </row>
    <row r="1923" spans="1:3" x14ac:dyDescent="0.2">
      <c r="A1923" s="1" t="str">
        <f>"600345"</f>
        <v>600345</v>
      </c>
      <c r="B1923" s="1" t="s">
        <v>4015</v>
      </c>
      <c r="C1923" s="1" t="s">
        <v>4869</v>
      </c>
    </row>
    <row r="1924" spans="1:3" x14ac:dyDescent="0.2">
      <c r="A1924" s="1" t="str">
        <f>"600343"</f>
        <v>600343</v>
      </c>
      <c r="B1924" s="1" t="s">
        <v>4016</v>
      </c>
      <c r="C1924" s="1" t="s">
        <v>4851</v>
      </c>
    </row>
    <row r="1925" spans="1:3" x14ac:dyDescent="0.2">
      <c r="A1925" s="1" t="str">
        <f>"600339"</f>
        <v>600339</v>
      </c>
      <c r="B1925" s="1" t="s">
        <v>4017</v>
      </c>
      <c r="C1925" s="1" t="s">
        <v>4928</v>
      </c>
    </row>
    <row r="1926" spans="1:3" x14ac:dyDescent="0.2">
      <c r="A1926" s="1" t="str">
        <f>"600338"</f>
        <v>600338</v>
      </c>
      <c r="B1926" s="1" t="s">
        <v>2688</v>
      </c>
      <c r="C1926" s="1" t="s">
        <v>4879</v>
      </c>
    </row>
    <row r="1927" spans="1:3" x14ac:dyDescent="0.2">
      <c r="A1927" s="1" t="str">
        <f>"600337"</f>
        <v>600337</v>
      </c>
      <c r="B1927" s="1" t="s">
        <v>2242</v>
      </c>
      <c r="C1927" s="1" t="s">
        <v>4902</v>
      </c>
    </row>
    <row r="1928" spans="1:3" x14ac:dyDescent="0.2">
      <c r="A1928" s="1" t="str">
        <f>"600336"</f>
        <v>600336</v>
      </c>
      <c r="B1928" s="1" t="s">
        <v>2185</v>
      </c>
      <c r="C1928" s="1" t="s">
        <v>4960</v>
      </c>
    </row>
    <row r="1929" spans="1:3" x14ac:dyDescent="0.2">
      <c r="A1929" s="1" t="str">
        <f>"600335"</f>
        <v>600335</v>
      </c>
      <c r="B1929" s="1" t="s">
        <v>1887</v>
      </c>
      <c r="C1929" s="1" t="s">
        <v>4948</v>
      </c>
    </row>
    <row r="1930" spans="1:3" x14ac:dyDescent="0.2">
      <c r="A1930" s="1" t="str">
        <f>"600333"</f>
        <v>600333</v>
      </c>
      <c r="B1930" s="1" t="s">
        <v>4018</v>
      </c>
      <c r="C1930" s="1" t="s">
        <v>4895</v>
      </c>
    </row>
    <row r="1931" spans="1:3" x14ac:dyDescent="0.2">
      <c r="A1931" s="1" t="str">
        <f>"600332"</f>
        <v>600332</v>
      </c>
      <c r="B1931" s="1" t="s">
        <v>1605</v>
      </c>
      <c r="C1931" s="1" t="s">
        <v>4917</v>
      </c>
    </row>
    <row r="1932" spans="1:3" x14ac:dyDescent="0.2">
      <c r="A1932" s="1" t="str">
        <f>"600331"</f>
        <v>600331</v>
      </c>
      <c r="B1932" s="1" t="s">
        <v>4019</v>
      </c>
      <c r="C1932" s="1" t="s">
        <v>4915</v>
      </c>
    </row>
    <row r="1933" spans="1:3" x14ac:dyDescent="0.2">
      <c r="A1933" s="1" t="str">
        <f>"600330"</f>
        <v>600330</v>
      </c>
      <c r="B1933" s="1" t="s">
        <v>1029</v>
      </c>
      <c r="C1933" s="1" t="s">
        <v>4845</v>
      </c>
    </row>
    <row r="1934" spans="1:3" x14ac:dyDescent="0.2">
      <c r="A1934" s="1" t="str">
        <f>"600329"</f>
        <v>600329</v>
      </c>
      <c r="B1934" s="1" t="s">
        <v>1606</v>
      </c>
      <c r="C1934" s="1" t="s">
        <v>4917</v>
      </c>
    </row>
    <row r="1935" spans="1:3" x14ac:dyDescent="0.2">
      <c r="A1935" s="1" t="str">
        <f>"600328"</f>
        <v>600328</v>
      </c>
      <c r="B1935" s="1" t="s">
        <v>3027</v>
      </c>
      <c r="C1935" s="1" t="s">
        <v>4853</v>
      </c>
    </row>
    <row r="1936" spans="1:3" x14ac:dyDescent="0.2">
      <c r="A1936" s="1" t="str">
        <f>"600327"</f>
        <v>600327</v>
      </c>
      <c r="B1936" s="1" t="s">
        <v>1667</v>
      </c>
      <c r="C1936" s="1" t="s">
        <v>4861</v>
      </c>
    </row>
    <row r="1937" spans="1:3" x14ac:dyDescent="0.2">
      <c r="A1937" s="1" t="str">
        <f>"600325"</f>
        <v>600325</v>
      </c>
      <c r="B1937" s="1" t="s">
        <v>4020</v>
      </c>
      <c r="C1937" s="1" t="s">
        <v>4957</v>
      </c>
    </row>
    <row r="1938" spans="1:3" x14ac:dyDescent="0.2">
      <c r="A1938" s="1" t="str">
        <f>"600323"</f>
        <v>600323</v>
      </c>
      <c r="B1938" s="1" t="s">
        <v>23</v>
      </c>
      <c r="C1938" s="1" t="s">
        <v>4863</v>
      </c>
    </row>
    <row r="1939" spans="1:3" x14ac:dyDescent="0.2">
      <c r="A1939" s="1" t="str">
        <f>"600320"</f>
        <v>600320</v>
      </c>
      <c r="B1939" s="1" t="s">
        <v>1118</v>
      </c>
      <c r="C1939" s="1" t="s">
        <v>4845</v>
      </c>
    </row>
    <row r="1940" spans="1:3" x14ac:dyDescent="0.2">
      <c r="A1940" s="1" t="str">
        <f>"600318"</f>
        <v>600318</v>
      </c>
      <c r="B1940" s="1" t="s">
        <v>360</v>
      </c>
      <c r="C1940" s="1" t="s">
        <v>4938</v>
      </c>
    </row>
    <row r="1941" spans="1:3" x14ac:dyDescent="0.2">
      <c r="A1941" s="1" t="str">
        <f>"600316"</f>
        <v>600316</v>
      </c>
      <c r="B1941" s="1" t="s">
        <v>4021</v>
      </c>
      <c r="C1941" s="1" t="s">
        <v>4862</v>
      </c>
    </row>
    <row r="1942" spans="1:3" x14ac:dyDescent="0.2">
      <c r="A1942" s="1" t="str">
        <f>"600315"</f>
        <v>600315</v>
      </c>
      <c r="B1942" s="1" t="s">
        <v>3077</v>
      </c>
      <c r="C1942" s="1" t="s">
        <v>4920</v>
      </c>
    </row>
    <row r="1943" spans="1:3" x14ac:dyDescent="0.2">
      <c r="A1943" s="1" t="str">
        <f>"600313"</f>
        <v>600313</v>
      </c>
      <c r="B1943" s="1" t="s">
        <v>2570</v>
      </c>
      <c r="C1943" s="1" t="s">
        <v>4949</v>
      </c>
    </row>
    <row r="1944" spans="1:3" x14ac:dyDescent="0.2">
      <c r="A1944" s="1" t="str">
        <f>"600312"</f>
        <v>600312</v>
      </c>
      <c r="B1944" s="1" t="s">
        <v>1481</v>
      </c>
      <c r="C1944" s="1" t="s">
        <v>4866</v>
      </c>
    </row>
    <row r="1945" spans="1:3" x14ac:dyDescent="0.2">
      <c r="A1945" s="1" t="str">
        <f>"600310"</f>
        <v>600310</v>
      </c>
      <c r="B1945" s="1" t="s">
        <v>4022</v>
      </c>
      <c r="C1945" s="1" t="s">
        <v>4889</v>
      </c>
    </row>
    <row r="1946" spans="1:3" x14ac:dyDescent="0.2">
      <c r="A1946" s="1" t="str">
        <f>"600309"</f>
        <v>600309</v>
      </c>
      <c r="B1946" s="1" t="s">
        <v>2990</v>
      </c>
      <c r="C1946" s="1" t="s">
        <v>4865</v>
      </c>
    </row>
    <row r="1947" spans="1:3" x14ac:dyDescent="0.2">
      <c r="A1947" s="1" t="str">
        <f>"600308"</f>
        <v>600308</v>
      </c>
      <c r="B1947" s="1" t="s">
        <v>2309</v>
      </c>
      <c r="C1947" s="1" t="s">
        <v>4892</v>
      </c>
    </row>
    <row r="1948" spans="1:3" x14ac:dyDescent="0.2">
      <c r="A1948" s="1" t="str">
        <f>"600307"</f>
        <v>600307</v>
      </c>
      <c r="B1948" s="1" t="s">
        <v>4023</v>
      </c>
      <c r="C1948" s="1" t="s">
        <v>4908</v>
      </c>
    </row>
    <row r="1949" spans="1:3" x14ac:dyDescent="0.2">
      <c r="A1949" s="1" t="str">
        <f>"600305"</f>
        <v>600305</v>
      </c>
      <c r="B1949" s="1" t="s">
        <v>2451</v>
      </c>
      <c r="C1949" s="1" t="s">
        <v>4927</v>
      </c>
    </row>
    <row r="1950" spans="1:3" x14ac:dyDescent="0.2">
      <c r="A1950" s="1" t="str">
        <f>"600303"</f>
        <v>600303</v>
      </c>
      <c r="B1950" s="1" t="s">
        <v>4024</v>
      </c>
      <c r="C1950" s="1" t="s">
        <v>4962</v>
      </c>
    </row>
    <row r="1951" spans="1:3" x14ac:dyDescent="0.2">
      <c r="A1951" s="1" t="str">
        <f>"600302"</f>
        <v>600302</v>
      </c>
      <c r="B1951" s="1" t="s">
        <v>4025</v>
      </c>
      <c r="C1951" s="1" t="s">
        <v>4845</v>
      </c>
    </row>
    <row r="1952" spans="1:3" x14ac:dyDescent="0.2">
      <c r="A1952" s="1" t="str">
        <f>"600301"</f>
        <v>600301</v>
      </c>
      <c r="B1952" s="1" t="s">
        <v>2642</v>
      </c>
      <c r="C1952" s="1" t="s">
        <v>4855</v>
      </c>
    </row>
    <row r="1953" spans="1:3" x14ac:dyDescent="0.2">
      <c r="A1953" s="1" t="str">
        <f>"600300"</f>
        <v>600300</v>
      </c>
      <c r="B1953" s="1" t="s">
        <v>2477</v>
      </c>
      <c r="C1953" s="1" t="s">
        <v>4893</v>
      </c>
    </row>
    <row r="1954" spans="1:3" x14ac:dyDescent="0.2">
      <c r="A1954" s="1" t="str">
        <f>"600299"</f>
        <v>600299</v>
      </c>
      <c r="B1954" s="1" t="s">
        <v>2941</v>
      </c>
      <c r="C1954" s="1" t="s">
        <v>4865</v>
      </c>
    </row>
    <row r="1955" spans="1:3" x14ac:dyDescent="0.2">
      <c r="A1955" s="1" t="str">
        <f>"600298"</f>
        <v>600298</v>
      </c>
      <c r="B1955" s="1" t="s">
        <v>2452</v>
      </c>
      <c r="C1955" s="1" t="s">
        <v>4927</v>
      </c>
    </row>
    <row r="1956" spans="1:3" x14ac:dyDescent="0.2">
      <c r="A1956" s="1" t="str">
        <f>"600295"</f>
        <v>600295</v>
      </c>
      <c r="B1956" s="1" t="s">
        <v>2760</v>
      </c>
      <c r="C1956" s="1" t="s">
        <v>4947</v>
      </c>
    </row>
    <row r="1957" spans="1:3" x14ac:dyDescent="0.2">
      <c r="A1957" s="1" t="str">
        <f>"600293"</f>
        <v>600293</v>
      </c>
      <c r="B1957" s="1" t="s">
        <v>2614</v>
      </c>
      <c r="C1957" s="1" t="s">
        <v>4916</v>
      </c>
    </row>
    <row r="1958" spans="1:3" x14ac:dyDescent="0.2">
      <c r="A1958" s="1" t="str">
        <f>"600292"</f>
        <v>600292</v>
      </c>
      <c r="B1958" s="1" t="s">
        <v>65</v>
      </c>
      <c r="C1958" s="1" t="s">
        <v>4863</v>
      </c>
    </row>
    <row r="1959" spans="1:3" x14ac:dyDescent="0.2">
      <c r="A1959" s="1" t="str">
        <f>"600288"</f>
        <v>600288</v>
      </c>
      <c r="B1959" s="1" t="s">
        <v>4026</v>
      </c>
      <c r="C1959" s="1" t="s">
        <v>4842</v>
      </c>
    </row>
    <row r="1960" spans="1:3" x14ac:dyDescent="0.2">
      <c r="A1960" s="1" t="str">
        <f>"600287"</f>
        <v>600287</v>
      </c>
      <c r="B1960" s="1" t="s">
        <v>4027</v>
      </c>
      <c r="C1960" s="1" t="s">
        <v>4942</v>
      </c>
    </row>
    <row r="1961" spans="1:3" x14ac:dyDescent="0.2">
      <c r="A1961" s="1" t="str">
        <f>"600285"</f>
        <v>600285</v>
      </c>
      <c r="B1961" s="1" t="s">
        <v>1607</v>
      </c>
      <c r="C1961" s="1" t="s">
        <v>4917</v>
      </c>
    </row>
    <row r="1962" spans="1:3" x14ac:dyDescent="0.2">
      <c r="A1962" s="1" t="str">
        <f>"600284"</f>
        <v>600284</v>
      </c>
      <c r="B1962" s="1" t="s">
        <v>4028</v>
      </c>
      <c r="C1962" s="1" t="s">
        <v>4898</v>
      </c>
    </row>
    <row r="1963" spans="1:3" x14ac:dyDescent="0.2">
      <c r="A1963" s="1" t="str">
        <f>"600283"</f>
        <v>600283</v>
      </c>
      <c r="B1963" s="1" t="s">
        <v>89</v>
      </c>
      <c r="C1963" s="1" t="s">
        <v>4926</v>
      </c>
    </row>
    <row r="1964" spans="1:3" x14ac:dyDescent="0.2">
      <c r="A1964" s="1" t="str">
        <f>"600282"</f>
        <v>600282</v>
      </c>
      <c r="B1964" s="1" t="s">
        <v>2752</v>
      </c>
      <c r="C1964" s="1" t="s">
        <v>4908</v>
      </c>
    </row>
    <row r="1965" spans="1:3" x14ac:dyDescent="0.2">
      <c r="A1965" s="1" t="str">
        <f>"600280"</f>
        <v>600280</v>
      </c>
      <c r="B1965" s="1" t="s">
        <v>4029</v>
      </c>
      <c r="C1965" s="1" t="s">
        <v>4905</v>
      </c>
    </row>
    <row r="1966" spans="1:3" x14ac:dyDescent="0.2">
      <c r="A1966" s="1" t="str">
        <f>"600279"</f>
        <v>600279</v>
      </c>
      <c r="B1966" s="1" t="s">
        <v>4030</v>
      </c>
      <c r="C1966" s="1" t="s">
        <v>4933</v>
      </c>
    </row>
    <row r="1967" spans="1:3" x14ac:dyDescent="0.2">
      <c r="A1967" s="1" t="str">
        <f>"600278"</f>
        <v>600278</v>
      </c>
      <c r="B1967" s="1" t="s">
        <v>2104</v>
      </c>
      <c r="C1967" s="1" t="s">
        <v>4942</v>
      </c>
    </row>
    <row r="1968" spans="1:3" x14ac:dyDescent="0.2">
      <c r="A1968" s="1" t="str">
        <f>"600276"</f>
        <v>600276</v>
      </c>
      <c r="B1968" s="1" t="s">
        <v>1824</v>
      </c>
      <c r="C1968" s="1" t="s">
        <v>4843</v>
      </c>
    </row>
    <row r="1969" spans="1:3" x14ac:dyDescent="0.2">
      <c r="A1969" s="1" t="str">
        <f>"600273"</f>
        <v>600273</v>
      </c>
      <c r="B1969" s="1" t="s">
        <v>3010</v>
      </c>
      <c r="C1969" s="1" t="s">
        <v>4853</v>
      </c>
    </row>
    <row r="1970" spans="1:3" x14ac:dyDescent="0.2">
      <c r="A1970" s="1" t="str">
        <f>"600272"</f>
        <v>600272</v>
      </c>
      <c r="B1970" s="1" t="s">
        <v>1649</v>
      </c>
      <c r="C1970" s="1" t="s">
        <v>4903</v>
      </c>
    </row>
    <row r="1971" spans="1:3" x14ac:dyDescent="0.2">
      <c r="A1971" s="1" t="str">
        <f>"600269"</f>
        <v>600269</v>
      </c>
      <c r="B1971" s="1" t="s">
        <v>250</v>
      </c>
      <c r="C1971" s="1" t="s">
        <v>4943</v>
      </c>
    </row>
    <row r="1972" spans="1:3" x14ac:dyDescent="0.2">
      <c r="A1972" s="1" t="str">
        <f>"600268"</f>
        <v>600268</v>
      </c>
      <c r="B1972" s="1" t="s">
        <v>1502</v>
      </c>
      <c r="C1972" s="1" t="s">
        <v>4866</v>
      </c>
    </row>
    <row r="1973" spans="1:3" x14ac:dyDescent="0.2">
      <c r="A1973" s="1" t="str">
        <f>"600267"</f>
        <v>600267</v>
      </c>
      <c r="B1973" s="1" t="s">
        <v>1825</v>
      </c>
      <c r="C1973" s="1" t="s">
        <v>4843</v>
      </c>
    </row>
    <row r="1974" spans="1:3" x14ac:dyDescent="0.2">
      <c r="A1974" s="1" t="str">
        <f>"600266"</f>
        <v>600266</v>
      </c>
      <c r="B1974" s="1" t="s">
        <v>4031</v>
      </c>
      <c r="C1974" s="1" t="s">
        <v>4957</v>
      </c>
    </row>
    <row r="1975" spans="1:3" x14ac:dyDescent="0.2">
      <c r="A1975" s="1" t="str">
        <f>"600262"</f>
        <v>600262</v>
      </c>
      <c r="B1975" s="1" t="s">
        <v>1119</v>
      </c>
      <c r="C1975" s="1" t="s">
        <v>4845</v>
      </c>
    </row>
    <row r="1976" spans="1:3" x14ac:dyDescent="0.2">
      <c r="A1976" s="1" t="str">
        <f>"600261"</f>
        <v>600261</v>
      </c>
      <c r="B1976" s="1" t="s">
        <v>784</v>
      </c>
      <c r="C1976" s="1" t="s">
        <v>4878</v>
      </c>
    </row>
    <row r="1977" spans="1:3" x14ac:dyDescent="0.2">
      <c r="A1977" s="1" t="str">
        <f>"600259"</f>
        <v>600259</v>
      </c>
      <c r="B1977" s="1" t="s">
        <v>2659</v>
      </c>
      <c r="C1977" s="1" t="s">
        <v>4855</v>
      </c>
    </row>
    <row r="1978" spans="1:3" x14ac:dyDescent="0.2">
      <c r="A1978" s="1" t="str">
        <f>"600258"</f>
        <v>600258</v>
      </c>
      <c r="B1978" s="1" t="s">
        <v>295</v>
      </c>
      <c r="C1978" s="1" t="s">
        <v>4912</v>
      </c>
    </row>
    <row r="1979" spans="1:3" x14ac:dyDescent="0.2">
      <c r="A1979" s="1" t="str">
        <f>"600257"</f>
        <v>600257</v>
      </c>
      <c r="B1979" s="1" t="s">
        <v>4032</v>
      </c>
      <c r="C1979" s="1" t="s">
        <v>4963</v>
      </c>
    </row>
    <row r="1980" spans="1:3" x14ac:dyDescent="0.2">
      <c r="A1980" s="1" t="str">
        <f>"600256"</f>
        <v>600256</v>
      </c>
      <c r="B1980" s="1" t="s">
        <v>4033</v>
      </c>
      <c r="C1980" s="1" t="s">
        <v>4925</v>
      </c>
    </row>
    <row r="1981" spans="1:3" x14ac:dyDescent="0.2">
      <c r="A1981" s="1" t="str">
        <f>"600255"</f>
        <v>600255</v>
      </c>
      <c r="B1981" s="1" t="s">
        <v>2621</v>
      </c>
      <c r="C1981" s="1" t="s">
        <v>4848</v>
      </c>
    </row>
    <row r="1982" spans="1:3" x14ac:dyDescent="0.2">
      <c r="A1982" s="1" t="str">
        <f>"600252"</f>
        <v>600252</v>
      </c>
      <c r="B1982" s="1" t="s">
        <v>1608</v>
      </c>
      <c r="C1982" s="1" t="s">
        <v>4917</v>
      </c>
    </row>
    <row r="1983" spans="1:3" x14ac:dyDescent="0.2">
      <c r="A1983" s="1" t="str">
        <f>"600251"</f>
        <v>600251</v>
      </c>
      <c r="B1983" s="1" t="s">
        <v>2526</v>
      </c>
      <c r="C1983" s="1" t="s">
        <v>4936</v>
      </c>
    </row>
    <row r="1984" spans="1:3" x14ac:dyDescent="0.2">
      <c r="A1984" s="1" t="str">
        <f>"600250"</f>
        <v>600250</v>
      </c>
      <c r="B1984" s="1" t="s">
        <v>2105</v>
      </c>
      <c r="C1984" s="1" t="s">
        <v>4942</v>
      </c>
    </row>
    <row r="1985" spans="1:3" x14ac:dyDescent="0.2">
      <c r="A1985" s="1" t="str">
        <f>"600249"</f>
        <v>600249</v>
      </c>
      <c r="B1985" s="1" t="s">
        <v>4034</v>
      </c>
      <c r="C1985" s="1" t="s">
        <v>4920</v>
      </c>
    </row>
    <row r="1986" spans="1:3" x14ac:dyDescent="0.2">
      <c r="A1986" s="1" t="str">
        <f>"600248"</f>
        <v>600248</v>
      </c>
      <c r="B1986" s="1" t="s">
        <v>4035</v>
      </c>
      <c r="C1986" s="1" t="s">
        <v>4953</v>
      </c>
    </row>
    <row r="1987" spans="1:3" x14ac:dyDescent="0.2">
      <c r="A1987" s="1" t="str">
        <f>"600246"</f>
        <v>600246</v>
      </c>
      <c r="B1987" s="1" t="s">
        <v>4036</v>
      </c>
      <c r="C1987" s="1" t="s">
        <v>4957</v>
      </c>
    </row>
    <row r="1988" spans="1:3" x14ac:dyDescent="0.2">
      <c r="A1988" s="1" t="str">
        <f>"600241"</f>
        <v>600241</v>
      </c>
      <c r="B1988" s="1" t="s">
        <v>1548</v>
      </c>
      <c r="C1988" s="1" t="s">
        <v>4841</v>
      </c>
    </row>
    <row r="1989" spans="1:3" x14ac:dyDescent="0.2">
      <c r="A1989" s="1" t="str">
        <f>"600239"</f>
        <v>600239</v>
      </c>
      <c r="B1989" s="1" t="s">
        <v>4037</v>
      </c>
      <c r="C1989" s="1" t="s">
        <v>4957</v>
      </c>
    </row>
    <row r="1990" spans="1:3" x14ac:dyDescent="0.2">
      <c r="A1990" s="1" t="str">
        <f>"600237"</f>
        <v>600237</v>
      </c>
      <c r="B1990" s="1" t="s">
        <v>739</v>
      </c>
      <c r="C1990" s="1" t="s">
        <v>4872</v>
      </c>
    </row>
    <row r="1991" spans="1:3" x14ac:dyDescent="0.2">
      <c r="A1991" s="1" t="str">
        <f>"600236"</f>
        <v>600236</v>
      </c>
      <c r="B1991" s="1" t="s">
        <v>149</v>
      </c>
      <c r="C1991" s="1" t="s">
        <v>4889</v>
      </c>
    </row>
    <row r="1992" spans="1:3" x14ac:dyDescent="0.2">
      <c r="A1992" s="1" t="str">
        <f>"600235"</f>
        <v>600235</v>
      </c>
      <c r="B1992" s="1" t="s">
        <v>2293</v>
      </c>
      <c r="C1992" s="1" t="s">
        <v>4892</v>
      </c>
    </row>
    <row r="1993" spans="1:3" x14ac:dyDescent="0.2">
      <c r="A1993" s="1" t="str">
        <f>"600234"</f>
        <v>600234</v>
      </c>
      <c r="B1993" s="1" t="s">
        <v>4038</v>
      </c>
      <c r="C1993" s="1" t="s">
        <v>4901</v>
      </c>
    </row>
    <row r="1994" spans="1:3" x14ac:dyDescent="0.2">
      <c r="A1994" s="1" t="str">
        <f>"600233"</f>
        <v>600233</v>
      </c>
      <c r="B1994" s="1" t="s">
        <v>175</v>
      </c>
      <c r="C1994" s="1" t="s">
        <v>4914</v>
      </c>
    </row>
    <row r="1995" spans="1:3" x14ac:dyDescent="0.2">
      <c r="A1995" s="1" t="str">
        <f>"600232"</f>
        <v>600232</v>
      </c>
      <c r="B1995" s="1" t="s">
        <v>4039</v>
      </c>
      <c r="C1995" s="1" t="s">
        <v>4845</v>
      </c>
    </row>
    <row r="1996" spans="1:3" x14ac:dyDescent="0.2">
      <c r="A1996" s="1" t="str">
        <f>"600230"</f>
        <v>600230</v>
      </c>
      <c r="B1996" s="1" t="s">
        <v>2991</v>
      </c>
      <c r="C1996" s="1" t="s">
        <v>4865</v>
      </c>
    </row>
    <row r="1997" spans="1:3" x14ac:dyDescent="0.2">
      <c r="A1997" s="1" t="str">
        <f>"600229"</f>
        <v>600229</v>
      </c>
      <c r="B1997" s="1" t="s">
        <v>446</v>
      </c>
      <c r="C1997" s="1" t="s">
        <v>4890</v>
      </c>
    </row>
    <row r="1998" spans="1:3" x14ac:dyDescent="0.2">
      <c r="A1998" s="1" t="str">
        <f>"600227"</f>
        <v>600227</v>
      </c>
      <c r="B1998" s="1" t="s">
        <v>4040</v>
      </c>
      <c r="C1998" s="1" t="s">
        <v>4915</v>
      </c>
    </row>
    <row r="1999" spans="1:3" x14ac:dyDescent="0.2">
      <c r="A1999" s="1" t="str">
        <f>"600226"</f>
        <v>600226</v>
      </c>
      <c r="B1999" s="1" t="s">
        <v>4041</v>
      </c>
      <c r="C1999" s="1" t="s">
        <v>4889</v>
      </c>
    </row>
    <row r="2000" spans="1:3" x14ac:dyDescent="0.2">
      <c r="A2000" s="1" t="str">
        <f>"600223"</f>
        <v>600223</v>
      </c>
      <c r="B2000" s="1" t="s">
        <v>3067</v>
      </c>
      <c r="C2000" s="1" t="s">
        <v>4920</v>
      </c>
    </row>
    <row r="2001" spans="1:3" x14ac:dyDescent="0.2">
      <c r="A2001" s="1" t="str">
        <f>"600222"</f>
        <v>600222</v>
      </c>
      <c r="B2001" s="1" t="s">
        <v>1609</v>
      </c>
      <c r="C2001" s="1" t="s">
        <v>4917</v>
      </c>
    </row>
    <row r="2002" spans="1:3" x14ac:dyDescent="0.2">
      <c r="A2002" s="1" t="str">
        <f>"600221"</f>
        <v>600221</v>
      </c>
      <c r="B2002" s="1" t="s">
        <v>237</v>
      </c>
      <c r="C2002" s="1" t="s">
        <v>4924</v>
      </c>
    </row>
    <row r="2003" spans="1:3" x14ac:dyDescent="0.2">
      <c r="A2003" s="1" t="str">
        <f>"600219"</f>
        <v>600219</v>
      </c>
      <c r="B2003" s="1" t="s">
        <v>2707</v>
      </c>
      <c r="C2003" s="1" t="s">
        <v>4879</v>
      </c>
    </row>
    <row r="2004" spans="1:3" x14ac:dyDescent="0.2">
      <c r="A2004" s="1" t="str">
        <f>"600218"</f>
        <v>600218</v>
      </c>
      <c r="B2004" s="1" t="s">
        <v>4042</v>
      </c>
      <c r="C2004" s="1" t="s">
        <v>4851</v>
      </c>
    </row>
    <row r="2005" spans="1:3" x14ac:dyDescent="0.2">
      <c r="A2005" s="1" t="str">
        <f>"600217"</f>
        <v>600217</v>
      </c>
      <c r="B2005" s="1" t="s">
        <v>4043</v>
      </c>
      <c r="C2005" s="1" t="s">
        <v>4863</v>
      </c>
    </row>
    <row r="2006" spans="1:3" x14ac:dyDescent="0.2">
      <c r="A2006" s="1" t="str">
        <f>"600216"</f>
        <v>600216</v>
      </c>
      <c r="B2006" s="1" t="s">
        <v>1787</v>
      </c>
      <c r="C2006" s="1" t="s">
        <v>4843</v>
      </c>
    </row>
    <row r="2007" spans="1:3" x14ac:dyDescent="0.2">
      <c r="A2007" s="1" t="str">
        <f>"600215"</f>
        <v>600215</v>
      </c>
      <c r="B2007" s="1" t="s">
        <v>4044</v>
      </c>
      <c r="C2007" s="1" t="s">
        <v>4849</v>
      </c>
    </row>
    <row r="2008" spans="1:3" x14ac:dyDescent="0.2">
      <c r="A2008" s="1" t="str">
        <f>"600212"</f>
        <v>600212</v>
      </c>
      <c r="B2008" s="1" t="s">
        <v>4045</v>
      </c>
      <c r="C2008" s="1" t="s">
        <v>4866</v>
      </c>
    </row>
    <row r="2009" spans="1:3" x14ac:dyDescent="0.2">
      <c r="A2009" s="1" t="str">
        <f>"600211"</f>
        <v>600211</v>
      </c>
      <c r="B2009" s="1" t="s">
        <v>1746</v>
      </c>
      <c r="C2009" s="1" t="s">
        <v>4852</v>
      </c>
    </row>
    <row r="2010" spans="1:3" x14ac:dyDescent="0.2">
      <c r="A2010" s="1" t="str">
        <f>"600210"</f>
        <v>600210</v>
      </c>
      <c r="B2010" s="1" t="s">
        <v>2274</v>
      </c>
      <c r="C2010" s="1" t="s">
        <v>4930</v>
      </c>
    </row>
    <row r="2011" spans="1:3" x14ac:dyDescent="0.2">
      <c r="A2011" s="1" t="str">
        <f>"600208"</f>
        <v>600208</v>
      </c>
      <c r="B2011" s="1" t="s">
        <v>4046</v>
      </c>
      <c r="C2011" s="1" t="s">
        <v>4957</v>
      </c>
    </row>
    <row r="2012" spans="1:3" x14ac:dyDescent="0.2">
      <c r="A2012" s="1" t="str">
        <f>"600206"</f>
        <v>600206</v>
      </c>
      <c r="B2012" s="1" t="s">
        <v>941</v>
      </c>
      <c r="C2012" s="1" t="s">
        <v>4840</v>
      </c>
    </row>
    <row r="2013" spans="1:3" x14ac:dyDescent="0.2">
      <c r="A2013" s="1" t="str">
        <f>"600203"</f>
        <v>600203</v>
      </c>
      <c r="B2013" s="1" t="s">
        <v>4047</v>
      </c>
      <c r="C2013" s="1" t="s">
        <v>4850</v>
      </c>
    </row>
    <row r="2014" spans="1:3" x14ac:dyDescent="0.2">
      <c r="A2014" s="1" t="str">
        <f>"600202"</f>
        <v>600202</v>
      </c>
      <c r="B2014" s="1" t="s">
        <v>4048</v>
      </c>
      <c r="C2014" s="1" t="s">
        <v>4851</v>
      </c>
    </row>
    <row r="2015" spans="1:3" x14ac:dyDescent="0.2">
      <c r="A2015" s="1" t="str">
        <f>"600201"</f>
        <v>600201</v>
      </c>
      <c r="B2015" s="1" t="s">
        <v>2515</v>
      </c>
      <c r="C2015" s="1" t="s">
        <v>4877</v>
      </c>
    </row>
    <row r="2016" spans="1:3" x14ac:dyDescent="0.2">
      <c r="A2016" s="1" t="str">
        <f>"600199"</f>
        <v>600199</v>
      </c>
      <c r="B2016" s="1" t="s">
        <v>4049</v>
      </c>
      <c r="C2016" s="1" t="s">
        <v>4921</v>
      </c>
    </row>
    <row r="2017" spans="1:3" x14ac:dyDescent="0.2">
      <c r="A2017" s="1" t="str">
        <f>"600198"</f>
        <v>600198</v>
      </c>
      <c r="B2017" s="1" t="s">
        <v>4050</v>
      </c>
      <c r="C2017" s="1" t="s">
        <v>4869</v>
      </c>
    </row>
    <row r="2018" spans="1:3" x14ac:dyDescent="0.2">
      <c r="A2018" s="1" t="str">
        <f>"600197"</f>
        <v>600197</v>
      </c>
      <c r="B2018" s="1" t="s">
        <v>2490</v>
      </c>
      <c r="C2018" s="1" t="s">
        <v>4921</v>
      </c>
    </row>
    <row r="2019" spans="1:3" x14ac:dyDescent="0.2">
      <c r="A2019" s="1" t="str">
        <f>"600196"</f>
        <v>600196</v>
      </c>
      <c r="B2019" s="1" t="s">
        <v>1826</v>
      </c>
      <c r="C2019" s="1" t="s">
        <v>4843</v>
      </c>
    </row>
    <row r="2020" spans="1:3" x14ac:dyDescent="0.2">
      <c r="A2020" s="1" t="str">
        <f>"600195"</f>
        <v>600195</v>
      </c>
      <c r="B2020" s="1" t="s">
        <v>2516</v>
      </c>
      <c r="C2020" s="1" t="s">
        <v>4877</v>
      </c>
    </row>
    <row r="2021" spans="1:3" x14ac:dyDescent="0.2">
      <c r="A2021" s="1" t="str">
        <f>"600192"</f>
        <v>600192</v>
      </c>
      <c r="B2021" s="1" t="s">
        <v>4051</v>
      </c>
      <c r="C2021" s="1" t="s">
        <v>4866</v>
      </c>
    </row>
    <row r="2022" spans="1:3" x14ac:dyDescent="0.2">
      <c r="A2022" s="1" t="str">
        <f>"600191"</f>
        <v>600191</v>
      </c>
      <c r="B2022" s="1" t="s">
        <v>2411</v>
      </c>
      <c r="C2022" s="1" t="s">
        <v>4891</v>
      </c>
    </row>
    <row r="2023" spans="1:3" x14ac:dyDescent="0.2">
      <c r="A2023" s="1" t="str">
        <f>"600189"</f>
        <v>600189</v>
      </c>
      <c r="B2023" s="1" t="s">
        <v>2478</v>
      </c>
      <c r="C2023" s="1" t="s">
        <v>4893</v>
      </c>
    </row>
    <row r="2024" spans="1:3" x14ac:dyDescent="0.2">
      <c r="A2024" s="1" t="str">
        <f>"600188"</f>
        <v>600188</v>
      </c>
      <c r="B2024" s="1" t="s">
        <v>4052</v>
      </c>
      <c r="C2024" s="1" t="s">
        <v>4951</v>
      </c>
    </row>
    <row r="2025" spans="1:3" x14ac:dyDescent="0.2">
      <c r="A2025" s="1" t="str">
        <f>"600187"</f>
        <v>600187</v>
      </c>
      <c r="B2025" s="1" t="s">
        <v>4053</v>
      </c>
      <c r="C2025" s="1" t="s">
        <v>4926</v>
      </c>
    </row>
    <row r="2026" spans="1:3" x14ac:dyDescent="0.2">
      <c r="A2026" s="1" t="str">
        <f>"600186"</f>
        <v>600186</v>
      </c>
      <c r="B2026" s="1" t="s">
        <v>2453</v>
      </c>
      <c r="C2026" s="1" t="s">
        <v>4927</v>
      </c>
    </row>
    <row r="2027" spans="1:3" x14ac:dyDescent="0.2">
      <c r="A2027" s="1" t="str">
        <f>"600185"</f>
        <v>600185</v>
      </c>
      <c r="B2027" s="1" t="s">
        <v>4054</v>
      </c>
      <c r="C2027" s="1" t="s">
        <v>4957</v>
      </c>
    </row>
    <row r="2028" spans="1:3" x14ac:dyDescent="0.2">
      <c r="A2028" s="1" t="str">
        <f>"600184"</f>
        <v>600184</v>
      </c>
      <c r="B2028" s="1" t="s">
        <v>1360</v>
      </c>
      <c r="C2028" s="1" t="s">
        <v>4876</v>
      </c>
    </row>
    <row r="2029" spans="1:3" x14ac:dyDescent="0.2">
      <c r="A2029" s="1" t="str">
        <f>"600183"</f>
        <v>600183</v>
      </c>
      <c r="B2029" s="1" t="s">
        <v>757</v>
      </c>
      <c r="C2029" s="1" t="s">
        <v>4872</v>
      </c>
    </row>
    <row r="2030" spans="1:3" x14ac:dyDescent="0.2">
      <c r="A2030" s="1" t="str">
        <f>"600182"</f>
        <v>600182</v>
      </c>
      <c r="B2030" s="1" t="s">
        <v>1954</v>
      </c>
      <c r="C2030" s="1" t="s">
        <v>4856</v>
      </c>
    </row>
    <row r="2031" spans="1:3" x14ac:dyDescent="0.2">
      <c r="A2031" s="1" t="str">
        <f>"600180"</f>
        <v>600180</v>
      </c>
      <c r="B2031" s="1" t="s">
        <v>183</v>
      </c>
      <c r="C2031" s="1" t="s">
        <v>4914</v>
      </c>
    </row>
    <row r="2032" spans="1:3" x14ac:dyDescent="0.2">
      <c r="A2032" s="1" t="str">
        <f>"600179"</f>
        <v>600179</v>
      </c>
      <c r="B2032" s="1" t="s">
        <v>210</v>
      </c>
      <c r="C2032" s="1" t="s">
        <v>4933</v>
      </c>
    </row>
    <row r="2033" spans="1:3" x14ac:dyDescent="0.2">
      <c r="A2033" s="1" t="str">
        <f>"600178"</f>
        <v>600178</v>
      </c>
      <c r="B2033" s="1" t="s">
        <v>1996</v>
      </c>
      <c r="C2033" s="1" t="s">
        <v>4856</v>
      </c>
    </row>
    <row r="2034" spans="1:3" x14ac:dyDescent="0.2">
      <c r="A2034" s="1" t="str">
        <f>"600177"</f>
        <v>600177</v>
      </c>
      <c r="B2034" s="1" t="s">
        <v>2335</v>
      </c>
      <c r="C2034" s="1" t="s">
        <v>4909</v>
      </c>
    </row>
    <row r="2035" spans="1:3" x14ac:dyDescent="0.2">
      <c r="A2035" s="1" t="str">
        <f>"600176"</f>
        <v>600176</v>
      </c>
      <c r="B2035" s="1" t="s">
        <v>2606</v>
      </c>
      <c r="C2035" s="1" t="s">
        <v>4916</v>
      </c>
    </row>
    <row r="2036" spans="1:3" x14ac:dyDescent="0.2">
      <c r="A2036" s="1" t="str">
        <f>"600173"</f>
        <v>600173</v>
      </c>
      <c r="B2036" s="1" t="s">
        <v>4055</v>
      </c>
      <c r="C2036" s="1" t="s">
        <v>4957</v>
      </c>
    </row>
    <row r="2037" spans="1:3" x14ac:dyDescent="0.2">
      <c r="A2037" s="1" t="str">
        <f>"600171"</f>
        <v>600171</v>
      </c>
      <c r="B2037" s="1" t="s">
        <v>923</v>
      </c>
      <c r="C2037" s="1" t="s">
        <v>4840</v>
      </c>
    </row>
    <row r="2038" spans="1:3" x14ac:dyDescent="0.2">
      <c r="A2038" s="1" t="str">
        <f>"600170"</f>
        <v>600170</v>
      </c>
      <c r="B2038" s="1" t="s">
        <v>4056</v>
      </c>
      <c r="C2038" s="1" t="s">
        <v>4953</v>
      </c>
    </row>
    <row r="2039" spans="1:3" x14ac:dyDescent="0.2">
      <c r="A2039" s="1" t="str">
        <f>"600169"</f>
        <v>600169</v>
      </c>
      <c r="B2039" s="1" t="s">
        <v>1120</v>
      </c>
      <c r="C2039" s="1" t="s">
        <v>4845</v>
      </c>
    </row>
    <row r="2040" spans="1:3" x14ac:dyDescent="0.2">
      <c r="A2040" s="1" t="str">
        <f>"600168"</f>
        <v>600168</v>
      </c>
      <c r="B2040" s="1" t="s">
        <v>4057</v>
      </c>
      <c r="C2040" s="1" t="s">
        <v>4926</v>
      </c>
    </row>
    <row r="2041" spans="1:3" x14ac:dyDescent="0.2">
      <c r="A2041" s="1" t="str">
        <f>"600167"</f>
        <v>600167</v>
      </c>
      <c r="B2041" s="1" t="s">
        <v>4058</v>
      </c>
      <c r="C2041" s="1" t="s">
        <v>4889</v>
      </c>
    </row>
    <row r="2042" spans="1:3" x14ac:dyDescent="0.2">
      <c r="A2042" s="1" t="str">
        <f>"600166"</f>
        <v>600166</v>
      </c>
      <c r="B2042" s="1" t="s">
        <v>2079</v>
      </c>
      <c r="C2042" s="1" t="s">
        <v>4962</v>
      </c>
    </row>
    <row r="2043" spans="1:3" x14ac:dyDescent="0.2">
      <c r="A2043" s="1" t="str">
        <f>"600163"</f>
        <v>600163</v>
      </c>
      <c r="B2043" s="1" t="s">
        <v>135</v>
      </c>
      <c r="C2043" s="1" t="s">
        <v>4889</v>
      </c>
    </row>
    <row r="2044" spans="1:3" x14ac:dyDescent="0.2">
      <c r="A2044" s="1" t="str">
        <f>"600162"</f>
        <v>600162</v>
      </c>
      <c r="B2044" s="1" t="s">
        <v>4059</v>
      </c>
      <c r="C2044" s="1" t="s">
        <v>4957</v>
      </c>
    </row>
    <row r="2045" spans="1:3" x14ac:dyDescent="0.2">
      <c r="A2045" s="1" t="str">
        <f>"600161"</f>
        <v>600161</v>
      </c>
      <c r="B2045" s="1" t="s">
        <v>1773</v>
      </c>
      <c r="C2045" s="1" t="s">
        <v>4852</v>
      </c>
    </row>
    <row r="2046" spans="1:3" x14ac:dyDescent="0.2">
      <c r="A2046" s="1" t="str">
        <f>"600160"</f>
        <v>600160</v>
      </c>
      <c r="B2046" s="1" t="s">
        <v>2954</v>
      </c>
      <c r="C2046" s="1" t="s">
        <v>4865</v>
      </c>
    </row>
    <row r="2047" spans="1:3" x14ac:dyDescent="0.2">
      <c r="A2047" s="1" t="str">
        <f>"600159"</f>
        <v>600159</v>
      </c>
      <c r="B2047" s="1" t="s">
        <v>4060</v>
      </c>
      <c r="C2047" s="1" t="s">
        <v>4957</v>
      </c>
    </row>
    <row r="2048" spans="1:3" x14ac:dyDescent="0.2">
      <c r="A2048" s="1" t="str">
        <f>"600158"</f>
        <v>600158</v>
      </c>
      <c r="B2048" s="1" t="s">
        <v>4061</v>
      </c>
      <c r="C2048" s="1" t="s">
        <v>4964</v>
      </c>
    </row>
    <row r="2049" spans="1:3" x14ac:dyDescent="0.2">
      <c r="A2049" s="1" t="str">
        <f>"600157"</f>
        <v>600157</v>
      </c>
      <c r="B2049" s="1" t="s">
        <v>4062</v>
      </c>
      <c r="C2049" s="1" t="s">
        <v>4889</v>
      </c>
    </row>
    <row r="2050" spans="1:3" x14ac:dyDescent="0.2">
      <c r="A2050" s="1" t="str">
        <f>"600156"</f>
        <v>600156</v>
      </c>
      <c r="B2050" s="1" t="s">
        <v>4063</v>
      </c>
      <c r="C2050" s="1" t="s">
        <v>4904</v>
      </c>
    </row>
    <row r="2051" spans="1:3" x14ac:dyDescent="0.2">
      <c r="A2051" s="1" t="str">
        <f>"600153"</f>
        <v>600153</v>
      </c>
      <c r="B2051" s="1" t="s">
        <v>184</v>
      </c>
      <c r="C2051" s="1" t="s">
        <v>4914</v>
      </c>
    </row>
    <row r="2052" spans="1:3" x14ac:dyDescent="0.2">
      <c r="A2052" s="1" t="str">
        <f>"600152"</f>
        <v>600152</v>
      </c>
      <c r="B2052" s="1" t="s">
        <v>4064</v>
      </c>
      <c r="C2052" s="1" t="s">
        <v>4841</v>
      </c>
    </row>
    <row r="2053" spans="1:3" x14ac:dyDescent="0.2">
      <c r="A2053" s="1" t="str">
        <f>"600151"</f>
        <v>600151</v>
      </c>
      <c r="B2053" s="1" t="s">
        <v>4065</v>
      </c>
      <c r="C2053" s="1" t="s">
        <v>4857</v>
      </c>
    </row>
    <row r="2054" spans="1:3" x14ac:dyDescent="0.2">
      <c r="A2054" s="1" t="str">
        <f>"600150"</f>
        <v>600150</v>
      </c>
      <c r="B2054" s="1" t="s">
        <v>1329</v>
      </c>
      <c r="C2054" s="1" t="s">
        <v>4946</v>
      </c>
    </row>
    <row r="2055" spans="1:3" x14ac:dyDescent="0.2">
      <c r="A2055" s="1" t="str">
        <f>"600149"</f>
        <v>600149</v>
      </c>
      <c r="B2055" s="1" t="s">
        <v>4066</v>
      </c>
      <c r="C2055" s="1" t="s">
        <v>4889</v>
      </c>
    </row>
    <row r="2056" spans="1:3" x14ac:dyDescent="0.2">
      <c r="A2056" s="1" t="str">
        <f>"600148"</f>
        <v>600148</v>
      </c>
      <c r="B2056" s="1" t="s">
        <v>1997</v>
      </c>
      <c r="C2056" s="1" t="s">
        <v>4856</v>
      </c>
    </row>
    <row r="2057" spans="1:3" x14ac:dyDescent="0.2">
      <c r="A2057" s="1" t="str">
        <f>"600143"</f>
        <v>600143</v>
      </c>
      <c r="B2057" s="1" t="s">
        <v>2861</v>
      </c>
      <c r="C2057" s="1" t="s">
        <v>4860</v>
      </c>
    </row>
    <row r="2058" spans="1:3" x14ac:dyDescent="0.2">
      <c r="A2058" s="1" t="str">
        <f>"600141"</f>
        <v>600141</v>
      </c>
      <c r="B2058" s="1" t="s">
        <v>2789</v>
      </c>
      <c r="C2058" s="1" t="s">
        <v>4915</v>
      </c>
    </row>
    <row r="2059" spans="1:3" x14ac:dyDescent="0.2">
      <c r="A2059" s="1" t="str">
        <f>"600138"</f>
        <v>600138</v>
      </c>
      <c r="B2059" s="1" t="s">
        <v>4067</v>
      </c>
      <c r="C2059" s="1" t="s">
        <v>4940</v>
      </c>
    </row>
    <row r="2060" spans="1:3" x14ac:dyDescent="0.2">
      <c r="A2060" s="1" t="str">
        <f>"600137"</f>
        <v>600137</v>
      </c>
      <c r="B2060" s="1" t="s">
        <v>2358</v>
      </c>
      <c r="C2060" s="1" t="s">
        <v>4909</v>
      </c>
    </row>
    <row r="2061" spans="1:3" x14ac:dyDescent="0.2">
      <c r="A2061" s="1" t="str">
        <f>"600135"</f>
        <v>600135</v>
      </c>
      <c r="B2061" s="1" t="s">
        <v>4068</v>
      </c>
      <c r="C2061" s="1" t="s">
        <v>4860</v>
      </c>
    </row>
    <row r="2062" spans="1:3" x14ac:dyDescent="0.2">
      <c r="A2062" s="1" t="str">
        <f>"600133"</f>
        <v>600133</v>
      </c>
      <c r="B2062" s="1" t="s">
        <v>4069</v>
      </c>
      <c r="C2062" s="1" t="s">
        <v>4863</v>
      </c>
    </row>
    <row r="2063" spans="1:3" x14ac:dyDescent="0.2">
      <c r="A2063" s="1" t="str">
        <f>"600132"</f>
        <v>600132</v>
      </c>
      <c r="B2063" s="1" t="s">
        <v>2508</v>
      </c>
      <c r="C2063" s="1" t="s">
        <v>4921</v>
      </c>
    </row>
    <row r="2064" spans="1:3" x14ac:dyDescent="0.2">
      <c r="A2064" s="1" t="str">
        <f>"600131"</f>
        <v>600131</v>
      </c>
      <c r="B2064" s="1" t="s">
        <v>539</v>
      </c>
      <c r="C2064" s="1" t="s">
        <v>4874</v>
      </c>
    </row>
    <row r="2065" spans="1:3" x14ac:dyDescent="0.2">
      <c r="A2065" s="1" t="str">
        <f>"600129"</f>
        <v>600129</v>
      </c>
      <c r="B2065" s="1" t="s">
        <v>1610</v>
      </c>
      <c r="C2065" s="1" t="s">
        <v>4917</v>
      </c>
    </row>
    <row r="2066" spans="1:3" x14ac:dyDescent="0.2">
      <c r="A2066" s="1" t="str">
        <f>"600128"</f>
        <v>600128</v>
      </c>
      <c r="B2066" s="1" t="s">
        <v>2106</v>
      </c>
      <c r="C2066" s="1" t="s">
        <v>4942</v>
      </c>
    </row>
    <row r="2067" spans="1:3" x14ac:dyDescent="0.2">
      <c r="A2067" s="1" t="str">
        <f>"600127"</f>
        <v>600127</v>
      </c>
      <c r="B2067" s="1" t="s">
        <v>2528</v>
      </c>
      <c r="C2067" s="1" t="s">
        <v>4936</v>
      </c>
    </row>
    <row r="2068" spans="1:3" x14ac:dyDescent="0.2">
      <c r="A2068" s="1" t="str">
        <f>"600126"</f>
        <v>600126</v>
      </c>
      <c r="B2068" s="1" t="s">
        <v>4070</v>
      </c>
      <c r="C2068" s="1" t="s">
        <v>4908</v>
      </c>
    </row>
    <row r="2069" spans="1:3" x14ac:dyDescent="0.2">
      <c r="A2069" s="1" t="str">
        <f>"600125"</f>
        <v>600125</v>
      </c>
      <c r="B2069" s="1" t="s">
        <v>265</v>
      </c>
      <c r="C2069" s="1" t="s">
        <v>4943</v>
      </c>
    </row>
    <row r="2070" spans="1:3" x14ac:dyDescent="0.2">
      <c r="A2070" s="1" t="str">
        <f>"600123"</f>
        <v>600123</v>
      </c>
      <c r="B2070" s="1" t="s">
        <v>4071</v>
      </c>
      <c r="C2070" s="1" t="s">
        <v>4951</v>
      </c>
    </row>
    <row r="2071" spans="1:3" x14ac:dyDescent="0.2">
      <c r="A2071" s="1" t="str">
        <f>"600121"</f>
        <v>600121</v>
      </c>
      <c r="B2071" s="1" t="s">
        <v>4072</v>
      </c>
      <c r="C2071" s="1" t="s">
        <v>4951</v>
      </c>
    </row>
    <row r="2072" spans="1:3" x14ac:dyDescent="0.2">
      <c r="A2072" s="1" t="str">
        <f>"600120"</f>
        <v>600120</v>
      </c>
      <c r="B2072" s="1" t="s">
        <v>344</v>
      </c>
      <c r="C2072" s="1" t="s">
        <v>4938</v>
      </c>
    </row>
    <row r="2073" spans="1:3" x14ac:dyDescent="0.2">
      <c r="A2073" s="1" t="str">
        <f>"600119"</f>
        <v>600119</v>
      </c>
      <c r="B2073" s="1" t="s">
        <v>4073</v>
      </c>
      <c r="C2073" s="1" t="s">
        <v>4914</v>
      </c>
    </row>
    <row r="2074" spans="1:3" x14ac:dyDescent="0.2">
      <c r="A2074" s="1" t="str">
        <f>"600118"</f>
        <v>600118</v>
      </c>
      <c r="B2074" s="1" t="s">
        <v>4074</v>
      </c>
      <c r="C2074" s="1" t="s">
        <v>4884</v>
      </c>
    </row>
    <row r="2075" spans="1:3" x14ac:dyDescent="0.2">
      <c r="A2075" s="1" t="str">
        <f>"600116"</f>
        <v>600116</v>
      </c>
      <c r="B2075" s="1" t="s">
        <v>4075</v>
      </c>
      <c r="C2075" s="1" t="s">
        <v>4889</v>
      </c>
    </row>
    <row r="2076" spans="1:3" x14ac:dyDescent="0.2">
      <c r="A2076" s="1" t="str">
        <f>"600115"</f>
        <v>600115</v>
      </c>
      <c r="B2076" s="1" t="s">
        <v>4076</v>
      </c>
      <c r="C2076" s="1" t="s">
        <v>4924</v>
      </c>
    </row>
    <row r="2077" spans="1:3" x14ac:dyDescent="0.2">
      <c r="A2077" s="1" t="str">
        <f>"600114"</f>
        <v>600114</v>
      </c>
      <c r="B2077" s="1" t="s">
        <v>1190</v>
      </c>
      <c r="C2077" s="1" t="s">
        <v>4851</v>
      </c>
    </row>
    <row r="2078" spans="1:3" x14ac:dyDescent="0.2">
      <c r="A2078" s="1" t="str">
        <f>"600113"</f>
        <v>600113</v>
      </c>
      <c r="B2078" s="1" t="s">
        <v>4077</v>
      </c>
      <c r="C2078" s="1" t="s">
        <v>4931</v>
      </c>
    </row>
    <row r="2079" spans="1:3" x14ac:dyDescent="0.2">
      <c r="A2079" s="1" t="str">
        <f>"600111"</f>
        <v>600111</v>
      </c>
      <c r="B2079" s="1" t="s">
        <v>2660</v>
      </c>
      <c r="C2079" s="1" t="s">
        <v>4855</v>
      </c>
    </row>
    <row r="2080" spans="1:3" x14ac:dyDescent="0.2">
      <c r="A2080" s="1" t="str">
        <f>"600110"</f>
        <v>600110</v>
      </c>
      <c r="B2080" s="1" t="s">
        <v>4078</v>
      </c>
      <c r="C2080" s="1" t="s">
        <v>4841</v>
      </c>
    </row>
    <row r="2081" spans="1:3" x14ac:dyDescent="0.2">
      <c r="A2081" s="1" t="str">
        <f>"600109"</f>
        <v>600109</v>
      </c>
      <c r="B2081" s="1" t="s">
        <v>395</v>
      </c>
      <c r="C2081" s="1" t="s">
        <v>4945</v>
      </c>
    </row>
    <row r="2082" spans="1:3" x14ac:dyDescent="0.2">
      <c r="A2082" s="1" t="str">
        <f>"600108"</f>
        <v>600108</v>
      </c>
      <c r="B2082" s="1" t="s">
        <v>2567</v>
      </c>
      <c r="C2082" s="1" t="s">
        <v>4949</v>
      </c>
    </row>
    <row r="2083" spans="1:3" x14ac:dyDescent="0.2">
      <c r="A2083" s="1" t="str">
        <f>"600106"</f>
        <v>600106</v>
      </c>
      <c r="B2083" s="1" t="s">
        <v>251</v>
      </c>
      <c r="C2083" s="1" t="s">
        <v>4943</v>
      </c>
    </row>
    <row r="2084" spans="1:3" x14ac:dyDescent="0.2">
      <c r="A2084" s="1" t="str">
        <f>"600105"</f>
        <v>600105</v>
      </c>
      <c r="B2084" s="1" t="s">
        <v>697</v>
      </c>
      <c r="C2084" s="1" t="s">
        <v>4869</v>
      </c>
    </row>
    <row r="2085" spans="1:3" x14ac:dyDescent="0.2">
      <c r="A2085" s="1" t="str">
        <f>"600104"</f>
        <v>600104</v>
      </c>
      <c r="B2085" s="1" t="s">
        <v>2086</v>
      </c>
      <c r="C2085" s="1" t="s">
        <v>4955</v>
      </c>
    </row>
    <row r="2086" spans="1:3" x14ac:dyDescent="0.2">
      <c r="A2086" s="1" t="str">
        <f>"600103"</f>
        <v>600103</v>
      </c>
      <c r="B2086" s="1" t="s">
        <v>2294</v>
      </c>
      <c r="C2086" s="1" t="s">
        <v>4892</v>
      </c>
    </row>
    <row r="2087" spans="1:3" x14ac:dyDescent="0.2">
      <c r="A2087" s="1" t="str">
        <f>"600101"</f>
        <v>600101</v>
      </c>
      <c r="B2087" s="1" t="s">
        <v>150</v>
      </c>
      <c r="C2087" s="1" t="s">
        <v>4889</v>
      </c>
    </row>
    <row r="2088" spans="1:3" x14ac:dyDescent="0.2">
      <c r="A2088" s="1" t="str">
        <f>"600100"</f>
        <v>600100</v>
      </c>
      <c r="B2088" s="1" t="s">
        <v>4079</v>
      </c>
      <c r="C2088" s="1" t="s">
        <v>4873</v>
      </c>
    </row>
    <row r="2089" spans="1:3" x14ac:dyDescent="0.2">
      <c r="A2089" s="1" t="str">
        <f>"600099"</f>
        <v>600099</v>
      </c>
      <c r="B2089" s="1" t="s">
        <v>1873</v>
      </c>
      <c r="C2089" s="1" t="s">
        <v>4839</v>
      </c>
    </row>
    <row r="2090" spans="1:3" x14ac:dyDescent="0.2">
      <c r="A2090" s="1" t="str">
        <f>"600098"</f>
        <v>600098</v>
      </c>
      <c r="B2090" s="1" t="s">
        <v>4080</v>
      </c>
      <c r="C2090" s="1" t="s">
        <v>4889</v>
      </c>
    </row>
    <row r="2091" spans="1:3" x14ac:dyDescent="0.2">
      <c r="A2091" s="1" t="str">
        <f>"600097"</f>
        <v>600097</v>
      </c>
      <c r="B2091" s="1" t="s">
        <v>2546</v>
      </c>
      <c r="C2091" s="1" t="s">
        <v>4963</v>
      </c>
    </row>
    <row r="2092" spans="1:3" x14ac:dyDescent="0.2">
      <c r="A2092" s="1" t="str">
        <f>"600096"</f>
        <v>600096</v>
      </c>
      <c r="B2092" s="1" t="s">
        <v>2790</v>
      </c>
      <c r="C2092" s="1" t="s">
        <v>4915</v>
      </c>
    </row>
    <row r="2093" spans="1:3" x14ac:dyDescent="0.2">
      <c r="A2093" s="1" t="str">
        <f>"600095"</f>
        <v>600095</v>
      </c>
      <c r="B2093" s="1" t="s">
        <v>396</v>
      </c>
      <c r="C2093" s="1" t="s">
        <v>4945</v>
      </c>
    </row>
    <row r="2094" spans="1:3" x14ac:dyDescent="0.2">
      <c r="A2094" s="1" t="str">
        <f>"600094"</f>
        <v>600094</v>
      </c>
      <c r="B2094" s="1" t="s">
        <v>4081</v>
      </c>
      <c r="C2094" s="1" t="s">
        <v>4957</v>
      </c>
    </row>
    <row r="2095" spans="1:3" x14ac:dyDescent="0.2">
      <c r="A2095" s="1" t="str">
        <f>"600089"</f>
        <v>600089</v>
      </c>
      <c r="B2095" s="1" t="s">
        <v>1482</v>
      </c>
      <c r="C2095" s="1" t="s">
        <v>4866</v>
      </c>
    </row>
    <row r="2096" spans="1:3" x14ac:dyDescent="0.2">
      <c r="A2096" s="1" t="str">
        <f>"600088"</f>
        <v>600088</v>
      </c>
      <c r="B2096" s="1" t="s">
        <v>4082</v>
      </c>
      <c r="C2096" s="1" t="s">
        <v>4941</v>
      </c>
    </row>
    <row r="2097" spans="1:3" x14ac:dyDescent="0.2">
      <c r="A2097" s="1" t="str">
        <f>"600085"</f>
        <v>600085</v>
      </c>
      <c r="B2097" s="1" t="s">
        <v>1611</v>
      </c>
      <c r="C2097" s="1" t="s">
        <v>4917</v>
      </c>
    </row>
    <row r="2098" spans="1:3" x14ac:dyDescent="0.2">
      <c r="A2098" s="1" t="str">
        <f>"600084"</f>
        <v>600084</v>
      </c>
      <c r="B2098" s="1" t="s">
        <v>2504</v>
      </c>
      <c r="C2098" s="1" t="s">
        <v>4921</v>
      </c>
    </row>
    <row r="2099" spans="1:3" x14ac:dyDescent="0.2">
      <c r="A2099" s="1" t="str">
        <f>"600081"</f>
        <v>600081</v>
      </c>
      <c r="B2099" s="1" t="s">
        <v>1924</v>
      </c>
      <c r="C2099" s="1" t="s">
        <v>4856</v>
      </c>
    </row>
    <row r="2100" spans="1:3" x14ac:dyDescent="0.2">
      <c r="A2100" s="1" t="str">
        <f>"600080"</f>
        <v>600080</v>
      </c>
      <c r="B2100" s="1" t="s">
        <v>1612</v>
      </c>
      <c r="C2100" s="1" t="s">
        <v>4917</v>
      </c>
    </row>
    <row r="2101" spans="1:3" x14ac:dyDescent="0.2">
      <c r="A2101" s="1" t="str">
        <f>"600079"</f>
        <v>600079</v>
      </c>
      <c r="B2101" s="1" t="s">
        <v>1827</v>
      </c>
      <c r="C2101" s="1" t="s">
        <v>4843</v>
      </c>
    </row>
    <row r="2102" spans="1:3" x14ac:dyDescent="0.2">
      <c r="A2102" s="1" t="str">
        <f>"600078"</f>
        <v>600078</v>
      </c>
      <c r="B2102" s="1" t="s">
        <v>4083</v>
      </c>
      <c r="C2102" s="1" t="s">
        <v>4915</v>
      </c>
    </row>
    <row r="2103" spans="1:3" x14ac:dyDescent="0.2">
      <c r="A2103" s="1" t="str">
        <f>"600075"</f>
        <v>600075</v>
      </c>
      <c r="B2103" s="1" t="s">
        <v>4084</v>
      </c>
      <c r="C2103" s="1" t="s">
        <v>4853</v>
      </c>
    </row>
    <row r="2104" spans="1:3" x14ac:dyDescent="0.2">
      <c r="A2104" s="1" t="str">
        <f>"600073"</f>
        <v>600073</v>
      </c>
      <c r="B2104" s="1" t="s">
        <v>2417</v>
      </c>
      <c r="C2104" s="1" t="s">
        <v>4891</v>
      </c>
    </row>
    <row r="2105" spans="1:3" x14ac:dyDescent="0.2">
      <c r="A2105" s="1" t="str">
        <f>"600071"</f>
        <v>600071</v>
      </c>
      <c r="B2105" s="1" t="s">
        <v>808</v>
      </c>
      <c r="C2105" s="1" t="s">
        <v>4878</v>
      </c>
    </row>
    <row r="2106" spans="1:3" x14ac:dyDescent="0.2">
      <c r="A2106" s="1" t="str">
        <f>"600067"</f>
        <v>600067</v>
      </c>
      <c r="B2106" s="1" t="s">
        <v>1435</v>
      </c>
      <c r="C2106" s="1" t="s">
        <v>4866</v>
      </c>
    </row>
    <row r="2107" spans="1:3" x14ac:dyDescent="0.2">
      <c r="A2107" s="1" t="str">
        <f>"600066"</f>
        <v>600066</v>
      </c>
      <c r="B2107" s="1" t="s">
        <v>2075</v>
      </c>
      <c r="C2107" s="1" t="s">
        <v>4962</v>
      </c>
    </row>
    <row r="2108" spans="1:3" x14ac:dyDescent="0.2">
      <c r="A2108" s="1" t="str">
        <f>"600064"</f>
        <v>600064</v>
      </c>
      <c r="B2108" s="1" t="s">
        <v>310</v>
      </c>
      <c r="C2108" s="1" t="s">
        <v>4957</v>
      </c>
    </row>
    <row r="2109" spans="1:3" x14ac:dyDescent="0.2">
      <c r="A2109" s="1" t="str">
        <f>"600063"</f>
        <v>600063</v>
      </c>
      <c r="B2109" s="1" t="s">
        <v>3011</v>
      </c>
      <c r="C2109" s="1" t="s">
        <v>4853</v>
      </c>
    </row>
    <row r="2110" spans="1:3" x14ac:dyDescent="0.2">
      <c r="A2110" s="1" t="str">
        <f>"600062"</f>
        <v>600062</v>
      </c>
      <c r="B2110" s="1" t="s">
        <v>1828</v>
      </c>
      <c r="C2110" s="1" t="s">
        <v>4843</v>
      </c>
    </row>
    <row r="2111" spans="1:3" x14ac:dyDescent="0.2">
      <c r="A2111" s="1" t="str">
        <f>"600061"</f>
        <v>600061</v>
      </c>
      <c r="B2111" s="1" t="s">
        <v>397</v>
      </c>
      <c r="C2111" s="1" t="s">
        <v>4945</v>
      </c>
    </row>
    <row r="2112" spans="1:3" x14ac:dyDescent="0.2">
      <c r="A2112" s="1" t="str">
        <f>"600060"</f>
        <v>600060</v>
      </c>
      <c r="B2112" s="1" t="s">
        <v>2180</v>
      </c>
      <c r="C2112" s="1" t="s">
        <v>4864</v>
      </c>
    </row>
    <row r="2113" spans="1:3" x14ac:dyDescent="0.2">
      <c r="A2113" s="1" t="str">
        <f>"600059"</f>
        <v>600059</v>
      </c>
      <c r="B2113" s="1" t="s">
        <v>2502</v>
      </c>
      <c r="C2113" s="1" t="s">
        <v>4921</v>
      </c>
    </row>
    <row r="2114" spans="1:3" x14ac:dyDescent="0.2">
      <c r="A2114" s="1" t="str">
        <f>"600058"</f>
        <v>600058</v>
      </c>
      <c r="B2114" s="1" t="s">
        <v>2107</v>
      </c>
      <c r="C2114" s="1" t="s">
        <v>4942</v>
      </c>
    </row>
    <row r="2115" spans="1:3" x14ac:dyDescent="0.2">
      <c r="A2115" s="1" t="str">
        <f>"600057"</f>
        <v>600057</v>
      </c>
      <c r="B2115" s="1" t="s">
        <v>185</v>
      </c>
      <c r="C2115" s="1" t="s">
        <v>4914</v>
      </c>
    </row>
    <row r="2116" spans="1:3" x14ac:dyDescent="0.2">
      <c r="A2116" s="1" t="str">
        <f>"600056"</f>
        <v>600056</v>
      </c>
      <c r="B2116" s="1" t="s">
        <v>1650</v>
      </c>
      <c r="C2116" s="1" t="s">
        <v>4903</v>
      </c>
    </row>
    <row r="2117" spans="1:3" x14ac:dyDescent="0.2">
      <c r="A2117" s="1" t="str">
        <f>"600055"</f>
        <v>600055</v>
      </c>
      <c r="B2117" s="1" t="s">
        <v>1725</v>
      </c>
      <c r="C2117" s="1" t="s">
        <v>4867</v>
      </c>
    </row>
    <row r="2118" spans="1:3" x14ac:dyDescent="0.2">
      <c r="A2118" s="1" t="str">
        <f>"600054"</f>
        <v>600054</v>
      </c>
      <c r="B2118" s="1" t="s">
        <v>285</v>
      </c>
      <c r="C2118" s="1" t="s">
        <v>4940</v>
      </c>
    </row>
    <row r="2119" spans="1:3" x14ac:dyDescent="0.2">
      <c r="A2119" s="1" t="str">
        <f>"600052"</f>
        <v>600052</v>
      </c>
      <c r="B2119" s="1" t="s">
        <v>4085</v>
      </c>
      <c r="C2119" s="1" t="s">
        <v>4889</v>
      </c>
    </row>
    <row r="2120" spans="1:3" x14ac:dyDescent="0.2">
      <c r="A2120" s="1" t="str">
        <f>"600051"</f>
        <v>600051</v>
      </c>
      <c r="B2120" s="1" t="s">
        <v>6</v>
      </c>
      <c r="C2120" s="1" t="s">
        <v>4961</v>
      </c>
    </row>
    <row r="2121" spans="1:3" x14ac:dyDescent="0.2">
      <c r="A2121" s="1" t="str">
        <f>"600050"</f>
        <v>600050</v>
      </c>
      <c r="B2121" s="1" t="s">
        <v>655</v>
      </c>
      <c r="C2121" s="1" t="s">
        <v>4954</v>
      </c>
    </row>
    <row r="2122" spans="1:3" x14ac:dyDescent="0.2">
      <c r="A2122" s="1" t="str">
        <f>"600048"</f>
        <v>600048</v>
      </c>
      <c r="B2122" s="1" t="s">
        <v>4086</v>
      </c>
      <c r="C2122" s="1" t="s">
        <v>4957</v>
      </c>
    </row>
    <row r="2123" spans="1:3" x14ac:dyDescent="0.2">
      <c r="A2123" s="1" t="str">
        <f>"600039"</f>
        <v>600039</v>
      </c>
      <c r="B2123" s="1" t="s">
        <v>4087</v>
      </c>
      <c r="C2123" s="1" t="s">
        <v>4898</v>
      </c>
    </row>
    <row r="2124" spans="1:3" x14ac:dyDescent="0.2">
      <c r="A2124" s="1" t="str">
        <f>"600038"</f>
        <v>600038</v>
      </c>
      <c r="B2124" s="1" t="s">
        <v>1342</v>
      </c>
      <c r="C2124" s="1" t="s">
        <v>4862</v>
      </c>
    </row>
    <row r="2125" spans="1:3" x14ac:dyDescent="0.2">
      <c r="A2125" s="1" t="str">
        <f>"600037"</f>
        <v>600037</v>
      </c>
      <c r="B2125" s="1" t="s">
        <v>431</v>
      </c>
      <c r="C2125" s="1" t="s">
        <v>4950</v>
      </c>
    </row>
    <row r="2126" spans="1:3" x14ac:dyDescent="0.2">
      <c r="A2126" s="1" t="str">
        <f>"600036"</f>
        <v>600036</v>
      </c>
      <c r="B2126" s="1" t="s">
        <v>418</v>
      </c>
      <c r="C2126" s="1" t="s">
        <v>4944</v>
      </c>
    </row>
    <row r="2127" spans="1:3" x14ac:dyDescent="0.2">
      <c r="A2127" s="1" t="str">
        <f>"600035"</f>
        <v>600035</v>
      </c>
      <c r="B2127" s="1" t="s">
        <v>252</v>
      </c>
      <c r="C2127" s="1" t="s">
        <v>4943</v>
      </c>
    </row>
    <row r="2128" spans="1:3" x14ac:dyDescent="0.2">
      <c r="A2128" s="1" t="str">
        <f>"600033"</f>
        <v>600033</v>
      </c>
      <c r="B2128" s="1" t="s">
        <v>253</v>
      </c>
      <c r="C2128" s="1" t="s">
        <v>4943</v>
      </c>
    </row>
    <row r="2129" spans="1:3" x14ac:dyDescent="0.2">
      <c r="A2129" s="1" t="str">
        <f>"600032"</f>
        <v>600032</v>
      </c>
      <c r="B2129" s="1" t="s">
        <v>127</v>
      </c>
      <c r="C2129" s="1" t="s">
        <v>4889</v>
      </c>
    </row>
    <row r="2130" spans="1:3" x14ac:dyDescent="0.2">
      <c r="A2130" s="1" t="str">
        <f>"600031"</f>
        <v>600031</v>
      </c>
      <c r="B2130" s="1" t="s">
        <v>1006</v>
      </c>
      <c r="C2130" s="1" t="s">
        <v>4880</v>
      </c>
    </row>
    <row r="2131" spans="1:3" x14ac:dyDescent="0.2">
      <c r="A2131" s="1" t="str">
        <f>"600030"</f>
        <v>600030</v>
      </c>
      <c r="B2131" s="1" t="s">
        <v>398</v>
      </c>
      <c r="C2131" s="1" t="s">
        <v>4945</v>
      </c>
    </row>
    <row r="2132" spans="1:3" x14ac:dyDescent="0.2">
      <c r="A2132" s="1" t="str">
        <f>"600029"</f>
        <v>600029</v>
      </c>
      <c r="B2132" s="1" t="s">
        <v>4088</v>
      </c>
      <c r="C2132" s="1" t="s">
        <v>4924</v>
      </c>
    </row>
    <row r="2133" spans="1:3" x14ac:dyDescent="0.2">
      <c r="A2133" s="1" t="str">
        <f>"600028"</f>
        <v>600028</v>
      </c>
      <c r="B2133" s="1" t="s">
        <v>4089</v>
      </c>
      <c r="C2133" s="1" t="s">
        <v>4925</v>
      </c>
    </row>
    <row r="2134" spans="1:3" x14ac:dyDescent="0.2">
      <c r="A2134" s="1" t="str">
        <f>"600027"</f>
        <v>600027</v>
      </c>
      <c r="B2134" s="1" t="s">
        <v>4090</v>
      </c>
      <c r="C2134" s="1" t="s">
        <v>4889</v>
      </c>
    </row>
    <row r="2135" spans="1:3" x14ac:dyDescent="0.2">
      <c r="A2135" s="1" t="str">
        <f>"600026"</f>
        <v>600026</v>
      </c>
      <c r="B2135" s="1" t="s">
        <v>211</v>
      </c>
      <c r="C2135" s="1" t="s">
        <v>4933</v>
      </c>
    </row>
    <row r="2136" spans="1:3" x14ac:dyDescent="0.2">
      <c r="A2136" s="1" t="str">
        <f>"600025"</f>
        <v>600025</v>
      </c>
      <c r="B2136" s="1" t="s">
        <v>151</v>
      </c>
      <c r="C2136" s="1" t="s">
        <v>4889</v>
      </c>
    </row>
    <row r="2137" spans="1:3" x14ac:dyDescent="0.2">
      <c r="A2137" s="1" t="str">
        <f>"600023"</f>
        <v>600023</v>
      </c>
      <c r="B2137" s="1" t="s">
        <v>4091</v>
      </c>
      <c r="C2137" s="1" t="s">
        <v>4889</v>
      </c>
    </row>
    <row r="2138" spans="1:3" x14ac:dyDescent="0.2">
      <c r="A2138" s="1" t="str">
        <f>"600022"</f>
        <v>600022</v>
      </c>
      <c r="B2138" s="1" t="s">
        <v>4092</v>
      </c>
      <c r="C2138" s="1" t="s">
        <v>4908</v>
      </c>
    </row>
    <row r="2139" spans="1:3" x14ac:dyDescent="0.2">
      <c r="A2139" s="1" t="str">
        <f>"600021"</f>
        <v>600021</v>
      </c>
      <c r="B2139" s="1" t="s">
        <v>4093</v>
      </c>
      <c r="C2139" s="1" t="s">
        <v>4889</v>
      </c>
    </row>
    <row r="2140" spans="1:3" x14ac:dyDescent="0.2">
      <c r="A2140" s="1" t="str">
        <f>"600020"</f>
        <v>600020</v>
      </c>
      <c r="B2140" s="1" t="s">
        <v>254</v>
      </c>
      <c r="C2140" s="1" t="s">
        <v>4943</v>
      </c>
    </row>
    <row r="2141" spans="1:3" x14ac:dyDescent="0.2">
      <c r="A2141" s="1" t="str">
        <f>"600019"</f>
        <v>600019</v>
      </c>
      <c r="B2141" s="1" t="s">
        <v>2753</v>
      </c>
      <c r="C2141" s="1" t="s">
        <v>4908</v>
      </c>
    </row>
    <row r="2142" spans="1:3" x14ac:dyDescent="0.2">
      <c r="A2142" s="1" t="str">
        <f>"600018"</f>
        <v>600018</v>
      </c>
      <c r="B2142" s="1" t="s">
        <v>222</v>
      </c>
      <c r="C2142" s="1" t="s">
        <v>4933</v>
      </c>
    </row>
    <row r="2143" spans="1:3" x14ac:dyDescent="0.2">
      <c r="A2143" s="1" t="str">
        <f>"600017"</f>
        <v>600017</v>
      </c>
      <c r="B2143" s="1" t="s">
        <v>223</v>
      </c>
      <c r="C2143" s="1" t="s">
        <v>4933</v>
      </c>
    </row>
    <row r="2144" spans="1:3" x14ac:dyDescent="0.2">
      <c r="A2144" s="1" t="str">
        <f>"600016"</f>
        <v>600016</v>
      </c>
      <c r="B2144" s="1" t="s">
        <v>419</v>
      </c>
      <c r="C2144" s="1" t="s">
        <v>4944</v>
      </c>
    </row>
    <row r="2145" spans="1:3" x14ac:dyDescent="0.2">
      <c r="A2145" s="1" t="str">
        <f>"600015"</f>
        <v>600015</v>
      </c>
      <c r="B2145" s="1" t="s">
        <v>420</v>
      </c>
      <c r="C2145" s="1" t="s">
        <v>4944</v>
      </c>
    </row>
    <row r="2146" spans="1:3" x14ac:dyDescent="0.2">
      <c r="A2146" s="1" t="str">
        <f>"600012"</f>
        <v>600012</v>
      </c>
      <c r="B2146" s="1" t="s">
        <v>255</v>
      </c>
      <c r="C2146" s="1" t="s">
        <v>4943</v>
      </c>
    </row>
    <row r="2147" spans="1:3" x14ac:dyDescent="0.2">
      <c r="A2147" s="1" t="str">
        <f>"600011"</f>
        <v>600011</v>
      </c>
      <c r="B2147" s="1" t="s">
        <v>4094</v>
      </c>
      <c r="C2147" s="1" t="s">
        <v>4889</v>
      </c>
    </row>
    <row r="2148" spans="1:3" x14ac:dyDescent="0.2">
      <c r="A2148" s="1" t="str">
        <f>"600010"</f>
        <v>600010</v>
      </c>
      <c r="B2148" s="1" t="s">
        <v>2754</v>
      </c>
      <c r="C2148" s="1" t="s">
        <v>4908</v>
      </c>
    </row>
    <row r="2149" spans="1:3" x14ac:dyDescent="0.2">
      <c r="A2149" s="1" t="str">
        <f>"600009"</f>
        <v>600009</v>
      </c>
      <c r="B2149" s="1" t="s">
        <v>232</v>
      </c>
      <c r="C2149" s="1" t="s">
        <v>4924</v>
      </c>
    </row>
    <row r="2150" spans="1:3" x14ac:dyDescent="0.2">
      <c r="A2150" s="1" t="str">
        <f>"600008"</f>
        <v>600008</v>
      </c>
      <c r="B2150" s="1" t="s">
        <v>90</v>
      </c>
      <c r="C2150" s="1" t="s">
        <v>4926</v>
      </c>
    </row>
    <row r="2151" spans="1:3" x14ac:dyDescent="0.2">
      <c r="A2151" s="1" t="str">
        <f>"600007"</f>
        <v>600007</v>
      </c>
      <c r="B2151" s="1" t="s">
        <v>312</v>
      </c>
      <c r="C2151" s="1" t="s">
        <v>4957</v>
      </c>
    </row>
    <row r="2152" spans="1:3" x14ac:dyDescent="0.2">
      <c r="A2152" s="1" t="str">
        <f>"600006"</f>
        <v>600006</v>
      </c>
      <c r="B2152" s="1" t="s">
        <v>2080</v>
      </c>
      <c r="C2152" s="1" t="s">
        <v>4962</v>
      </c>
    </row>
    <row r="2153" spans="1:3" x14ac:dyDescent="0.2">
      <c r="A2153" s="1" t="str">
        <f>"600004"</f>
        <v>600004</v>
      </c>
      <c r="B2153" s="1" t="s">
        <v>233</v>
      </c>
      <c r="C2153" s="1" t="s">
        <v>4924</v>
      </c>
    </row>
    <row r="2154" spans="1:3" x14ac:dyDescent="0.2">
      <c r="A2154" s="1" t="str">
        <f>"600000"</f>
        <v>600000</v>
      </c>
      <c r="B2154" s="1" t="s">
        <v>421</v>
      </c>
      <c r="C2154" s="1" t="s">
        <v>4944</v>
      </c>
    </row>
    <row r="2155" spans="1:3" x14ac:dyDescent="0.2">
      <c r="A2155" s="1" t="str">
        <f>"302132"</f>
        <v>302132</v>
      </c>
      <c r="B2155" s="1" t="s">
        <v>1310</v>
      </c>
      <c r="C2155" s="1" t="s">
        <v>4846</v>
      </c>
    </row>
    <row r="2156" spans="1:3" x14ac:dyDescent="0.2">
      <c r="A2156" s="1" t="str">
        <f>"301678"</f>
        <v>301678</v>
      </c>
      <c r="B2156" s="1" t="s">
        <v>4095</v>
      </c>
      <c r="C2156" s="1" t="s">
        <v>4840</v>
      </c>
    </row>
    <row r="2157" spans="1:3" x14ac:dyDescent="0.2">
      <c r="A2157" s="1" t="str">
        <f>"301665"</f>
        <v>301665</v>
      </c>
      <c r="B2157" s="1" t="s">
        <v>2807</v>
      </c>
      <c r="C2157" s="1" t="s">
        <v>4915</v>
      </c>
    </row>
    <row r="2158" spans="1:3" x14ac:dyDescent="0.2">
      <c r="A2158" s="1" t="str">
        <f>"301662"</f>
        <v>301662</v>
      </c>
      <c r="B2158" s="1" t="s">
        <v>1030</v>
      </c>
      <c r="C2158" s="1" t="s">
        <v>4845</v>
      </c>
    </row>
    <row r="2159" spans="1:3" x14ac:dyDescent="0.2">
      <c r="A2159" s="1" t="str">
        <f>"301658"</f>
        <v>301658</v>
      </c>
      <c r="B2159" s="1" t="s">
        <v>1420</v>
      </c>
      <c r="C2159" s="1" t="s">
        <v>4857</v>
      </c>
    </row>
    <row r="2160" spans="1:3" x14ac:dyDescent="0.2">
      <c r="A2160" s="1" t="str">
        <f>"301636"</f>
        <v>301636</v>
      </c>
      <c r="B2160" s="1" t="s">
        <v>1411</v>
      </c>
      <c r="C2160" s="1" t="s">
        <v>4857</v>
      </c>
    </row>
    <row r="2161" spans="1:3" x14ac:dyDescent="0.2">
      <c r="A2161" s="1" t="str">
        <f>"301633"</f>
        <v>301633</v>
      </c>
      <c r="B2161" s="1" t="s">
        <v>4096</v>
      </c>
      <c r="C2161" s="1" t="s">
        <v>4849</v>
      </c>
    </row>
    <row r="2162" spans="1:3" x14ac:dyDescent="0.2">
      <c r="A2162" s="1" t="str">
        <f>"301632"</f>
        <v>301632</v>
      </c>
      <c r="B2162" s="1" t="s">
        <v>4097</v>
      </c>
      <c r="C2162" s="1" t="s">
        <v>4854</v>
      </c>
    </row>
    <row r="2163" spans="1:3" x14ac:dyDescent="0.2">
      <c r="A2163" s="1" t="str">
        <f>"301631"</f>
        <v>301631</v>
      </c>
      <c r="B2163" s="1" t="s">
        <v>855</v>
      </c>
      <c r="C2163" s="1" t="s">
        <v>4850</v>
      </c>
    </row>
    <row r="2164" spans="1:3" x14ac:dyDescent="0.2">
      <c r="A2164" s="1" t="str">
        <f>"301630"</f>
        <v>301630</v>
      </c>
      <c r="B2164" s="1" t="s">
        <v>4098</v>
      </c>
      <c r="C2164" s="1" t="s">
        <v>4842</v>
      </c>
    </row>
    <row r="2165" spans="1:3" x14ac:dyDescent="0.2">
      <c r="A2165" s="1" t="str">
        <f>"301629"</f>
        <v>301629</v>
      </c>
      <c r="B2165" s="1" t="s">
        <v>934</v>
      </c>
      <c r="C2165" s="1" t="s">
        <v>4840</v>
      </c>
    </row>
    <row r="2166" spans="1:3" x14ac:dyDescent="0.2">
      <c r="A2166" s="1" t="str">
        <f>"301628"</f>
        <v>301628</v>
      </c>
      <c r="B2166" s="1" t="s">
        <v>758</v>
      </c>
      <c r="C2166" s="1" t="s">
        <v>4872</v>
      </c>
    </row>
    <row r="2167" spans="1:3" x14ac:dyDescent="0.2">
      <c r="A2167" s="1" t="str">
        <f>"301626"</f>
        <v>301626</v>
      </c>
      <c r="B2167" s="1" t="s">
        <v>856</v>
      </c>
      <c r="C2167" s="1" t="s">
        <v>4850</v>
      </c>
    </row>
    <row r="2168" spans="1:3" x14ac:dyDescent="0.2">
      <c r="A2168" s="1" t="str">
        <f>"301622"</f>
        <v>301622</v>
      </c>
      <c r="B2168" s="1" t="s">
        <v>2630</v>
      </c>
      <c r="C2168" s="1" t="s">
        <v>4848</v>
      </c>
    </row>
    <row r="2169" spans="1:3" x14ac:dyDescent="0.2">
      <c r="A2169" s="1" t="str">
        <f>"301618"</f>
        <v>301618</v>
      </c>
      <c r="B2169" s="1" t="s">
        <v>2962</v>
      </c>
      <c r="C2169" s="1" t="s">
        <v>4865</v>
      </c>
    </row>
    <row r="2170" spans="1:3" x14ac:dyDescent="0.2">
      <c r="A2170" s="1" t="str">
        <f>"301617"</f>
        <v>301617</v>
      </c>
      <c r="B2170" s="1" t="s">
        <v>2898</v>
      </c>
      <c r="C2170" s="1" t="s">
        <v>4865</v>
      </c>
    </row>
    <row r="2171" spans="1:3" x14ac:dyDescent="0.2">
      <c r="A2171" s="1" t="str">
        <f>"301616"</f>
        <v>301616</v>
      </c>
      <c r="B2171" s="1" t="s">
        <v>1221</v>
      </c>
      <c r="C2171" s="1" t="s">
        <v>4851</v>
      </c>
    </row>
    <row r="2172" spans="1:3" x14ac:dyDescent="0.2">
      <c r="A2172" s="1" t="str">
        <f>"301613"</f>
        <v>301613</v>
      </c>
      <c r="B2172" s="1" t="s">
        <v>1925</v>
      </c>
      <c r="C2172" s="1" t="s">
        <v>4856</v>
      </c>
    </row>
    <row r="2173" spans="1:3" x14ac:dyDescent="0.2">
      <c r="A2173" s="1" t="str">
        <f>"301611"</f>
        <v>301611</v>
      </c>
      <c r="B2173" s="1" t="s">
        <v>942</v>
      </c>
      <c r="C2173" s="1" t="s">
        <v>4840</v>
      </c>
    </row>
    <row r="2174" spans="1:3" x14ac:dyDescent="0.2">
      <c r="A2174" s="1" t="str">
        <f>"301609"</f>
        <v>301609</v>
      </c>
      <c r="B2174" s="1" t="s">
        <v>4099</v>
      </c>
      <c r="C2174" s="1" t="s">
        <v>4866</v>
      </c>
    </row>
    <row r="2175" spans="1:3" x14ac:dyDescent="0.2">
      <c r="A2175" s="1" t="str">
        <f>"301608"</f>
        <v>301608</v>
      </c>
      <c r="B2175" s="1" t="s">
        <v>669</v>
      </c>
      <c r="C2175" s="1" t="s">
        <v>4869</v>
      </c>
    </row>
    <row r="2176" spans="1:3" x14ac:dyDescent="0.2">
      <c r="A2176" s="1" t="str">
        <f>"301607"</f>
        <v>301607</v>
      </c>
      <c r="B2176" s="1" t="s">
        <v>1898</v>
      </c>
      <c r="C2176" s="1" t="s">
        <v>4856</v>
      </c>
    </row>
    <row r="2177" spans="1:3" x14ac:dyDescent="0.2">
      <c r="A2177" s="1" t="str">
        <f>"301606"</f>
        <v>301606</v>
      </c>
      <c r="B2177" s="1" t="s">
        <v>841</v>
      </c>
      <c r="C2177" s="1" t="s">
        <v>4850</v>
      </c>
    </row>
    <row r="2178" spans="1:3" x14ac:dyDescent="0.2">
      <c r="A2178" s="1" t="str">
        <f>"301603"</f>
        <v>301603</v>
      </c>
      <c r="B2178" s="1" t="s">
        <v>1255</v>
      </c>
      <c r="C2178" s="1" t="s">
        <v>4851</v>
      </c>
    </row>
    <row r="2179" spans="1:3" x14ac:dyDescent="0.2">
      <c r="A2179" s="1" t="str">
        <f>"301602"</f>
        <v>301602</v>
      </c>
      <c r="B2179" s="1" t="s">
        <v>1726</v>
      </c>
      <c r="C2179" s="1" t="s">
        <v>4867</v>
      </c>
    </row>
    <row r="2180" spans="1:3" x14ac:dyDescent="0.2">
      <c r="A2180" s="1" t="str">
        <f>"301601"</f>
        <v>301601</v>
      </c>
      <c r="B2180" s="1" t="s">
        <v>1031</v>
      </c>
      <c r="C2180" s="1" t="s">
        <v>4845</v>
      </c>
    </row>
    <row r="2181" spans="1:3" x14ac:dyDescent="0.2">
      <c r="A2181" s="1" t="str">
        <f>"301600"</f>
        <v>301600</v>
      </c>
      <c r="B2181" s="1" t="s">
        <v>670</v>
      </c>
      <c r="C2181" s="1" t="s">
        <v>4869</v>
      </c>
    </row>
    <row r="2182" spans="1:3" x14ac:dyDescent="0.2">
      <c r="A2182" s="1" t="str">
        <f>"301598"</f>
        <v>301598</v>
      </c>
      <c r="B2182" s="1" t="s">
        <v>1032</v>
      </c>
      <c r="C2182" s="1" t="s">
        <v>4845</v>
      </c>
    </row>
    <row r="2183" spans="1:3" x14ac:dyDescent="0.2">
      <c r="A2183" s="1" t="str">
        <f>"301596"</f>
        <v>301596</v>
      </c>
      <c r="B2183" s="1" t="s">
        <v>1222</v>
      </c>
      <c r="C2183" s="1" t="s">
        <v>4851</v>
      </c>
    </row>
    <row r="2184" spans="1:3" x14ac:dyDescent="0.2">
      <c r="A2184" s="1" t="str">
        <f>"301595"</f>
        <v>301595</v>
      </c>
      <c r="B2184" s="1" t="s">
        <v>2823</v>
      </c>
      <c r="C2184" s="1" t="s">
        <v>4906</v>
      </c>
    </row>
    <row r="2185" spans="1:3" x14ac:dyDescent="0.2">
      <c r="A2185" s="1" t="str">
        <f>"301592"</f>
        <v>301592</v>
      </c>
      <c r="B2185" s="1" t="s">
        <v>4100</v>
      </c>
      <c r="C2185" s="1" t="s">
        <v>4846</v>
      </c>
    </row>
    <row r="2186" spans="1:3" x14ac:dyDescent="0.2">
      <c r="A2186" s="1" t="str">
        <f>"301591"</f>
        <v>301591</v>
      </c>
      <c r="B2186" s="1" t="s">
        <v>2838</v>
      </c>
      <c r="C2186" s="1" t="s">
        <v>4860</v>
      </c>
    </row>
    <row r="2187" spans="1:3" x14ac:dyDescent="0.2">
      <c r="A2187" s="1" t="str">
        <f>"301590"</f>
        <v>301590</v>
      </c>
      <c r="B2187" s="1" t="s">
        <v>1367</v>
      </c>
      <c r="C2187" s="1" t="s">
        <v>4859</v>
      </c>
    </row>
    <row r="2188" spans="1:3" x14ac:dyDescent="0.2">
      <c r="A2188" s="1" t="str">
        <f>"301589"</f>
        <v>301589</v>
      </c>
      <c r="B2188" s="1" t="s">
        <v>608</v>
      </c>
      <c r="C2188" s="1" t="s">
        <v>4873</v>
      </c>
    </row>
    <row r="2189" spans="1:3" x14ac:dyDescent="0.2">
      <c r="A2189" s="1" t="str">
        <f>"301588"</f>
        <v>301588</v>
      </c>
      <c r="B2189" s="1" t="s">
        <v>2243</v>
      </c>
      <c r="C2189" s="1" t="s">
        <v>4902</v>
      </c>
    </row>
    <row r="2190" spans="1:3" x14ac:dyDescent="0.2">
      <c r="A2190" s="1" t="str">
        <f>"301587"</f>
        <v>301587</v>
      </c>
      <c r="B2190" s="1" t="s">
        <v>1549</v>
      </c>
      <c r="C2190" s="1" t="s">
        <v>4841</v>
      </c>
    </row>
    <row r="2191" spans="1:3" x14ac:dyDescent="0.2">
      <c r="A2191" s="1" t="str">
        <f>"301586"</f>
        <v>301586</v>
      </c>
      <c r="B2191" s="1" t="s">
        <v>1343</v>
      </c>
      <c r="C2191" s="1" t="s">
        <v>4862</v>
      </c>
    </row>
    <row r="2192" spans="1:3" x14ac:dyDescent="0.2">
      <c r="A2192" s="1" t="str">
        <f>"301585"</f>
        <v>301585</v>
      </c>
      <c r="B2192" s="1" t="s">
        <v>2963</v>
      </c>
      <c r="C2192" s="1" t="s">
        <v>4865</v>
      </c>
    </row>
    <row r="2193" spans="1:3" x14ac:dyDescent="0.2">
      <c r="A2193" s="1" t="str">
        <f>"301581"</f>
        <v>301581</v>
      </c>
      <c r="B2193" s="1" t="s">
        <v>943</v>
      </c>
      <c r="C2193" s="1" t="s">
        <v>4840</v>
      </c>
    </row>
    <row r="2194" spans="1:3" x14ac:dyDescent="0.2">
      <c r="A2194" s="1" t="str">
        <f>"301580"</f>
        <v>301580</v>
      </c>
      <c r="B2194" s="1" t="s">
        <v>1704</v>
      </c>
      <c r="C2194" s="1" t="s">
        <v>4867</v>
      </c>
    </row>
    <row r="2195" spans="1:3" x14ac:dyDescent="0.2">
      <c r="A2195" s="1" t="str">
        <f>"301578"</f>
        <v>301578</v>
      </c>
      <c r="B2195" s="1" t="s">
        <v>705</v>
      </c>
      <c r="C2195" s="1" t="s">
        <v>4842</v>
      </c>
    </row>
    <row r="2196" spans="1:3" x14ac:dyDescent="0.2">
      <c r="A2196" s="1" t="str">
        <f>"301577"</f>
        <v>301577</v>
      </c>
      <c r="B2196" s="1" t="s">
        <v>706</v>
      </c>
      <c r="C2196" s="1" t="s">
        <v>4842</v>
      </c>
    </row>
    <row r="2197" spans="1:3" x14ac:dyDescent="0.2">
      <c r="A2197" s="1" t="str">
        <f>"301571"</f>
        <v>301571</v>
      </c>
      <c r="B2197" s="1" t="s">
        <v>707</v>
      </c>
      <c r="C2197" s="1" t="s">
        <v>4842</v>
      </c>
    </row>
    <row r="2198" spans="1:3" x14ac:dyDescent="0.2">
      <c r="A2198" s="1" t="str">
        <f>"301568"</f>
        <v>301568</v>
      </c>
      <c r="B2198" s="1" t="s">
        <v>1033</v>
      </c>
      <c r="C2198" s="1" t="s">
        <v>4845</v>
      </c>
    </row>
    <row r="2199" spans="1:3" x14ac:dyDescent="0.2">
      <c r="A2199" s="1" t="str">
        <f>"301567"</f>
        <v>301567</v>
      </c>
      <c r="B2199" s="1" t="s">
        <v>857</v>
      </c>
      <c r="C2199" s="1" t="s">
        <v>4850</v>
      </c>
    </row>
    <row r="2200" spans="1:3" x14ac:dyDescent="0.2">
      <c r="A2200" s="1" t="str">
        <f>"301566"</f>
        <v>301566</v>
      </c>
      <c r="B2200" s="1" t="s">
        <v>740</v>
      </c>
      <c r="C2200" s="1" t="s">
        <v>4872</v>
      </c>
    </row>
    <row r="2201" spans="1:3" x14ac:dyDescent="0.2">
      <c r="A2201" s="1" t="str">
        <f>"301565"</f>
        <v>301565</v>
      </c>
      <c r="B2201" s="1" t="s">
        <v>2874</v>
      </c>
      <c r="C2201" s="1" t="s">
        <v>4860</v>
      </c>
    </row>
    <row r="2202" spans="1:3" x14ac:dyDescent="0.2">
      <c r="A2202" s="1" t="str">
        <f>"301560"</f>
        <v>301560</v>
      </c>
      <c r="B2202" s="1" t="s">
        <v>1998</v>
      </c>
      <c r="C2202" s="1" t="s">
        <v>4856</v>
      </c>
    </row>
    <row r="2203" spans="1:3" x14ac:dyDescent="0.2">
      <c r="A2203" s="1" t="str">
        <f>"301559"</f>
        <v>301559</v>
      </c>
      <c r="B2203" s="1" t="s">
        <v>1191</v>
      </c>
      <c r="C2203" s="1" t="s">
        <v>4851</v>
      </c>
    </row>
    <row r="2204" spans="1:3" x14ac:dyDescent="0.2">
      <c r="A2204" s="1" t="str">
        <f>"301558"</f>
        <v>301558</v>
      </c>
      <c r="B2204" s="1" t="s">
        <v>2096</v>
      </c>
      <c r="C2204" s="1" t="s">
        <v>4910</v>
      </c>
    </row>
    <row r="2205" spans="1:3" x14ac:dyDescent="0.2">
      <c r="A2205" s="1" t="str">
        <f>"301557"</f>
        <v>301557</v>
      </c>
      <c r="B2205" s="1" t="s">
        <v>1386</v>
      </c>
      <c r="C2205" s="1" t="s">
        <v>4870</v>
      </c>
    </row>
    <row r="2206" spans="1:3" x14ac:dyDescent="0.2">
      <c r="A2206" s="1" t="str">
        <f>"301556"</f>
        <v>301556</v>
      </c>
      <c r="B2206" s="1" t="s">
        <v>555</v>
      </c>
      <c r="C2206" s="1" t="s">
        <v>4847</v>
      </c>
    </row>
    <row r="2207" spans="1:3" x14ac:dyDescent="0.2">
      <c r="A2207" s="1" t="str">
        <f>"301555"</f>
        <v>301555</v>
      </c>
      <c r="B2207" s="1" t="s">
        <v>2884</v>
      </c>
      <c r="C2207" s="1" t="s">
        <v>4860</v>
      </c>
    </row>
    <row r="2208" spans="1:3" x14ac:dyDescent="0.2">
      <c r="A2208" s="1" t="str">
        <f>"301552"</f>
        <v>301552</v>
      </c>
      <c r="B2208" s="1" t="s">
        <v>2056</v>
      </c>
      <c r="C2208" s="1" t="s">
        <v>4856</v>
      </c>
    </row>
    <row r="2209" spans="1:3" x14ac:dyDescent="0.2">
      <c r="A2209" s="1" t="str">
        <f>"301551"</f>
        <v>301551</v>
      </c>
      <c r="B2209" s="1" t="s">
        <v>432</v>
      </c>
      <c r="C2209" s="1" t="s">
        <v>4950</v>
      </c>
    </row>
    <row r="2210" spans="1:3" x14ac:dyDescent="0.2">
      <c r="A2210" s="1" t="str">
        <f>"301550"</f>
        <v>301550</v>
      </c>
      <c r="B2210" s="1" t="s">
        <v>1955</v>
      </c>
      <c r="C2210" s="1" t="s">
        <v>4856</v>
      </c>
    </row>
    <row r="2211" spans="1:3" x14ac:dyDescent="0.2">
      <c r="A2211" s="1" t="str">
        <f>"301548"</f>
        <v>301548</v>
      </c>
      <c r="B2211" s="1" t="s">
        <v>1223</v>
      </c>
      <c r="C2211" s="1" t="s">
        <v>4851</v>
      </c>
    </row>
    <row r="2212" spans="1:3" x14ac:dyDescent="0.2">
      <c r="A2212" s="1" t="str">
        <f>"301539"</f>
        <v>301539</v>
      </c>
      <c r="B2212" s="1" t="s">
        <v>1956</v>
      </c>
      <c r="C2212" s="1" t="s">
        <v>4856</v>
      </c>
    </row>
    <row r="2213" spans="1:3" x14ac:dyDescent="0.2">
      <c r="A2213" s="1" t="str">
        <f>"301538"</f>
        <v>301538</v>
      </c>
      <c r="B2213" s="1" t="s">
        <v>2862</v>
      </c>
      <c r="C2213" s="1" t="s">
        <v>4860</v>
      </c>
    </row>
    <row r="2214" spans="1:3" x14ac:dyDescent="0.2">
      <c r="A2214" s="1" t="str">
        <f>"301536"</f>
        <v>301536</v>
      </c>
      <c r="B2214" s="1" t="s">
        <v>924</v>
      </c>
      <c r="C2214" s="1" t="s">
        <v>4840</v>
      </c>
    </row>
    <row r="2215" spans="1:3" x14ac:dyDescent="0.2">
      <c r="A2215" s="1" t="str">
        <f>"301535"</f>
        <v>301535</v>
      </c>
      <c r="B2215" s="1" t="s">
        <v>1926</v>
      </c>
      <c r="C2215" s="1" t="s">
        <v>4856</v>
      </c>
    </row>
    <row r="2216" spans="1:3" x14ac:dyDescent="0.2">
      <c r="A2216" s="1" t="str">
        <f>"301533"</f>
        <v>301533</v>
      </c>
      <c r="B2216" s="1" t="s">
        <v>1084</v>
      </c>
      <c r="C2216" s="1" t="s">
        <v>4845</v>
      </c>
    </row>
    <row r="2217" spans="1:3" x14ac:dyDescent="0.2">
      <c r="A2217" s="1" t="str">
        <f>"301529"</f>
        <v>301529</v>
      </c>
      <c r="B2217" s="1" t="s">
        <v>2057</v>
      </c>
      <c r="C2217" s="1" t="s">
        <v>4856</v>
      </c>
    </row>
    <row r="2218" spans="1:3" x14ac:dyDescent="0.2">
      <c r="A2218" s="1" t="str">
        <f>"301528"</f>
        <v>301528</v>
      </c>
      <c r="B2218" s="1" t="s">
        <v>1269</v>
      </c>
      <c r="C2218" s="1" t="s">
        <v>4851</v>
      </c>
    </row>
    <row r="2219" spans="1:3" x14ac:dyDescent="0.2">
      <c r="A2219" s="1" t="str">
        <f>"301526"</f>
        <v>301526</v>
      </c>
      <c r="B2219" s="1" t="s">
        <v>2607</v>
      </c>
      <c r="C2219" s="1" t="s">
        <v>4916</v>
      </c>
    </row>
    <row r="2220" spans="1:3" x14ac:dyDescent="0.2">
      <c r="A2220" s="1" t="str">
        <f>"301525"</f>
        <v>301525</v>
      </c>
      <c r="B2220" s="1" t="s">
        <v>2139</v>
      </c>
      <c r="C2220" s="1" t="s">
        <v>4929</v>
      </c>
    </row>
    <row r="2221" spans="1:3" x14ac:dyDescent="0.2">
      <c r="A2221" s="1" t="str">
        <f>"301522"</f>
        <v>301522</v>
      </c>
      <c r="B2221" s="1" t="s">
        <v>2622</v>
      </c>
      <c r="C2221" s="1" t="s">
        <v>4848</v>
      </c>
    </row>
    <row r="2222" spans="1:3" x14ac:dyDescent="0.2">
      <c r="A2222" s="1" t="str">
        <f>"301520"</f>
        <v>301520</v>
      </c>
      <c r="B2222" s="1" t="s">
        <v>1681</v>
      </c>
      <c r="C2222" s="1" t="s">
        <v>4861</v>
      </c>
    </row>
    <row r="2223" spans="1:3" x14ac:dyDescent="0.2">
      <c r="A2223" s="1" t="str">
        <f>"301519"</f>
        <v>301519</v>
      </c>
      <c r="B2223" s="1" t="s">
        <v>4101</v>
      </c>
      <c r="C2223" s="1" t="s">
        <v>4871</v>
      </c>
    </row>
    <row r="2224" spans="1:3" x14ac:dyDescent="0.2">
      <c r="A2224" s="1" t="str">
        <f>"301518"</f>
        <v>301518</v>
      </c>
      <c r="B2224" s="1" t="s">
        <v>2899</v>
      </c>
      <c r="C2224" s="1" t="s">
        <v>4865</v>
      </c>
    </row>
    <row r="2225" spans="1:3" x14ac:dyDescent="0.2">
      <c r="A2225" s="1" t="str">
        <f>"301517"</f>
        <v>301517</v>
      </c>
      <c r="B2225" s="1" t="s">
        <v>4102</v>
      </c>
      <c r="C2225" s="1" t="s">
        <v>4846</v>
      </c>
    </row>
    <row r="2226" spans="1:3" x14ac:dyDescent="0.2">
      <c r="A2226" s="1" t="str">
        <f>"301516"</f>
        <v>301516</v>
      </c>
      <c r="B2226" s="1" t="s">
        <v>4103</v>
      </c>
      <c r="C2226" s="1" t="s">
        <v>4859</v>
      </c>
    </row>
    <row r="2227" spans="1:3" x14ac:dyDescent="0.2">
      <c r="A2227" s="1" t="str">
        <f>"301515"</f>
        <v>301515</v>
      </c>
      <c r="B2227" s="1" t="s">
        <v>1727</v>
      </c>
      <c r="C2227" s="1" t="s">
        <v>4867</v>
      </c>
    </row>
    <row r="2228" spans="1:3" x14ac:dyDescent="0.2">
      <c r="A2228" s="1" t="str">
        <f>"301512"</f>
        <v>301512</v>
      </c>
      <c r="B2228" s="1" t="s">
        <v>4104</v>
      </c>
      <c r="C2228" s="1" t="s">
        <v>4849</v>
      </c>
    </row>
    <row r="2229" spans="1:3" x14ac:dyDescent="0.2">
      <c r="A2229" s="1" t="str">
        <f>"301511"</f>
        <v>301511</v>
      </c>
      <c r="B2229" s="1" t="s">
        <v>1550</v>
      </c>
      <c r="C2229" s="1" t="s">
        <v>4841</v>
      </c>
    </row>
    <row r="2230" spans="1:3" x14ac:dyDescent="0.2">
      <c r="A2230" s="1" t="str">
        <f>"301510"</f>
        <v>301510</v>
      </c>
      <c r="B2230" s="1" t="s">
        <v>974</v>
      </c>
      <c r="C2230" s="1" t="s">
        <v>4849</v>
      </c>
    </row>
    <row r="2231" spans="1:3" x14ac:dyDescent="0.2">
      <c r="A2231" s="1" t="str">
        <f>"301509"</f>
        <v>301509</v>
      </c>
      <c r="B2231" s="1" t="s">
        <v>1682</v>
      </c>
      <c r="C2231" s="1" t="s">
        <v>4861</v>
      </c>
    </row>
    <row r="2232" spans="1:3" x14ac:dyDescent="0.2">
      <c r="A2232" s="1" t="str">
        <f>"301508"</f>
        <v>301508</v>
      </c>
      <c r="B2232" s="1" t="s">
        <v>269</v>
      </c>
      <c r="C2232" s="1" t="s">
        <v>4854</v>
      </c>
    </row>
    <row r="2233" spans="1:3" x14ac:dyDescent="0.2">
      <c r="A2233" s="1" t="str">
        <f>"301507"</f>
        <v>301507</v>
      </c>
      <c r="B2233" s="1" t="s">
        <v>1829</v>
      </c>
      <c r="C2233" s="1" t="s">
        <v>4843</v>
      </c>
    </row>
    <row r="2234" spans="1:3" x14ac:dyDescent="0.2">
      <c r="A2234" s="1" t="str">
        <f>"301505"</f>
        <v>301505</v>
      </c>
      <c r="B2234" s="1" t="s">
        <v>4105</v>
      </c>
      <c r="C2234" s="1" t="s">
        <v>4922</v>
      </c>
    </row>
    <row r="2235" spans="1:3" x14ac:dyDescent="0.2">
      <c r="A2235" s="1" t="str">
        <f>"301503"</f>
        <v>301503</v>
      </c>
      <c r="B2235" s="1" t="s">
        <v>609</v>
      </c>
      <c r="C2235" s="1" t="s">
        <v>4873</v>
      </c>
    </row>
    <row r="2236" spans="1:3" x14ac:dyDescent="0.2">
      <c r="A2236" s="1" t="str">
        <f>"301502"</f>
        <v>301502</v>
      </c>
      <c r="B2236" s="1" t="s">
        <v>1571</v>
      </c>
      <c r="C2236" s="1" t="s">
        <v>4919</v>
      </c>
    </row>
    <row r="2237" spans="1:3" x14ac:dyDescent="0.2">
      <c r="A2237" s="1" t="str">
        <f>"301501"</f>
        <v>301501</v>
      </c>
      <c r="B2237" s="1" t="s">
        <v>2219</v>
      </c>
      <c r="C2237" s="1" t="s">
        <v>4902</v>
      </c>
    </row>
    <row r="2238" spans="1:3" x14ac:dyDescent="0.2">
      <c r="A2238" s="1" t="str">
        <f>"301500"</f>
        <v>301500</v>
      </c>
      <c r="B2238" s="1" t="s">
        <v>24</v>
      </c>
      <c r="C2238" s="1" t="s">
        <v>4863</v>
      </c>
    </row>
    <row r="2239" spans="1:3" x14ac:dyDescent="0.2">
      <c r="A2239" s="1" t="str">
        <f>"301499"</f>
        <v>301499</v>
      </c>
      <c r="B2239" s="1" t="s">
        <v>1899</v>
      </c>
      <c r="C2239" s="1" t="s">
        <v>4856</v>
      </c>
    </row>
    <row r="2240" spans="1:3" x14ac:dyDescent="0.2">
      <c r="A2240" s="1" t="str">
        <f>"301498"</f>
        <v>301498</v>
      </c>
      <c r="B2240" s="1" t="s">
        <v>2533</v>
      </c>
      <c r="C2240" s="1" t="s">
        <v>4885</v>
      </c>
    </row>
    <row r="2241" spans="1:3" x14ac:dyDescent="0.2">
      <c r="A2241" s="1" t="str">
        <f>"301491"</f>
        <v>301491</v>
      </c>
      <c r="B2241" s="1" t="s">
        <v>4106</v>
      </c>
      <c r="C2241" s="1" t="s">
        <v>4850</v>
      </c>
    </row>
    <row r="2242" spans="1:3" x14ac:dyDescent="0.2">
      <c r="A2242" s="1" t="str">
        <f>"301489"</f>
        <v>301489</v>
      </c>
      <c r="B2242" s="1" t="s">
        <v>858</v>
      </c>
      <c r="C2242" s="1" t="s">
        <v>4850</v>
      </c>
    </row>
    <row r="2243" spans="1:3" x14ac:dyDescent="0.2">
      <c r="A2243" s="1" t="str">
        <f>"301488"</f>
        <v>301488</v>
      </c>
      <c r="B2243" s="1" t="s">
        <v>1900</v>
      </c>
      <c r="C2243" s="1" t="s">
        <v>4856</v>
      </c>
    </row>
    <row r="2244" spans="1:3" x14ac:dyDescent="0.2">
      <c r="A2244" s="1" t="str">
        <f>"301487"</f>
        <v>301487</v>
      </c>
      <c r="B2244" s="1" t="s">
        <v>4107</v>
      </c>
      <c r="C2244" s="1" t="s">
        <v>4841</v>
      </c>
    </row>
    <row r="2245" spans="1:3" x14ac:dyDescent="0.2">
      <c r="A2245" s="1" t="str">
        <f>"301486"</f>
        <v>301486</v>
      </c>
      <c r="B2245" s="1" t="s">
        <v>859</v>
      </c>
      <c r="C2245" s="1" t="s">
        <v>4850</v>
      </c>
    </row>
    <row r="2246" spans="1:3" x14ac:dyDescent="0.2">
      <c r="A2246" s="1" t="str">
        <f>"301479"</f>
        <v>301479</v>
      </c>
      <c r="B2246" s="1" t="s">
        <v>809</v>
      </c>
      <c r="C2246" s="1" t="s">
        <v>4878</v>
      </c>
    </row>
    <row r="2247" spans="1:3" x14ac:dyDescent="0.2">
      <c r="A2247" s="1" t="str">
        <f>"301469"</f>
        <v>301469</v>
      </c>
      <c r="B2247" s="1" t="s">
        <v>2295</v>
      </c>
      <c r="C2247" s="1" t="s">
        <v>4892</v>
      </c>
    </row>
    <row r="2248" spans="1:3" x14ac:dyDescent="0.2">
      <c r="A2248" s="1" t="str">
        <f>"301468"</f>
        <v>301468</v>
      </c>
      <c r="B2248" s="1" t="s">
        <v>1034</v>
      </c>
      <c r="C2248" s="1" t="s">
        <v>4845</v>
      </c>
    </row>
    <row r="2249" spans="1:3" x14ac:dyDescent="0.2">
      <c r="A2249" s="1" t="str">
        <f>"301459"</f>
        <v>301459</v>
      </c>
      <c r="B2249" s="1" t="s">
        <v>1999</v>
      </c>
      <c r="C2249" s="1" t="s">
        <v>4856</v>
      </c>
    </row>
    <row r="2250" spans="1:3" x14ac:dyDescent="0.2">
      <c r="A2250" s="1" t="str">
        <f>"301458"</f>
        <v>301458</v>
      </c>
      <c r="B2250" s="1" t="s">
        <v>741</v>
      </c>
      <c r="C2250" s="1" t="s">
        <v>4872</v>
      </c>
    </row>
    <row r="2251" spans="1:3" x14ac:dyDescent="0.2">
      <c r="A2251" s="1" t="str">
        <f>"301456"</f>
        <v>301456</v>
      </c>
      <c r="B2251" s="1" t="s">
        <v>1387</v>
      </c>
      <c r="C2251" s="1" t="s">
        <v>4870</v>
      </c>
    </row>
    <row r="2252" spans="1:3" x14ac:dyDescent="0.2">
      <c r="A2252" s="1" t="str">
        <f>"301448"</f>
        <v>301448</v>
      </c>
      <c r="B2252" s="1" t="s">
        <v>1147</v>
      </c>
      <c r="C2252" s="1" t="s">
        <v>4851</v>
      </c>
    </row>
    <row r="2253" spans="1:3" x14ac:dyDescent="0.2">
      <c r="A2253" s="1" t="str">
        <f>"301446"</f>
        <v>301446</v>
      </c>
      <c r="B2253" s="1" t="s">
        <v>994</v>
      </c>
      <c r="C2253" s="1" t="s">
        <v>4880</v>
      </c>
    </row>
    <row r="2254" spans="1:3" x14ac:dyDescent="0.2">
      <c r="A2254" s="1" t="str">
        <f>"301439"</f>
        <v>301439</v>
      </c>
      <c r="B2254" s="1" t="s">
        <v>1436</v>
      </c>
      <c r="C2254" s="1" t="s">
        <v>4866</v>
      </c>
    </row>
    <row r="2255" spans="1:3" x14ac:dyDescent="0.2">
      <c r="A2255" s="1" t="str">
        <f>"301429"</f>
        <v>301429</v>
      </c>
      <c r="B2255" s="1" t="s">
        <v>2578</v>
      </c>
      <c r="C2255" s="1" t="s">
        <v>4886</v>
      </c>
    </row>
    <row r="2256" spans="1:3" x14ac:dyDescent="0.2">
      <c r="A2256" s="1" t="str">
        <f>"301428"</f>
        <v>301428</v>
      </c>
      <c r="B2256" s="1" t="s">
        <v>645</v>
      </c>
      <c r="C2256" s="1" t="s">
        <v>4954</v>
      </c>
    </row>
    <row r="2257" spans="1:3" x14ac:dyDescent="0.2">
      <c r="A2257" s="1" t="str">
        <f>"301421"</f>
        <v>301421</v>
      </c>
      <c r="B2257" s="1" t="s">
        <v>810</v>
      </c>
      <c r="C2257" s="1" t="s">
        <v>4878</v>
      </c>
    </row>
    <row r="2258" spans="1:3" x14ac:dyDescent="0.2">
      <c r="A2258" s="1" t="str">
        <f>"301419"</f>
        <v>301419</v>
      </c>
      <c r="B2258" s="1" t="s">
        <v>656</v>
      </c>
      <c r="C2258" s="1" t="s">
        <v>4869</v>
      </c>
    </row>
    <row r="2259" spans="1:3" x14ac:dyDescent="0.2">
      <c r="A2259" s="1" t="str">
        <f>"301418"</f>
        <v>301418</v>
      </c>
      <c r="B2259" s="1" t="s">
        <v>975</v>
      </c>
      <c r="C2259" s="1" t="s">
        <v>4849</v>
      </c>
    </row>
    <row r="2260" spans="1:3" x14ac:dyDescent="0.2">
      <c r="A2260" s="1" t="str">
        <f>"301413"</f>
        <v>301413</v>
      </c>
      <c r="B2260" s="1" t="s">
        <v>1270</v>
      </c>
      <c r="C2260" s="1" t="s">
        <v>4851</v>
      </c>
    </row>
    <row r="2261" spans="1:3" x14ac:dyDescent="0.2">
      <c r="A2261" s="1" t="str">
        <f>"301408"</f>
        <v>301408</v>
      </c>
      <c r="B2261" s="1" t="s">
        <v>1651</v>
      </c>
      <c r="C2261" s="1" t="s">
        <v>4903</v>
      </c>
    </row>
    <row r="2262" spans="1:3" x14ac:dyDescent="0.2">
      <c r="A2262" s="1" t="str">
        <f>"301399"</f>
        <v>301399</v>
      </c>
      <c r="B2262" s="1" t="s">
        <v>1177</v>
      </c>
      <c r="C2262" s="1" t="s">
        <v>4851</v>
      </c>
    </row>
    <row r="2263" spans="1:3" x14ac:dyDescent="0.2">
      <c r="A2263" s="1" t="str">
        <f>"301398"</f>
        <v>301398</v>
      </c>
      <c r="B2263" s="1" t="s">
        <v>2058</v>
      </c>
      <c r="C2263" s="1" t="s">
        <v>4856</v>
      </c>
    </row>
    <row r="2264" spans="1:3" x14ac:dyDescent="0.2">
      <c r="A2264" s="1" t="str">
        <f>"301397"</f>
        <v>301397</v>
      </c>
      <c r="B2264" s="1" t="s">
        <v>2000</v>
      </c>
      <c r="C2264" s="1" t="s">
        <v>4856</v>
      </c>
    </row>
    <row r="2265" spans="1:3" x14ac:dyDescent="0.2">
      <c r="A2265" s="1" t="str">
        <f>"301396"</f>
        <v>301396</v>
      </c>
      <c r="B2265" s="1" t="s">
        <v>556</v>
      </c>
      <c r="C2265" s="1" t="s">
        <v>4847</v>
      </c>
    </row>
    <row r="2266" spans="1:3" x14ac:dyDescent="0.2">
      <c r="A2266" s="1" t="str">
        <f>"301395"</f>
        <v>301395</v>
      </c>
      <c r="B2266" s="1" t="s">
        <v>2885</v>
      </c>
      <c r="C2266" s="1" t="s">
        <v>4860</v>
      </c>
    </row>
    <row r="2267" spans="1:3" x14ac:dyDescent="0.2">
      <c r="A2267" s="1" t="str">
        <f>"301393"</f>
        <v>301393</v>
      </c>
      <c r="B2267" s="1" t="s">
        <v>3012</v>
      </c>
      <c r="C2267" s="1" t="s">
        <v>4853</v>
      </c>
    </row>
    <row r="2268" spans="1:3" x14ac:dyDescent="0.2">
      <c r="A2268" s="1" t="str">
        <f>"301392"</f>
        <v>301392</v>
      </c>
      <c r="B2268" s="1" t="s">
        <v>1035</v>
      </c>
      <c r="C2268" s="1" t="s">
        <v>4845</v>
      </c>
    </row>
    <row r="2269" spans="1:3" x14ac:dyDescent="0.2">
      <c r="A2269" s="1" t="str">
        <f>"301391"</f>
        <v>301391</v>
      </c>
      <c r="B2269" s="1" t="s">
        <v>610</v>
      </c>
      <c r="C2269" s="1" t="s">
        <v>4873</v>
      </c>
    </row>
    <row r="2270" spans="1:3" x14ac:dyDescent="0.2">
      <c r="A2270" s="1" t="str">
        <f>"301390"</f>
        <v>301390</v>
      </c>
      <c r="B2270" s="1" t="s">
        <v>320</v>
      </c>
      <c r="C2270" s="1" t="s">
        <v>4888</v>
      </c>
    </row>
    <row r="2271" spans="1:3" x14ac:dyDescent="0.2">
      <c r="A2271" s="1" t="str">
        <f>"301389"</f>
        <v>301389</v>
      </c>
      <c r="B2271" s="1" t="s">
        <v>860</v>
      </c>
      <c r="C2271" s="1" t="s">
        <v>4850</v>
      </c>
    </row>
    <row r="2272" spans="1:3" x14ac:dyDescent="0.2">
      <c r="A2272" s="1" t="str">
        <f>"301388"</f>
        <v>301388</v>
      </c>
      <c r="B2272" s="1" t="s">
        <v>1464</v>
      </c>
      <c r="C2272" s="1" t="s">
        <v>4866</v>
      </c>
    </row>
    <row r="2273" spans="1:3" x14ac:dyDescent="0.2">
      <c r="A2273" s="1" t="str">
        <f>"301387"</f>
        <v>301387</v>
      </c>
      <c r="B2273" s="1" t="s">
        <v>861</v>
      </c>
      <c r="C2273" s="1" t="s">
        <v>4850</v>
      </c>
    </row>
    <row r="2274" spans="1:3" x14ac:dyDescent="0.2">
      <c r="A2274" s="1" t="str">
        <f>"301386"</f>
        <v>301386</v>
      </c>
      <c r="B2274" s="1" t="s">
        <v>1465</v>
      </c>
      <c r="C2274" s="1" t="s">
        <v>4866</v>
      </c>
    </row>
    <row r="2275" spans="1:3" x14ac:dyDescent="0.2">
      <c r="A2275" s="1" t="str">
        <f>"301383"</f>
        <v>301383</v>
      </c>
      <c r="B2275" s="1" t="s">
        <v>862</v>
      </c>
      <c r="C2275" s="1" t="s">
        <v>4850</v>
      </c>
    </row>
    <row r="2276" spans="1:3" x14ac:dyDescent="0.2">
      <c r="A2276" s="1" t="str">
        <f>"301382"</f>
        <v>301382</v>
      </c>
      <c r="B2276" s="1" t="s">
        <v>490</v>
      </c>
      <c r="C2276" s="1" t="s">
        <v>4907</v>
      </c>
    </row>
    <row r="2277" spans="1:3" x14ac:dyDescent="0.2">
      <c r="A2277" s="1" t="str">
        <f>"301381"</f>
        <v>301381</v>
      </c>
      <c r="B2277" s="1" t="s">
        <v>2097</v>
      </c>
      <c r="C2277" s="1" t="s">
        <v>4910</v>
      </c>
    </row>
    <row r="2278" spans="1:3" x14ac:dyDescent="0.2">
      <c r="A2278" s="1" t="str">
        <f>"301380"</f>
        <v>301380</v>
      </c>
      <c r="B2278" s="1" t="s">
        <v>646</v>
      </c>
      <c r="C2278" s="1" t="s">
        <v>4954</v>
      </c>
    </row>
    <row r="2279" spans="1:3" x14ac:dyDescent="0.2">
      <c r="A2279" s="1" t="str">
        <f>"301379"</f>
        <v>301379</v>
      </c>
      <c r="B2279" s="1" t="s">
        <v>829</v>
      </c>
      <c r="C2279" s="1" t="s">
        <v>4878</v>
      </c>
    </row>
    <row r="2280" spans="1:3" x14ac:dyDescent="0.2">
      <c r="A2280" s="1" t="str">
        <f>"301378"</f>
        <v>301378</v>
      </c>
      <c r="B2280" s="1" t="s">
        <v>4108</v>
      </c>
      <c r="C2280" s="1" t="s">
        <v>4847</v>
      </c>
    </row>
    <row r="2281" spans="1:3" x14ac:dyDescent="0.2">
      <c r="A2281" s="1" t="str">
        <f>"301377"</f>
        <v>301377</v>
      </c>
      <c r="B2281" s="1" t="s">
        <v>1192</v>
      </c>
      <c r="C2281" s="1" t="s">
        <v>4851</v>
      </c>
    </row>
    <row r="2282" spans="1:3" x14ac:dyDescent="0.2">
      <c r="A2282" s="1" t="str">
        <f>"301376"</f>
        <v>301376</v>
      </c>
      <c r="B2282" s="1" t="s">
        <v>2244</v>
      </c>
      <c r="C2282" s="1" t="s">
        <v>4902</v>
      </c>
    </row>
    <row r="2283" spans="1:3" x14ac:dyDescent="0.2">
      <c r="A2283" s="1" t="str">
        <f>"301373"</f>
        <v>301373</v>
      </c>
      <c r="B2283" s="1" t="s">
        <v>2995</v>
      </c>
      <c r="C2283" s="1" t="s">
        <v>4853</v>
      </c>
    </row>
    <row r="2284" spans="1:3" x14ac:dyDescent="0.2">
      <c r="A2284" s="1" t="str">
        <f>"301372"</f>
        <v>301372</v>
      </c>
      <c r="B2284" s="1" t="s">
        <v>47</v>
      </c>
      <c r="C2284" s="1" t="s">
        <v>4863</v>
      </c>
    </row>
    <row r="2285" spans="1:3" x14ac:dyDescent="0.2">
      <c r="A2285" s="1" t="str">
        <f>"301371"</f>
        <v>301371</v>
      </c>
      <c r="B2285" s="1" t="s">
        <v>3068</v>
      </c>
      <c r="C2285" s="1" t="s">
        <v>4920</v>
      </c>
    </row>
    <row r="2286" spans="1:3" x14ac:dyDescent="0.2">
      <c r="A2286" s="1" t="str">
        <f>"301370"</f>
        <v>301370</v>
      </c>
      <c r="B2286" s="1" t="s">
        <v>4109</v>
      </c>
      <c r="C2286" s="1" t="s">
        <v>4903</v>
      </c>
    </row>
    <row r="2287" spans="1:3" x14ac:dyDescent="0.2">
      <c r="A2287" s="1" t="str">
        <f>"301369"</f>
        <v>301369</v>
      </c>
      <c r="B2287" s="1" t="s">
        <v>4110</v>
      </c>
      <c r="C2287" s="1" t="s">
        <v>4840</v>
      </c>
    </row>
    <row r="2288" spans="1:3" x14ac:dyDescent="0.2">
      <c r="A2288" s="1" t="str">
        <f>"301368"</f>
        <v>301368</v>
      </c>
      <c r="B2288" s="1" t="s">
        <v>1224</v>
      </c>
      <c r="C2288" s="1" t="s">
        <v>4851</v>
      </c>
    </row>
    <row r="2289" spans="1:3" x14ac:dyDescent="0.2">
      <c r="A2289" s="1" t="str">
        <f>"301367"</f>
        <v>301367</v>
      </c>
      <c r="B2289" s="1" t="s">
        <v>1728</v>
      </c>
      <c r="C2289" s="1" t="s">
        <v>4867</v>
      </c>
    </row>
    <row r="2290" spans="1:3" x14ac:dyDescent="0.2">
      <c r="A2290" s="1" t="str">
        <f>"301366"</f>
        <v>301366</v>
      </c>
      <c r="B2290" s="1" t="s">
        <v>4111</v>
      </c>
      <c r="C2290" s="1" t="s">
        <v>4872</v>
      </c>
    </row>
    <row r="2291" spans="1:3" x14ac:dyDescent="0.2">
      <c r="A2291" s="1" t="str">
        <f>"301365"</f>
        <v>301365</v>
      </c>
      <c r="B2291" s="1" t="s">
        <v>4112</v>
      </c>
      <c r="C2291" s="1" t="s">
        <v>4922</v>
      </c>
    </row>
    <row r="2292" spans="1:3" x14ac:dyDescent="0.2">
      <c r="A2292" s="1" t="str">
        <f>"301363"</f>
        <v>301363</v>
      </c>
      <c r="B2292" s="1" t="s">
        <v>1729</v>
      </c>
      <c r="C2292" s="1" t="s">
        <v>4867</v>
      </c>
    </row>
    <row r="2293" spans="1:3" x14ac:dyDescent="0.2">
      <c r="A2293" s="1" t="str">
        <f>"301362"</f>
        <v>301362</v>
      </c>
      <c r="B2293" s="1" t="s">
        <v>785</v>
      </c>
      <c r="C2293" s="1" t="s">
        <v>4878</v>
      </c>
    </row>
    <row r="2294" spans="1:3" x14ac:dyDescent="0.2">
      <c r="A2294" s="1" t="str">
        <f>"301361"</f>
        <v>301361</v>
      </c>
      <c r="B2294" s="1" t="s">
        <v>1466</v>
      </c>
      <c r="C2294" s="1" t="s">
        <v>4866</v>
      </c>
    </row>
    <row r="2295" spans="1:3" x14ac:dyDescent="0.2">
      <c r="A2295" s="1" t="str">
        <f>"301360"</f>
        <v>301360</v>
      </c>
      <c r="B2295" s="1" t="s">
        <v>4113</v>
      </c>
      <c r="C2295" s="1" t="s">
        <v>4845</v>
      </c>
    </row>
    <row r="2296" spans="1:3" x14ac:dyDescent="0.2">
      <c r="A2296" s="1" t="str">
        <f>"301359"</f>
        <v>301359</v>
      </c>
      <c r="B2296" s="1" t="s">
        <v>708</v>
      </c>
      <c r="C2296" s="1" t="s">
        <v>4842</v>
      </c>
    </row>
    <row r="2297" spans="1:3" x14ac:dyDescent="0.2">
      <c r="A2297" s="1" t="str">
        <f>"301358"</f>
        <v>301358</v>
      </c>
      <c r="B2297" s="1" t="s">
        <v>1532</v>
      </c>
      <c r="C2297" s="1" t="s">
        <v>4841</v>
      </c>
    </row>
    <row r="2298" spans="1:3" x14ac:dyDescent="0.2">
      <c r="A2298" s="1" t="str">
        <f>"301357"</f>
        <v>301357</v>
      </c>
      <c r="B2298" s="1" t="s">
        <v>4114</v>
      </c>
      <c r="C2298" s="1" t="s">
        <v>4876</v>
      </c>
    </row>
    <row r="2299" spans="1:3" x14ac:dyDescent="0.2">
      <c r="A2299" s="1" t="str">
        <f>"301356"</f>
        <v>301356</v>
      </c>
      <c r="B2299" s="1" t="s">
        <v>2245</v>
      </c>
      <c r="C2299" s="1" t="s">
        <v>4902</v>
      </c>
    </row>
    <row r="2300" spans="1:3" x14ac:dyDescent="0.2">
      <c r="A2300" s="1" t="str">
        <f>"301355"</f>
        <v>301355</v>
      </c>
      <c r="B2300" s="1" t="s">
        <v>2263</v>
      </c>
      <c r="C2300" s="1" t="s">
        <v>4930</v>
      </c>
    </row>
    <row r="2301" spans="1:3" x14ac:dyDescent="0.2">
      <c r="A2301" s="1" t="str">
        <f>"301353"</f>
        <v>301353</v>
      </c>
      <c r="B2301" s="1" t="s">
        <v>1148</v>
      </c>
      <c r="C2301" s="1" t="s">
        <v>4851</v>
      </c>
    </row>
    <row r="2302" spans="1:3" x14ac:dyDescent="0.2">
      <c r="A2302" s="1" t="str">
        <f>"301349"</f>
        <v>301349</v>
      </c>
      <c r="B2302" s="1" t="s">
        <v>1533</v>
      </c>
      <c r="C2302" s="1" t="s">
        <v>4841</v>
      </c>
    </row>
    <row r="2303" spans="1:3" x14ac:dyDescent="0.2">
      <c r="A2303" s="1" t="str">
        <f>"301348"</f>
        <v>301348</v>
      </c>
      <c r="B2303" s="1" t="s">
        <v>4115</v>
      </c>
      <c r="C2303" s="1" t="s">
        <v>4840</v>
      </c>
    </row>
    <row r="2304" spans="1:3" x14ac:dyDescent="0.2">
      <c r="A2304" s="1" t="str">
        <f>"301345"</f>
        <v>301345</v>
      </c>
      <c r="B2304" s="1" t="s">
        <v>1874</v>
      </c>
      <c r="C2304" s="1" t="s">
        <v>4839</v>
      </c>
    </row>
    <row r="2305" spans="1:3" x14ac:dyDescent="0.2">
      <c r="A2305" s="1" t="str">
        <f>"301339"</f>
        <v>301339</v>
      </c>
      <c r="B2305" s="1" t="s">
        <v>611</v>
      </c>
      <c r="C2305" s="1" t="s">
        <v>4873</v>
      </c>
    </row>
    <row r="2306" spans="1:3" x14ac:dyDescent="0.2">
      <c r="A2306" s="1" t="str">
        <f>"301338"</f>
        <v>301338</v>
      </c>
      <c r="B2306" s="1" t="s">
        <v>1036</v>
      </c>
      <c r="C2306" s="1" t="s">
        <v>4845</v>
      </c>
    </row>
    <row r="2307" spans="1:3" x14ac:dyDescent="0.2">
      <c r="A2307" s="1" t="str">
        <f>"301337"</f>
        <v>301337</v>
      </c>
      <c r="B2307" s="1" t="s">
        <v>4116</v>
      </c>
      <c r="C2307" s="1" t="s">
        <v>4847</v>
      </c>
    </row>
    <row r="2308" spans="1:3" x14ac:dyDescent="0.2">
      <c r="A2308" s="1" t="str">
        <f>"301336"</f>
        <v>301336</v>
      </c>
      <c r="B2308" s="1" t="s">
        <v>2246</v>
      </c>
      <c r="C2308" s="1" t="s">
        <v>4902</v>
      </c>
    </row>
    <row r="2309" spans="1:3" x14ac:dyDescent="0.2">
      <c r="A2309" s="1" t="str">
        <f>"301335"</f>
        <v>301335</v>
      </c>
      <c r="B2309" s="1" t="s">
        <v>2196</v>
      </c>
      <c r="C2309" s="1" t="s">
        <v>4899</v>
      </c>
    </row>
    <row r="2310" spans="1:3" x14ac:dyDescent="0.2">
      <c r="A2310" s="1" t="str">
        <f>"301333"</f>
        <v>301333</v>
      </c>
      <c r="B2310" s="1" t="s">
        <v>1683</v>
      </c>
      <c r="C2310" s="1" t="s">
        <v>4861</v>
      </c>
    </row>
    <row r="2311" spans="1:3" x14ac:dyDescent="0.2">
      <c r="A2311" s="1" t="str">
        <f>"301332"</f>
        <v>301332</v>
      </c>
      <c r="B2311" s="1" t="s">
        <v>2167</v>
      </c>
      <c r="C2311" s="1" t="s">
        <v>4844</v>
      </c>
    </row>
    <row r="2312" spans="1:3" x14ac:dyDescent="0.2">
      <c r="A2312" s="1" t="str">
        <f>"301331"</f>
        <v>301331</v>
      </c>
      <c r="B2312" s="1" t="s">
        <v>1613</v>
      </c>
      <c r="C2312" s="1" t="s">
        <v>4917</v>
      </c>
    </row>
    <row r="2313" spans="1:3" x14ac:dyDescent="0.2">
      <c r="A2313" s="1" t="str">
        <f>"301330"</f>
        <v>301330</v>
      </c>
      <c r="B2313" s="1" t="s">
        <v>631</v>
      </c>
      <c r="C2313" s="1" t="s">
        <v>4873</v>
      </c>
    </row>
    <row r="2314" spans="1:3" x14ac:dyDescent="0.2">
      <c r="A2314" s="1" t="str">
        <f>"301329"</f>
        <v>301329</v>
      </c>
      <c r="B2314" s="1" t="s">
        <v>863</v>
      </c>
      <c r="C2314" s="1" t="s">
        <v>4850</v>
      </c>
    </row>
    <row r="2315" spans="1:3" x14ac:dyDescent="0.2">
      <c r="A2315" s="1" t="str">
        <f>"301328"</f>
        <v>301328</v>
      </c>
      <c r="B2315" s="1" t="s">
        <v>709</v>
      </c>
      <c r="C2315" s="1" t="s">
        <v>4842</v>
      </c>
    </row>
    <row r="2316" spans="1:3" x14ac:dyDescent="0.2">
      <c r="A2316" s="1" t="str">
        <f>"301327"</f>
        <v>301327</v>
      </c>
      <c r="B2316" s="1" t="s">
        <v>1551</v>
      </c>
      <c r="C2316" s="1" t="s">
        <v>4841</v>
      </c>
    </row>
    <row r="2317" spans="1:3" x14ac:dyDescent="0.2">
      <c r="A2317" s="1" t="str">
        <f>"301326"</f>
        <v>301326</v>
      </c>
      <c r="B2317" s="1" t="s">
        <v>4117</v>
      </c>
      <c r="C2317" s="1" t="s">
        <v>4850</v>
      </c>
    </row>
    <row r="2318" spans="1:3" x14ac:dyDescent="0.2">
      <c r="A2318" s="1" t="str">
        <f>"301325"</f>
        <v>301325</v>
      </c>
      <c r="B2318" s="1" t="s">
        <v>1037</v>
      </c>
      <c r="C2318" s="1" t="s">
        <v>4845</v>
      </c>
    </row>
    <row r="2319" spans="1:3" x14ac:dyDescent="0.2">
      <c r="A2319" s="1" t="str">
        <f>"301323"</f>
        <v>301323</v>
      </c>
      <c r="B2319" s="1" t="s">
        <v>2824</v>
      </c>
      <c r="C2319" s="1" t="s">
        <v>4906</v>
      </c>
    </row>
    <row r="2320" spans="1:3" x14ac:dyDescent="0.2">
      <c r="A2320" s="1" t="str">
        <f>"301322"</f>
        <v>301322</v>
      </c>
      <c r="B2320" s="1" t="s">
        <v>1875</v>
      </c>
      <c r="C2320" s="1" t="s">
        <v>4839</v>
      </c>
    </row>
    <row r="2321" spans="1:3" x14ac:dyDescent="0.2">
      <c r="A2321" s="1" t="str">
        <f>"301321"</f>
        <v>301321</v>
      </c>
      <c r="B2321" s="1" t="s">
        <v>4118</v>
      </c>
      <c r="C2321" s="1" t="s">
        <v>4878</v>
      </c>
    </row>
    <row r="2322" spans="1:3" x14ac:dyDescent="0.2">
      <c r="A2322" s="1" t="str">
        <f>"301320"</f>
        <v>301320</v>
      </c>
      <c r="B2322" s="1" t="s">
        <v>976</v>
      </c>
      <c r="C2322" s="1" t="s">
        <v>4849</v>
      </c>
    </row>
    <row r="2323" spans="1:3" x14ac:dyDescent="0.2">
      <c r="A2323" s="1" t="str">
        <f>"301319"</f>
        <v>301319</v>
      </c>
      <c r="B2323" s="1" t="s">
        <v>710</v>
      </c>
      <c r="C2323" s="1" t="s">
        <v>4842</v>
      </c>
    </row>
    <row r="2324" spans="1:3" x14ac:dyDescent="0.2">
      <c r="A2324" s="1" t="str">
        <f>"301318"</f>
        <v>301318</v>
      </c>
      <c r="B2324" s="1" t="s">
        <v>632</v>
      </c>
      <c r="C2324" s="1" t="s">
        <v>4873</v>
      </c>
    </row>
    <row r="2325" spans="1:3" x14ac:dyDescent="0.2">
      <c r="A2325" s="1" t="str">
        <f>"301317"</f>
        <v>301317</v>
      </c>
      <c r="B2325" s="1" t="s">
        <v>1149</v>
      </c>
      <c r="C2325" s="1" t="s">
        <v>4851</v>
      </c>
    </row>
    <row r="2326" spans="1:3" x14ac:dyDescent="0.2">
      <c r="A2326" s="1" t="str">
        <f>"301316"</f>
        <v>301316</v>
      </c>
      <c r="B2326" s="1" t="s">
        <v>4119</v>
      </c>
      <c r="C2326" s="1" t="s">
        <v>4847</v>
      </c>
    </row>
    <row r="2327" spans="1:3" x14ac:dyDescent="0.2">
      <c r="A2327" s="1" t="str">
        <f>"301315"</f>
        <v>301315</v>
      </c>
      <c r="B2327" s="1" t="s">
        <v>557</v>
      </c>
      <c r="C2327" s="1" t="s">
        <v>4847</v>
      </c>
    </row>
    <row r="2328" spans="1:3" x14ac:dyDescent="0.2">
      <c r="A2328" s="1" t="str">
        <f>"301314"</f>
        <v>301314</v>
      </c>
      <c r="B2328" s="1" t="s">
        <v>711</v>
      </c>
      <c r="C2328" s="1" t="s">
        <v>4842</v>
      </c>
    </row>
    <row r="2329" spans="1:3" x14ac:dyDescent="0.2">
      <c r="A2329" s="1" t="str">
        <f>"301313"</f>
        <v>301313</v>
      </c>
      <c r="B2329" s="1" t="s">
        <v>4120</v>
      </c>
      <c r="C2329" s="1" t="s">
        <v>4854</v>
      </c>
    </row>
    <row r="2330" spans="1:3" x14ac:dyDescent="0.2">
      <c r="A2330" s="1" t="str">
        <f>"301312"</f>
        <v>301312</v>
      </c>
      <c r="B2330" s="1" t="s">
        <v>959</v>
      </c>
      <c r="C2330" s="1" t="s">
        <v>4849</v>
      </c>
    </row>
    <row r="2331" spans="1:3" x14ac:dyDescent="0.2">
      <c r="A2331" s="1" t="str">
        <f>"301311"</f>
        <v>301311</v>
      </c>
      <c r="B2331" s="1" t="s">
        <v>4121</v>
      </c>
      <c r="C2331" s="1" t="s">
        <v>4845</v>
      </c>
    </row>
    <row r="2332" spans="1:3" x14ac:dyDescent="0.2">
      <c r="A2332" s="1" t="str">
        <f>"301310"</f>
        <v>301310</v>
      </c>
      <c r="B2332" s="1" t="s">
        <v>1927</v>
      </c>
      <c r="C2332" s="1" t="s">
        <v>4856</v>
      </c>
    </row>
    <row r="2333" spans="1:3" x14ac:dyDescent="0.2">
      <c r="A2333" s="1" t="str">
        <f>"301309"</f>
        <v>301309</v>
      </c>
      <c r="B2333" s="1" t="s">
        <v>1193</v>
      </c>
      <c r="C2333" s="1" t="s">
        <v>4851</v>
      </c>
    </row>
    <row r="2334" spans="1:3" x14ac:dyDescent="0.2">
      <c r="A2334" s="1" t="str">
        <f>"301308"</f>
        <v>301308</v>
      </c>
      <c r="B2334" s="1" t="s">
        <v>4122</v>
      </c>
      <c r="C2334" s="1" t="s">
        <v>4840</v>
      </c>
    </row>
    <row r="2335" spans="1:3" x14ac:dyDescent="0.2">
      <c r="A2335" s="1" t="str">
        <f>"301307"</f>
        <v>301307</v>
      </c>
      <c r="B2335" s="1" t="s">
        <v>4123</v>
      </c>
      <c r="C2335" s="1" t="s">
        <v>4869</v>
      </c>
    </row>
    <row r="2336" spans="1:3" x14ac:dyDescent="0.2">
      <c r="A2336" s="1" t="str">
        <f>"301306"</f>
        <v>301306</v>
      </c>
      <c r="B2336" s="1" t="s">
        <v>4124</v>
      </c>
      <c r="C2336" s="1" t="s">
        <v>4854</v>
      </c>
    </row>
    <row r="2337" spans="1:3" x14ac:dyDescent="0.2">
      <c r="A2337" s="1" t="str">
        <f>"301305"</f>
        <v>301305</v>
      </c>
      <c r="B2337" s="1" t="s">
        <v>25</v>
      </c>
      <c r="C2337" s="1" t="s">
        <v>4863</v>
      </c>
    </row>
    <row r="2338" spans="1:3" x14ac:dyDescent="0.2">
      <c r="A2338" s="1" t="str">
        <f>"301303"</f>
        <v>301303</v>
      </c>
      <c r="B2338" s="1" t="s">
        <v>1271</v>
      </c>
      <c r="C2338" s="1" t="s">
        <v>4851</v>
      </c>
    </row>
    <row r="2339" spans="1:3" x14ac:dyDescent="0.2">
      <c r="A2339" s="1" t="str">
        <f>"301302"</f>
        <v>301302</v>
      </c>
      <c r="B2339" s="1" t="s">
        <v>4125</v>
      </c>
      <c r="C2339" s="1" t="s">
        <v>4846</v>
      </c>
    </row>
    <row r="2340" spans="1:3" x14ac:dyDescent="0.2">
      <c r="A2340" s="1" t="str">
        <f>"301301"</f>
        <v>301301</v>
      </c>
      <c r="B2340" s="1" t="s">
        <v>1788</v>
      </c>
      <c r="C2340" s="1" t="s">
        <v>4843</v>
      </c>
    </row>
    <row r="2341" spans="1:3" x14ac:dyDescent="0.2">
      <c r="A2341" s="1" t="str">
        <f>"301300"</f>
        <v>301300</v>
      </c>
      <c r="B2341" s="1" t="s">
        <v>2996</v>
      </c>
      <c r="C2341" s="1" t="s">
        <v>4853</v>
      </c>
    </row>
    <row r="2342" spans="1:3" x14ac:dyDescent="0.2">
      <c r="A2342" s="1" t="str">
        <f>"301299"</f>
        <v>301299</v>
      </c>
      <c r="B2342" s="1" t="s">
        <v>522</v>
      </c>
      <c r="C2342" s="1" t="s">
        <v>4883</v>
      </c>
    </row>
    <row r="2343" spans="1:3" x14ac:dyDescent="0.2">
      <c r="A2343" s="1" t="str">
        <f>"301298"</f>
        <v>301298</v>
      </c>
      <c r="B2343" s="1" t="s">
        <v>2001</v>
      </c>
      <c r="C2343" s="1" t="s">
        <v>4856</v>
      </c>
    </row>
    <row r="2344" spans="1:3" x14ac:dyDescent="0.2">
      <c r="A2344" s="1" t="str">
        <f>"301297"</f>
        <v>301297</v>
      </c>
      <c r="B2344" s="1" t="s">
        <v>935</v>
      </c>
      <c r="C2344" s="1" t="s">
        <v>4840</v>
      </c>
    </row>
    <row r="2345" spans="1:3" x14ac:dyDescent="0.2">
      <c r="A2345" s="1" t="str">
        <f>"301296"</f>
        <v>301296</v>
      </c>
      <c r="B2345" s="1" t="s">
        <v>2264</v>
      </c>
      <c r="C2345" s="1" t="s">
        <v>4930</v>
      </c>
    </row>
    <row r="2346" spans="1:3" x14ac:dyDescent="0.2">
      <c r="A2346" s="1" t="str">
        <f>"301295"</f>
        <v>301295</v>
      </c>
      <c r="B2346" s="1" t="s">
        <v>1483</v>
      </c>
      <c r="C2346" s="1" t="s">
        <v>4866</v>
      </c>
    </row>
    <row r="2347" spans="1:3" x14ac:dyDescent="0.2">
      <c r="A2347" s="1" t="str">
        <f>"301293"</f>
        <v>301293</v>
      </c>
      <c r="B2347" s="1" t="s">
        <v>1668</v>
      </c>
      <c r="C2347" s="1" t="s">
        <v>4861</v>
      </c>
    </row>
    <row r="2348" spans="1:3" x14ac:dyDescent="0.2">
      <c r="A2348" s="1" t="str">
        <f>"301292"</f>
        <v>301292</v>
      </c>
      <c r="B2348" s="1" t="s">
        <v>4126</v>
      </c>
      <c r="C2348" s="1" t="s">
        <v>4841</v>
      </c>
    </row>
    <row r="2349" spans="1:3" x14ac:dyDescent="0.2">
      <c r="A2349" s="1" t="str">
        <f>"301291"</f>
        <v>301291</v>
      </c>
      <c r="B2349" s="1" t="s">
        <v>1484</v>
      </c>
      <c r="C2349" s="1" t="s">
        <v>4866</v>
      </c>
    </row>
    <row r="2350" spans="1:3" x14ac:dyDescent="0.2">
      <c r="A2350" s="1" t="str">
        <f>"301290"</f>
        <v>301290</v>
      </c>
      <c r="B2350" s="1" t="s">
        <v>1705</v>
      </c>
      <c r="C2350" s="1" t="s">
        <v>4867</v>
      </c>
    </row>
    <row r="2351" spans="1:3" x14ac:dyDescent="0.2">
      <c r="A2351" s="1" t="str">
        <f>"301289"</f>
        <v>301289</v>
      </c>
      <c r="B2351" s="1" t="s">
        <v>270</v>
      </c>
      <c r="C2351" s="1" t="s">
        <v>4854</v>
      </c>
    </row>
    <row r="2352" spans="1:3" x14ac:dyDescent="0.2">
      <c r="A2352" s="1" t="str">
        <f>"301287"</f>
        <v>301287</v>
      </c>
      <c r="B2352" s="1" t="s">
        <v>2197</v>
      </c>
      <c r="C2352" s="1" t="s">
        <v>4899</v>
      </c>
    </row>
    <row r="2353" spans="1:3" x14ac:dyDescent="0.2">
      <c r="A2353" s="1" t="str">
        <f>"301286"</f>
        <v>301286</v>
      </c>
      <c r="B2353" s="1" t="s">
        <v>2900</v>
      </c>
      <c r="C2353" s="1" t="s">
        <v>4865</v>
      </c>
    </row>
    <row r="2354" spans="1:3" x14ac:dyDescent="0.2">
      <c r="A2354" s="1" t="str">
        <f>"301285"</f>
        <v>301285</v>
      </c>
      <c r="B2354" s="1" t="s">
        <v>4127</v>
      </c>
      <c r="C2354" s="1" t="s">
        <v>4850</v>
      </c>
    </row>
    <row r="2355" spans="1:3" x14ac:dyDescent="0.2">
      <c r="A2355" s="1" t="str">
        <f>"301283"</f>
        <v>301283</v>
      </c>
      <c r="B2355" s="1" t="s">
        <v>2928</v>
      </c>
      <c r="C2355" s="1" t="s">
        <v>4865</v>
      </c>
    </row>
    <row r="2356" spans="1:3" x14ac:dyDescent="0.2">
      <c r="A2356" s="1" t="str">
        <f>"301282"</f>
        <v>301282</v>
      </c>
      <c r="B2356" s="1" t="s">
        <v>759</v>
      </c>
      <c r="C2356" s="1" t="s">
        <v>4872</v>
      </c>
    </row>
    <row r="2357" spans="1:3" x14ac:dyDescent="0.2">
      <c r="A2357" s="1" t="str">
        <f>"301281"</f>
        <v>301281</v>
      </c>
      <c r="B2357" s="1" t="s">
        <v>1789</v>
      </c>
      <c r="C2357" s="1" t="s">
        <v>4843</v>
      </c>
    </row>
    <row r="2358" spans="1:3" x14ac:dyDescent="0.2">
      <c r="A2358" s="1" t="str">
        <f>"301280"</f>
        <v>301280</v>
      </c>
      <c r="B2358" s="1" t="s">
        <v>864</v>
      </c>
      <c r="C2358" s="1" t="s">
        <v>4850</v>
      </c>
    </row>
    <row r="2359" spans="1:3" x14ac:dyDescent="0.2">
      <c r="A2359" s="1" t="str">
        <f>"301279"</f>
        <v>301279</v>
      </c>
      <c r="B2359" s="1" t="s">
        <v>995</v>
      </c>
      <c r="C2359" s="1" t="s">
        <v>4880</v>
      </c>
    </row>
    <row r="2360" spans="1:3" x14ac:dyDescent="0.2">
      <c r="A2360" s="1" t="str">
        <f>"301278"</f>
        <v>301278</v>
      </c>
      <c r="B2360" s="1" t="s">
        <v>1412</v>
      </c>
      <c r="C2360" s="1" t="s">
        <v>4857</v>
      </c>
    </row>
    <row r="2361" spans="1:3" x14ac:dyDescent="0.2">
      <c r="A2361" s="1" t="str">
        <f>"301277"</f>
        <v>301277</v>
      </c>
      <c r="B2361" s="1" t="s">
        <v>1790</v>
      </c>
      <c r="C2361" s="1" t="s">
        <v>4843</v>
      </c>
    </row>
    <row r="2362" spans="1:3" x14ac:dyDescent="0.2">
      <c r="A2362" s="1" t="str">
        <f>"301276"</f>
        <v>301276</v>
      </c>
      <c r="B2362" s="1" t="s">
        <v>2336</v>
      </c>
      <c r="C2362" s="1" t="s">
        <v>4909</v>
      </c>
    </row>
    <row r="2363" spans="1:3" x14ac:dyDescent="0.2">
      <c r="A2363" s="1" t="str">
        <f>"301275"</f>
        <v>301275</v>
      </c>
      <c r="B2363" s="1" t="s">
        <v>712</v>
      </c>
      <c r="C2363" s="1" t="s">
        <v>4842</v>
      </c>
    </row>
    <row r="2364" spans="1:3" x14ac:dyDescent="0.2">
      <c r="A2364" s="1" t="str">
        <f>"301273"</f>
        <v>301273</v>
      </c>
      <c r="B2364" s="1" t="s">
        <v>4128</v>
      </c>
      <c r="C2364" s="1" t="s">
        <v>4851</v>
      </c>
    </row>
    <row r="2365" spans="1:3" x14ac:dyDescent="0.2">
      <c r="A2365" s="1" t="str">
        <f>"301272"</f>
        <v>301272</v>
      </c>
      <c r="B2365" s="1" t="s">
        <v>4129</v>
      </c>
      <c r="C2365" s="1" t="s">
        <v>4851</v>
      </c>
    </row>
    <row r="2366" spans="1:3" x14ac:dyDescent="0.2">
      <c r="A2366" s="1" t="str">
        <f>"301270"</f>
        <v>301270</v>
      </c>
      <c r="B2366" s="1" t="s">
        <v>558</v>
      </c>
      <c r="C2366" s="1" t="s">
        <v>4847</v>
      </c>
    </row>
    <row r="2367" spans="1:3" x14ac:dyDescent="0.2">
      <c r="A2367" s="1" t="str">
        <f>"301269"</f>
        <v>301269</v>
      </c>
      <c r="B2367" s="1" t="s">
        <v>925</v>
      </c>
      <c r="C2367" s="1" t="s">
        <v>4840</v>
      </c>
    </row>
    <row r="2368" spans="1:3" x14ac:dyDescent="0.2">
      <c r="A2368" s="1" t="str">
        <f>"301268"</f>
        <v>301268</v>
      </c>
      <c r="B2368" s="1" t="s">
        <v>4130</v>
      </c>
      <c r="C2368" s="1" t="s">
        <v>4851</v>
      </c>
    </row>
    <row r="2369" spans="1:3" x14ac:dyDescent="0.2">
      <c r="A2369" s="1" t="str">
        <f>"301267"</f>
        <v>301267</v>
      </c>
      <c r="B2369" s="1" t="s">
        <v>1669</v>
      </c>
      <c r="C2369" s="1" t="s">
        <v>4861</v>
      </c>
    </row>
    <row r="2370" spans="1:3" x14ac:dyDescent="0.2">
      <c r="A2370" s="1" t="str">
        <f>"301266"</f>
        <v>301266</v>
      </c>
      <c r="B2370" s="1" t="s">
        <v>1413</v>
      </c>
      <c r="C2370" s="1" t="s">
        <v>4857</v>
      </c>
    </row>
    <row r="2371" spans="1:3" x14ac:dyDescent="0.2">
      <c r="A2371" s="1" t="str">
        <f>"301265"</f>
        <v>301265</v>
      </c>
      <c r="B2371" s="1" t="s">
        <v>26</v>
      </c>
      <c r="C2371" s="1" t="s">
        <v>4863</v>
      </c>
    </row>
    <row r="2372" spans="1:3" x14ac:dyDescent="0.2">
      <c r="A2372" s="1" t="str">
        <f>"301263"</f>
        <v>301263</v>
      </c>
      <c r="B2372" s="1" t="s">
        <v>1652</v>
      </c>
      <c r="C2372" s="1" t="s">
        <v>4903</v>
      </c>
    </row>
    <row r="2373" spans="1:3" x14ac:dyDescent="0.2">
      <c r="A2373" s="1" t="str">
        <f>"301262"</f>
        <v>301262</v>
      </c>
      <c r="B2373" s="1" t="s">
        <v>433</v>
      </c>
      <c r="C2373" s="1" t="s">
        <v>4950</v>
      </c>
    </row>
    <row r="2374" spans="1:3" x14ac:dyDescent="0.2">
      <c r="A2374" s="1" t="str">
        <f>"301261"</f>
        <v>301261</v>
      </c>
      <c r="B2374" s="1" t="s">
        <v>1225</v>
      </c>
      <c r="C2374" s="1" t="s">
        <v>4851</v>
      </c>
    </row>
    <row r="2375" spans="1:3" x14ac:dyDescent="0.2">
      <c r="A2375" s="1" t="str">
        <f>"301260"</f>
        <v>301260</v>
      </c>
      <c r="B2375" s="1" t="s">
        <v>1085</v>
      </c>
      <c r="C2375" s="1" t="s">
        <v>4845</v>
      </c>
    </row>
    <row r="2376" spans="1:3" x14ac:dyDescent="0.2">
      <c r="A2376" s="1" t="str">
        <f>"301259"</f>
        <v>301259</v>
      </c>
      <c r="B2376" s="1" t="s">
        <v>48</v>
      </c>
      <c r="C2376" s="1" t="s">
        <v>4863</v>
      </c>
    </row>
    <row r="2377" spans="1:3" x14ac:dyDescent="0.2">
      <c r="A2377" s="1" t="str">
        <f>"301258"</f>
        <v>301258</v>
      </c>
      <c r="B2377" s="1" t="s">
        <v>1791</v>
      </c>
      <c r="C2377" s="1" t="s">
        <v>4843</v>
      </c>
    </row>
    <row r="2378" spans="1:3" x14ac:dyDescent="0.2">
      <c r="A2378" s="1" t="str">
        <f>"301257"</f>
        <v>301257</v>
      </c>
      <c r="B2378" s="1" t="s">
        <v>1684</v>
      </c>
      <c r="C2378" s="1" t="s">
        <v>4861</v>
      </c>
    </row>
    <row r="2379" spans="1:3" x14ac:dyDescent="0.2">
      <c r="A2379" s="1" t="str">
        <f>"301256"</f>
        <v>301256</v>
      </c>
      <c r="B2379" s="1" t="s">
        <v>2997</v>
      </c>
      <c r="C2379" s="1" t="s">
        <v>4853</v>
      </c>
    </row>
    <row r="2380" spans="1:3" x14ac:dyDescent="0.2">
      <c r="A2380" s="1" t="str">
        <f>"301255"</f>
        <v>301255</v>
      </c>
      <c r="B2380" s="1" t="s">
        <v>1226</v>
      </c>
      <c r="C2380" s="1" t="s">
        <v>4851</v>
      </c>
    </row>
    <row r="2381" spans="1:3" x14ac:dyDescent="0.2">
      <c r="A2381" s="1" t="str">
        <f>"301252"</f>
        <v>301252</v>
      </c>
      <c r="B2381" s="1" t="s">
        <v>1178</v>
      </c>
      <c r="C2381" s="1" t="s">
        <v>4851</v>
      </c>
    </row>
    <row r="2382" spans="1:3" x14ac:dyDescent="0.2">
      <c r="A2382" s="1" t="str">
        <f>"301251"</f>
        <v>301251</v>
      </c>
      <c r="B2382" s="1" t="s">
        <v>760</v>
      </c>
      <c r="C2382" s="1" t="s">
        <v>4872</v>
      </c>
    </row>
    <row r="2383" spans="1:3" x14ac:dyDescent="0.2">
      <c r="A2383" s="1" t="str">
        <f>"301248"</f>
        <v>301248</v>
      </c>
      <c r="B2383" s="1" t="s">
        <v>559</v>
      </c>
      <c r="C2383" s="1" t="s">
        <v>4847</v>
      </c>
    </row>
    <row r="2384" spans="1:3" x14ac:dyDescent="0.2">
      <c r="A2384" s="1" t="str">
        <f>"301246"</f>
        <v>301246</v>
      </c>
      <c r="B2384" s="1" t="s">
        <v>1792</v>
      </c>
      <c r="C2384" s="1" t="s">
        <v>4843</v>
      </c>
    </row>
    <row r="2385" spans="1:3" x14ac:dyDescent="0.2">
      <c r="A2385" s="1" t="str">
        <f>"301239"</f>
        <v>301239</v>
      </c>
      <c r="B2385" s="1" t="s">
        <v>1670</v>
      </c>
      <c r="C2385" s="1" t="s">
        <v>4861</v>
      </c>
    </row>
    <row r="2386" spans="1:3" x14ac:dyDescent="0.2">
      <c r="A2386" s="1" t="str">
        <f>"301238"</f>
        <v>301238</v>
      </c>
      <c r="B2386" s="1" t="s">
        <v>1534</v>
      </c>
      <c r="C2386" s="1" t="s">
        <v>4841</v>
      </c>
    </row>
    <row r="2387" spans="1:3" x14ac:dyDescent="0.2">
      <c r="A2387" s="1" t="str">
        <f>"301237"</f>
        <v>301237</v>
      </c>
      <c r="B2387" s="1" t="s">
        <v>4131</v>
      </c>
      <c r="C2387" s="1" t="s">
        <v>4860</v>
      </c>
    </row>
    <row r="2388" spans="1:3" x14ac:dyDescent="0.2">
      <c r="A2388" s="1" t="str">
        <f>"301236"</f>
        <v>301236</v>
      </c>
      <c r="B2388" s="1" t="s">
        <v>4132</v>
      </c>
      <c r="C2388" s="1" t="s">
        <v>4847</v>
      </c>
    </row>
    <row r="2389" spans="1:3" x14ac:dyDescent="0.2">
      <c r="A2389" s="1" t="str">
        <f>"301235"</f>
        <v>301235</v>
      </c>
      <c r="B2389" s="1" t="s">
        <v>4133</v>
      </c>
      <c r="C2389" s="1" t="s">
        <v>4861</v>
      </c>
    </row>
    <row r="2390" spans="1:3" x14ac:dyDescent="0.2">
      <c r="A2390" s="1" t="str">
        <f>"301234"</f>
        <v>301234</v>
      </c>
      <c r="B2390" s="1" t="s">
        <v>1706</v>
      </c>
      <c r="C2390" s="1" t="s">
        <v>4867</v>
      </c>
    </row>
    <row r="2391" spans="1:3" x14ac:dyDescent="0.2">
      <c r="A2391" s="1" t="str">
        <f>"301233"</f>
        <v>301233</v>
      </c>
      <c r="B2391" s="1" t="s">
        <v>2059</v>
      </c>
      <c r="C2391" s="1" t="s">
        <v>4856</v>
      </c>
    </row>
    <row r="2392" spans="1:3" x14ac:dyDescent="0.2">
      <c r="A2392" s="1" t="str">
        <f>"301232"</f>
        <v>301232</v>
      </c>
      <c r="B2392" s="1" t="s">
        <v>4134</v>
      </c>
      <c r="C2392" s="1" t="s">
        <v>4870</v>
      </c>
    </row>
    <row r="2393" spans="1:3" x14ac:dyDescent="0.2">
      <c r="A2393" s="1" t="str">
        <f>"301231"</f>
        <v>301231</v>
      </c>
      <c r="B2393" s="1" t="s">
        <v>447</v>
      </c>
      <c r="C2393" s="1" t="s">
        <v>4890</v>
      </c>
    </row>
    <row r="2394" spans="1:3" x14ac:dyDescent="0.2">
      <c r="A2394" s="1" t="str">
        <f>"301230"</f>
        <v>301230</v>
      </c>
      <c r="B2394" s="1" t="s">
        <v>1685</v>
      </c>
      <c r="C2394" s="1" t="s">
        <v>4861</v>
      </c>
    </row>
    <row r="2395" spans="1:3" x14ac:dyDescent="0.2">
      <c r="A2395" s="1" t="str">
        <f>"301229"</f>
        <v>301229</v>
      </c>
      <c r="B2395" s="1" t="s">
        <v>1928</v>
      </c>
      <c r="C2395" s="1" t="s">
        <v>4856</v>
      </c>
    </row>
    <row r="2396" spans="1:3" x14ac:dyDescent="0.2">
      <c r="A2396" s="1" t="str">
        <f>"301228"</f>
        <v>301228</v>
      </c>
      <c r="B2396" s="1" t="s">
        <v>4135</v>
      </c>
      <c r="C2396" s="1" t="s">
        <v>4854</v>
      </c>
    </row>
    <row r="2397" spans="1:3" x14ac:dyDescent="0.2">
      <c r="A2397" s="1" t="str">
        <f>"301227"</f>
        <v>301227</v>
      </c>
      <c r="B2397" s="1" t="s">
        <v>4136</v>
      </c>
      <c r="C2397" s="1" t="s">
        <v>4902</v>
      </c>
    </row>
    <row r="2398" spans="1:3" x14ac:dyDescent="0.2">
      <c r="A2398" s="1" t="str">
        <f>"301226"</f>
        <v>301226</v>
      </c>
      <c r="B2398" s="1" t="s">
        <v>1572</v>
      </c>
      <c r="C2398" s="1" t="s">
        <v>4919</v>
      </c>
    </row>
    <row r="2399" spans="1:3" x14ac:dyDescent="0.2">
      <c r="A2399" s="1" t="str">
        <f>"301225"</f>
        <v>301225</v>
      </c>
      <c r="B2399" s="1" t="s">
        <v>1929</v>
      </c>
      <c r="C2399" s="1" t="s">
        <v>4856</v>
      </c>
    </row>
    <row r="2400" spans="1:3" x14ac:dyDescent="0.2">
      <c r="A2400" s="1" t="str">
        <f>"301223"</f>
        <v>301223</v>
      </c>
      <c r="B2400" s="1" t="s">
        <v>2265</v>
      </c>
      <c r="C2400" s="1" t="s">
        <v>4930</v>
      </c>
    </row>
    <row r="2401" spans="1:3" x14ac:dyDescent="0.2">
      <c r="A2401" s="1" t="str">
        <f>"301222"</f>
        <v>301222</v>
      </c>
      <c r="B2401" s="1" t="s">
        <v>1523</v>
      </c>
      <c r="C2401" s="1" t="s">
        <v>4841</v>
      </c>
    </row>
    <row r="2402" spans="1:3" x14ac:dyDescent="0.2">
      <c r="A2402" s="1" t="str">
        <f>"301221"</f>
        <v>301221</v>
      </c>
      <c r="B2402" s="1" t="s">
        <v>1901</v>
      </c>
      <c r="C2402" s="1" t="s">
        <v>4856</v>
      </c>
    </row>
    <row r="2403" spans="1:3" x14ac:dyDescent="0.2">
      <c r="A2403" s="1" t="str">
        <f>"301220"</f>
        <v>301220</v>
      </c>
      <c r="B2403" s="1" t="s">
        <v>2901</v>
      </c>
      <c r="C2403" s="1" t="s">
        <v>4865</v>
      </c>
    </row>
    <row r="2404" spans="1:3" x14ac:dyDescent="0.2">
      <c r="A2404" s="1" t="str">
        <f>"301219"</f>
        <v>301219</v>
      </c>
      <c r="B2404" s="1" t="s">
        <v>2663</v>
      </c>
      <c r="C2404" s="1" t="s">
        <v>4894</v>
      </c>
    </row>
    <row r="2405" spans="1:3" x14ac:dyDescent="0.2">
      <c r="A2405" s="1" t="str">
        <f>"301218"</f>
        <v>301218</v>
      </c>
      <c r="B2405" s="1" t="s">
        <v>4137</v>
      </c>
      <c r="C2405" s="1" t="s">
        <v>4847</v>
      </c>
    </row>
    <row r="2406" spans="1:3" x14ac:dyDescent="0.2">
      <c r="A2406" s="1" t="str">
        <f>"301217"</f>
        <v>301217</v>
      </c>
      <c r="B2406" s="1" t="s">
        <v>2728</v>
      </c>
      <c r="C2406" s="1" t="s">
        <v>4879</v>
      </c>
    </row>
    <row r="2407" spans="1:3" x14ac:dyDescent="0.2">
      <c r="A2407" s="1" t="str">
        <f>"301216"</f>
        <v>301216</v>
      </c>
      <c r="B2407" s="1" t="s">
        <v>2886</v>
      </c>
      <c r="C2407" s="1" t="s">
        <v>4860</v>
      </c>
    </row>
    <row r="2408" spans="1:3" x14ac:dyDescent="0.2">
      <c r="A2408" s="1" t="str">
        <f>"301215"</f>
        <v>301215</v>
      </c>
      <c r="B2408" s="1" t="s">
        <v>1883</v>
      </c>
      <c r="C2408" s="1" t="s">
        <v>4948</v>
      </c>
    </row>
    <row r="2409" spans="1:3" x14ac:dyDescent="0.2">
      <c r="A2409" s="1" t="str">
        <f>"301213"</f>
        <v>301213</v>
      </c>
      <c r="B2409" s="1" t="s">
        <v>1311</v>
      </c>
      <c r="C2409" s="1" t="s">
        <v>4846</v>
      </c>
    </row>
    <row r="2410" spans="1:3" x14ac:dyDescent="0.2">
      <c r="A2410" s="1" t="str">
        <f>"301212"</f>
        <v>301212</v>
      </c>
      <c r="B2410" s="1" t="s">
        <v>2902</v>
      </c>
      <c r="C2410" s="1" t="s">
        <v>4865</v>
      </c>
    </row>
    <row r="2411" spans="1:3" x14ac:dyDescent="0.2">
      <c r="A2411" s="1" t="str">
        <f>"301211"</f>
        <v>301211</v>
      </c>
      <c r="B2411" s="1" t="s">
        <v>1793</v>
      </c>
      <c r="C2411" s="1" t="s">
        <v>4843</v>
      </c>
    </row>
    <row r="2412" spans="1:3" x14ac:dyDescent="0.2">
      <c r="A2412" s="1" t="str">
        <f>"301210"</f>
        <v>301210</v>
      </c>
      <c r="B2412" s="1" t="s">
        <v>1552</v>
      </c>
      <c r="C2412" s="1" t="s">
        <v>4841</v>
      </c>
    </row>
    <row r="2413" spans="1:3" x14ac:dyDescent="0.2">
      <c r="A2413" s="1" t="str">
        <f>"301209"</f>
        <v>301209</v>
      </c>
      <c r="B2413" s="1" t="s">
        <v>2983</v>
      </c>
      <c r="C2413" s="1" t="s">
        <v>4865</v>
      </c>
    </row>
    <row r="2414" spans="1:3" x14ac:dyDescent="0.2">
      <c r="A2414" s="1" t="str">
        <f>"301208"</f>
        <v>301208</v>
      </c>
      <c r="B2414" s="1" t="s">
        <v>560</v>
      </c>
      <c r="C2414" s="1" t="s">
        <v>4847</v>
      </c>
    </row>
    <row r="2415" spans="1:3" x14ac:dyDescent="0.2">
      <c r="A2415" s="1" t="str">
        <f>"301207"</f>
        <v>301207</v>
      </c>
      <c r="B2415" s="1" t="s">
        <v>1770</v>
      </c>
      <c r="C2415" s="1" t="s">
        <v>4852</v>
      </c>
    </row>
    <row r="2416" spans="1:3" x14ac:dyDescent="0.2">
      <c r="A2416" s="1" t="str">
        <f>"301206"</f>
        <v>301206</v>
      </c>
      <c r="B2416" s="1" t="s">
        <v>2412</v>
      </c>
      <c r="C2416" s="1" t="s">
        <v>4891</v>
      </c>
    </row>
    <row r="2417" spans="1:3" x14ac:dyDescent="0.2">
      <c r="A2417" s="1" t="str">
        <f>"301205"</f>
        <v>301205</v>
      </c>
      <c r="B2417" s="1" t="s">
        <v>681</v>
      </c>
      <c r="C2417" s="1" t="s">
        <v>4869</v>
      </c>
    </row>
    <row r="2418" spans="1:3" x14ac:dyDescent="0.2">
      <c r="A2418" s="1" t="str">
        <f>"301203"</f>
        <v>301203</v>
      </c>
      <c r="B2418" s="1" t="s">
        <v>49</v>
      </c>
      <c r="C2418" s="1" t="s">
        <v>4863</v>
      </c>
    </row>
    <row r="2419" spans="1:3" x14ac:dyDescent="0.2">
      <c r="A2419" s="1" t="str">
        <f>"301202"</f>
        <v>301202</v>
      </c>
      <c r="B2419" s="1" t="s">
        <v>1194</v>
      </c>
      <c r="C2419" s="1" t="s">
        <v>4851</v>
      </c>
    </row>
    <row r="2420" spans="1:3" x14ac:dyDescent="0.2">
      <c r="A2420" s="1" t="str">
        <f>"301201"</f>
        <v>301201</v>
      </c>
      <c r="B2420" s="1" t="s">
        <v>4138</v>
      </c>
      <c r="C2420" s="1" t="s">
        <v>4861</v>
      </c>
    </row>
    <row r="2421" spans="1:3" x14ac:dyDescent="0.2">
      <c r="A2421" s="1" t="str">
        <f>"301200"</f>
        <v>301200</v>
      </c>
      <c r="B2421" s="1" t="s">
        <v>1038</v>
      </c>
      <c r="C2421" s="1" t="s">
        <v>4845</v>
      </c>
    </row>
    <row r="2422" spans="1:3" x14ac:dyDescent="0.2">
      <c r="A2422" s="1" t="str">
        <f>"301199"</f>
        <v>301199</v>
      </c>
      <c r="B2422" s="1" t="s">
        <v>988</v>
      </c>
      <c r="C2422" s="1" t="s">
        <v>4849</v>
      </c>
    </row>
    <row r="2423" spans="1:3" x14ac:dyDescent="0.2">
      <c r="A2423" s="1" t="str">
        <f>"301198"</f>
        <v>301198</v>
      </c>
      <c r="B2423" s="1" t="s">
        <v>4139</v>
      </c>
      <c r="C2423" s="1" t="s">
        <v>4930</v>
      </c>
    </row>
    <row r="2424" spans="1:3" x14ac:dyDescent="0.2">
      <c r="A2424" s="1" t="str">
        <f>"301197"</f>
        <v>301197</v>
      </c>
      <c r="B2424" s="1" t="s">
        <v>561</v>
      </c>
      <c r="C2424" s="1" t="s">
        <v>4847</v>
      </c>
    </row>
    <row r="2425" spans="1:3" x14ac:dyDescent="0.2">
      <c r="A2425" s="1" t="str">
        <f>"301196"</f>
        <v>301196</v>
      </c>
      <c r="B2425" s="1" t="s">
        <v>1039</v>
      </c>
      <c r="C2425" s="1" t="s">
        <v>4845</v>
      </c>
    </row>
    <row r="2426" spans="1:3" x14ac:dyDescent="0.2">
      <c r="A2426" s="1" t="str">
        <f>"301195"</f>
        <v>301195</v>
      </c>
      <c r="B2426" s="1" t="s">
        <v>562</v>
      </c>
      <c r="C2426" s="1" t="s">
        <v>4847</v>
      </c>
    </row>
    <row r="2427" spans="1:3" x14ac:dyDescent="0.2">
      <c r="A2427" s="1" t="str">
        <f>"301193"</f>
        <v>301193</v>
      </c>
      <c r="B2427" s="1" t="s">
        <v>4140</v>
      </c>
      <c r="C2427" s="1" t="s">
        <v>4902</v>
      </c>
    </row>
    <row r="2428" spans="1:3" x14ac:dyDescent="0.2">
      <c r="A2428" s="1" t="str">
        <f>"301192"</f>
        <v>301192</v>
      </c>
      <c r="B2428" s="1" t="s">
        <v>4141</v>
      </c>
      <c r="C2428" s="1" t="s">
        <v>4856</v>
      </c>
    </row>
    <row r="2429" spans="1:3" x14ac:dyDescent="0.2">
      <c r="A2429" s="1" t="str">
        <f>"301191"</f>
        <v>301191</v>
      </c>
      <c r="B2429" s="1" t="s">
        <v>682</v>
      </c>
      <c r="C2429" s="1" t="s">
        <v>4869</v>
      </c>
    </row>
    <row r="2430" spans="1:3" x14ac:dyDescent="0.2">
      <c r="A2430" s="1" t="str">
        <f>"301190"</f>
        <v>301190</v>
      </c>
      <c r="B2430" s="1" t="s">
        <v>2964</v>
      </c>
      <c r="C2430" s="1" t="s">
        <v>4865</v>
      </c>
    </row>
    <row r="2431" spans="1:3" x14ac:dyDescent="0.2">
      <c r="A2431" s="1" t="str">
        <f>"301189"</f>
        <v>301189</v>
      </c>
      <c r="B2431" s="1" t="s">
        <v>4142</v>
      </c>
      <c r="C2431" s="1" t="s">
        <v>4850</v>
      </c>
    </row>
    <row r="2432" spans="1:3" x14ac:dyDescent="0.2">
      <c r="A2432" s="1" t="str">
        <f>"301188"</f>
        <v>301188</v>
      </c>
      <c r="B2432" s="1" t="s">
        <v>2615</v>
      </c>
      <c r="C2432" s="1" t="s">
        <v>4916</v>
      </c>
    </row>
    <row r="2433" spans="1:3" x14ac:dyDescent="0.2">
      <c r="A2433" s="1" t="str">
        <f>"301187"</f>
        <v>301187</v>
      </c>
      <c r="B2433" s="1" t="s">
        <v>2168</v>
      </c>
      <c r="C2433" s="1" t="s">
        <v>4844</v>
      </c>
    </row>
    <row r="2434" spans="1:3" x14ac:dyDescent="0.2">
      <c r="A2434" s="1" t="str">
        <f>"301186"</f>
        <v>301186</v>
      </c>
      <c r="B2434" s="1" t="s">
        <v>1040</v>
      </c>
      <c r="C2434" s="1" t="s">
        <v>4845</v>
      </c>
    </row>
    <row r="2435" spans="1:3" x14ac:dyDescent="0.2">
      <c r="A2435" s="1" t="str">
        <f>"301185"</f>
        <v>301185</v>
      </c>
      <c r="B2435" s="1" t="s">
        <v>563</v>
      </c>
      <c r="C2435" s="1" t="s">
        <v>4847</v>
      </c>
    </row>
    <row r="2436" spans="1:3" x14ac:dyDescent="0.2">
      <c r="A2436" s="1" t="str">
        <f>"301183"</f>
        <v>301183</v>
      </c>
      <c r="B2436" s="1" t="s">
        <v>811</v>
      </c>
      <c r="C2436" s="1" t="s">
        <v>4878</v>
      </c>
    </row>
    <row r="2437" spans="1:3" x14ac:dyDescent="0.2">
      <c r="A2437" s="1" t="str">
        <f>"301181"</f>
        <v>301181</v>
      </c>
      <c r="B2437" s="1" t="s">
        <v>1930</v>
      </c>
      <c r="C2437" s="1" t="s">
        <v>4856</v>
      </c>
    </row>
    <row r="2438" spans="1:3" x14ac:dyDescent="0.2">
      <c r="A2438" s="1" t="str">
        <f>"301180"</f>
        <v>301180</v>
      </c>
      <c r="B2438" s="1" t="s">
        <v>865</v>
      </c>
      <c r="C2438" s="1" t="s">
        <v>4850</v>
      </c>
    </row>
    <row r="2439" spans="1:3" x14ac:dyDescent="0.2">
      <c r="A2439" s="1" t="str">
        <f>"301179"</f>
        <v>301179</v>
      </c>
      <c r="B2439" s="1" t="s">
        <v>1503</v>
      </c>
      <c r="C2439" s="1" t="s">
        <v>4866</v>
      </c>
    </row>
    <row r="2440" spans="1:3" x14ac:dyDescent="0.2">
      <c r="A2440" s="1" t="str">
        <f>"301178"</f>
        <v>301178</v>
      </c>
      <c r="B2440" s="1" t="s">
        <v>564</v>
      </c>
      <c r="C2440" s="1" t="s">
        <v>4847</v>
      </c>
    </row>
    <row r="2441" spans="1:3" x14ac:dyDescent="0.2">
      <c r="A2441" s="1" t="str">
        <f>"301177"</f>
        <v>301177</v>
      </c>
      <c r="B2441" s="1" t="s">
        <v>2317</v>
      </c>
      <c r="C2441" s="1" t="s">
        <v>4887</v>
      </c>
    </row>
    <row r="2442" spans="1:3" x14ac:dyDescent="0.2">
      <c r="A2442" s="1" t="str">
        <f>"301176"</f>
        <v>301176</v>
      </c>
      <c r="B2442" s="1" t="s">
        <v>4143</v>
      </c>
      <c r="C2442" s="1" t="s">
        <v>4872</v>
      </c>
    </row>
    <row r="2443" spans="1:3" x14ac:dyDescent="0.2">
      <c r="A2443" s="1" t="str">
        <f>"301175"</f>
        <v>301175</v>
      </c>
      <c r="B2443" s="1" t="s">
        <v>27</v>
      </c>
      <c r="C2443" s="1" t="s">
        <v>4863</v>
      </c>
    </row>
    <row r="2444" spans="1:3" x14ac:dyDescent="0.2">
      <c r="A2444" s="1" t="str">
        <f>"301173"</f>
        <v>301173</v>
      </c>
      <c r="B2444" s="1" t="s">
        <v>2060</v>
      </c>
      <c r="C2444" s="1" t="s">
        <v>4856</v>
      </c>
    </row>
    <row r="2445" spans="1:3" x14ac:dyDescent="0.2">
      <c r="A2445" s="1" t="str">
        <f>"301172"</f>
        <v>301172</v>
      </c>
      <c r="B2445" s="1" t="s">
        <v>565</v>
      </c>
      <c r="C2445" s="1" t="s">
        <v>4847</v>
      </c>
    </row>
    <row r="2446" spans="1:3" x14ac:dyDescent="0.2">
      <c r="A2446" s="1" t="str">
        <f>"301171"</f>
        <v>301171</v>
      </c>
      <c r="B2446" s="1" t="s">
        <v>491</v>
      </c>
      <c r="C2446" s="1" t="s">
        <v>4907</v>
      </c>
    </row>
    <row r="2447" spans="1:3" x14ac:dyDescent="0.2">
      <c r="A2447" s="1" t="str">
        <f>"301170"</f>
        <v>301170</v>
      </c>
      <c r="B2447" s="1" t="s">
        <v>2002</v>
      </c>
      <c r="C2447" s="1" t="s">
        <v>4856</v>
      </c>
    </row>
    <row r="2448" spans="1:3" x14ac:dyDescent="0.2">
      <c r="A2448" s="1" t="str">
        <f>"301169"</f>
        <v>301169</v>
      </c>
      <c r="B2448" s="1" t="s">
        <v>4144</v>
      </c>
      <c r="C2448" s="1" t="s">
        <v>4854</v>
      </c>
    </row>
    <row r="2449" spans="1:3" x14ac:dyDescent="0.2">
      <c r="A2449" s="1" t="str">
        <f>"301168"</f>
        <v>301168</v>
      </c>
      <c r="B2449" s="1" t="s">
        <v>1414</v>
      </c>
      <c r="C2449" s="1" t="s">
        <v>4857</v>
      </c>
    </row>
    <row r="2450" spans="1:3" x14ac:dyDescent="0.2">
      <c r="A2450" s="1" t="str">
        <f>"301167"</f>
        <v>301167</v>
      </c>
      <c r="B2450" s="1" t="s">
        <v>4145</v>
      </c>
      <c r="C2450" s="1" t="s">
        <v>4922</v>
      </c>
    </row>
    <row r="2451" spans="1:3" x14ac:dyDescent="0.2">
      <c r="A2451" s="1" t="str">
        <f>"301166"</f>
        <v>301166</v>
      </c>
      <c r="B2451" s="1" t="s">
        <v>4146</v>
      </c>
      <c r="C2451" s="1" t="s">
        <v>4903</v>
      </c>
    </row>
    <row r="2452" spans="1:3" x14ac:dyDescent="0.2">
      <c r="A2452" s="1" t="str">
        <f>"301165"</f>
        <v>301165</v>
      </c>
      <c r="B2452" s="1" t="s">
        <v>683</v>
      </c>
      <c r="C2452" s="1" t="s">
        <v>4869</v>
      </c>
    </row>
    <row r="2453" spans="1:3" x14ac:dyDescent="0.2">
      <c r="A2453" s="1" t="str">
        <f>"301163"</f>
        <v>301163</v>
      </c>
      <c r="B2453" s="1" t="s">
        <v>977</v>
      </c>
      <c r="C2453" s="1" t="s">
        <v>4849</v>
      </c>
    </row>
    <row r="2454" spans="1:3" x14ac:dyDescent="0.2">
      <c r="A2454" s="1" t="str">
        <f>"301162"</f>
        <v>301162</v>
      </c>
      <c r="B2454" s="1" t="s">
        <v>566</v>
      </c>
      <c r="C2454" s="1" t="s">
        <v>4847</v>
      </c>
    </row>
    <row r="2455" spans="1:3" x14ac:dyDescent="0.2">
      <c r="A2455" s="1" t="str">
        <f>"301161"</f>
        <v>301161</v>
      </c>
      <c r="B2455" s="1" t="s">
        <v>996</v>
      </c>
      <c r="C2455" s="1" t="s">
        <v>4880</v>
      </c>
    </row>
    <row r="2456" spans="1:3" x14ac:dyDescent="0.2">
      <c r="A2456" s="1" t="str">
        <f>"301160"</f>
        <v>301160</v>
      </c>
      <c r="B2456" s="1" t="s">
        <v>1195</v>
      </c>
      <c r="C2456" s="1" t="s">
        <v>4851</v>
      </c>
    </row>
    <row r="2457" spans="1:3" x14ac:dyDescent="0.2">
      <c r="A2457" s="1" t="str">
        <f>"301159"</f>
        <v>301159</v>
      </c>
      <c r="B2457" s="1" t="s">
        <v>4147</v>
      </c>
      <c r="C2457" s="1" t="s">
        <v>4847</v>
      </c>
    </row>
    <row r="2458" spans="1:3" x14ac:dyDescent="0.2">
      <c r="A2458" s="1" t="str">
        <f>"301158"</f>
        <v>301158</v>
      </c>
      <c r="B2458" s="1" t="s">
        <v>1121</v>
      </c>
      <c r="C2458" s="1" t="s">
        <v>4845</v>
      </c>
    </row>
    <row r="2459" spans="1:3" x14ac:dyDescent="0.2">
      <c r="A2459" s="1" t="str">
        <f>"301157"</f>
        <v>301157</v>
      </c>
      <c r="B2459" s="1" t="s">
        <v>1368</v>
      </c>
      <c r="C2459" s="1" t="s">
        <v>4859</v>
      </c>
    </row>
    <row r="2460" spans="1:3" x14ac:dyDescent="0.2">
      <c r="A2460" s="1" t="str">
        <f>"301156"</f>
        <v>301156</v>
      </c>
      <c r="B2460" s="1" t="s">
        <v>2942</v>
      </c>
      <c r="C2460" s="1" t="s">
        <v>4865</v>
      </c>
    </row>
    <row r="2461" spans="1:3" x14ac:dyDescent="0.2">
      <c r="A2461" s="1" t="str">
        <f>"301155"</f>
        <v>301155</v>
      </c>
      <c r="B2461" s="1" t="s">
        <v>1388</v>
      </c>
      <c r="C2461" s="1" t="s">
        <v>4870</v>
      </c>
    </row>
    <row r="2462" spans="1:3" x14ac:dyDescent="0.2">
      <c r="A2462" s="1" t="str">
        <f>"301153"</f>
        <v>301153</v>
      </c>
      <c r="B2462" s="1" t="s">
        <v>4148</v>
      </c>
      <c r="C2462" s="1" t="s">
        <v>4847</v>
      </c>
    </row>
    <row r="2463" spans="1:3" x14ac:dyDescent="0.2">
      <c r="A2463" s="1" t="str">
        <f>"301152"</f>
        <v>301152</v>
      </c>
      <c r="B2463" s="1" t="s">
        <v>4149</v>
      </c>
      <c r="C2463" s="1" t="s">
        <v>4841</v>
      </c>
    </row>
    <row r="2464" spans="1:3" x14ac:dyDescent="0.2">
      <c r="A2464" s="1" t="str">
        <f>"301151"</f>
        <v>301151</v>
      </c>
      <c r="B2464" s="1" t="s">
        <v>1227</v>
      </c>
      <c r="C2464" s="1" t="s">
        <v>4851</v>
      </c>
    </row>
    <row r="2465" spans="1:3" x14ac:dyDescent="0.2">
      <c r="A2465" s="1" t="str">
        <f>"301150"</f>
        <v>301150</v>
      </c>
      <c r="B2465" s="1" t="s">
        <v>4150</v>
      </c>
      <c r="C2465" s="1" t="s">
        <v>4841</v>
      </c>
    </row>
    <row r="2466" spans="1:3" x14ac:dyDescent="0.2">
      <c r="A2466" s="1" t="str">
        <f>"301149"</f>
        <v>301149</v>
      </c>
      <c r="B2466" s="1" t="s">
        <v>2903</v>
      </c>
      <c r="C2466" s="1" t="s">
        <v>4865</v>
      </c>
    </row>
    <row r="2467" spans="1:3" x14ac:dyDescent="0.2">
      <c r="A2467" s="1" t="str">
        <f>"301148"</f>
        <v>301148</v>
      </c>
      <c r="B2467" s="1" t="s">
        <v>50</v>
      </c>
      <c r="C2467" s="1" t="s">
        <v>4863</v>
      </c>
    </row>
    <row r="2468" spans="1:3" x14ac:dyDescent="0.2">
      <c r="A2468" s="1" t="str">
        <f>"301141"</f>
        <v>301141</v>
      </c>
      <c r="B2468" s="1" t="s">
        <v>2631</v>
      </c>
      <c r="C2468" s="1" t="s">
        <v>4848</v>
      </c>
    </row>
    <row r="2469" spans="1:3" x14ac:dyDescent="0.2">
      <c r="A2469" s="1" t="str">
        <f>"301139"</f>
        <v>301139</v>
      </c>
      <c r="B2469" s="1" t="s">
        <v>638</v>
      </c>
      <c r="C2469" s="1" t="s">
        <v>4932</v>
      </c>
    </row>
    <row r="2470" spans="1:3" x14ac:dyDescent="0.2">
      <c r="A2470" s="1" t="str">
        <f>"301138"</f>
        <v>301138</v>
      </c>
      <c r="B2470" s="1" t="s">
        <v>1097</v>
      </c>
      <c r="C2470" s="1" t="s">
        <v>4845</v>
      </c>
    </row>
    <row r="2471" spans="1:3" x14ac:dyDescent="0.2">
      <c r="A2471" s="1" t="str">
        <f>"301137"</f>
        <v>301137</v>
      </c>
      <c r="B2471" s="1" t="s">
        <v>1196</v>
      </c>
      <c r="C2471" s="1" t="s">
        <v>4851</v>
      </c>
    </row>
    <row r="2472" spans="1:3" x14ac:dyDescent="0.2">
      <c r="A2472" s="1" t="str">
        <f>"301136"</f>
        <v>301136</v>
      </c>
      <c r="B2472" s="1" t="s">
        <v>4151</v>
      </c>
      <c r="C2472" s="1" t="s">
        <v>4922</v>
      </c>
    </row>
    <row r="2473" spans="1:3" x14ac:dyDescent="0.2">
      <c r="A2473" s="1" t="str">
        <f>"301135"</f>
        <v>301135</v>
      </c>
      <c r="B2473" s="1" t="s">
        <v>713</v>
      </c>
      <c r="C2473" s="1" t="s">
        <v>4842</v>
      </c>
    </row>
    <row r="2474" spans="1:3" x14ac:dyDescent="0.2">
      <c r="A2474" s="1" t="str">
        <f>"301133"</f>
        <v>301133</v>
      </c>
      <c r="B2474" s="1" t="s">
        <v>2061</v>
      </c>
      <c r="C2474" s="1" t="s">
        <v>4856</v>
      </c>
    </row>
    <row r="2475" spans="1:3" x14ac:dyDescent="0.2">
      <c r="A2475" s="1" t="str">
        <f>"301132"</f>
        <v>301132</v>
      </c>
      <c r="B2475" s="1" t="s">
        <v>761</v>
      </c>
      <c r="C2475" s="1" t="s">
        <v>4872</v>
      </c>
    </row>
    <row r="2476" spans="1:3" x14ac:dyDescent="0.2">
      <c r="A2476" s="1" t="str">
        <f>"301131"</f>
        <v>301131</v>
      </c>
      <c r="B2476" s="1" t="s">
        <v>2863</v>
      </c>
      <c r="C2476" s="1" t="s">
        <v>4860</v>
      </c>
    </row>
    <row r="2477" spans="1:3" x14ac:dyDescent="0.2">
      <c r="A2477" s="1" t="str">
        <f>"301130"</f>
        <v>301130</v>
      </c>
      <c r="B2477" s="1" t="s">
        <v>1830</v>
      </c>
      <c r="C2477" s="1" t="s">
        <v>4843</v>
      </c>
    </row>
    <row r="2478" spans="1:3" x14ac:dyDescent="0.2">
      <c r="A2478" s="1" t="str">
        <f>"301129"</f>
        <v>301129</v>
      </c>
      <c r="B2478" s="1" t="s">
        <v>4152</v>
      </c>
      <c r="C2478" s="1" t="s">
        <v>4851</v>
      </c>
    </row>
    <row r="2479" spans="1:3" x14ac:dyDescent="0.2">
      <c r="A2479" s="1" t="str">
        <f>"301128"</f>
        <v>301128</v>
      </c>
      <c r="B2479" s="1" t="s">
        <v>1041</v>
      </c>
      <c r="C2479" s="1" t="s">
        <v>4845</v>
      </c>
    </row>
    <row r="2480" spans="1:3" x14ac:dyDescent="0.2">
      <c r="A2480" s="1" t="str">
        <f>"301127"</f>
        <v>301127</v>
      </c>
      <c r="B2480" s="1" t="s">
        <v>51</v>
      </c>
      <c r="C2480" s="1" t="s">
        <v>4863</v>
      </c>
    </row>
    <row r="2481" spans="1:3" x14ac:dyDescent="0.2">
      <c r="A2481" s="1" t="str">
        <f>"301126"</f>
        <v>301126</v>
      </c>
      <c r="B2481" s="1" t="s">
        <v>1653</v>
      </c>
      <c r="C2481" s="1" t="s">
        <v>4903</v>
      </c>
    </row>
    <row r="2482" spans="1:3" x14ac:dyDescent="0.2">
      <c r="A2482" s="1" t="str">
        <f>"301125"</f>
        <v>301125</v>
      </c>
      <c r="B2482" s="1" t="s">
        <v>4153</v>
      </c>
      <c r="C2482" s="1" t="s">
        <v>4851</v>
      </c>
    </row>
    <row r="2483" spans="1:3" x14ac:dyDescent="0.2">
      <c r="A2483" s="1" t="str">
        <f>"301123"</f>
        <v>301123</v>
      </c>
      <c r="B2483" s="1" t="s">
        <v>4154</v>
      </c>
      <c r="C2483" s="1" t="s">
        <v>4850</v>
      </c>
    </row>
    <row r="2484" spans="1:3" x14ac:dyDescent="0.2">
      <c r="A2484" s="1" t="str">
        <f>"301122"</f>
        <v>301122</v>
      </c>
      <c r="B2484" s="1" t="s">
        <v>1707</v>
      </c>
      <c r="C2484" s="1" t="s">
        <v>4867</v>
      </c>
    </row>
    <row r="2485" spans="1:3" x14ac:dyDescent="0.2">
      <c r="A2485" s="1" t="str">
        <f>"301121"</f>
        <v>301121</v>
      </c>
      <c r="B2485" s="1" t="s">
        <v>4155</v>
      </c>
      <c r="C2485" s="1" t="s">
        <v>4841</v>
      </c>
    </row>
    <row r="2486" spans="1:3" x14ac:dyDescent="0.2">
      <c r="A2486" s="1" t="str">
        <f>"301120"</f>
        <v>301120</v>
      </c>
      <c r="B2486" s="1" t="s">
        <v>1485</v>
      </c>
      <c r="C2486" s="1" t="s">
        <v>4866</v>
      </c>
    </row>
    <row r="2487" spans="1:3" x14ac:dyDescent="0.2">
      <c r="A2487" s="1" t="str">
        <f>"301119"</f>
        <v>301119</v>
      </c>
      <c r="B2487" s="1" t="s">
        <v>2003</v>
      </c>
      <c r="C2487" s="1" t="s">
        <v>4856</v>
      </c>
    </row>
    <row r="2488" spans="1:3" x14ac:dyDescent="0.2">
      <c r="A2488" s="1" t="str">
        <f>"301118"</f>
        <v>301118</v>
      </c>
      <c r="B2488" s="1" t="s">
        <v>3037</v>
      </c>
      <c r="C2488" s="1" t="s">
        <v>4853</v>
      </c>
    </row>
    <row r="2489" spans="1:3" x14ac:dyDescent="0.2">
      <c r="A2489" s="1" t="str">
        <f>"301117"</f>
        <v>301117</v>
      </c>
      <c r="B2489" s="1" t="s">
        <v>4156</v>
      </c>
      <c r="C2489" s="1" t="s">
        <v>4847</v>
      </c>
    </row>
    <row r="2490" spans="1:3" x14ac:dyDescent="0.2">
      <c r="A2490" s="1" t="str">
        <f>"301116"</f>
        <v>301116</v>
      </c>
      <c r="B2490" s="1" t="s">
        <v>4157</v>
      </c>
      <c r="C2490" s="1" t="s">
        <v>4891</v>
      </c>
    </row>
    <row r="2491" spans="1:3" x14ac:dyDescent="0.2">
      <c r="A2491" s="1" t="str">
        <f>"301115"</f>
        <v>301115</v>
      </c>
      <c r="B2491" s="1" t="s">
        <v>271</v>
      </c>
      <c r="C2491" s="1" t="s">
        <v>4854</v>
      </c>
    </row>
    <row r="2492" spans="1:3" x14ac:dyDescent="0.2">
      <c r="A2492" s="1" t="str">
        <f>"301113"</f>
        <v>301113</v>
      </c>
      <c r="B2492" s="1" t="s">
        <v>4158</v>
      </c>
      <c r="C2492" s="1" t="s">
        <v>4902</v>
      </c>
    </row>
    <row r="2493" spans="1:3" x14ac:dyDescent="0.2">
      <c r="A2493" s="1" t="str">
        <f>"301112"</f>
        <v>301112</v>
      </c>
      <c r="B2493" s="1" t="s">
        <v>1042</v>
      </c>
      <c r="C2493" s="1" t="s">
        <v>4845</v>
      </c>
    </row>
    <row r="2494" spans="1:3" x14ac:dyDescent="0.2">
      <c r="A2494" s="1" t="str">
        <f>"301111"</f>
        <v>301111</v>
      </c>
      <c r="B2494" s="1" t="s">
        <v>4159</v>
      </c>
      <c r="C2494" s="1" t="s">
        <v>4917</v>
      </c>
    </row>
    <row r="2495" spans="1:3" x14ac:dyDescent="0.2">
      <c r="A2495" s="1" t="str">
        <f>"301110"</f>
        <v>301110</v>
      </c>
      <c r="B2495" s="1" t="s">
        <v>2090</v>
      </c>
      <c r="C2495" s="1" t="s">
        <v>4910</v>
      </c>
    </row>
    <row r="2496" spans="1:3" x14ac:dyDescent="0.2">
      <c r="A2496" s="1" t="str">
        <f>"301109"</f>
        <v>301109</v>
      </c>
      <c r="B2496" s="1" t="s">
        <v>28</v>
      </c>
      <c r="C2496" s="1" t="s">
        <v>4863</v>
      </c>
    </row>
    <row r="2497" spans="1:3" x14ac:dyDescent="0.2">
      <c r="A2497" s="1" t="str">
        <f>"301108"</f>
        <v>301108</v>
      </c>
      <c r="B2497" s="1" t="s">
        <v>3078</v>
      </c>
      <c r="C2497" s="1" t="s">
        <v>4920</v>
      </c>
    </row>
    <row r="2498" spans="1:3" x14ac:dyDescent="0.2">
      <c r="A2498" s="1" t="str">
        <f>"301107"</f>
        <v>301107</v>
      </c>
      <c r="B2498" s="1" t="s">
        <v>1150</v>
      </c>
      <c r="C2498" s="1" t="s">
        <v>4851</v>
      </c>
    </row>
    <row r="2499" spans="1:3" x14ac:dyDescent="0.2">
      <c r="A2499" s="1" t="str">
        <f>"301106"</f>
        <v>301106</v>
      </c>
      <c r="B2499" s="1" t="s">
        <v>830</v>
      </c>
      <c r="C2499" s="1" t="s">
        <v>4878</v>
      </c>
    </row>
    <row r="2500" spans="1:3" x14ac:dyDescent="0.2">
      <c r="A2500" s="1" t="str">
        <f>"301105"</f>
        <v>301105</v>
      </c>
      <c r="B2500" s="1" t="s">
        <v>1098</v>
      </c>
      <c r="C2500" s="1" t="s">
        <v>4845</v>
      </c>
    </row>
    <row r="2501" spans="1:3" x14ac:dyDescent="0.2">
      <c r="A2501" s="1" t="str">
        <f>"301103"</f>
        <v>301103</v>
      </c>
      <c r="B2501" s="1" t="s">
        <v>1671</v>
      </c>
      <c r="C2501" s="1" t="s">
        <v>4861</v>
      </c>
    </row>
    <row r="2502" spans="1:3" x14ac:dyDescent="0.2">
      <c r="A2502" s="1" t="str">
        <f>"301102"</f>
        <v>301102</v>
      </c>
      <c r="B2502" s="1" t="s">
        <v>479</v>
      </c>
      <c r="C2502" s="1" t="s">
        <v>4907</v>
      </c>
    </row>
    <row r="2503" spans="1:3" x14ac:dyDescent="0.2">
      <c r="A2503" s="1" t="str">
        <f>"301101"</f>
        <v>301101</v>
      </c>
      <c r="B2503" s="1" t="s">
        <v>2205</v>
      </c>
      <c r="C2503" s="1" t="s">
        <v>4899</v>
      </c>
    </row>
    <row r="2504" spans="1:3" x14ac:dyDescent="0.2">
      <c r="A2504" s="1" t="str">
        <f>"301100"</f>
        <v>301100</v>
      </c>
      <c r="B2504" s="1" t="s">
        <v>4160</v>
      </c>
      <c r="C2504" s="1" t="s">
        <v>4860</v>
      </c>
    </row>
    <row r="2505" spans="1:3" x14ac:dyDescent="0.2">
      <c r="A2505" s="1" t="str">
        <f>"301099"</f>
        <v>301099</v>
      </c>
      <c r="B2505" s="1" t="s">
        <v>714</v>
      </c>
      <c r="C2505" s="1" t="s">
        <v>4842</v>
      </c>
    </row>
    <row r="2506" spans="1:3" x14ac:dyDescent="0.2">
      <c r="A2506" s="1" t="str">
        <f>"301098"</f>
        <v>301098</v>
      </c>
      <c r="B2506" s="1" t="s">
        <v>338</v>
      </c>
      <c r="C2506" s="1" t="s">
        <v>4898</v>
      </c>
    </row>
    <row r="2507" spans="1:3" x14ac:dyDescent="0.2">
      <c r="A2507" s="1" t="str">
        <f>"301097"</f>
        <v>301097</v>
      </c>
      <c r="B2507" s="1" t="s">
        <v>1708</v>
      </c>
      <c r="C2507" s="1" t="s">
        <v>4867</v>
      </c>
    </row>
    <row r="2508" spans="1:3" x14ac:dyDescent="0.2">
      <c r="A2508" s="1" t="str">
        <f>"301096"</f>
        <v>301096</v>
      </c>
      <c r="B2508" s="1" t="s">
        <v>4161</v>
      </c>
      <c r="C2508" s="1" t="s">
        <v>4861</v>
      </c>
    </row>
    <row r="2509" spans="1:3" x14ac:dyDescent="0.2">
      <c r="A2509" s="1" t="str">
        <f>"301095"</f>
        <v>301095</v>
      </c>
      <c r="B2509" s="1" t="s">
        <v>4162</v>
      </c>
      <c r="C2509" s="1" t="s">
        <v>4840</v>
      </c>
    </row>
    <row r="2510" spans="1:3" x14ac:dyDescent="0.2">
      <c r="A2510" s="1" t="str">
        <f>"301093"</f>
        <v>301093</v>
      </c>
      <c r="B2510" s="1" t="s">
        <v>1709</v>
      </c>
      <c r="C2510" s="1" t="s">
        <v>4867</v>
      </c>
    </row>
    <row r="2511" spans="1:3" x14ac:dyDescent="0.2">
      <c r="A2511" s="1" t="str">
        <f>"301092"</f>
        <v>301092</v>
      </c>
      <c r="B2511" s="1" t="s">
        <v>2887</v>
      </c>
      <c r="C2511" s="1" t="s">
        <v>4860</v>
      </c>
    </row>
    <row r="2512" spans="1:3" x14ac:dyDescent="0.2">
      <c r="A2512" s="1" t="str">
        <f>"301091"</f>
        <v>301091</v>
      </c>
      <c r="B2512" s="1" t="s">
        <v>4163</v>
      </c>
      <c r="C2512" s="1" t="s">
        <v>4922</v>
      </c>
    </row>
    <row r="2513" spans="1:3" x14ac:dyDescent="0.2">
      <c r="A2513" s="1" t="str">
        <f>"301090"</f>
        <v>301090</v>
      </c>
      <c r="B2513" s="1" t="s">
        <v>4164</v>
      </c>
      <c r="C2513" s="1" t="s">
        <v>4860</v>
      </c>
    </row>
    <row r="2514" spans="1:3" x14ac:dyDescent="0.2">
      <c r="A2514" s="1" t="str">
        <f>"301089"</f>
        <v>301089</v>
      </c>
      <c r="B2514" s="1" t="s">
        <v>4165</v>
      </c>
      <c r="C2514" s="1" t="s">
        <v>4843</v>
      </c>
    </row>
    <row r="2515" spans="1:3" x14ac:dyDescent="0.2">
      <c r="A2515" s="1" t="str">
        <f>"301088"</f>
        <v>301088</v>
      </c>
      <c r="B2515" s="1" t="s">
        <v>2337</v>
      </c>
      <c r="C2515" s="1" t="s">
        <v>4909</v>
      </c>
    </row>
    <row r="2516" spans="1:3" x14ac:dyDescent="0.2">
      <c r="A2516" s="1" t="str">
        <f>"301087"</f>
        <v>301087</v>
      </c>
      <c r="B2516" s="1" t="s">
        <v>1738</v>
      </c>
      <c r="C2516" s="1" t="s">
        <v>4867</v>
      </c>
    </row>
    <row r="2517" spans="1:3" x14ac:dyDescent="0.2">
      <c r="A2517" s="1" t="str">
        <f>"301086"</f>
        <v>301086</v>
      </c>
      <c r="B2517" s="1" t="s">
        <v>866</v>
      </c>
      <c r="C2517" s="1" t="s">
        <v>4850</v>
      </c>
    </row>
    <row r="2518" spans="1:3" x14ac:dyDescent="0.2">
      <c r="A2518" s="1" t="str">
        <f>"301085"</f>
        <v>301085</v>
      </c>
      <c r="B2518" s="1" t="s">
        <v>526</v>
      </c>
      <c r="C2518" s="1" t="s">
        <v>4874</v>
      </c>
    </row>
    <row r="2519" spans="1:3" x14ac:dyDescent="0.2">
      <c r="A2519" s="1" t="str">
        <f>"301083"</f>
        <v>301083</v>
      </c>
      <c r="B2519" s="1" t="s">
        <v>1043</v>
      </c>
      <c r="C2519" s="1" t="s">
        <v>4845</v>
      </c>
    </row>
    <row r="2520" spans="1:3" x14ac:dyDescent="0.2">
      <c r="A2520" s="1" t="str">
        <f>"301082"</f>
        <v>301082</v>
      </c>
      <c r="B2520" s="1" t="s">
        <v>4166</v>
      </c>
      <c r="C2520" s="1" t="s">
        <v>4866</v>
      </c>
    </row>
    <row r="2521" spans="1:3" x14ac:dyDescent="0.2">
      <c r="A2521" s="1" t="str">
        <f>"301081"</f>
        <v>301081</v>
      </c>
      <c r="B2521" s="1" t="s">
        <v>74</v>
      </c>
      <c r="C2521" s="1" t="s">
        <v>4871</v>
      </c>
    </row>
    <row r="2522" spans="1:3" x14ac:dyDescent="0.2">
      <c r="A2522" s="1" t="str">
        <f>"301080"</f>
        <v>301080</v>
      </c>
      <c r="B2522" s="1" t="s">
        <v>1747</v>
      </c>
      <c r="C2522" s="1" t="s">
        <v>4852</v>
      </c>
    </row>
    <row r="2523" spans="1:3" x14ac:dyDescent="0.2">
      <c r="A2523" s="1" t="str">
        <f>"301079"</f>
        <v>301079</v>
      </c>
      <c r="B2523" s="1" t="s">
        <v>997</v>
      </c>
      <c r="C2523" s="1" t="s">
        <v>4880</v>
      </c>
    </row>
    <row r="2524" spans="1:3" x14ac:dyDescent="0.2">
      <c r="A2524" s="1" t="str">
        <f>"301078"</f>
        <v>301078</v>
      </c>
      <c r="B2524" s="1" t="s">
        <v>2114</v>
      </c>
      <c r="C2524" s="1" t="s">
        <v>4939</v>
      </c>
    </row>
    <row r="2525" spans="1:3" x14ac:dyDescent="0.2">
      <c r="A2525" s="1" t="str">
        <f>"301077"</f>
        <v>301077</v>
      </c>
      <c r="B2525" s="1" t="s">
        <v>2904</v>
      </c>
      <c r="C2525" s="1" t="s">
        <v>4865</v>
      </c>
    </row>
    <row r="2526" spans="1:3" x14ac:dyDescent="0.2">
      <c r="A2526" s="1" t="str">
        <f>"301076"</f>
        <v>301076</v>
      </c>
      <c r="B2526" s="1" t="s">
        <v>2905</v>
      </c>
      <c r="C2526" s="1" t="s">
        <v>4865</v>
      </c>
    </row>
    <row r="2527" spans="1:3" x14ac:dyDescent="0.2">
      <c r="A2527" s="1" t="str">
        <f>"301073"</f>
        <v>301073</v>
      </c>
      <c r="B2527" s="1" t="s">
        <v>296</v>
      </c>
      <c r="C2527" s="1" t="s">
        <v>4912</v>
      </c>
    </row>
    <row r="2528" spans="1:3" x14ac:dyDescent="0.2">
      <c r="A2528" s="1" t="str">
        <f>"301072"</f>
        <v>301072</v>
      </c>
      <c r="B2528" s="1" t="s">
        <v>4167</v>
      </c>
      <c r="C2528" s="1" t="s">
        <v>4856</v>
      </c>
    </row>
    <row r="2529" spans="1:3" x14ac:dyDescent="0.2">
      <c r="A2529" s="1" t="str">
        <f>"301071"</f>
        <v>301071</v>
      </c>
      <c r="B2529" s="1" t="s">
        <v>2771</v>
      </c>
      <c r="C2529" s="1" t="s">
        <v>4881</v>
      </c>
    </row>
    <row r="2530" spans="1:3" x14ac:dyDescent="0.2">
      <c r="A2530" s="1" t="str">
        <f>"301070"</f>
        <v>301070</v>
      </c>
      <c r="B2530" s="1" t="s">
        <v>4168</v>
      </c>
      <c r="C2530" s="1" t="s">
        <v>4851</v>
      </c>
    </row>
    <row r="2531" spans="1:3" x14ac:dyDescent="0.2">
      <c r="A2531" s="1" t="str">
        <f>"301069"</f>
        <v>301069</v>
      </c>
      <c r="B2531" s="1" t="s">
        <v>2998</v>
      </c>
      <c r="C2531" s="1" t="s">
        <v>4853</v>
      </c>
    </row>
    <row r="2532" spans="1:3" x14ac:dyDescent="0.2">
      <c r="A2532" s="1" t="str">
        <f>"301068"</f>
        <v>301068</v>
      </c>
      <c r="B2532" s="1" t="s">
        <v>29</v>
      </c>
      <c r="C2532" s="1" t="s">
        <v>4863</v>
      </c>
    </row>
    <row r="2533" spans="1:3" x14ac:dyDescent="0.2">
      <c r="A2533" s="1" t="str">
        <f>"301067"</f>
        <v>301067</v>
      </c>
      <c r="B2533" s="1" t="s">
        <v>867</v>
      </c>
      <c r="C2533" s="1" t="s">
        <v>4850</v>
      </c>
    </row>
    <row r="2534" spans="1:3" x14ac:dyDescent="0.2">
      <c r="A2534" s="1" t="str">
        <f>"301066"</f>
        <v>301066</v>
      </c>
      <c r="B2534" s="1" t="s">
        <v>2376</v>
      </c>
      <c r="C2534" s="1" t="s">
        <v>4904</v>
      </c>
    </row>
    <row r="2535" spans="1:3" x14ac:dyDescent="0.2">
      <c r="A2535" s="1" t="str">
        <f>"301065"</f>
        <v>301065</v>
      </c>
      <c r="B2535" s="1" t="s">
        <v>1794</v>
      </c>
      <c r="C2535" s="1" t="s">
        <v>4843</v>
      </c>
    </row>
    <row r="2536" spans="1:3" x14ac:dyDescent="0.2">
      <c r="A2536" s="1" t="str">
        <f>"301063"</f>
        <v>301063</v>
      </c>
      <c r="B2536" s="1" t="s">
        <v>1389</v>
      </c>
      <c r="C2536" s="1" t="s">
        <v>4870</v>
      </c>
    </row>
    <row r="2537" spans="1:3" x14ac:dyDescent="0.2">
      <c r="A2537" s="1" t="str">
        <f>"301062"</f>
        <v>301062</v>
      </c>
      <c r="B2537" s="1" t="s">
        <v>4169</v>
      </c>
      <c r="C2537" s="1" t="s">
        <v>4930</v>
      </c>
    </row>
    <row r="2538" spans="1:3" x14ac:dyDescent="0.2">
      <c r="A2538" s="1" t="str">
        <f>"301061"</f>
        <v>301061</v>
      </c>
      <c r="B2538" s="1" t="s">
        <v>2247</v>
      </c>
      <c r="C2538" s="1" t="s">
        <v>4902</v>
      </c>
    </row>
    <row r="2539" spans="1:3" x14ac:dyDescent="0.2">
      <c r="A2539" s="1" t="str">
        <f>"301060"</f>
        <v>301060</v>
      </c>
      <c r="B2539" s="1" t="s">
        <v>4170</v>
      </c>
      <c r="C2539" s="1" t="s">
        <v>4861</v>
      </c>
    </row>
    <row r="2540" spans="1:3" x14ac:dyDescent="0.2">
      <c r="A2540" s="1" t="str">
        <f>"301059"</f>
        <v>301059</v>
      </c>
      <c r="B2540" s="1" t="s">
        <v>2999</v>
      </c>
      <c r="C2540" s="1" t="s">
        <v>4853</v>
      </c>
    </row>
    <row r="2541" spans="1:3" x14ac:dyDescent="0.2">
      <c r="A2541" s="1" t="str">
        <f>"301058"</f>
        <v>301058</v>
      </c>
      <c r="B2541" s="1" t="s">
        <v>4171</v>
      </c>
      <c r="C2541" s="1" t="s">
        <v>4922</v>
      </c>
    </row>
    <row r="2542" spans="1:3" x14ac:dyDescent="0.2">
      <c r="A2542" s="1" t="str">
        <f>"301057"</f>
        <v>301057</v>
      </c>
      <c r="B2542" s="1" t="s">
        <v>3056</v>
      </c>
      <c r="C2542" s="1" t="s">
        <v>4858</v>
      </c>
    </row>
    <row r="2543" spans="1:3" x14ac:dyDescent="0.2">
      <c r="A2543" s="1" t="str">
        <f>"301056"</f>
        <v>301056</v>
      </c>
      <c r="B2543" s="1" t="s">
        <v>4172</v>
      </c>
      <c r="C2543" s="1" t="s">
        <v>4845</v>
      </c>
    </row>
    <row r="2544" spans="1:3" x14ac:dyDescent="0.2">
      <c r="A2544" s="1" t="str">
        <f>"301055"</f>
        <v>301055</v>
      </c>
      <c r="B2544" s="1" t="s">
        <v>2220</v>
      </c>
      <c r="C2544" s="1" t="s">
        <v>4902</v>
      </c>
    </row>
    <row r="2545" spans="1:3" x14ac:dyDescent="0.2">
      <c r="A2545" s="1" t="str">
        <f>"301053"</f>
        <v>301053</v>
      </c>
      <c r="B2545" s="1" t="s">
        <v>1091</v>
      </c>
      <c r="C2545" s="1" t="s">
        <v>4845</v>
      </c>
    </row>
    <row r="2546" spans="1:3" x14ac:dyDescent="0.2">
      <c r="A2546" s="1" t="str">
        <f>"301052"</f>
        <v>301052</v>
      </c>
      <c r="B2546" s="1" t="s">
        <v>4173</v>
      </c>
      <c r="C2546" s="1" t="s">
        <v>4890</v>
      </c>
    </row>
    <row r="2547" spans="1:3" x14ac:dyDescent="0.2">
      <c r="A2547" s="1" t="str">
        <f>"301050"</f>
        <v>301050</v>
      </c>
      <c r="B2547" s="1" t="s">
        <v>1312</v>
      </c>
      <c r="C2547" s="1" t="s">
        <v>4846</v>
      </c>
    </row>
    <row r="2548" spans="1:3" x14ac:dyDescent="0.2">
      <c r="A2548" s="1" t="str">
        <f>"301048"</f>
        <v>301048</v>
      </c>
      <c r="B2548" s="1" t="s">
        <v>1298</v>
      </c>
      <c r="C2548" s="1" t="s">
        <v>4875</v>
      </c>
    </row>
    <row r="2549" spans="1:3" x14ac:dyDescent="0.2">
      <c r="A2549" s="1" t="str">
        <f>"301047"</f>
        <v>301047</v>
      </c>
      <c r="B2549" s="1" t="s">
        <v>1748</v>
      </c>
      <c r="C2549" s="1" t="s">
        <v>4852</v>
      </c>
    </row>
    <row r="2550" spans="1:3" x14ac:dyDescent="0.2">
      <c r="A2550" s="1" t="str">
        <f>"301046"</f>
        <v>301046</v>
      </c>
      <c r="B2550" s="1" t="s">
        <v>321</v>
      </c>
      <c r="C2550" s="1" t="s">
        <v>4888</v>
      </c>
    </row>
    <row r="2551" spans="1:3" x14ac:dyDescent="0.2">
      <c r="A2551" s="1" t="str">
        <f>"301045"</f>
        <v>301045</v>
      </c>
      <c r="B2551" s="1" t="s">
        <v>812</v>
      </c>
      <c r="C2551" s="1" t="s">
        <v>4878</v>
      </c>
    </row>
    <row r="2552" spans="1:3" x14ac:dyDescent="0.2">
      <c r="A2552" s="1" t="str">
        <f>"301043"</f>
        <v>301043</v>
      </c>
      <c r="B2552" s="1" t="s">
        <v>1151</v>
      </c>
      <c r="C2552" s="1" t="s">
        <v>4851</v>
      </c>
    </row>
    <row r="2553" spans="1:3" x14ac:dyDescent="0.2">
      <c r="A2553" s="1" t="str">
        <f>"301042"</f>
        <v>301042</v>
      </c>
      <c r="B2553" s="1" t="s">
        <v>633</v>
      </c>
      <c r="C2553" s="1" t="s">
        <v>4873</v>
      </c>
    </row>
    <row r="2554" spans="1:3" x14ac:dyDescent="0.2">
      <c r="A2554" s="1" t="str">
        <f>"301041"</f>
        <v>301041</v>
      </c>
      <c r="B2554" s="1" t="s">
        <v>4174</v>
      </c>
      <c r="C2554" s="1" t="s">
        <v>4872</v>
      </c>
    </row>
    <row r="2555" spans="1:3" x14ac:dyDescent="0.2">
      <c r="A2555" s="1" t="str">
        <f>"301040"</f>
        <v>301040</v>
      </c>
      <c r="B2555" s="1" t="s">
        <v>4175</v>
      </c>
      <c r="C2555" s="1" t="s">
        <v>4870</v>
      </c>
    </row>
    <row r="2556" spans="1:3" x14ac:dyDescent="0.2">
      <c r="A2556" s="1" t="str">
        <f>"301039"</f>
        <v>301039</v>
      </c>
      <c r="B2556" s="1" t="s">
        <v>2081</v>
      </c>
      <c r="C2556" s="1" t="s">
        <v>4962</v>
      </c>
    </row>
    <row r="2557" spans="1:3" x14ac:dyDescent="0.2">
      <c r="A2557" s="1" t="str">
        <f>"301037"</f>
        <v>301037</v>
      </c>
      <c r="B2557" s="1" t="s">
        <v>4176</v>
      </c>
      <c r="C2557" s="1" t="s">
        <v>4865</v>
      </c>
    </row>
    <row r="2558" spans="1:3" x14ac:dyDescent="0.2">
      <c r="A2558" s="1" t="str">
        <f>"301036"</f>
        <v>301036</v>
      </c>
      <c r="B2558" s="1" t="s">
        <v>2984</v>
      </c>
      <c r="C2558" s="1" t="s">
        <v>4865</v>
      </c>
    </row>
    <row r="2559" spans="1:3" x14ac:dyDescent="0.2">
      <c r="A2559" s="1" t="str">
        <f>"301035"</f>
        <v>301035</v>
      </c>
      <c r="B2559" s="1" t="s">
        <v>2808</v>
      </c>
      <c r="C2559" s="1" t="s">
        <v>4915</v>
      </c>
    </row>
    <row r="2560" spans="1:3" x14ac:dyDescent="0.2">
      <c r="A2560" s="1" t="str">
        <f>"301033"</f>
        <v>301033</v>
      </c>
      <c r="B2560" s="1" t="s">
        <v>1710</v>
      </c>
      <c r="C2560" s="1" t="s">
        <v>4867</v>
      </c>
    </row>
    <row r="2561" spans="1:3" x14ac:dyDescent="0.2">
      <c r="A2561" s="1" t="str">
        <f>"301032"</f>
        <v>301032</v>
      </c>
      <c r="B2561" s="1" t="s">
        <v>4177</v>
      </c>
      <c r="C2561" s="1" t="s">
        <v>4851</v>
      </c>
    </row>
    <row r="2562" spans="1:3" x14ac:dyDescent="0.2">
      <c r="A2562" s="1" t="str">
        <f>"301031"</f>
        <v>301031</v>
      </c>
      <c r="B2562" s="1" t="s">
        <v>1467</v>
      </c>
      <c r="C2562" s="1" t="s">
        <v>4866</v>
      </c>
    </row>
    <row r="2563" spans="1:3" x14ac:dyDescent="0.2">
      <c r="A2563" s="1" t="str">
        <f>"301030"</f>
        <v>301030</v>
      </c>
      <c r="B2563" s="1" t="s">
        <v>75</v>
      </c>
      <c r="C2563" s="1" t="s">
        <v>4871</v>
      </c>
    </row>
    <row r="2564" spans="1:3" x14ac:dyDescent="0.2">
      <c r="A2564" s="1" t="str">
        <f>"301029"</f>
        <v>301029</v>
      </c>
      <c r="B2564" s="1" t="s">
        <v>1044</v>
      </c>
      <c r="C2564" s="1" t="s">
        <v>4845</v>
      </c>
    </row>
    <row r="2565" spans="1:3" x14ac:dyDescent="0.2">
      <c r="A2565" s="1" t="str">
        <f>"301028"</f>
        <v>301028</v>
      </c>
      <c r="B2565" s="1" t="s">
        <v>1152</v>
      </c>
      <c r="C2565" s="1" t="s">
        <v>4851</v>
      </c>
    </row>
    <row r="2566" spans="1:3" x14ac:dyDescent="0.2">
      <c r="A2566" s="1" t="str">
        <f>"301027"</f>
        <v>301027</v>
      </c>
      <c r="B2566" s="1" t="s">
        <v>4178</v>
      </c>
      <c r="C2566" s="1" t="s">
        <v>4922</v>
      </c>
    </row>
    <row r="2567" spans="1:3" x14ac:dyDescent="0.2">
      <c r="A2567" s="1" t="str">
        <f>"301026"</f>
        <v>301026</v>
      </c>
      <c r="B2567" s="1" t="s">
        <v>2643</v>
      </c>
      <c r="C2567" s="1" t="s">
        <v>4855</v>
      </c>
    </row>
    <row r="2568" spans="1:3" x14ac:dyDescent="0.2">
      <c r="A2568" s="1" t="str">
        <f>"301025"</f>
        <v>301025</v>
      </c>
      <c r="B2568" s="1" t="s">
        <v>448</v>
      </c>
      <c r="C2568" s="1" t="s">
        <v>4890</v>
      </c>
    </row>
    <row r="2569" spans="1:3" x14ac:dyDescent="0.2">
      <c r="A2569" s="1" t="str">
        <f>"301023"</f>
        <v>301023</v>
      </c>
      <c r="B2569" s="1" t="s">
        <v>1573</v>
      </c>
      <c r="C2569" s="1" t="s">
        <v>4919</v>
      </c>
    </row>
    <row r="2570" spans="1:3" x14ac:dyDescent="0.2">
      <c r="A2570" s="1" t="str">
        <f>"301022"</f>
        <v>301022</v>
      </c>
      <c r="B2570" s="1" t="s">
        <v>1045</v>
      </c>
      <c r="C2570" s="1" t="s">
        <v>4845</v>
      </c>
    </row>
    <row r="2571" spans="1:3" x14ac:dyDescent="0.2">
      <c r="A2571" s="1" t="str">
        <f>"301021"</f>
        <v>301021</v>
      </c>
      <c r="B2571" s="1" t="s">
        <v>4179</v>
      </c>
      <c r="C2571" s="1" t="s">
        <v>4849</v>
      </c>
    </row>
    <row r="2572" spans="1:3" x14ac:dyDescent="0.2">
      <c r="A2572" s="1" t="str">
        <f>"301020"</f>
        <v>301020</v>
      </c>
      <c r="B2572" s="1" t="s">
        <v>2004</v>
      </c>
      <c r="C2572" s="1" t="s">
        <v>4856</v>
      </c>
    </row>
    <row r="2573" spans="1:3" x14ac:dyDescent="0.2">
      <c r="A2573" s="1" t="str">
        <f>"301019"</f>
        <v>301019</v>
      </c>
      <c r="B2573" s="1" t="s">
        <v>2851</v>
      </c>
      <c r="C2573" s="1" t="s">
        <v>4860</v>
      </c>
    </row>
    <row r="2574" spans="1:3" x14ac:dyDescent="0.2">
      <c r="A2574" s="1" t="str">
        <f>"301018"</f>
        <v>301018</v>
      </c>
      <c r="B2574" s="1" t="s">
        <v>1179</v>
      </c>
      <c r="C2574" s="1" t="s">
        <v>4851</v>
      </c>
    </row>
    <row r="2575" spans="1:3" x14ac:dyDescent="0.2">
      <c r="A2575" s="1" t="str">
        <f>"301017"</f>
        <v>301017</v>
      </c>
      <c r="B2575" s="1" t="s">
        <v>4180</v>
      </c>
      <c r="C2575" s="1" t="s">
        <v>4903</v>
      </c>
    </row>
    <row r="2576" spans="1:3" x14ac:dyDescent="0.2">
      <c r="A2576" s="1" t="str">
        <f>"301016"</f>
        <v>301016</v>
      </c>
      <c r="B2576" s="1" t="s">
        <v>1299</v>
      </c>
      <c r="C2576" s="1" t="s">
        <v>4875</v>
      </c>
    </row>
    <row r="2577" spans="1:3" x14ac:dyDescent="0.2">
      <c r="A2577" s="1" t="str">
        <f>"301015"</f>
        <v>301015</v>
      </c>
      <c r="B2577" s="1" t="s">
        <v>1654</v>
      </c>
      <c r="C2577" s="1" t="s">
        <v>4903</v>
      </c>
    </row>
    <row r="2578" spans="1:3" x14ac:dyDescent="0.2">
      <c r="A2578" s="1" t="str">
        <f>"301012"</f>
        <v>301012</v>
      </c>
      <c r="B2578" s="1" t="s">
        <v>1486</v>
      </c>
      <c r="C2578" s="1" t="s">
        <v>4866</v>
      </c>
    </row>
    <row r="2579" spans="1:3" x14ac:dyDescent="0.2">
      <c r="A2579" s="1" t="str">
        <f>"301011"</f>
        <v>301011</v>
      </c>
      <c r="B2579" s="1" t="s">
        <v>2198</v>
      </c>
      <c r="C2579" s="1" t="s">
        <v>4899</v>
      </c>
    </row>
    <row r="2580" spans="1:3" x14ac:dyDescent="0.2">
      <c r="A2580" s="1" t="str">
        <f>"301010"</f>
        <v>301010</v>
      </c>
      <c r="B2580" s="1" t="s">
        <v>2579</v>
      </c>
      <c r="C2580" s="1" t="s">
        <v>4886</v>
      </c>
    </row>
    <row r="2581" spans="1:3" x14ac:dyDescent="0.2">
      <c r="A2581" s="1" t="str">
        <f>"301009"</f>
        <v>301009</v>
      </c>
      <c r="B2581" s="1" t="s">
        <v>2300</v>
      </c>
      <c r="C2581" s="1" t="s">
        <v>4892</v>
      </c>
    </row>
    <row r="2582" spans="1:3" x14ac:dyDescent="0.2">
      <c r="A2582" s="1" t="str">
        <f>"301008"</f>
        <v>301008</v>
      </c>
      <c r="B2582" s="1" t="s">
        <v>2140</v>
      </c>
      <c r="C2582" s="1" t="s">
        <v>4929</v>
      </c>
    </row>
    <row r="2583" spans="1:3" x14ac:dyDescent="0.2">
      <c r="A2583" s="1" t="str">
        <f>"301007"</f>
        <v>301007</v>
      </c>
      <c r="B2583" s="1" t="s">
        <v>2005</v>
      </c>
      <c r="C2583" s="1" t="s">
        <v>4856</v>
      </c>
    </row>
    <row r="2584" spans="1:3" x14ac:dyDescent="0.2">
      <c r="A2584" s="1" t="str">
        <f>"301006"</f>
        <v>301006</v>
      </c>
      <c r="B2584" s="1" t="s">
        <v>1272</v>
      </c>
      <c r="C2584" s="1" t="s">
        <v>4851</v>
      </c>
    </row>
    <row r="2585" spans="1:3" x14ac:dyDescent="0.2">
      <c r="A2585" s="1" t="str">
        <f>"301005"</f>
        <v>301005</v>
      </c>
      <c r="B2585" s="1" t="s">
        <v>1931</v>
      </c>
      <c r="C2585" s="1" t="s">
        <v>4856</v>
      </c>
    </row>
    <row r="2586" spans="1:3" x14ac:dyDescent="0.2">
      <c r="A2586" s="1" t="str">
        <f>"301004"</f>
        <v>301004</v>
      </c>
      <c r="B2586" s="1" t="s">
        <v>2221</v>
      </c>
      <c r="C2586" s="1" t="s">
        <v>4902</v>
      </c>
    </row>
    <row r="2587" spans="1:3" x14ac:dyDescent="0.2">
      <c r="A2587" s="1" t="str">
        <f>"301003"</f>
        <v>301003</v>
      </c>
      <c r="B2587" s="1" t="s">
        <v>2864</v>
      </c>
      <c r="C2587" s="1" t="s">
        <v>4860</v>
      </c>
    </row>
    <row r="2588" spans="1:3" x14ac:dyDescent="0.2">
      <c r="A2588" s="1" t="str">
        <f>"301002"</f>
        <v>301002</v>
      </c>
      <c r="B2588" s="1" t="s">
        <v>4181</v>
      </c>
      <c r="C2588" s="1" t="s">
        <v>4866</v>
      </c>
    </row>
    <row r="2589" spans="1:3" x14ac:dyDescent="0.2">
      <c r="A2589" s="1" t="str">
        <f>"301001"</f>
        <v>301001</v>
      </c>
      <c r="B2589" s="1" t="s">
        <v>2091</v>
      </c>
      <c r="C2589" s="1" t="s">
        <v>4910</v>
      </c>
    </row>
    <row r="2590" spans="1:3" x14ac:dyDescent="0.2">
      <c r="A2590" s="1" t="str">
        <f>"301000"</f>
        <v>301000</v>
      </c>
      <c r="B2590" s="1" t="s">
        <v>1932</v>
      </c>
      <c r="C2590" s="1" t="s">
        <v>4856</v>
      </c>
    </row>
    <row r="2591" spans="1:3" x14ac:dyDescent="0.2">
      <c r="A2591" s="1" t="str">
        <f>"300999"</f>
        <v>300999</v>
      </c>
      <c r="B2591" s="1" t="s">
        <v>2529</v>
      </c>
      <c r="C2591" s="1" t="s">
        <v>4936</v>
      </c>
    </row>
    <row r="2592" spans="1:3" x14ac:dyDescent="0.2">
      <c r="A2592" s="1" t="str">
        <f>"300998"</f>
        <v>300998</v>
      </c>
      <c r="B2592" s="1" t="s">
        <v>1046</v>
      </c>
      <c r="C2592" s="1" t="s">
        <v>4845</v>
      </c>
    </row>
    <row r="2593" spans="1:3" x14ac:dyDescent="0.2">
      <c r="A2593" s="1" t="str">
        <f>"300997"</f>
        <v>300997</v>
      </c>
      <c r="B2593" s="1" t="s">
        <v>2479</v>
      </c>
      <c r="C2593" s="1" t="s">
        <v>4893</v>
      </c>
    </row>
    <row r="2594" spans="1:3" x14ac:dyDescent="0.2">
      <c r="A2594" s="1" t="str">
        <f>"300996"</f>
        <v>300996</v>
      </c>
      <c r="B2594" s="1" t="s">
        <v>4182</v>
      </c>
      <c r="C2594" s="1" t="s">
        <v>4847</v>
      </c>
    </row>
    <row r="2595" spans="1:3" x14ac:dyDescent="0.2">
      <c r="A2595" s="1" t="str">
        <f>"300995"</f>
        <v>300995</v>
      </c>
      <c r="B2595" s="1" t="s">
        <v>2865</v>
      </c>
      <c r="C2595" s="1" t="s">
        <v>4860</v>
      </c>
    </row>
    <row r="2596" spans="1:3" x14ac:dyDescent="0.2">
      <c r="A2596" s="1" t="str">
        <f>"300994"</f>
        <v>300994</v>
      </c>
      <c r="B2596" s="1" t="s">
        <v>1876</v>
      </c>
      <c r="C2596" s="1" t="s">
        <v>4839</v>
      </c>
    </row>
    <row r="2597" spans="1:3" x14ac:dyDescent="0.2">
      <c r="A2597" s="1" t="str">
        <f>"300993"</f>
        <v>300993</v>
      </c>
      <c r="B2597" s="1" t="s">
        <v>2222</v>
      </c>
      <c r="C2597" s="1" t="s">
        <v>4902</v>
      </c>
    </row>
    <row r="2598" spans="1:3" x14ac:dyDescent="0.2">
      <c r="A2598" s="1" t="str">
        <f>"300992"</f>
        <v>300992</v>
      </c>
      <c r="B2598" s="1" t="s">
        <v>1228</v>
      </c>
      <c r="C2598" s="1" t="s">
        <v>4851</v>
      </c>
    </row>
    <row r="2599" spans="1:3" x14ac:dyDescent="0.2">
      <c r="A2599" s="1" t="str">
        <f>"300991"</f>
        <v>300991</v>
      </c>
      <c r="B2599" s="1" t="s">
        <v>868</v>
      </c>
      <c r="C2599" s="1" t="s">
        <v>4850</v>
      </c>
    </row>
    <row r="2600" spans="1:3" x14ac:dyDescent="0.2">
      <c r="A2600" s="1" t="str">
        <f>"300990"</f>
        <v>300990</v>
      </c>
      <c r="B2600" s="1" t="s">
        <v>1180</v>
      </c>
      <c r="C2600" s="1" t="s">
        <v>4851</v>
      </c>
    </row>
    <row r="2601" spans="1:3" x14ac:dyDescent="0.2">
      <c r="A2601" s="1" t="str">
        <f>"300989"</f>
        <v>300989</v>
      </c>
      <c r="B2601" s="1" t="s">
        <v>4183</v>
      </c>
      <c r="C2601" s="1" t="s">
        <v>4922</v>
      </c>
    </row>
    <row r="2602" spans="1:3" x14ac:dyDescent="0.2">
      <c r="A2602" s="1" t="str">
        <f>"300988"</f>
        <v>300988</v>
      </c>
      <c r="B2602" s="1" t="s">
        <v>1197</v>
      </c>
      <c r="C2602" s="1" t="s">
        <v>4851</v>
      </c>
    </row>
    <row r="2603" spans="1:3" x14ac:dyDescent="0.2">
      <c r="A2603" s="1" t="str">
        <f>"300987"</f>
        <v>300987</v>
      </c>
      <c r="B2603" s="1" t="s">
        <v>463</v>
      </c>
      <c r="C2603" s="1" t="s">
        <v>4923</v>
      </c>
    </row>
    <row r="2604" spans="1:3" x14ac:dyDescent="0.2">
      <c r="A2604" s="1" t="str">
        <f>"300986"</f>
        <v>300986</v>
      </c>
      <c r="B2604" s="1" t="s">
        <v>322</v>
      </c>
      <c r="C2604" s="1" t="s">
        <v>4888</v>
      </c>
    </row>
    <row r="2605" spans="1:3" x14ac:dyDescent="0.2">
      <c r="A2605" s="1" t="str">
        <f>"300985"</f>
        <v>300985</v>
      </c>
      <c r="B2605" s="1" t="s">
        <v>1933</v>
      </c>
      <c r="C2605" s="1" t="s">
        <v>4856</v>
      </c>
    </row>
    <row r="2606" spans="1:3" x14ac:dyDescent="0.2">
      <c r="A2606" s="1" t="str">
        <f>"300984"</f>
        <v>300984</v>
      </c>
      <c r="B2606" s="1" t="s">
        <v>1229</v>
      </c>
      <c r="C2606" s="1" t="s">
        <v>4851</v>
      </c>
    </row>
    <row r="2607" spans="1:3" x14ac:dyDescent="0.2">
      <c r="A2607" s="1" t="str">
        <f>"300983"</f>
        <v>300983</v>
      </c>
      <c r="B2607" s="1" t="s">
        <v>4184</v>
      </c>
      <c r="C2607" s="1" t="s">
        <v>4922</v>
      </c>
    </row>
    <row r="2608" spans="1:3" x14ac:dyDescent="0.2">
      <c r="A2608" s="1" t="str">
        <f>"300982"</f>
        <v>300982</v>
      </c>
      <c r="B2608" s="1" t="s">
        <v>4185</v>
      </c>
      <c r="C2608" s="1" t="s">
        <v>4898</v>
      </c>
    </row>
    <row r="2609" spans="1:3" x14ac:dyDescent="0.2">
      <c r="A2609" s="1" t="str">
        <f>"300981"</f>
        <v>300981</v>
      </c>
      <c r="B2609" s="1" t="s">
        <v>1711</v>
      </c>
      <c r="C2609" s="1" t="s">
        <v>4867</v>
      </c>
    </row>
    <row r="2610" spans="1:3" x14ac:dyDescent="0.2">
      <c r="A2610" s="1" t="str">
        <f>"300980"</f>
        <v>300980</v>
      </c>
      <c r="B2610" s="1" t="s">
        <v>2839</v>
      </c>
      <c r="C2610" s="1" t="s">
        <v>4860</v>
      </c>
    </row>
    <row r="2611" spans="1:3" x14ac:dyDescent="0.2">
      <c r="A2611" s="1" t="str">
        <f>"300979"</f>
        <v>300979</v>
      </c>
      <c r="B2611" s="1" t="s">
        <v>2368</v>
      </c>
      <c r="C2611" s="1" t="s">
        <v>4904</v>
      </c>
    </row>
    <row r="2612" spans="1:3" x14ac:dyDescent="0.2">
      <c r="A2612" s="1" t="str">
        <f>"300978"</f>
        <v>300978</v>
      </c>
      <c r="B2612" s="1" t="s">
        <v>1934</v>
      </c>
      <c r="C2612" s="1" t="s">
        <v>4856</v>
      </c>
    </row>
    <row r="2613" spans="1:3" x14ac:dyDescent="0.2">
      <c r="A2613" s="1" t="str">
        <f>"300977"</f>
        <v>300977</v>
      </c>
      <c r="B2613" s="1" t="s">
        <v>4186</v>
      </c>
      <c r="C2613" s="1" t="s">
        <v>4922</v>
      </c>
    </row>
    <row r="2614" spans="1:3" x14ac:dyDescent="0.2">
      <c r="A2614" s="1" t="str">
        <f>"300976"</f>
        <v>300976</v>
      </c>
      <c r="B2614" s="1" t="s">
        <v>869</v>
      </c>
      <c r="C2614" s="1" t="s">
        <v>4850</v>
      </c>
    </row>
    <row r="2615" spans="1:3" x14ac:dyDescent="0.2">
      <c r="A2615" s="1" t="str">
        <f>"300975"</f>
        <v>300975</v>
      </c>
      <c r="B2615" s="1" t="s">
        <v>715</v>
      </c>
      <c r="C2615" s="1" t="s">
        <v>4842</v>
      </c>
    </row>
    <row r="2616" spans="1:3" x14ac:dyDescent="0.2">
      <c r="A2616" s="1" t="str">
        <f>"300973"</f>
        <v>300973</v>
      </c>
      <c r="B2616" s="1" t="s">
        <v>2430</v>
      </c>
      <c r="C2616" s="1" t="s">
        <v>4896</v>
      </c>
    </row>
    <row r="2617" spans="1:3" x14ac:dyDescent="0.2">
      <c r="A2617" s="1" t="str">
        <f>"300972"</f>
        <v>300972</v>
      </c>
      <c r="B2617" s="1" t="s">
        <v>2435</v>
      </c>
      <c r="C2617" s="1" t="s">
        <v>4896</v>
      </c>
    </row>
    <row r="2618" spans="1:3" x14ac:dyDescent="0.2">
      <c r="A2618" s="1" t="str">
        <f>"300971"</f>
        <v>300971</v>
      </c>
      <c r="B2618" s="1" t="s">
        <v>1230</v>
      </c>
      <c r="C2618" s="1" t="s">
        <v>4851</v>
      </c>
    </row>
    <row r="2619" spans="1:3" x14ac:dyDescent="0.2">
      <c r="A2619" s="1" t="str">
        <f>"300970"</f>
        <v>300970</v>
      </c>
      <c r="B2619" s="1" t="s">
        <v>2573</v>
      </c>
      <c r="C2619" s="1" t="s">
        <v>4949</v>
      </c>
    </row>
    <row r="2620" spans="1:3" x14ac:dyDescent="0.2">
      <c r="A2620" s="1" t="str">
        <f>"300969"</f>
        <v>300969</v>
      </c>
      <c r="B2620" s="1" t="s">
        <v>1902</v>
      </c>
      <c r="C2620" s="1" t="s">
        <v>4856</v>
      </c>
    </row>
    <row r="2621" spans="1:3" x14ac:dyDescent="0.2">
      <c r="A2621" s="1" t="str">
        <f>"300968"</f>
        <v>300968</v>
      </c>
      <c r="B2621" s="1" t="s">
        <v>4187</v>
      </c>
      <c r="C2621" s="1" t="s">
        <v>4850</v>
      </c>
    </row>
    <row r="2622" spans="1:3" x14ac:dyDescent="0.2">
      <c r="A2622" s="1" t="str">
        <f>"300967"</f>
        <v>300967</v>
      </c>
      <c r="B2622" s="1" t="s">
        <v>2551</v>
      </c>
      <c r="C2622" s="1" t="s">
        <v>4900</v>
      </c>
    </row>
    <row r="2623" spans="1:3" x14ac:dyDescent="0.2">
      <c r="A2623" s="1" t="str">
        <f>"300966"</f>
        <v>300966</v>
      </c>
      <c r="B2623" s="1" t="s">
        <v>4188</v>
      </c>
      <c r="C2623" s="1" t="s">
        <v>4843</v>
      </c>
    </row>
    <row r="2624" spans="1:3" x14ac:dyDescent="0.2">
      <c r="A2624" s="1" t="str">
        <f>"300965"</f>
        <v>300965</v>
      </c>
      <c r="B2624" s="1" t="s">
        <v>1344</v>
      </c>
      <c r="C2624" s="1" t="s">
        <v>4862</v>
      </c>
    </row>
    <row r="2625" spans="1:3" x14ac:dyDescent="0.2">
      <c r="A2625" s="1" t="str">
        <f>"300964"</f>
        <v>300964</v>
      </c>
      <c r="B2625" s="1" t="s">
        <v>762</v>
      </c>
      <c r="C2625" s="1" t="s">
        <v>4872</v>
      </c>
    </row>
    <row r="2626" spans="1:3" x14ac:dyDescent="0.2">
      <c r="A2626" s="1" t="str">
        <f>"300963"</f>
        <v>300963</v>
      </c>
      <c r="B2626" s="1" t="s">
        <v>2623</v>
      </c>
      <c r="C2626" s="1" t="s">
        <v>4848</v>
      </c>
    </row>
    <row r="2627" spans="1:3" x14ac:dyDescent="0.2">
      <c r="A2627" s="1" t="str">
        <f>"300962"</f>
        <v>300962</v>
      </c>
      <c r="B2627" s="1" t="s">
        <v>1692</v>
      </c>
      <c r="C2627" s="1" t="s">
        <v>4867</v>
      </c>
    </row>
    <row r="2628" spans="1:3" x14ac:dyDescent="0.2">
      <c r="A2628" s="1" t="str">
        <f>"300961"</f>
        <v>300961</v>
      </c>
      <c r="B2628" s="1" t="s">
        <v>52</v>
      </c>
      <c r="C2628" s="1" t="s">
        <v>4863</v>
      </c>
    </row>
    <row r="2629" spans="1:3" x14ac:dyDescent="0.2">
      <c r="A2629" s="1" t="str">
        <f>"300960"</f>
        <v>300960</v>
      </c>
      <c r="B2629" s="1" t="s">
        <v>4189</v>
      </c>
      <c r="C2629" s="1" t="s">
        <v>4875</v>
      </c>
    </row>
    <row r="2630" spans="1:3" x14ac:dyDescent="0.2">
      <c r="A2630" s="1" t="str">
        <f>"300959"</f>
        <v>300959</v>
      </c>
      <c r="B2630" s="1" t="s">
        <v>647</v>
      </c>
      <c r="C2630" s="1" t="s">
        <v>4954</v>
      </c>
    </row>
    <row r="2631" spans="1:3" x14ac:dyDescent="0.2">
      <c r="A2631" s="1" t="str">
        <f>"300958"</f>
        <v>300958</v>
      </c>
      <c r="B2631" s="1" t="s">
        <v>4190</v>
      </c>
      <c r="C2631" s="1" t="s">
        <v>4863</v>
      </c>
    </row>
    <row r="2632" spans="1:3" x14ac:dyDescent="0.2">
      <c r="A2632" s="1" t="str">
        <f>"300957"</f>
        <v>300957</v>
      </c>
      <c r="B2632" s="1" t="s">
        <v>3069</v>
      </c>
      <c r="C2632" s="1" t="s">
        <v>4920</v>
      </c>
    </row>
    <row r="2633" spans="1:3" x14ac:dyDescent="0.2">
      <c r="A2633" s="1" t="str">
        <f>"300956"</f>
        <v>300956</v>
      </c>
      <c r="B2633" s="1" t="s">
        <v>870</v>
      </c>
      <c r="C2633" s="1" t="s">
        <v>4850</v>
      </c>
    </row>
    <row r="2634" spans="1:3" x14ac:dyDescent="0.2">
      <c r="A2634" s="1" t="str">
        <f>"300955"</f>
        <v>300955</v>
      </c>
      <c r="B2634" s="1" t="s">
        <v>4191</v>
      </c>
      <c r="C2634" s="1" t="s">
        <v>4920</v>
      </c>
    </row>
    <row r="2635" spans="1:3" x14ac:dyDescent="0.2">
      <c r="A2635" s="1" t="str">
        <f>"300953"</f>
        <v>300953</v>
      </c>
      <c r="B2635" s="1" t="s">
        <v>1553</v>
      </c>
      <c r="C2635" s="1" t="s">
        <v>4841</v>
      </c>
    </row>
    <row r="2636" spans="1:3" x14ac:dyDescent="0.2">
      <c r="A2636" s="1" t="str">
        <f>"300952"</f>
        <v>300952</v>
      </c>
      <c r="B2636" s="1" t="s">
        <v>2359</v>
      </c>
      <c r="C2636" s="1" t="s">
        <v>4909</v>
      </c>
    </row>
    <row r="2637" spans="1:3" x14ac:dyDescent="0.2">
      <c r="A2637" s="1" t="str">
        <f>"300951"</f>
        <v>300951</v>
      </c>
      <c r="B2637" s="1" t="s">
        <v>871</v>
      </c>
      <c r="C2637" s="1" t="s">
        <v>4850</v>
      </c>
    </row>
    <row r="2638" spans="1:3" x14ac:dyDescent="0.2">
      <c r="A2638" s="1" t="str">
        <f>"300950"</f>
        <v>300950</v>
      </c>
      <c r="B2638" s="1" t="s">
        <v>1047</v>
      </c>
      <c r="C2638" s="1" t="s">
        <v>4845</v>
      </c>
    </row>
    <row r="2639" spans="1:3" x14ac:dyDescent="0.2">
      <c r="A2639" s="1" t="str">
        <f>"300949"</f>
        <v>300949</v>
      </c>
      <c r="B2639" s="1" t="s">
        <v>4192</v>
      </c>
      <c r="C2639" s="1" t="s">
        <v>4898</v>
      </c>
    </row>
    <row r="2640" spans="1:3" x14ac:dyDescent="0.2">
      <c r="A2640" s="1" t="str">
        <f>"300948"</f>
        <v>300948</v>
      </c>
      <c r="B2640" s="1" t="s">
        <v>4193</v>
      </c>
      <c r="C2640" s="1" t="s">
        <v>4863</v>
      </c>
    </row>
    <row r="2641" spans="1:3" x14ac:dyDescent="0.2">
      <c r="A2641" s="1" t="str">
        <f>"300947"</f>
        <v>300947</v>
      </c>
      <c r="B2641" s="1" t="s">
        <v>4194</v>
      </c>
      <c r="C2641" s="1" t="s">
        <v>4931</v>
      </c>
    </row>
    <row r="2642" spans="1:3" x14ac:dyDescent="0.2">
      <c r="A2642" s="1" t="str">
        <f>"300946"</f>
        <v>300946</v>
      </c>
      <c r="B2642" s="1" t="s">
        <v>1198</v>
      </c>
      <c r="C2642" s="1" t="s">
        <v>4851</v>
      </c>
    </row>
    <row r="2643" spans="1:3" x14ac:dyDescent="0.2">
      <c r="A2643" s="1" t="str">
        <f>"300945"</f>
        <v>300945</v>
      </c>
      <c r="B2643" s="1" t="s">
        <v>2318</v>
      </c>
      <c r="C2643" s="1" t="s">
        <v>4887</v>
      </c>
    </row>
    <row r="2644" spans="1:3" x14ac:dyDescent="0.2">
      <c r="A2644" s="1" t="str">
        <f>"300943"</f>
        <v>300943</v>
      </c>
      <c r="B2644" s="1" t="s">
        <v>1231</v>
      </c>
      <c r="C2644" s="1" t="s">
        <v>4851</v>
      </c>
    </row>
    <row r="2645" spans="1:3" x14ac:dyDescent="0.2">
      <c r="A2645" s="1" t="str">
        <f>"300942"</f>
        <v>300942</v>
      </c>
      <c r="B2645" s="1" t="s">
        <v>4195</v>
      </c>
      <c r="C2645" s="1" t="s">
        <v>4852</v>
      </c>
    </row>
    <row r="2646" spans="1:3" x14ac:dyDescent="0.2">
      <c r="A2646" s="1" t="str">
        <f>"300941"</f>
        <v>300941</v>
      </c>
      <c r="B2646" s="1" t="s">
        <v>612</v>
      </c>
      <c r="C2646" s="1" t="s">
        <v>4873</v>
      </c>
    </row>
    <row r="2647" spans="1:3" x14ac:dyDescent="0.2">
      <c r="A2647" s="1" t="str">
        <f>"300940"</f>
        <v>300940</v>
      </c>
      <c r="B2647" s="1" t="s">
        <v>786</v>
      </c>
      <c r="C2647" s="1" t="s">
        <v>4878</v>
      </c>
    </row>
    <row r="2648" spans="1:3" x14ac:dyDescent="0.2">
      <c r="A2648" s="1" t="str">
        <f>"300939"</f>
        <v>300939</v>
      </c>
      <c r="B2648" s="1" t="s">
        <v>831</v>
      </c>
      <c r="C2648" s="1" t="s">
        <v>4878</v>
      </c>
    </row>
    <row r="2649" spans="1:3" x14ac:dyDescent="0.2">
      <c r="A2649" s="1" t="str">
        <f>"300938"</f>
        <v>300938</v>
      </c>
      <c r="B2649" s="1" t="s">
        <v>272</v>
      </c>
      <c r="C2649" s="1" t="s">
        <v>4854</v>
      </c>
    </row>
    <row r="2650" spans="1:3" x14ac:dyDescent="0.2">
      <c r="A2650" s="1" t="str">
        <f>"300937"</f>
        <v>300937</v>
      </c>
      <c r="B2650" s="1" t="s">
        <v>1655</v>
      </c>
      <c r="C2650" s="1" t="s">
        <v>4903</v>
      </c>
    </row>
    <row r="2651" spans="1:3" x14ac:dyDescent="0.2">
      <c r="A2651" s="1" t="str">
        <f>"300936"</f>
        <v>300936</v>
      </c>
      <c r="B2651" s="1" t="s">
        <v>4196</v>
      </c>
      <c r="C2651" s="1" t="s">
        <v>4872</v>
      </c>
    </row>
    <row r="2652" spans="1:3" x14ac:dyDescent="0.2">
      <c r="A2652" s="1" t="str">
        <f>"300935"</f>
        <v>300935</v>
      </c>
      <c r="B2652" s="1" t="s">
        <v>4197</v>
      </c>
      <c r="C2652" s="1" t="s">
        <v>4847</v>
      </c>
    </row>
    <row r="2653" spans="1:3" x14ac:dyDescent="0.2">
      <c r="A2653" s="1" t="str">
        <f>"300933"</f>
        <v>300933</v>
      </c>
      <c r="B2653" s="1" t="s">
        <v>1437</v>
      </c>
      <c r="C2653" s="1" t="s">
        <v>4866</v>
      </c>
    </row>
    <row r="2654" spans="1:3" x14ac:dyDescent="0.2">
      <c r="A2654" s="1" t="str">
        <f>"300932"</f>
        <v>300932</v>
      </c>
      <c r="B2654" s="1" t="s">
        <v>1468</v>
      </c>
      <c r="C2654" s="1" t="s">
        <v>4866</v>
      </c>
    </row>
    <row r="2655" spans="1:3" x14ac:dyDescent="0.2">
      <c r="A2655" s="1" t="str">
        <f>"300931"</f>
        <v>300931</v>
      </c>
      <c r="B2655" s="1" t="s">
        <v>4198</v>
      </c>
      <c r="C2655" s="1" t="s">
        <v>4845</v>
      </c>
    </row>
    <row r="2656" spans="1:3" x14ac:dyDescent="0.2">
      <c r="A2656" s="1" t="str">
        <f>"300930"</f>
        <v>300930</v>
      </c>
      <c r="B2656" s="1" t="s">
        <v>2624</v>
      </c>
      <c r="C2656" s="1" t="s">
        <v>4848</v>
      </c>
    </row>
    <row r="2657" spans="1:3" x14ac:dyDescent="0.2">
      <c r="A2657" s="1" t="str">
        <f>"300929"</f>
        <v>300929</v>
      </c>
      <c r="B2657" s="1" t="s">
        <v>53</v>
      </c>
      <c r="C2657" s="1" t="s">
        <v>4863</v>
      </c>
    </row>
    <row r="2658" spans="1:3" x14ac:dyDescent="0.2">
      <c r="A2658" s="1" t="str">
        <f>"300928"</f>
        <v>300928</v>
      </c>
      <c r="B2658" s="1" t="s">
        <v>4199</v>
      </c>
      <c r="C2658" s="1" t="s">
        <v>4856</v>
      </c>
    </row>
    <row r="2659" spans="1:3" x14ac:dyDescent="0.2">
      <c r="A2659" s="1" t="str">
        <f>"300927"</f>
        <v>300927</v>
      </c>
      <c r="B2659" s="1" t="s">
        <v>3013</v>
      </c>
      <c r="C2659" s="1" t="s">
        <v>4853</v>
      </c>
    </row>
    <row r="2660" spans="1:3" x14ac:dyDescent="0.2">
      <c r="A2660" s="1" t="str">
        <f>"300926"</f>
        <v>300926</v>
      </c>
      <c r="B2660" s="1" t="s">
        <v>1935</v>
      </c>
      <c r="C2660" s="1" t="s">
        <v>4856</v>
      </c>
    </row>
    <row r="2661" spans="1:3" x14ac:dyDescent="0.2">
      <c r="A2661" s="1" t="str">
        <f>"300925"</f>
        <v>300925</v>
      </c>
      <c r="B2661" s="1" t="s">
        <v>530</v>
      </c>
      <c r="C2661" s="1" t="s">
        <v>4874</v>
      </c>
    </row>
    <row r="2662" spans="1:3" x14ac:dyDescent="0.2">
      <c r="A2662" s="1" t="str">
        <f>"300923"</f>
        <v>300923</v>
      </c>
      <c r="B2662" s="1" t="s">
        <v>1300</v>
      </c>
      <c r="C2662" s="1" t="s">
        <v>4875</v>
      </c>
    </row>
    <row r="2663" spans="1:3" x14ac:dyDescent="0.2">
      <c r="A2663" s="1" t="str">
        <f>"300922"</f>
        <v>300922</v>
      </c>
      <c r="B2663" s="1" t="s">
        <v>1361</v>
      </c>
      <c r="C2663" s="1" t="s">
        <v>4876</v>
      </c>
    </row>
    <row r="2664" spans="1:3" x14ac:dyDescent="0.2">
      <c r="A2664" s="1" t="str">
        <f>"300921"</f>
        <v>300921</v>
      </c>
      <c r="B2664" s="1" t="s">
        <v>648</v>
      </c>
      <c r="C2664" s="1" t="s">
        <v>4954</v>
      </c>
    </row>
    <row r="2665" spans="1:3" x14ac:dyDescent="0.2">
      <c r="A2665" s="1" t="str">
        <f>"300920"</f>
        <v>300920</v>
      </c>
      <c r="B2665" s="1" t="s">
        <v>2840</v>
      </c>
      <c r="C2665" s="1" t="s">
        <v>4860</v>
      </c>
    </row>
    <row r="2666" spans="1:3" x14ac:dyDescent="0.2">
      <c r="A2666" s="1" t="str">
        <f>"300919"</f>
        <v>300919</v>
      </c>
      <c r="B2666" s="1" t="s">
        <v>1535</v>
      </c>
      <c r="C2666" s="1" t="s">
        <v>4841</v>
      </c>
    </row>
    <row r="2667" spans="1:3" x14ac:dyDescent="0.2">
      <c r="A2667" s="1" t="str">
        <f>"300918"</f>
        <v>300918</v>
      </c>
      <c r="B2667" s="1" t="s">
        <v>2377</v>
      </c>
      <c r="C2667" s="1" t="s">
        <v>4904</v>
      </c>
    </row>
    <row r="2668" spans="1:3" x14ac:dyDescent="0.2">
      <c r="A2668" s="1" t="str">
        <f>"300917"</f>
        <v>300917</v>
      </c>
      <c r="B2668" s="1" t="s">
        <v>299</v>
      </c>
      <c r="C2668" s="1" t="s">
        <v>4934</v>
      </c>
    </row>
    <row r="2669" spans="1:3" x14ac:dyDescent="0.2">
      <c r="A2669" s="1" t="str">
        <f>"300916"</f>
        <v>300916</v>
      </c>
      <c r="B2669" s="1" t="s">
        <v>716</v>
      </c>
      <c r="C2669" s="1" t="s">
        <v>4842</v>
      </c>
    </row>
    <row r="2670" spans="1:3" x14ac:dyDescent="0.2">
      <c r="A2670" s="1" t="str">
        <f>"300915"</f>
        <v>300915</v>
      </c>
      <c r="B2670" s="1" t="s">
        <v>2464</v>
      </c>
      <c r="C2670" s="1" t="s">
        <v>4893</v>
      </c>
    </row>
    <row r="2671" spans="1:3" x14ac:dyDescent="0.2">
      <c r="A2671" s="1" t="str">
        <f>"300913"</f>
        <v>300913</v>
      </c>
      <c r="B2671" s="1" t="s">
        <v>698</v>
      </c>
      <c r="C2671" s="1" t="s">
        <v>4869</v>
      </c>
    </row>
    <row r="2672" spans="1:3" x14ac:dyDescent="0.2">
      <c r="A2672" s="1" t="str">
        <f>"300912"</f>
        <v>300912</v>
      </c>
      <c r="B2672" s="1" t="s">
        <v>4200</v>
      </c>
      <c r="C2672" s="1" t="s">
        <v>4856</v>
      </c>
    </row>
    <row r="2673" spans="1:3" x14ac:dyDescent="0.2">
      <c r="A2673" s="1" t="str">
        <f>"300911"</f>
        <v>300911</v>
      </c>
      <c r="B2673" s="1" t="s">
        <v>4201</v>
      </c>
      <c r="C2673" s="1" t="s">
        <v>4897</v>
      </c>
    </row>
    <row r="2674" spans="1:3" x14ac:dyDescent="0.2">
      <c r="A2674" s="1" t="str">
        <f>"300910"</f>
        <v>300910</v>
      </c>
      <c r="B2674" s="1" t="s">
        <v>2906</v>
      </c>
      <c r="C2674" s="1" t="s">
        <v>4865</v>
      </c>
    </row>
    <row r="2675" spans="1:3" x14ac:dyDescent="0.2">
      <c r="A2675" s="1" t="str">
        <f>"300909"</f>
        <v>300909</v>
      </c>
      <c r="B2675" s="1" t="s">
        <v>813</v>
      </c>
      <c r="C2675" s="1" t="s">
        <v>4878</v>
      </c>
    </row>
    <row r="2676" spans="1:3" x14ac:dyDescent="0.2">
      <c r="A2676" s="1" t="str">
        <f>"300908"</f>
        <v>300908</v>
      </c>
      <c r="B2676" s="1" t="s">
        <v>2454</v>
      </c>
      <c r="C2676" s="1" t="s">
        <v>4927</v>
      </c>
    </row>
    <row r="2677" spans="1:3" x14ac:dyDescent="0.2">
      <c r="A2677" s="1" t="str">
        <f>"300907"</f>
        <v>300907</v>
      </c>
      <c r="B2677" s="1" t="s">
        <v>1574</v>
      </c>
      <c r="C2677" s="1" t="s">
        <v>4919</v>
      </c>
    </row>
    <row r="2678" spans="1:3" x14ac:dyDescent="0.2">
      <c r="A2678" s="1" t="str">
        <f>"300906"</f>
        <v>300906</v>
      </c>
      <c r="B2678" s="1" t="s">
        <v>1301</v>
      </c>
      <c r="C2678" s="1" t="s">
        <v>4875</v>
      </c>
    </row>
    <row r="2679" spans="1:3" x14ac:dyDescent="0.2">
      <c r="A2679" s="1" t="str">
        <f>"300905"</f>
        <v>300905</v>
      </c>
      <c r="B2679" s="1" t="s">
        <v>2965</v>
      </c>
      <c r="C2679" s="1" t="s">
        <v>4865</v>
      </c>
    </row>
    <row r="2680" spans="1:3" x14ac:dyDescent="0.2">
      <c r="A2680" s="1" t="str">
        <f>"300904"</f>
        <v>300904</v>
      </c>
      <c r="B2680" s="1" t="s">
        <v>4202</v>
      </c>
      <c r="C2680" s="1" t="s">
        <v>4870</v>
      </c>
    </row>
    <row r="2681" spans="1:3" x14ac:dyDescent="0.2">
      <c r="A2681" s="1" t="str">
        <f>"300903"</f>
        <v>300903</v>
      </c>
      <c r="B2681" s="1" t="s">
        <v>4203</v>
      </c>
      <c r="C2681" s="1" t="s">
        <v>4872</v>
      </c>
    </row>
    <row r="2682" spans="1:3" x14ac:dyDescent="0.2">
      <c r="A2682" s="1" t="str">
        <f>"300902"</f>
        <v>300902</v>
      </c>
      <c r="B2682" s="1" t="s">
        <v>1048</v>
      </c>
      <c r="C2682" s="1" t="s">
        <v>4845</v>
      </c>
    </row>
    <row r="2683" spans="1:3" x14ac:dyDescent="0.2">
      <c r="A2683" s="1" t="str">
        <f>"300901"</f>
        <v>300901</v>
      </c>
      <c r="B2683" s="1" t="s">
        <v>4204</v>
      </c>
      <c r="C2683" s="1" t="s">
        <v>4909</v>
      </c>
    </row>
    <row r="2684" spans="1:3" x14ac:dyDescent="0.2">
      <c r="A2684" s="1" t="str">
        <f>"300900"</f>
        <v>300900</v>
      </c>
      <c r="B2684" s="1" t="s">
        <v>1345</v>
      </c>
      <c r="C2684" s="1" t="s">
        <v>4862</v>
      </c>
    </row>
    <row r="2685" spans="1:3" x14ac:dyDescent="0.2">
      <c r="A2685" s="1" t="str">
        <f>"300898"</f>
        <v>300898</v>
      </c>
      <c r="B2685" s="1" t="s">
        <v>2465</v>
      </c>
      <c r="C2685" s="1" t="s">
        <v>4893</v>
      </c>
    </row>
    <row r="2686" spans="1:3" x14ac:dyDescent="0.2">
      <c r="A2686" s="1" t="str">
        <f>"300897"</f>
        <v>300897</v>
      </c>
      <c r="B2686" s="1" t="s">
        <v>1273</v>
      </c>
      <c r="C2686" s="1" t="s">
        <v>4851</v>
      </c>
    </row>
    <row r="2687" spans="1:3" x14ac:dyDescent="0.2">
      <c r="A2687" s="1" t="str">
        <f>"300896"</f>
        <v>300896</v>
      </c>
      <c r="B2687" s="1" t="s">
        <v>1584</v>
      </c>
      <c r="C2687" s="1" t="s">
        <v>4882</v>
      </c>
    </row>
    <row r="2688" spans="1:3" x14ac:dyDescent="0.2">
      <c r="A2688" s="1" t="str">
        <f>"300894"</f>
        <v>300894</v>
      </c>
      <c r="B2688" s="1" t="s">
        <v>4205</v>
      </c>
      <c r="C2688" s="1" t="s">
        <v>4897</v>
      </c>
    </row>
    <row r="2689" spans="1:3" x14ac:dyDescent="0.2">
      <c r="A2689" s="1" t="str">
        <f>"300893"</f>
        <v>300893</v>
      </c>
      <c r="B2689" s="1" t="s">
        <v>1936</v>
      </c>
      <c r="C2689" s="1" t="s">
        <v>4856</v>
      </c>
    </row>
    <row r="2690" spans="1:3" x14ac:dyDescent="0.2">
      <c r="A2690" s="1" t="str">
        <f>"300892"</f>
        <v>300892</v>
      </c>
      <c r="B2690" s="1" t="s">
        <v>2466</v>
      </c>
      <c r="C2690" s="1" t="s">
        <v>4893</v>
      </c>
    </row>
    <row r="2691" spans="1:3" x14ac:dyDescent="0.2">
      <c r="A2691" s="1" t="str">
        <f>"300891"</f>
        <v>300891</v>
      </c>
      <c r="B2691" s="1" t="s">
        <v>3041</v>
      </c>
      <c r="C2691" s="1" t="s">
        <v>4853</v>
      </c>
    </row>
    <row r="2692" spans="1:3" x14ac:dyDescent="0.2">
      <c r="A2692" s="1" t="str">
        <f>"300890"</f>
        <v>300890</v>
      </c>
      <c r="B2692" s="1" t="s">
        <v>4206</v>
      </c>
      <c r="C2692" s="1" t="s">
        <v>4841</v>
      </c>
    </row>
    <row r="2693" spans="1:3" x14ac:dyDescent="0.2">
      <c r="A2693" s="1" t="str">
        <f>"300889"</f>
        <v>300889</v>
      </c>
      <c r="B2693" s="1" t="s">
        <v>4207</v>
      </c>
      <c r="C2693" s="1" t="s">
        <v>4878</v>
      </c>
    </row>
    <row r="2694" spans="1:3" x14ac:dyDescent="0.2">
      <c r="A2694" s="1" t="str">
        <f>"300888"</f>
        <v>300888</v>
      </c>
      <c r="B2694" s="1" t="s">
        <v>1712</v>
      </c>
      <c r="C2694" s="1" t="s">
        <v>4867</v>
      </c>
    </row>
    <row r="2695" spans="1:3" x14ac:dyDescent="0.2">
      <c r="A2695" s="1" t="str">
        <f>"300887"</f>
        <v>300887</v>
      </c>
      <c r="B2695" s="1" t="s">
        <v>4208</v>
      </c>
      <c r="C2695" s="1" t="s">
        <v>4854</v>
      </c>
    </row>
    <row r="2696" spans="1:3" x14ac:dyDescent="0.2">
      <c r="A2696" s="1" t="str">
        <f>"300886"</f>
        <v>300886</v>
      </c>
      <c r="B2696" s="1" t="s">
        <v>2907</v>
      </c>
      <c r="C2696" s="1" t="s">
        <v>4865</v>
      </c>
    </row>
    <row r="2697" spans="1:3" x14ac:dyDescent="0.2">
      <c r="A2697" s="1" t="str">
        <f>"300885"</f>
        <v>300885</v>
      </c>
      <c r="B2697" s="1" t="s">
        <v>1232</v>
      </c>
      <c r="C2697" s="1" t="s">
        <v>4851</v>
      </c>
    </row>
    <row r="2698" spans="1:3" x14ac:dyDescent="0.2">
      <c r="A2698" s="1" t="str">
        <f>"300884"</f>
        <v>300884</v>
      </c>
      <c r="B2698" s="1" t="s">
        <v>4209</v>
      </c>
      <c r="C2698" s="1" t="s">
        <v>4873</v>
      </c>
    </row>
    <row r="2699" spans="1:3" x14ac:dyDescent="0.2">
      <c r="A2699" s="1" t="str">
        <f>"300883"</f>
        <v>300883</v>
      </c>
      <c r="B2699" s="1" t="s">
        <v>2266</v>
      </c>
      <c r="C2699" s="1" t="s">
        <v>4930</v>
      </c>
    </row>
    <row r="2700" spans="1:3" x14ac:dyDescent="0.2">
      <c r="A2700" s="1" t="str">
        <f>"300882"</f>
        <v>300882</v>
      </c>
      <c r="B2700" s="1" t="s">
        <v>1512</v>
      </c>
      <c r="C2700" s="1" t="s">
        <v>4866</v>
      </c>
    </row>
    <row r="2701" spans="1:3" x14ac:dyDescent="0.2">
      <c r="A2701" s="1" t="str">
        <f>"300881"</f>
        <v>300881</v>
      </c>
      <c r="B2701" s="1" t="s">
        <v>2738</v>
      </c>
      <c r="C2701" s="1" t="s">
        <v>4918</v>
      </c>
    </row>
    <row r="2702" spans="1:3" x14ac:dyDescent="0.2">
      <c r="A2702" s="1" t="str">
        <f>"300880"</f>
        <v>300880</v>
      </c>
      <c r="B2702" s="1" t="s">
        <v>1513</v>
      </c>
      <c r="C2702" s="1" t="s">
        <v>4866</v>
      </c>
    </row>
    <row r="2703" spans="1:3" x14ac:dyDescent="0.2">
      <c r="A2703" s="1" t="str">
        <f>"300879"</f>
        <v>300879</v>
      </c>
      <c r="B2703" s="1" t="s">
        <v>1086</v>
      </c>
      <c r="C2703" s="1" t="s">
        <v>4845</v>
      </c>
    </row>
    <row r="2704" spans="1:3" x14ac:dyDescent="0.2">
      <c r="A2704" s="1" t="str">
        <f>"300878"</f>
        <v>300878</v>
      </c>
      <c r="B2704" s="1" t="s">
        <v>4210</v>
      </c>
      <c r="C2704" s="1" t="s">
        <v>4917</v>
      </c>
    </row>
    <row r="2705" spans="1:3" x14ac:dyDescent="0.2">
      <c r="A2705" s="1" t="str">
        <f>"300877"</f>
        <v>300877</v>
      </c>
      <c r="B2705" s="1" t="s">
        <v>2378</v>
      </c>
      <c r="C2705" s="1" t="s">
        <v>4904</v>
      </c>
    </row>
    <row r="2706" spans="1:3" x14ac:dyDescent="0.2">
      <c r="A2706" s="1" t="str">
        <f>"300876"</f>
        <v>300876</v>
      </c>
      <c r="B2706" s="1" t="s">
        <v>4211</v>
      </c>
      <c r="C2706" s="1" t="s">
        <v>4858</v>
      </c>
    </row>
    <row r="2707" spans="1:3" x14ac:dyDescent="0.2">
      <c r="A2707" s="1" t="str">
        <f>"300875"</f>
        <v>300875</v>
      </c>
      <c r="B2707" s="1" t="s">
        <v>4212</v>
      </c>
      <c r="C2707" s="1" t="s">
        <v>4876</v>
      </c>
    </row>
    <row r="2708" spans="1:3" x14ac:dyDescent="0.2">
      <c r="A2708" s="1" t="str">
        <f>"300873"</f>
        <v>300873</v>
      </c>
      <c r="B2708" s="1" t="s">
        <v>186</v>
      </c>
      <c r="C2708" s="1" t="s">
        <v>4914</v>
      </c>
    </row>
    <row r="2709" spans="1:3" x14ac:dyDescent="0.2">
      <c r="A2709" s="1" t="str">
        <f>"300872"</f>
        <v>300872</v>
      </c>
      <c r="B2709" s="1" t="s">
        <v>527</v>
      </c>
      <c r="C2709" s="1" t="s">
        <v>4874</v>
      </c>
    </row>
    <row r="2710" spans="1:3" x14ac:dyDescent="0.2">
      <c r="A2710" s="1" t="str">
        <f>"300871"</f>
        <v>300871</v>
      </c>
      <c r="B2710" s="1" t="s">
        <v>2517</v>
      </c>
      <c r="C2710" s="1" t="s">
        <v>4877</v>
      </c>
    </row>
    <row r="2711" spans="1:3" x14ac:dyDescent="0.2">
      <c r="A2711" s="1" t="str">
        <f>"300870"</f>
        <v>300870</v>
      </c>
      <c r="B2711" s="1" t="s">
        <v>1369</v>
      </c>
      <c r="C2711" s="1" t="s">
        <v>4859</v>
      </c>
    </row>
    <row r="2712" spans="1:3" x14ac:dyDescent="0.2">
      <c r="A2712" s="1" t="str">
        <f>"300869"</f>
        <v>300869</v>
      </c>
      <c r="B2712" s="1" t="s">
        <v>1730</v>
      </c>
      <c r="C2712" s="1" t="s">
        <v>4867</v>
      </c>
    </row>
    <row r="2713" spans="1:3" x14ac:dyDescent="0.2">
      <c r="A2713" s="1" t="str">
        <f>"300868"</f>
        <v>300868</v>
      </c>
      <c r="B2713" s="1" t="s">
        <v>4213</v>
      </c>
      <c r="C2713" s="1" t="s">
        <v>4850</v>
      </c>
    </row>
    <row r="2714" spans="1:3" x14ac:dyDescent="0.2">
      <c r="A2714" s="1" t="str">
        <f>"300867"</f>
        <v>300867</v>
      </c>
      <c r="B2714" s="1" t="s">
        <v>30</v>
      </c>
      <c r="C2714" s="1" t="s">
        <v>4863</v>
      </c>
    </row>
    <row r="2715" spans="1:3" x14ac:dyDescent="0.2">
      <c r="A2715" s="1" t="str">
        <f>"300866"</f>
        <v>300866</v>
      </c>
      <c r="B2715" s="1" t="s">
        <v>842</v>
      </c>
      <c r="C2715" s="1" t="s">
        <v>4850</v>
      </c>
    </row>
    <row r="2716" spans="1:3" x14ac:dyDescent="0.2">
      <c r="A2716" s="1" t="str">
        <f>"300865"</f>
        <v>300865</v>
      </c>
      <c r="B2716" s="1" t="s">
        <v>1122</v>
      </c>
      <c r="C2716" s="1" t="s">
        <v>4845</v>
      </c>
    </row>
    <row r="2717" spans="1:3" x14ac:dyDescent="0.2">
      <c r="A2717" s="1" t="str">
        <f>"300864"</f>
        <v>300864</v>
      </c>
      <c r="B2717" s="1" t="s">
        <v>11</v>
      </c>
      <c r="C2717" s="1" t="s">
        <v>4868</v>
      </c>
    </row>
    <row r="2718" spans="1:3" x14ac:dyDescent="0.2">
      <c r="A2718" s="1" t="str">
        <f>"300863"</f>
        <v>300863</v>
      </c>
      <c r="B2718" s="1" t="s">
        <v>1903</v>
      </c>
      <c r="C2718" s="1" t="s">
        <v>4856</v>
      </c>
    </row>
    <row r="2719" spans="1:3" x14ac:dyDescent="0.2">
      <c r="A2719" s="1" t="str">
        <f>"300862"</f>
        <v>300862</v>
      </c>
      <c r="B2719" s="1" t="s">
        <v>4214</v>
      </c>
      <c r="C2719" s="1" t="s">
        <v>4851</v>
      </c>
    </row>
    <row r="2720" spans="1:3" x14ac:dyDescent="0.2">
      <c r="A2720" s="1" t="str">
        <f>"300861"</f>
        <v>300861</v>
      </c>
      <c r="B2720" s="1" t="s">
        <v>1167</v>
      </c>
      <c r="C2720" s="1" t="s">
        <v>4851</v>
      </c>
    </row>
    <row r="2721" spans="1:3" x14ac:dyDescent="0.2">
      <c r="A2721" s="1" t="str">
        <f>"300860"</f>
        <v>300860</v>
      </c>
      <c r="B2721" s="1" t="s">
        <v>4215</v>
      </c>
      <c r="C2721" s="1" t="s">
        <v>4854</v>
      </c>
    </row>
    <row r="2722" spans="1:3" x14ac:dyDescent="0.2">
      <c r="A2722" s="1" t="str">
        <f>"300858"</f>
        <v>300858</v>
      </c>
      <c r="B2722" s="1" t="s">
        <v>2943</v>
      </c>
      <c r="C2722" s="1" t="s">
        <v>4865</v>
      </c>
    </row>
    <row r="2723" spans="1:3" x14ac:dyDescent="0.2">
      <c r="A2723" s="1" t="str">
        <f>"300857"</f>
        <v>300857</v>
      </c>
      <c r="B2723" s="1" t="s">
        <v>872</v>
      </c>
      <c r="C2723" s="1" t="s">
        <v>4850</v>
      </c>
    </row>
    <row r="2724" spans="1:3" x14ac:dyDescent="0.2">
      <c r="A2724" s="1" t="str">
        <f>"300856"</f>
        <v>300856</v>
      </c>
      <c r="B2724" s="1" t="s">
        <v>3070</v>
      </c>
      <c r="C2724" s="1" t="s">
        <v>4920</v>
      </c>
    </row>
    <row r="2725" spans="1:3" x14ac:dyDescent="0.2">
      <c r="A2725" s="1" t="str">
        <f>"300855"</f>
        <v>300855</v>
      </c>
      <c r="B2725" s="1" t="s">
        <v>2625</v>
      </c>
      <c r="C2725" s="1" t="s">
        <v>4848</v>
      </c>
    </row>
    <row r="2726" spans="1:3" x14ac:dyDescent="0.2">
      <c r="A2726" s="1" t="str">
        <f>"300854"</f>
        <v>300854</v>
      </c>
      <c r="B2726" s="1" t="s">
        <v>31</v>
      </c>
      <c r="C2726" s="1" t="s">
        <v>4863</v>
      </c>
    </row>
    <row r="2727" spans="1:3" x14ac:dyDescent="0.2">
      <c r="A2727" s="1" t="str">
        <f>"300853"</f>
        <v>300853</v>
      </c>
      <c r="B2727" s="1" t="s">
        <v>4216</v>
      </c>
      <c r="C2727" s="1" t="s">
        <v>4866</v>
      </c>
    </row>
    <row r="2728" spans="1:3" x14ac:dyDescent="0.2">
      <c r="A2728" s="1" t="str">
        <f>"300852"</f>
        <v>300852</v>
      </c>
      <c r="B2728" s="1" t="s">
        <v>763</v>
      </c>
      <c r="C2728" s="1" t="s">
        <v>4872</v>
      </c>
    </row>
    <row r="2729" spans="1:3" x14ac:dyDescent="0.2">
      <c r="A2729" s="1" t="str">
        <f>"300851"</f>
        <v>300851</v>
      </c>
      <c r="B2729" s="1" t="s">
        <v>4217</v>
      </c>
      <c r="C2729" s="1" t="s">
        <v>4875</v>
      </c>
    </row>
    <row r="2730" spans="1:3" x14ac:dyDescent="0.2">
      <c r="A2730" s="1" t="str">
        <f>"300850"</f>
        <v>300850</v>
      </c>
      <c r="B2730" s="1" t="s">
        <v>1390</v>
      </c>
      <c r="C2730" s="1" t="s">
        <v>4870</v>
      </c>
    </row>
    <row r="2731" spans="1:3" x14ac:dyDescent="0.2">
      <c r="A2731" s="1" t="str">
        <f>"300849"</f>
        <v>300849</v>
      </c>
      <c r="B2731" s="1" t="s">
        <v>4218</v>
      </c>
      <c r="C2731" s="1" t="s">
        <v>4930</v>
      </c>
    </row>
    <row r="2732" spans="1:3" x14ac:dyDescent="0.2">
      <c r="A2732" s="1" t="str">
        <f>"300848"</f>
        <v>300848</v>
      </c>
      <c r="B2732" s="1" t="s">
        <v>2992</v>
      </c>
      <c r="C2732" s="1" t="s">
        <v>4865</v>
      </c>
    </row>
    <row r="2733" spans="1:3" x14ac:dyDescent="0.2">
      <c r="A2733" s="1" t="str">
        <f>"300847"</f>
        <v>300847</v>
      </c>
      <c r="B2733" s="1" t="s">
        <v>2908</v>
      </c>
      <c r="C2733" s="1" t="s">
        <v>4865</v>
      </c>
    </row>
    <row r="2734" spans="1:3" x14ac:dyDescent="0.2">
      <c r="A2734" s="1" t="str">
        <f>"300846"</f>
        <v>300846</v>
      </c>
      <c r="B2734" s="1" t="s">
        <v>4219</v>
      </c>
      <c r="C2734" s="1" t="s">
        <v>4874</v>
      </c>
    </row>
    <row r="2735" spans="1:3" x14ac:dyDescent="0.2">
      <c r="A2735" s="1" t="str">
        <f>"300845"</f>
        <v>300845</v>
      </c>
      <c r="B2735" s="1" t="s">
        <v>4220</v>
      </c>
      <c r="C2735" s="1" t="s">
        <v>4847</v>
      </c>
    </row>
    <row r="2736" spans="1:3" x14ac:dyDescent="0.2">
      <c r="A2736" s="1" t="str">
        <f>"300844"</f>
        <v>300844</v>
      </c>
      <c r="B2736" s="1" t="s">
        <v>4221</v>
      </c>
      <c r="C2736" s="1" t="s">
        <v>4922</v>
      </c>
    </row>
    <row r="2737" spans="1:3" x14ac:dyDescent="0.2">
      <c r="A2737" s="1" t="str">
        <f>"300843"</f>
        <v>300843</v>
      </c>
      <c r="B2737" s="1" t="s">
        <v>873</v>
      </c>
      <c r="C2737" s="1" t="s">
        <v>4850</v>
      </c>
    </row>
    <row r="2738" spans="1:3" x14ac:dyDescent="0.2">
      <c r="A2738" s="1" t="str">
        <f>"300842"</f>
        <v>300842</v>
      </c>
      <c r="B2738" s="1" t="s">
        <v>1415</v>
      </c>
      <c r="C2738" s="1" t="s">
        <v>4857</v>
      </c>
    </row>
    <row r="2739" spans="1:3" x14ac:dyDescent="0.2">
      <c r="A2739" s="1" t="str">
        <f>"300841"</f>
        <v>300841</v>
      </c>
      <c r="B2739" s="1" t="s">
        <v>1771</v>
      </c>
      <c r="C2739" s="1" t="s">
        <v>4852</v>
      </c>
    </row>
    <row r="2740" spans="1:3" x14ac:dyDescent="0.2">
      <c r="A2740" s="1" t="str">
        <f>"300840"</f>
        <v>300840</v>
      </c>
      <c r="B2740" s="1" t="s">
        <v>2338</v>
      </c>
      <c r="C2740" s="1" t="s">
        <v>4909</v>
      </c>
    </row>
    <row r="2741" spans="1:3" x14ac:dyDescent="0.2">
      <c r="A2741" s="1" t="str">
        <f>"300839"</f>
        <v>300839</v>
      </c>
      <c r="B2741" s="1" t="s">
        <v>4222</v>
      </c>
      <c r="C2741" s="1" t="s">
        <v>4925</v>
      </c>
    </row>
    <row r="2742" spans="1:3" x14ac:dyDescent="0.2">
      <c r="A2742" s="1" t="str">
        <f>"300838"</f>
        <v>300838</v>
      </c>
      <c r="B2742" s="1" t="s">
        <v>1233</v>
      </c>
      <c r="C2742" s="1" t="s">
        <v>4851</v>
      </c>
    </row>
    <row r="2743" spans="1:3" x14ac:dyDescent="0.2">
      <c r="A2743" s="1" t="str">
        <f>"300837"</f>
        <v>300837</v>
      </c>
      <c r="B2743" s="1" t="s">
        <v>1123</v>
      </c>
      <c r="C2743" s="1" t="s">
        <v>4845</v>
      </c>
    </row>
    <row r="2744" spans="1:3" x14ac:dyDescent="0.2">
      <c r="A2744" s="1" t="str">
        <f>"300836"</f>
        <v>300836</v>
      </c>
      <c r="B2744" s="1" t="s">
        <v>1049</v>
      </c>
      <c r="C2744" s="1" t="s">
        <v>4845</v>
      </c>
    </row>
    <row r="2745" spans="1:3" x14ac:dyDescent="0.2">
      <c r="A2745" s="1" t="str">
        <f>"300835"</f>
        <v>300835</v>
      </c>
      <c r="B2745" s="1" t="s">
        <v>2632</v>
      </c>
      <c r="C2745" s="1" t="s">
        <v>4848</v>
      </c>
    </row>
    <row r="2746" spans="1:3" x14ac:dyDescent="0.2">
      <c r="A2746" s="1" t="str">
        <f>"300834"</f>
        <v>300834</v>
      </c>
      <c r="B2746" s="1" t="s">
        <v>2888</v>
      </c>
      <c r="C2746" s="1" t="s">
        <v>4860</v>
      </c>
    </row>
    <row r="2747" spans="1:3" x14ac:dyDescent="0.2">
      <c r="A2747" s="1" t="str">
        <f>"300833"</f>
        <v>300833</v>
      </c>
      <c r="B2747" s="1" t="s">
        <v>1050</v>
      </c>
      <c r="C2747" s="1" t="s">
        <v>4845</v>
      </c>
    </row>
    <row r="2748" spans="1:3" x14ac:dyDescent="0.2">
      <c r="A2748" s="1" t="str">
        <f>"300832"</f>
        <v>300832</v>
      </c>
      <c r="B2748" s="1" t="s">
        <v>1762</v>
      </c>
      <c r="C2748" s="1" t="s">
        <v>4852</v>
      </c>
    </row>
    <row r="2749" spans="1:3" x14ac:dyDescent="0.2">
      <c r="A2749" s="1" t="str">
        <f>"300831"</f>
        <v>300831</v>
      </c>
      <c r="B2749" s="1" t="s">
        <v>913</v>
      </c>
      <c r="C2749" s="1" t="s">
        <v>4840</v>
      </c>
    </row>
    <row r="2750" spans="1:3" x14ac:dyDescent="0.2">
      <c r="A2750" s="1" t="str">
        <f>"300830"</f>
        <v>300830</v>
      </c>
      <c r="B2750" s="1" t="s">
        <v>4223</v>
      </c>
      <c r="C2750" s="1" t="s">
        <v>4847</v>
      </c>
    </row>
    <row r="2751" spans="1:3" x14ac:dyDescent="0.2">
      <c r="A2751" s="1" t="str">
        <f>"300829"</f>
        <v>300829</v>
      </c>
      <c r="B2751" s="1" t="s">
        <v>2944</v>
      </c>
      <c r="C2751" s="1" t="s">
        <v>4865</v>
      </c>
    </row>
    <row r="2752" spans="1:3" x14ac:dyDescent="0.2">
      <c r="A2752" s="1" t="str">
        <f>"300828"</f>
        <v>300828</v>
      </c>
      <c r="B2752" s="1" t="s">
        <v>1199</v>
      </c>
      <c r="C2752" s="1" t="s">
        <v>4851</v>
      </c>
    </row>
    <row r="2753" spans="1:3" x14ac:dyDescent="0.2">
      <c r="A2753" s="1" t="str">
        <f>"300827"</f>
        <v>300827</v>
      </c>
      <c r="B2753" s="1" t="s">
        <v>1421</v>
      </c>
      <c r="C2753" s="1" t="s">
        <v>4857</v>
      </c>
    </row>
    <row r="2754" spans="1:3" x14ac:dyDescent="0.2">
      <c r="A2754" s="1" t="str">
        <f>"300826"</f>
        <v>300826</v>
      </c>
      <c r="B2754" s="1" t="s">
        <v>4224</v>
      </c>
      <c r="C2754" s="1" t="s">
        <v>4922</v>
      </c>
    </row>
    <row r="2755" spans="1:3" x14ac:dyDescent="0.2">
      <c r="A2755" s="1" t="str">
        <f>"300825"</f>
        <v>300825</v>
      </c>
      <c r="B2755" s="1" t="s">
        <v>1884</v>
      </c>
      <c r="C2755" s="1" t="s">
        <v>4948</v>
      </c>
    </row>
    <row r="2756" spans="1:3" x14ac:dyDescent="0.2">
      <c r="A2756" s="1" t="str">
        <f>"300824"</f>
        <v>300824</v>
      </c>
      <c r="B2756" s="1" t="s">
        <v>2170</v>
      </c>
      <c r="C2756" s="1" t="s">
        <v>4844</v>
      </c>
    </row>
    <row r="2757" spans="1:3" x14ac:dyDescent="0.2">
      <c r="A2757" s="1" t="str">
        <f>"300823"</f>
        <v>300823</v>
      </c>
      <c r="B2757" s="1" t="s">
        <v>4225</v>
      </c>
      <c r="C2757" s="1" t="s">
        <v>4845</v>
      </c>
    </row>
    <row r="2758" spans="1:3" x14ac:dyDescent="0.2">
      <c r="A2758" s="1" t="str">
        <f>"300822"</f>
        <v>300822</v>
      </c>
      <c r="B2758" s="1" t="s">
        <v>717</v>
      </c>
      <c r="C2758" s="1" t="s">
        <v>4842</v>
      </c>
    </row>
    <row r="2759" spans="1:3" x14ac:dyDescent="0.2">
      <c r="A2759" s="1" t="str">
        <f>"300821"</f>
        <v>300821</v>
      </c>
      <c r="B2759" s="1" t="s">
        <v>2936</v>
      </c>
      <c r="C2759" s="1" t="s">
        <v>4865</v>
      </c>
    </row>
    <row r="2760" spans="1:3" x14ac:dyDescent="0.2">
      <c r="A2760" s="1" t="str">
        <f>"300820"</f>
        <v>300820</v>
      </c>
      <c r="B2760" s="1" t="s">
        <v>1370</v>
      </c>
      <c r="C2760" s="1" t="s">
        <v>4859</v>
      </c>
    </row>
    <row r="2761" spans="1:3" x14ac:dyDescent="0.2">
      <c r="A2761" s="1" t="str">
        <f>"300819"</f>
        <v>300819</v>
      </c>
      <c r="B2761" s="1" t="s">
        <v>2379</v>
      </c>
      <c r="C2761" s="1" t="s">
        <v>4904</v>
      </c>
    </row>
    <row r="2762" spans="1:3" x14ac:dyDescent="0.2">
      <c r="A2762" s="1" t="str">
        <f>"300818"</f>
        <v>300818</v>
      </c>
      <c r="B2762" s="1" t="s">
        <v>1168</v>
      </c>
      <c r="C2762" s="1" t="s">
        <v>4851</v>
      </c>
    </row>
    <row r="2763" spans="1:3" x14ac:dyDescent="0.2">
      <c r="A2763" s="1" t="str">
        <f>"300817"</f>
        <v>300817</v>
      </c>
      <c r="B2763" s="1" t="s">
        <v>1234</v>
      </c>
      <c r="C2763" s="1" t="s">
        <v>4851</v>
      </c>
    </row>
    <row r="2764" spans="1:3" x14ac:dyDescent="0.2">
      <c r="A2764" s="1" t="str">
        <f>"300816"</f>
        <v>300816</v>
      </c>
      <c r="B2764" s="1" t="s">
        <v>1937</v>
      </c>
      <c r="C2764" s="1" t="s">
        <v>4856</v>
      </c>
    </row>
    <row r="2765" spans="1:3" x14ac:dyDescent="0.2">
      <c r="A2765" s="1" t="str">
        <f>"300815"</f>
        <v>300815</v>
      </c>
      <c r="B2765" s="1" t="s">
        <v>32</v>
      </c>
      <c r="C2765" s="1" t="s">
        <v>4863</v>
      </c>
    </row>
    <row r="2766" spans="1:3" x14ac:dyDescent="0.2">
      <c r="A2766" s="1" t="str">
        <f>"300814"</f>
        <v>300814</v>
      </c>
      <c r="B2766" s="1" t="s">
        <v>764</v>
      </c>
      <c r="C2766" s="1" t="s">
        <v>4872</v>
      </c>
    </row>
    <row r="2767" spans="1:3" x14ac:dyDescent="0.2">
      <c r="A2767" s="1" t="str">
        <f>"300813"</f>
        <v>300813</v>
      </c>
      <c r="B2767" s="1" t="s">
        <v>1693</v>
      </c>
      <c r="C2767" s="1" t="s">
        <v>4867</v>
      </c>
    </row>
    <row r="2768" spans="1:3" x14ac:dyDescent="0.2">
      <c r="A2768" s="1" t="str">
        <f>"300812"</f>
        <v>300812</v>
      </c>
      <c r="B2768" s="1" t="s">
        <v>1051</v>
      </c>
      <c r="C2768" s="1" t="s">
        <v>4845</v>
      </c>
    </row>
    <row r="2769" spans="1:3" x14ac:dyDescent="0.2">
      <c r="A2769" s="1" t="str">
        <f>"300811"</f>
        <v>300811</v>
      </c>
      <c r="B2769" s="1" t="s">
        <v>2633</v>
      </c>
      <c r="C2769" s="1" t="s">
        <v>4848</v>
      </c>
    </row>
    <row r="2770" spans="1:3" x14ac:dyDescent="0.2">
      <c r="A2770" s="1" t="str">
        <f>"300810"</f>
        <v>300810</v>
      </c>
      <c r="B2770" s="1" t="s">
        <v>4226</v>
      </c>
      <c r="C2770" s="1" t="s">
        <v>4946</v>
      </c>
    </row>
    <row r="2771" spans="1:3" x14ac:dyDescent="0.2">
      <c r="A2771" s="1" t="str">
        <f>"300809"</f>
        <v>300809</v>
      </c>
      <c r="B2771" s="1" t="s">
        <v>1256</v>
      </c>
      <c r="C2771" s="1" t="s">
        <v>4851</v>
      </c>
    </row>
    <row r="2772" spans="1:3" x14ac:dyDescent="0.2">
      <c r="A2772" s="1" t="str">
        <f>"300808"</f>
        <v>300808</v>
      </c>
      <c r="B2772" s="1" t="s">
        <v>4227</v>
      </c>
      <c r="C2772" s="1" t="s">
        <v>4878</v>
      </c>
    </row>
    <row r="2773" spans="1:3" x14ac:dyDescent="0.2">
      <c r="A2773" s="1" t="str">
        <f>"300807"</f>
        <v>300807</v>
      </c>
      <c r="B2773" s="1" t="s">
        <v>4228</v>
      </c>
      <c r="C2773" s="1" t="s">
        <v>4847</v>
      </c>
    </row>
    <row r="2774" spans="1:3" x14ac:dyDescent="0.2">
      <c r="A2774" s="1" t="str">
        <f>"300806"</f>
        <v>300806</v>
      </c>
      <c r="B2774" s="1" t="s">
        <v>2875</v>
      </c>
      <c r="C2774" s="1" t="s">
        <v>4860</v>
      </c>
    </row>
    <row r="2775" spans="1:3" x14ac:dyDescent="0.2">
      <c r="A2775" s="1" t="str">
        <f>"300805"</f>
        <v>300805</v>
      </c>
      <c r="B2775" s="1" t="s">
        <v>480</v>
      </c>
      <c r="C2775" s="1" t="s">
        <v>4907</v>
      </c>
    </row>
    <row r="2776" spans="1:3" x14ac:dyDescent="0.2">
      <c r="A2776" s="1" t="str">
        <f>"300804"</f>
        <v>300804</v>
      </c>
      <c r="B2776" s="1" t="s">
        <v>2809</v>
      </c>
      <c r="C2776" s="1" t="s">
        <v>4915</v>
      </c>
    </row>
    <row r="2777" spans="1:3" x14ac:dyDescent="0.2">
      <c r="A2777" s="1" t="str">
        <f>"300803"</f>
        <v>300803</v>
      </c>
      <c r="B2777" s="1" t="s">
        <v>567</v>
      </c>
      <c r="C2777" s="1" t="s">
        <v>4847</v>
      </c>
    </row>
    <row r="2778" spans="1:3" x14ac:dyDescent="0.2">
      <c r="A2778" s="1" t="str">
        <f>"300802"</f>
        <v>300802</v>
      </c>
      <c r="B2778" s="1" t="s">
        <v>978</v>
      </c>
      <c r="C2778" s="1" t="s">
        <v>4849</v>
      </c>
    </row>
    <row r="2779" spans="1:3" x14ac:dyDescent="0.2">
      <c r="A2779" s="1" t="str">
        <f>"300801"</f>
        <v>300801</v>
      </c>
      <c r="B2779" s="1" t="s">
        <v>2909</v>
      </c>
      <c r="C2779" s="1" t="s">
        <v>4865</v>
      </c>
    </row>
    <row r="2780" spans="1:3" x14ac:dyDescent="0.2">
      <c r="A2780" s="1" t="str">
        <f>"300800"</f>
        <v>300800</v>
      </c>
      <c r="B2780" s="1" t="s">
        <v>12</v>
      </c>
      <c r="C2780" s="1" t="s">
        <v>4868</v>
      </c>
    </row>
    <row r="2781" spans="1:3" x14ac:dyDescent="0.2">
      <c r="A2781" s="1" t="str">
        <f>"300798"</f>
        <v>300798</v>
      </c>
      <c r="B2781" s="1" t="s">
        <v>4229</v>
      </c>
      <c r="C2781" s="1" t="s">
        <v>4865</v>
      </c>
    </row>
    <row r="2782" spans="1:3" x14ac:dyDescent="0.2">
      <c r="A2782" s="1" t="str">
        <f>"300797"</f>
        <v>300797</v>
      </c>
      <c r="B2782" s="1" t="s">
        <v>273</v>
      </c>
      <c r="C2782" s="1" t="s">
        <v>4854</v>
      </c>
    </row>
    <row r="2783" spans="1:3" x14ac:dyDescent="0.2">
      <c r="A2783" s="1" t="str">
        <f>"300796"</f>
        <v>300796</v>
      </c>
      <c r="B2783" s="1" t="s">
        <v>2810</v>
      </c>
      <c r="C2783" s="1" t="s">
        <v>4915</v>
      </c>
    </row>
    <row r="2784" spans="1:3" x14ac:dyDescent="0.2">
      <c r="A2784" s="1" t="str">
        <f>"300795"</f>
        <v>300795</v>
      </c>
      <c r="B2784" s="1" t="s">
        <v>4230</v>
      </c>
      <c r="C2784" s="1" t="s">
        <v>4854</v>
      </c>
    </row>
    <row r="2785" spans="1:3" x14ac:dyDescent="0.2">
      <c r="A2785" s="1" t="str">
        <f>"300793"</f>
        <v>300793</v>
      </c>
      <c r="B2785" s="1" t="s">
        <v>874</v>
      </c>
      <c r="C2785" s="1" t="s">
        <v>4850</v>
      </c>
    </row>
    <row r="2786" spans="1:3" x14ac:dyDescent="0.2">
      <c r="A2786" s="1" t="str">
        <f>"300792"</f>
        <v>300792</v>
      </c>
      <c r="B2786" s="1" t="s">
        <v>2092</v>
      </c>
      <c r="C2786" s="1" t="s">
        <v>4910</v>
      </c>
    </row>
    <row r="2787" spans="1:3" x14ac:dyDescent="0.2">
      <c r="A2787" s="1" t="str">
        <f>"300791"</f>
        <v>300791</v>
      </c>
      <c r="B2787" s="1" t="s">
        <v>2400</v>
      </c>
      <c r="C2787" s="1" t="s">
        <v>4891</v>
      </c>
    </row>
    <row r="2788" spans="1:3" x14ac:dyDescent="0.2">
      <c r="A2788" s="1" t="str">
        <f>"300790"</f>
        <v>300790</v>
      </c>
      <c r="B2788" s="1" t="s">
        <v>814</v>
      </c>
      <c r="C2788" s="1" t="s">
        <v>4878</v>
      </c>
    </row>
    <row r="2789" spans="1:3" x14ac:dyDescent="0.2">
      <c r="A2789" s="1" t="str">
        <f>"300789"</f>
        <v>300789</v>
      </c>
      <c r="B2789" s="1" t="s">
        <v>1302</v>
      </c>
      <c r="C2789" s="1" t="s">
        <v>4875</v>
      </c>
    </row>
    <row r="2790" spans="1:3" x14ac:dyDescent="0.2">
      <c r="A2790" s="1" t="str">
        <f>"300788"</f>
        <v>300788</v>
      </c>
      <c r="B2790" s="1" t="s">
        <v>449</v>
      </c>
      <c r="C2790" s="1" t="s">
        <v>4890</v>
      </c>
    </row>
    <row r="2791" spans="1:3" x14ac:dyDescent="0.2">
      <c r="A2791" s="1" t="str">
        <f>"300787"</f>
        <v>300787</v>
      </c>
      <c r="B2791" s="1" t="s">
        <v>875</v>
      </c>
      <c r="C2791" s="1" t="s">
        <v>4850</v>
      </c>
    </row>
    <row r="2792" spans="1:3" x14ac:dyDescent="0.2">
      <c r="A2792" s="1" t="str">
        <f>"300786"</f>
        <v>300786</v>
      </c>
      <c r="B2792" s="1" t="s">
        <v>4231</v>
      </c>
      <c r="C2792" s="1" t="s">
        <v>4871</v>
      </c>
    </row>
    <row r="2793" spans="1:3" x14ac:dyDescent="0.2">
      <c r="A2793" s="1" t="str">
        <f>"300785"</f>
        <v>300785</v>
      </c>
      <c r="B2793" s="1" t="s">
        <v>4232</v>
      </c>
      <c r="C2793" s="1" t="s">
        <v>4910</v>
      </c>
    </row>
    <row r="2794" spans="1:3" x14ac:dyDescent="0.2">
      <c r="A2794" s="1" t="str">
        <f>"300784"</f>
        <v>300784</v>
      </c>
      <c r="B2794" s="1" t="s">
        <v>2841</v>
      </c>
      <c r="C2794" s="1" t="s">
        <v>4860</v>
      </c>
    </row>
    <row r="2795" spans="1:3" x14ac:dyDescent="0.2">
      <c r="A2795" s="1" t="str">
        <f>"300783"</f>
        <v>300783</v>
      </c>
      <c r="B2795" s="1" t="s">
        <v>2436</v>
      </c>
      <c r="C2795" s="1" t="s">
        <v>4896</v>
      </c>
    </row>
    <row r="2796" spans="1:3" x14ac:dyDescent="0.2">
      <c r="A2796" s="1" t="str">
        <f>"300782"</f>
        <v>300782</v>
      </c>
      <c r="B2796" s="1" t="s">
        <v>4233</v>
      </c>
      <c r="C2796" s="1" t="s">
        <v>4840</v>
      </c>
    </row>
    <row r="2797" spans="1:3" x14ac:dyDescent="0.2">
      <c r="A2797" s="1" t="str">
        <f>"300781"</f>
        <v>300781</v>
      </c>
      <c r="B2797" s="1" t="s">
        <v>481</v>
      </c>
      <c r="C2797" s="1" t="s">
        <v>4907</v>
      </c>
    </row>
    <row r="2798" spans="1:3" x14ac:dyDescent="0.2">
      <c r="A2798" s="1" t="str">
        <f>"300780"</f>
        <v>300780</v>
      </c>
      <c r="B2798" s="1" t="s">
        <v>4234</v>
      </c>
      <c r="C2798" s="1" t="s">
        <v>4851</v>
      </c>
    </row>
    <row r="2799" spans="1:3" x14ac:dyDescent="0.2">
      <c r="A2799" s="1" t="str">
        <f>"300779"</f>
        <v>300779</v>
      </c>
      <c r="B2799" s="1" t="s">
        <v>4235</v>
      </c>
      <c r="C2799" s="1" t="s">
        <v>4863</v>
      </c>
    </row>
    <row r="2800" spans="1:3" x14ac:dyDescent="0.2">
      <c r="A2800" s="1" t="str">
        <f>"300778"</f>
        <v>300778</v>
      </c>
      <c r="B2800" s="1" t="s">
        <v>4236</v>
      </c>
      <c r="C2800" s="1" t="s">
        <v>4922</v>
      </c>
    </row>
    <row r="2801" spans="1:3" x14ac:dyDescent="0.2">
      <c r="A2801" s="1" t="str">
        <f>"300777"</f>
        <v>300777</v>
      </c>
      <c r="B2801" s="1" t="s">
        <v>3045</v>
      </c>
      <c r="C2801" s="1" t="s">
        <v>4858</v>
      </c>
    </row>
    <row r="2802" spans="1:3" x14ac:dyDescent="0.2">
      <c r="A2802" s="1" t="str">
        <f>"300776"</f>
        <v>300776</v>
      </c>
      <c r="B2802" s="1" t="s">
        <v>1402</v>
      </c>
      <c r="C2802" s="1" t="s">
        <v>4857</v>
      </c>
    </row>
    <row r="2803" spans="1:3" x14ac:dyDescent="0.2">
      <c r="A2803" s="1" t="str">
        <f>"300775"</f>
        <v>300775</v>
      </c>
      <c r="B2803" s="1" t="s">
        <v>1346</v>
      </c>
      <c r="C2803" s="1" t="s">
        <v>4862</v>
      </c>
    </row>
    <row r="2804" spans="1:3" x14ac:dyDescent="0.2">
      <c r="A2804" s="1" t="str">
        <f>"300774"</f>
        <v>300774</v>
      </c>
      <c r="B2804" s="1" t="s">
        <v>54</v>
      </c>
      <c r="C2804" s="1" t="s">
        <v>4863</v>
      </c>
    </row>
    <row r="2805" spans="1:3" x14ac:dyDescent="0.2">
      <c r="A2805" s="1" t="str">
        <f>"300773"</f>
        <v>300773</v>
      </c>
      <c r="B2805" s="1" t="s">
        <v>340</v>
      </c>
      <c r="C2805" s="1" t="s">
        <v>4938</v>
      </c>
    </row>
    <row r="2806" spans="1:3" x14ac:dyDescent="0.2">
      <c r="A2806" s="1" t="str">
        <f>"300772"</f>
        <v>300772</v>
      </c>
      <c r="B2806" s="1" t="s">
        <v>1399</v>
      </c>
      <c r="C2806" s="1" t="s">
        <v>4870</v>
      </c>
    </row>
    <row r="2807" spans="1:3" x14ac:dyDescent="0.2">
      <c r="A2807" s="1" t="str">
        <f>"300771"</f>
        <v>300771</v>
      </c>
      <c r="B2807" s="1" t="s">
        <v>613</v>
      </c>
      <c r="C2807" s="1" t="s">
        <v>4873</v>
      </c>
    </row>
    <row r="2808" spans="1:3" x14ac:dyDescent="0.2">
      <c r="A2808" s="1" t="str">
        <f>"300770"</f>
        <v>300770</v>
      </c>
      <c r="B2808" s="1" t="s">
        <v>434</v>
      </c>
      <c r="C2808" s="1" t="s">
        <v>4950</v>
      </c>
    </row>
    <row r="2809" spans="1:3" x14ac:dyDescent="0.2">
      <c r="A2809" s="1" t="str">
        <f>"300769"</f>
        <v>300769</v>
      </c>
      <c r="B2809" s="1" t="s">
        <v>4237</v>
      </c>
      <c r="C2809" s="1" t="s">
        <v>4841</v>
      </c>
    </row>
    <row r="2810" spans="1:3" x14ac:dyDescent="0.2">
      <c r="A2810" s="1" t="str">
        <f>"300768"</f>
        <v>300768</v>
      </c>
      <c r="B2810" s="1" t="s">
        <v>605</v>
      </c>
      <c r="C2810" s="1" t="s">
        <v>4847</v>
      </c>
    </row>
    <row r="2811" spans="1:3" x14ac:dyDescent="0.2">
      <c r="A2811" s="1" t="str">
        <f>"300767"</f>
        <v>300767</v>
      </c>
      <c r="B2811" s="1" t="s">
        <v>4238</v>
      </c>
      <c r="C2811" s="1" t="s">
        <v>4906</v>
      </c>
    </row>
    <row r="2812" spans="1:3" x14ac:dyDescent="0.2">
      <c r="A2812" s="1" t="str">
        <f>"300766"</f>
        <v>300766</v>
      </c>
      <c r="B2812" s="1" t="s">
        <v>4239</v>
      </c>
      <c r="C2812" s="1" t="s">
        <v>4847</v>
      </c>
    </row>
    <row r="2813" spans="1:3" x14ac:dyDescent="0.2">
      <c r="A2813" s="1" t="str">
        <f>"300765"</f>
        <v>300765</v>
      </c>
      <c r="B2813" s="1" t="s">
        <v>4240</v>
      </c>
      <c r="C2813" s="1" t="s">
        <v>4891</v>
      </c>
    </row>
    <row r="2814" spans="1:3" x14ac:dyDescent="0.2">
      <c r="A2814" s="1" t="str">
        <f>"300763"</f>
        <v>300763</v>
      </c>
      <c r="B2814" s="1" t="s">
        <v>1422</v>
      </c>
      <c r="C2814" s="1" t="s">
        <v>4857</v>
      </c>
    </row>
    <row r="2815" spans="1:3" x14ac:dyDescent="0.2">
      <c r="A2815" s="1" t="str">
        <f>"300762"</f>
        <v>300762</v>
      </c>
      <c r="B2815" s="1" t="s">
        <v>4241</v>
      </c>
      <c r="C2815" s="1" t="s">
        <v>4846</v>
      </c>
    </row>
    <row r="2816" spans="1:3" x14ac:dyDescent="0.2">
      <c r="A2816" s="1" t="str">
        <f>"300761"</f>
        <v>300761</v>
      </c>
      <c r="B2816" s="1" t="s">
        <v>2552</v>
      </c>
      <c r="C2816" s="1" t="s">
        <v>4900</v>
      </c>
    </row>
    <row r="2817" spans="1:3" x14ac:dyDescent="0.2">
      <c r="A2817" s="1" t="str">
        <f>"300760"</f>
        <v>300760</v>
      </c>
      <c r="B2817" s="1" t="s">
        <v>1731</v>
      </c>
      <c r="C2817" s="1" t="s">
        <v>4867</v>
      </c>
    </row>
    <row r="2818" spans="1:3" x14ac:dyDescent="0.2">
      <c r="A2818" s="1" t="str">
        <f>"300759"</f>
        <v>300759</v>
      </c>
      <c r="B2818" s="1" t="s">
        <v>1686</v>
      </c>
      <c r="C2818" s="1" t="s">
        <v>4861</v>
      </c>
    </row>
    <row r="2819" spans="1:3" x14ac:dyDescent="0.2">
      <c r="A2819" s="1" t="str">
        <f>"300758"</f>
        <v>300758</v>
      </c>
      <c r="B2819" s="1" t="s">
        <v>2985</v>
      </c>
      <c r="C2819" s="1" t="s">
        <v>4865</v>
      </c>
    </row>
    <row r="2820" spans="1:3" x14ac:dyDescent="0.2">
      <c r="A2820" s="1" t="str">
        <f>"300757"</f>
        <v>300757</v>
      </c>
      <c r="B2820" s="1" t="s">
        <v>4242</v>
      </c>
      <c r="C2820" s="1" t="s">
        <v>4849</v>
      </c>
    </row>
    <row r="2821" spans="1:3" x14ac:dyDescent="0.2">
      <c r="A2821" s="1" t="str">
        <f>"300756"</f>
        <v>300756</v>
      </c>
      <c r="B2821" s="1" t="s">
        <v>4243</v>
      </c>
      <c r="C2821" s="1" t="s">
        <v>4845</v>
      </c>
    </row>
    <row r="2822" spans="1:3" x14ac:dyDescent="0.2">
      <c r="A2822" s="1" t="str">
        <f>"300755"</f>
        <v>300755</v>
      </c>
      <c r="B2822" s="1" t="s">
        <v>2115</v>
      </c>
      <c r="C2822" s="1" t="s">
        <v>4939</v>
      </c>
    </row>
    <row r="2823" spans="1:3" x14ac:dyDescent="0.2">
      <c r="A2823" s="1" t="str">
        <f>"300753"</f>
        <v>300753</v>
      </c>
      <c r="B2823" s="1" t="s">
        <v>4244</v>
      </c>
      <c r="C2823" s="1" t="s">
        <v>4867</v>
      </c>
    </row>
    <row r="2824" spans="1:3" x14ac:dyDescent="0.2">
      <c r="A2824" s="1" t="str">
        <f>"300752"</f>
        <v>300752</v>
      </c>
      <c r="B2824" s="1" t="s">
        <v>787</v>
      </c>
      <c r="C2824" s="1" t="s">
        <v>4878</v>
      </c>
    </row>
    <row r="2825" spans="1:3" x14ac:dyDescent="0.2">
      <c r="A2825" s="1" t="str">
        <f>"300751"</f>
        <v>300751</v>
      </c>
      <c r="B2825" s="1" t="s">
        <v>1403</v>
      </c>
      <c r="C2825" s="1" t="s">
        <v>4857</v>
      </c>
    </row>
    <row r="2826" spans="1:3" x14ac:dyDescent="0.2">
      <c r="A2826" s="1" t="str">
        <f>"300750"</f>
        <v>300750</v>
      </c>
      <c r="B2826" s="1" t="s">
        <v>1554</v>
      </c>
      <c r="C2826" s="1" t="s">
        <v>4841</v>
      </c>
    </row>
    <row r="2827" spans="1:3" x14ac:dyDescent="0.2">
      <c r="A2827" s="1" t="str">
        <f>"300749"</f>
        <v>300749</v>
      </c>
      <c r="B2827" s="1" t="s">
        <v>2248</v>
      </c>
      <c r="C2827" s="1" t="s">
        <v>4902</v>
      </c>
    </row>
    <row r="2828" spans="1:3" x14ac:dyDescent="0.2">
      <c r="A2828" s="1" t="str">
        <f>"300748"</f>
        <v>300748</v>
      </c>
      <c r="B2828" s="1" t="s">
        <v>2634</v>
      </c>
      <c r="C2828" s="1" t="s">
        <v>4848</v>
      </c>
    </row>
    <row r="2829" spans="1:3" x14ac:dyDescent="0.2">
      <c r="A2829" s="1" t="str">
        <f>"300747"</f>
        <v>300747</v>
      </c>
      <c r="B2829" s="1" t="s">
        <v>960</v>
      </c>
      <c r="C2829" s="1" t="s">
        <v>4849</v>
      </c>
    </row>
    <row r="2830" spans="1:3" x14ac:dyDescent="0.2">
      <c r="A2830" s="1" t="str">
        <f>"300746"</f>
        <v>300746</v>
      </c>
      <c r="B2830" s="1" t="s">
        <v>4245</v>
      </c>
      <c r="C2830" s="1" t="s">
        <v>4922</v>
      </c>
    </row>
    <row r="2831" spans="1:3" x14ac:dyDescent="0.2">
      <c r="A2831" s="1" t="str">
        <f>"300745"</f>
        <v>300745</v>
      </c>
      <c r="B2831" s="1" t="s">
        <v>4246</v>
      </c>
      <c r="C2831" s="1" t="s">
        <v>4856</v>
      </c>
    </row>
    <row r="2832" spans="1:3" x14ac:dyDescent="0.2">
      <c r="A2832" s="1" t="str">
        <f>"300743"</f>
        <v>300743</v>
      </c>
      <c r="B2832" s="1" t="s">
        <v>614</v>
      </c>
      <c r="C2832" s="1" t="s">
        <v>4873</v>
      </c>
    </row>
    <row r="2833" spans="1:3" x14ac:dyDescent="0.2">
      <c r="A2833" s="1" t="str">
        <f>"300741"</f>
        <v>300741</v>
      </c>
      <c r="B2833" s="1" t="s">
        <v>2945</v>
      </c>
      <c r="C2833" s="1" t="s">
        <v>4865</v>
      </c>
    </row>
    <row r="2834" spans="1:3" x14ac:dyDescent="0.2">
      <c r="A2834" s="1" t="str">
        <f>"300740"</f>
        <v>300740</v>
      </c>
      <c r="B2834" s="1" t="s">
        <v>3071</v>
      </c>
      <c r="C2834" s="1" t="s">
        <v>4920</v>
      </c>
    </row>
    <row r="2835" spans="1:3" x14ac:dyDescent="0.2">
      <c r="A2835" s="1" t="str">
        <f>"300739"</f>
        <v>300739</v>
      </c>
      <c r="B2835" s="1" t="s">
        <v>765</v>
      </c>
      <c r="C2835" s="1" t="s">
        <v>4872</v>
      </c>
    </row>
    <row r="2836" spans="1:3" x14ac:dyDescent="0.2">
      <c r="A2836" s="1" t="str">
        <f>"300738"</f>
        <v>300738</v>
      </c>
      <c r="B2836" s="1" t="s">
        <v>540</v>
      </c>
      <c r="C2836" s="1" t="s">
        <v>4874</v>
      </c>
    </row>
    <row r="2837" spans="1:3" x14ac:dyDescent="0.2">
      <c r="A2837" s="1" t="str">
        <f>"300737"</f>
        <v>300737</v>
      </c>
      <c r="B2837" s="1" t="s">
        <v>2590</v>
      </c>
      <c r="C2837" s="1" t="s">
        <v>4886</v>
      </c>
    </row>
    <row r="2838" spans="1:3" x14ac:dyDescent="0.2">
      <c r="A2838" s="1" t="str">
        <f>"300736"</f>
        <v>300736</v>
      </c>
      <c r="B2838" s="1" t="s">
        <v>4247</v>
      </c>
      <c r="C2838" s="1" t="s">
        <v>4854</v>
      </c>
    </row>
    <row r="2839" spans="1:3" x14ac:dyDescent="0.2">
      <c r="A2839" s="1" t="str">
        <f>"300735"</f>
        <v>300735</v>
      </c>
      <c r="B2839" s="1" t="s">
        <v>876</v>
      </c>
      <c r="C2839" s="1" t="s">
        <v>4850</v>
      </c>
    </row>
    <row r="2840" spans="1:3" x14ac:dyDescent="0.2">
      <c r="A2840" s="1" t="str">
        <f>"300733"</f>
        <v>300733</v>
      </c>
      <c r="B2840" s="1" t="s">
        <v>2006</v>
      </c>
      <c r="C2840" s="1" t="s">
        <v>4856</v>
      </c>
    </row>
    <row r="2841" spans="1:3" x14ac:dyDescent="0.2">
      <c r="A2841" s="1" t="str">
        <f>"300732"</f>
        <v>300732</v>
      </c>
      <c r="B2841" s="1" t="s">
        <v>4248</v>
      </c>
      <c r="C2841" s="1" t="s">
        <v>4922</v>
      </c>
    </row>
    <row r="2842" spans="1:3" x14ac:dyDescent="0.2">
      <c r="A2842" s="1" t="str">
        <f>"300731"</f>
        <v>300731</v>
      </c>
      <c r="B2842" s="1" t="s">
        <v>2825</v>
      </c>
      <c r="C2842" s="1" t="s">
        <v>4906</v>
      </c>
    </row>
    <row r="2843" spans="1:3" x14ac:dyDescent="0.2">
      <c r="A2843" s="1" t="str">
        <f>"300730"</f>
        <v>300730</v>
      </c>
      <c r="B2843" s="1" t="s">
        <v>4249</v>
      </c>
      <c r="C2843" s="1" t="s">
        <v>4847</v>
      </c>
    </row>
    <row r="2844" spans="1:3" x14ac:dyDescent="0.2">
      <c r="A2844" s="1" t="str">
        <f>"300729"</f>
        <v>300729</v>
      </c>
      <c r="B2844" s="1" t="s">
        <v>2249</v>
      </c>
      <c r="C2844" s="1" t="s">
        <v>4902</v>
      </c>
    </row>
    <row r="2845" spans="1:3" x14ac:dyDescent="0.2">
      <c r="A2845" s="1" t="str">
        <f>"300727"</f>
        <v>300727</v>
      </c>
      <c r="B2845" s="1" t="s">
        <v>2937</v>
      </c>
      <c r="C2845" s="1" t="s">
        <v>4865</v>
      </c>
    </row>
    <row r="2846" spans="1:3" x14ac:dyDescent="0.2">
      <c r="A2846" s="1" t="str">
        <f>"300726"</f>
        <v>300726</v>
      </c>
      <c r="B2846" s="1" t="s">
        <v>1313</v>
      </c>
      <c r="C2846" s="1" t="s">
        <v>4846</v>
      </c>
    </row>
    <row r="2847" spans="1:3" x14ac:dyDescent="0.2">
      <c r="A2847" s="1" t="str">
        <f>"300725"</f>
        <v>300725</v>
      </c>
      <c r="B2847" s="1" t="s">
        <v>1687</v>
      </c>
      <c r="C2847" s="1" t="s">
        <v>4861</v>
      </c>
    </row>
    <row r="2848" spans="1:3" x14ac:dyDescent="0.2">
      <c r="A2848" s="1" t="str">
        <f>"300724"</f>
        <v>300724</v>
      </c>
      <c r="B2848" s="1" t="s">
        <v>1404</v>
      </c>
      <c r="C2848" s="1" t="s">
        <v>4857</v>
      </c>
    </row>
    <row r="2849" spans="1:3" x14ac:dyDescent="0.2">
      <c r="A2849" s="1" t="str">
        <f>"300723"</f>
        <v>300723</v>
      </c>
      <c r="B2849" s="1" t="s">
        <v>1831</v>
      </c>
      <c r="C2849" s="1" t="s">
        <v>4843</v>
      </c>
    </row>
    <row r="2850" spans="1:3" x14ac:dyDescent="0.2">
      <c r="A2850" s="1" t="str">
        <f>"300722"</f>
        <v>300722</v>
      </c>
      <c r="B2850" s="1" t="s">
        <v>1334</v>
      </c>
      <c r="C2850" s="1" t="s">
        <v>4884</v>
      </c>
    </row>
    <row r="2851" spans="1:3" x14ac:dyDescent="0.2">
      <c r="A2851" s="1" t="str">
        <f>"300720"</f>
        <v>300720</v>
      </c>
      <c r="B2851" s="1" t="s">
        <v>1274</v>
      </c>
      <c r="C2851" s="1" t="s">
        <v>4851</v>
      </c>
    </row>
    <row r="2852" spans="1:3" x14ac:dyDescent="0.2">
      <c r="A2852" s="1" t="str">
        <f>"300719"</f>
        <v>300719</v>
      </c>
      <c r="B2852" s="1" t="s">
        <v>4250</v>
      </c>
      <c r="C2852" s="1" t="s">
        <v>4862</v>
      </c>
    </row>
    <row r="2853" spans="1:3" x14ac:dyDescent="0.2">
      <c r="A2853" s="1" t="str">
        <f>"300718"</f>
        <v>300718</v>
      </c>
      <c r="B2853" s="1" t="s">
        <v>1235</v>
      </c>
      <c r="C2853" s="1" t="s">
        <v>4851</v>
      </c>
    </row>
    <row r="2854" spans="1:3" x14ac:dyDescent="0.2">
      <c r="A2854" s="1" t="str">
        <f>"300717"</f>
        <v>300717</v>
      </c>
      <c r="B2854" s="1" t="s">
        <v>2842</v>
      </c>
      <c r="C2854" s="1" t="s">
        <v>4860</v>
      </c>
    </row>
    <row r="2855" spans="1:3" x14ac:dyDescent="0.2">
      <c r="A2855" s="1" t="str">
        <f>"300715"</f>
        <v>300715</v>
      </c>
      <c r="B2855" s="1" t="s">
        <v>2591</v>
      </c>
      <c r="C2855" s="1" t="s">
        <v>4886</v>
      </c>
    </row>
    <row r="2856" spans="1:3" x14ac:dyDescent="0.2">
      <c r="A2856" s="1" t="str">
        <f>"300713"</f>
        <v>300713</v>
      </c>
      <c r="B2856" s="1" t="s">
        <v>4251</v>
      </c>
      <c r="C2856" s="1" t="s">
        <v>4859</v>
      </c>
    </row>
    <row r="2857" spans="1:3" x14ac:dyDescent="0.2">
      <c r="A2857" s="1" t="str">
        <f>"300712"</f>
        <v>300712</v>
      </c>
      <c r="B2857" s="1" t="s">
        <v>323</v>
      </c>
      <c r="C2857" s="1" t="s">
        <v>4888</v>
      </c>
    </row>
    <row r="2858" spans="1:3" x14ac:dyDescent="0.2">
      <c r="A2858" s="1" t="str">
        <f>"300711"</f>
        <v>300711</v>
      </c>
      <c r="B2858" s="1" t="s">
        <v>657</v>
      </c>
      <c r="C2858" s="1" t="s">
        <v>4869</v>
      </c>
    </row>
    <row r="2859" spans="1:3" x14ac:dyDescent="0.2">
      <c r="A2859" s="1" t="str">
        <f>"300710"</f>
        <v>300710</v>
      </c>
      <c r="B2859" s="1" t="s">
        <v>4252</v>
      </c>
      <c r="C2859" s="1" t="s">
        <v>4869</v>
      </c>
    </row>
    <row r="2860" spans="1:3" x14ac:dyDescent="0.2">
      <c r="A2860" s="1" t="str">
        <f>"300709"</f>
        <v>300709</v>
      </c>
      <c r="B2860" s="1" t="s">
        <v>4253</v>
      </c>
      <c r="C2860" s="1" t="s">
        <v>4850</v>
      </c>
    </row>
    <row r="2861" spans="1:3" x14ac:dyDescent="0.2">
      <c r="A2861" s="1" t="str">
        <f>"300708"</f>
        <v>300708</v>
      </c>
      <c r="B2861" s="1" t="s">
        <v>788</v>
      </c>
      <c r="C2861" s="1" t="s">
        <v>4878</v>
      </c>
    </row>
    <row r="2862" spans="1:3" x14ac:dyDescent="0.2">
      <c r="A2862" s="1" t="str">
        <f>"300707"</f>
        <v>300707</v>
      </c>
      <c r="B2862" s="1" t="s">
        <v>4254</v>
      </c>
      <c r="C2862" s="1" t="s">
        <v>4856</v>
      </c>
    </row>
    <row r="2863" spans="1:3" x14ac:dyDescent="0.2">
      <c r="A2863" s="1" t="str">
        <f>"300706"</f>
        <v>300706</v>
      </c>
      <c r="B2863" s="1" t="s">
        <v>4255</v>
      </c>
      <c r="C2863" s="1" t="s">
        <v>4840</v>
      </c>
    </row>
    <row r="2864" spans="1:3" x14ac:dyDescent="0.2">
      <c r="A2864" s="1" t="str">
        <f>"300705"</f>
        <v>300705</v>
      </c>
      <c r="B2864" s="1" t="s">
        <v>1832</v>
      </c>
      <c r="C2864" s="1" t="s">
        <v>4843</v>
      </c>
    </row>
    <row r="2865" spans="1:3" x14ac:dyDescent="0.2">
      <c r="A2865" s="1" t="str">
        <f>"300703"</f>
        <v>300703</v>
      </c>
      <c r="B2865" s="1" t="s">
        <v>2206</v>
      </c>
      <c r="C2865" s="1" t="s">
        <v>4899</v>
      </c>
    </row>
    <row r="2866" spans="1:3" x14ac:dyDescent="0.2">
      <c r="A2866" s="1" t="str">
        <f>"300702"</f>
        <v>300702</v>
      </c>
      <c r="B2866" s="1" t="s">
        <v>1795</v>
      </c>
      <c r="C2866" s="1" t="s">
        <v>4843</v>
      </c>
    </row>
    <row r="2867" spans="1:3" x14ac:dyDescent="0.2">
      <c r="A2867" s="1" t="str">
        <f>"300701"</f>
        <v>300701</v>
      </c>
      <c r="B2867" s="1" t="s">
        <v>815</v>
      </c>
      <c r="C2867" s="1" t="s">
        <v>4878</v>
      </c>
    </row>
    <row r="2868" spans="1:3" x14ac:dyDescent="0.2">
      <c r="A2868" s="1" t="str">
        <f>"300699"</f>
        <v>300699</v>
      </c>
      <c r="B2868" s="1" t="s">
        <v>3046</v>
      </c>
      <c r="C2868" s="1" t="s">
        <v>4858</v>
      </c>
    </row>
    <row r="2869" spans="1:3" x14ac:dyDescent="0.2">
      <c r="A2869" s="1" t="str">
        <f>"300698"</f>
        <v>300698</v>
      </c>
      <c r="B2869" s="1" t="s">
        <v>684</v>
      </c>
      <c r="C2869" s="1" t="s">
        <v>4869</v>
      </c>
    </row>
    <row r="2870" spans="1:3" x14ac:dyDescent="0.2">
      <c r="A2870" s="1" t="str">
        <f>"300697"</f>
        <v>300697</v>
      </c>
      <c r="B2870" s="1" t="s">
        <v>2729</v>
      </c>
      <c r="C2870" s="1" t="s">
        <v>4879</v>
      </c>
    </row>
    <row r="2871" spans="1:3" x14ac:dyDescent="0.2">
      <c r="A2871" s="1" t="str">
        <f>"300696"</f>
        <v>300696</v>
      </c>
      <c r="B2871" s="1" t="s">
        <v>1347</v>
      </c>
      <c r="C2871" s="1" t="s">
        <v>4862</v>
      </c>
    </row>
    <row r="2872" spans="1:3" x14ac:dyDescent="0.2">
      <c r="A2872" s="1" t="str">
        <f>"300695"</f>
        <v>300695</v>
      </c>
      <c r="B2872" s="1" t="s">
        <v>1957</v>
      </c>
      <c r="C2872" s="1" t="s">
        <v>4856</v>
      </c>
    </row>
    <row r="2873" spans="1:3" x14ac:dyDescent="0.2">
      <c r="A2873" s="1" t="str">
        <f>"300694"</f>
        <v>300694</v>
      </c>
      <c r="B2873" s="1" t="s">
        <v>2007</v>
      </c>
      <c r="C2873" s="1" t="s">
        <v>4856</v>
      </c>
    </row>
    <row r="2874" spans="1:3" x14ac:dyDescent="0.2">
      <c r="A2874" s="1" t="str">
        <f>"300693"</f>
        <v>300693</v>
      </c>
      <c r="B2874" s="1" t="s">
        <v>1371</v>
      </c>
      <c r="C2874" s="1" t="s">
        <v>4859</v>
      </c>
    </row>
    <row r="2875" spans="1:3" x14ac:dyDescent="0.2">
      <c r="A2875" s="1" t="str">
        <f>"300692"</f>
        <v>300692</v>
      </c>
      <c r="B2875" s="1" t="s">
        <v>55</v>
      </c>
      <c r="C2875" s="1" t="s">
        <v>4863</v>
      </c>
    </row>
    <row r="2876" spans="1:3" x14ac:dyDescent="0.2">
      <c r="A2876" s="1" t="str">
        <f>"300691"</f>
        <v>300691</v>
      </c>
      <c r="B2876" s="1" t="s">
        <v>4256</v>
      </c>
      <c r="C2876" s="1" t="s">
        <v>4878</v>
      </c>
    </row>
    <row r="2877" spans="1:3" x14ac:dyDescent="0.2">
      <c r="A2877" s="1" t="str">
        <f>"300690"</f>
        <v>300690</v>
      </c>
      <c r="B2877" s="1" t="s">
        <v>1391</v>
      </c>
      <c r="C2877" s="1" t="s">
        <v>4870</v>
      </c>
    </row>
    <row r="2878" spans="1:3" x14ac:dyDescent="0.2">
      <c r="A2878" s="1" t="str">
        <f>"300689"</f>
        <v>300689</v>
      </c>
      <c r="B2878" s="1" t="s">
        <v>671</v>
      </c>
      <c r="C2878" s="1" t="s">
        <v>4869</v>
      </c>
    </row>
    <row r="2879" spans="1:3" x14ac:dyDescent="0.2">
      <c r="A2879" s="1" t="str">
        <f>"300688"</f>
        <v>300688</v>
      </c>
      <c r="B2879" s="1" t="s">
        <v>4257</v>
      </c>
      <c r="C2879" s="1" t="s">
        <v>4913</v>
      </c>
    </row>
    <row r="2880" spans="1:3" x14ac:dyDescent="0.2">
      <c r="A2880" s="1" t="str">
        <f>"300687"</f>
        <v>300687</v>
      </c>
      <c r="B2880" s="1" t="s">
        <v>528</v>
      </c>
      <c r="C2880" s="1" t="s">
        <v>4874</v>
      </c>
    </row>
    <row r="2881" spans="1:3" x14ac:dyDescent="0.2">
      <c r="A2881" s="1" t="str">
        <f>"300686"</f>
        <v>300686</v>
      </c>
      <c r="B2881" s="1" t="s">
        <v>4258</v>
      </c>
      <c r="C2881" s="1" t="s">
        <v>4850</v>
      </c>
    </row>
    <row r="2882" spans="1:3" x14ac:dyDescent="0.2">
      <c r="A2882" s="1" t="str">
        <f>"300685"</f>
        <v>300685</v>
      </c>
      <c r="B2882" s="1" t="s">
        <v>1763</v>
      </c>
      <c r="C2882" s="1" t="s">
        <v>4852</v>
      </c>
    </row>
    <row r="2883" spans="1:3" x14ac:dyDescent="0.2">
      <c r="A2883" s="1" t="str">
        <f>"300684"</f>
        <v>300684</v>
      </c>
      <c r="B2883" s="1" t="s">
        <v>718</v>
      </c>
      <c r="C2883" s="1" t="s">
        <v>4842</v>
      </c>
    </row>
    <row r="2884" spans="1:3" x14ac:dyDescent="0.2">
      <c r="A2884" s="1" t="str">
        <f>"300683"</f>
        <v>300683</v>
      </c>
      <c r="B2884" s="1" t="s">
        <v>4259</v>
      </c>
      <c r="C2884" s="1" t="s">
        <v>4852</v>
      </c>
    </row>
    <row r="2885" spans="1:3" x14ac:dyDescent="0.2">
      <c r="A2885" s="1" t="str">
        <f>"300682"</f>
        <v>300682</v>
      </c>
      <c r="B2885" s="1" t="s">
        <v>4260</v>
      </c>
      <c r="C2885" s="1" t="s">
        <v>4847</v>
      </c>
    </row>
    <row r="2886" spans="1:3" x14ac:dyDescent="0.2">
      <c r="A2886" s="1" t="str">
        <f>"300681"</f>
        <v>300681</v>
      </c>
      <c r="B2886" s="1" t="s">
        <v>1904</v>
      </c>
      <c r="C2886" s="1" t="s">
        <v>4856</v>
      </c>
    </row>
    <row r="2887" spans="1:3" x14ac:dyDescent="0.2">
      <c r="A2887" s="1" t="str">
        <f>"300680"</f>
        <v>300680</v>
      </c>
      <c r="B2887" s="1" t="s">
        <v>2008</v>
      </c>
      <c r="C2887" s="1" t="s">
        <v>4856</v>
      </c>
    </row>
    <row r="2888" spans="1:3" x14ac:dyDescent="0.2">
      <c r="A2888" s="1" t="str">
        <f>"300679"</f>
        <v>300679</v>
      </c>
      <c r="B2888" s="1" t="s">
        <v>877</v>
      </c>
      <c r="C2888" s="1" t="s">
        <v>4850</v>
      </c>
    </row>
    <row r="2889" spans="1:3" x14ac:dyDescent="0.2">
      <c r="A2889" s="1" t="str">
        <f>"300678"</f>
        <v>300678</v>
      </c>
      <c r="B2889" s="1" t="s">
        <v>568</v>
      </c>
      <c r="C2889" s="1" t="s">
        <v>4847</v>
      </c>
    </row>
    <row r="2890" spans="1:3" x14ac:dyDescent="0.2">
      <c r="A2890" s="1" t="str">
        <f>"300677"</f>
        <v>300677</v>
      </c>
      <c r="B2890" s="1" t="s">
        <v>1713</v>
      </c>
      <c r="C2890" s="1" t="s">
        <v>4867</v>
      </c>
    </row>
    <row r="2891" spans="1:3" x14ac:dyDescent="0.2">
      <c r="A2891" s="1" t="str">
        <f>"300676"</f>
        <v>300676</v>
      </c>
      <c r="B2891" s="1" t="s">
        <v>4261</v>
      </c>
      <c r="C2891" s="1" t="s">
        <v>4861</v>
      </c>
    </row>
    <row r="2892" spans="1:3" x14ac:dyDescent="0.2">
      <c r="A2892" s="1" t="str">
        <f>"300674"</f>
        <v>300674</v>
      </c>
      <c r="B2892" s="1" t="s">
        <v>569</v>
      </c>
      <c r="C2892" s="1" t="s">
        <v>4847</v>
      </c>
    </row>
    <row r="2893" spans="1:3" x14ac:dyDescent="0.2">
      <c r="A2893" s="1" t="str">
        <f>"300673"</f>
        <v>300673</v>
      </c>
      <c r="B2893" s="1" t="s">
        <v>2534</v>
      </c>
      <c r="C2893" s="1" t="s">
        <v>4885</v>
      </c>
    </row>
    <row r="2894" spans="1:3" x14ac:dyDescent="0.2">
      <c r="A2894" s="1" t="str">
        <f>"300672"</f>
        <v>300672</v>
      </c>
      <c r="B2894" s="1" t="s">
        <v>926</v>
      </c>
      <c r="C2894" s="1" t="s">
        <v>4840</v>
      </c>
    </row>
    <row r="2895" spans="1:3" x14ac:dyDescent="0.2">
      <c r="A2895" s="1" t="str">
        <f>"300671"</f>
        <v>300671</v>
      </c>
      <c r="B2895" s="1" t="s">
        <v>4262</v>
      </c>
      <c r="C2895" s="1" t="s">
        <v>4840</v>
      </c>
    </row>
    <row r="2896" spans="1:3" x14ac:dyDescent="0.2">
      <c r="A2896" s="1" t="str">
        <f>"300669"</f>
        <v>300669</v>
      </c>
      <c r="B2896" s="1" t="s">
        <v>4263</v>
      </c>
      <c r="C2896" s="1" t="s">
        <v>4845</v>
      </c>
    </row>
    <row r="2897" spans="1:3" x14ac:dyDescent="0.2">
      <c r="A2897" s="1" t="str">
        <f>"300668"</f>
        <v>300668</v>
      </c>
      <c r="B2897" s="1" t="s">
        <v>4264</v>
      </c>
      <c r="C2897" s="1" t="s">
        <v>4922</v>
      </c>
    </row>
    <row r="2898" spans="1:3" x14ac:dyDescent="0.2">
      <c r="A2898" s="1" t="str">
        <f>"300667"</f>
        <v>300667</v>
      </c>
      <c r="B2898" s="1" t="s">
        <v>4265</v>
      </c>
      <c r="C2898" s="1" t="s">
        <v>4851</v>
      </c>
    </row>
    <row r="2899" spans="1:3" x14ac:dyDescent="0.2">
      <c r="A2899" s="1" t="str">
        <f>"300666"</f>
        <v>300666</v>
      </c>
      <c r="B2899" s="1" t="s">
        <v>944</v>
      </c>
      <c r="C2899" s="1" t="s">
        <v>4840</v>
      </c>
    </row>
    <row r="2900" spans="1:3" x14ac:dyDescent="0.2">
      <c r="A2900" s="1" t="str">
        <f>"300665"</f>
        <v>300665</v>
      </c>
      <c r="B2900" s="1" t="s">
        <v>4266</v>
      </c>
      <c r="C2900" s="1" t="s">
        <v>4865</v>
      </c>
    </row>
    <row r="2901" spans="1:3" x14ac:dyDescent="0.2">
      <c r="A2901" s="1" t="str">
        <f>"300664"</f>
        <v>300664</v>
      </c>
      <c r="B2901" s="1" t="s">
        <v>56</v>
      </c>
      <c r="C2901" s="1" t="s">
        <v>4863</v>
      </c>
    </row>
    <row r="2902" spans="1:3" x14ac:dyDescent="0.2">
      <c r="A2902" s="1" t="str">
        <f>"300663"</f>
        <v>300663</v>
      </c>
      <c r="B2902" s="1" t="s">
        <v>4267</v>
      </c>
      <c r="C2902" s="1" t="s">
        <v>4847</v>
      </c>
    </row>
    <row r="2903" spans="1:3" x14ac:dyDescent="0.2">
      <c r="A2903" s="1" t="str">
        <f>"300662"</f>
        <v>300662</v>
      </c>
      <c r="B2903" s="1" t="s">
        <v>4268</v>
      </c>
      <c r="C2903" s="1" t="s">
        <v>4854</v>
      </c>
    </row>
    <row r="2904" spans="1:3" x14ac:dyDescent="0.2">
      <c r="A2904" s="1" t="str">
        <f>"300661"</f>
        <v>300661</v>
      </c>
      <c r="B2904" s="1" t="s">
        <v>927</v>
      </c>
      <c r="C2904" s="1" t="s">
        <v>4840</v>
      </c>
    </row>
    <row r="2905" spans="1:3" x14ac:dyDescent="0.2">
      <c r="A2905" s="1" t="str">
        <f>"300660"</f>
        <v>300660</v>
      </c>
      <c r="B2905" s="1" t="s">
        <v>1575</v>
      </c>
      <c r="C2905" s="1" t="s">
        <v>4919</v>
      </c>
    </row>
    <row r="2906" spans="1:3" x14ac:dyDescent="0.2">
      <c r="A2906" s="1" t="str">
        <f>"300659"</f>
        <v>300659</v>
      </c>
      <c r="B2906" s="1" t="s">
        <v>4269</v>
      </c>
      <c r="C2906" s="1" t="s">
        <v>4873</v>
      </c>
    </row>
    <row r="2907" spans="1:3" x14ac:dyDescent="0.2">
      <c r="A2907" s="1" t="str">
        <f>"300658"</f>
        <v>300658</v>
      </c>
      <c r="B2907" s="1" t="s">
        <v>2380</v>
      </c>
      <c r="C2907" s="1" t="s">
        <v>4904</v>
      </c>
    </row>
    <row r="2908" spans="1:3" x14ac:dyDescent="0.2">
      <c r="A2908" s="1" t="str">
        <f>"300657"</f>
        <v>300657</v>
      </c>
      <c r="B2908" s="1" t="s">
        <v>766</v>
      </c>
      <c r="C2908" s="1" t="s">
        <v>4872</v>
      </c>
    </row>
    <row r="2909" spans="1:3" x14ac:dyDescent="0.2">
      <c r="A2909" s="1" t="str">
        <f>"300656"</f>
        <v>300656</v>
      </c>
      <c r="B2909" s="1" t="s">
        <v>719</v>
      </c>
      <c r="C2909" s="1" t="s">
        <v>4842</v>
      </c>
    </row>
    <row r="2910" spans="1:3" x14ac:dyDescent="0.2">
      <c r="A2910" s="1" t="str">
        <f>"300655"</f>
        <v>300655</v>
      </c>
      <c r="B2910" s="1" t="s">
        <v>945</v>
      </c>
      <c r="C2910" s="1" t="s">
        <v>4840</v>
      </c>
    </row>
    <row r="2911" spans="1:3" x14ac:dyDescent="0.2">
      <c r="A2911" s="1" t="str">
        <f>"300654"</f>
        <v>300654</v>
      </c>
      <c r="B2911" s="1" t="s">
        <v>459</v>
      </c>
      <c r="C2911" s="1" t="s">
        <v>4890</v>
      </c>
    </row>
    <row r="2912" spans="1:3" x14ac:dyDescent="0.2">
      <c r="A2912" s="1" t="str">
        <f>"300653"</f>
        <v>300653</v>
      </c>
      <c r="B2912" s="1" t="s">
        <v>1714</v>
      </c>
      <c r="C2912" s="1" t="s">
        <v>4867</v>
      </c>
    </row>
    <row r="2913" spans="1:3" x14ac:dyDescent="0.2">
      <c r="A2913" s="1" t="str">
        <f>"300652"</f>
        <v>300652</v>
      </c>
      <c r="B2913" s="1" t="s">
        <v>1958</v>
      </c>
      <c r="C2913" s="1" t="s">
        <v>4856</v>
      </c>
    </row>
    <row r="2914" spans="1:3" x14ac:dyDescent="0.2">
      <c r="A2914" s="1" t="str">
        <f>"300651"</f>
        <v>300651</v>
      </c>
      <c r="B2914" s="1" t="s">
        <v>4270</v>
      </c>
      <c r="C2914" s="1" t="s">
        <v>4964</v>
      </c>
    </row>
    <row r="2915" spans="1:3" x14ac:dyDescent="0.2">
      <c r="A2915" s="1" t="str">
        <f>"300650"</f>
        <v>300650</v>
      </c>
      <c r="B2915" s="1" t="s">
        <v>720</v>
      </c>
      <c r="C2915" s="1" t="s">
        <v>4842</v>
      </c>
    </row>
    <row r="2916" spans="1:3" x14ac:dyDescent="0.2">
      <c r="A2916" s="1" t="str">
        <f>"300649"</f>
        <v>300649</v>
      </c>
      <c r="B2916" s="1" t="s">
        <v>4271</v>
      </c>
      <c r="C2916" s="1" t="s">
        <v>4898</v>
      </c>
    </row>
    <row r="2917" spans="1:3" x14ac:dyDescent="0.2">
      <c r="A2917" s="1" t="str">
        <f>"300648"</f>
        <v>300648</v>
      </c>
      <c r="B2917" s="1" t="s">
        <v>4272</v>
      </c>
      <c r="C2917" s="1" t="s">
        <v>4841</v>
      </c>
    </row>
    <row r="2918" spans="1:3" x14ac:dyDescent="0.2">
      <c r="A2918" s="1" t="str">
        <f>"300647"</f>
        <v>300647</v>
      </c>
      <c r="B2918" s="1" t="s">
        <v>4273</v>
      </c>
      <c r="C2918" s="1" t="s">
        <v>4841</v>
      </c>
    </row>
    <row r="2919" spans="1:3" x14ac:dyDescent="0.2">
      <c r="A2919" s="1" t="str">
        <f>"300645"</f>
        <v>300645</v>
      </c>
      <c r="B2919" s="1" t="s">
        <v>4274</v>
      </c>
      <c r="C2919" s="1" t="s">
        <v>4847</v>
      </c>
    </row>
    <row r="2920" spans="1:3" x14ac:dyDescent="0.2">
      <c r="A2920" s="1" t="str">
        <f>"300644"</f>
        <v>300644</v>
      </c>
      <c r="B2920" s="1" t="s">
        <v>2866</v>
      </c>
      <c r="C2920" s="1" t="s">
        <v>4860</v>
      </c>
    </row>
    <row r="2921" spans="1:3" x14ac:dyDescent="0.2">
      <c r="A2921" s="1" t="str">
        <f>"300643"</f>
        <v>300643</v>
      </c>
      <c r="B2921" s="1" t="s">
        <v>1938</v>
      </c>
      <c r="C2921" s="1" t="s">
        <v>4856</v>
      </c>
    </row>
    <row r="2922" spans="1:3" x14ac:dyDescent="0.2">
      <c r="A2922" s="1" t="str">
        <f>"300642"</f>
        <v>300642</v>
      </c>
      <c r="B2922" s="1" t="s">
        <v>4275</v>
      </c>
      <c r="C2922" s="1" t="s">
        <v>4852</v>
      </c>
    </row>
    <row r="2923" spans="1:3" x14ac:dyDescent="0.2">
      <c r="A2923" s="1" t="str">
        <f>"300641"</f>
        <v>300641</v>
      </c>
      <c r="B2923" s="1" t="s">
        <v>3014</v>
      </c>
      <c r="C2923" s="1" t="s">
        <v>4853</v>
      </c>
    </row>
    <row r="2924" spans="1:3" x14ac:dyDescent="0.2">
      <c r="A2924" s="1" t="str">
        <f>"300640"</f>
        <v>300640</v>
      </c>
      <c r="B2924" s="1" t="s">
        <v>2223</v>
      </c>
      <c r="C2924" s="1" t="s">
        <v>4902</v>
      </c>
    </row>
    <row r="2925" spans="1:3" x14ac:dyDescent="0.2">
      <c r="A2925" s="1" t="str">
        <f>"300639"</f>
        <v>300639</v>
      </c>
      <c r="B2925" s="1" t="s">
        <v>4276</v>
      </c>
      <c r="C2925" s="1" t="s">
        <v>4852</v>
      </c>
    </row>
    <row r="2926" spans="1:3" x14ac:dyDescent="0.2">
      <c r="A2926" s="1" t="str">
        <f>"300638"</f>
        <v>300638</v>
      </c>
      <c r="B2926" s="1" t="s">
        <v>672</v>
      </c>
      <c r="C2926" s="1" t="s">
        <v>4869</v>
      </c>
    </row>
    <row r="2927" spans="1:3" x14ac:dyDescent="0.2">
      <c r="A2927" s="1" t="str">
        <f>"300637"</f>
        <v>300637</v>
      </c>
      <c r="B2927" s="1" t="s">
        <v>2910</v>
      </c>
      <c r="C2927" s="1" t="s">
        <v>4865</v>
      </c>
    </row>
    <row r="2928" spans="1:3" x14ac:dyDescent="0.2">
      <c r="A2928" s="1" t="str">
        <f>"300636"</f>
        <v>300636</v>
      </c>
      <c r="B2928" s="1" t="s">
        <v>1796</v>
      </c>
      <c r="C2928" s="1" t="s">
        <v>4843</v>
      </c>
    </row>
    <row r="2929" spans="1:3" x14ac:dyDescent="0.2">
      <c r="A2929" s="1" t="str">
        <f>"300635"</f>
        <v>300635</v>
      </c>
      <c r="B2929" s="1" t="s">
        <v>4277</v>
      </c>
      <c r="C2929" s="1" t="s">
        <v>4922</v>
      </c>
    </row>
    <row r="2930" spans="1:3" x14ac:dyDescent="0.2">
      <c r="A2930" s="1" t="str">
        <f>"300634"</f>
        <v>300634</v>
      </c>
      <c r="B2930" s="1" t="s">
        <v>570</v>
      </c>
      <c r="C2930" s="1" t="s">
        <v>4847</v>
      </c>
    </row>
    <row r="2931" spans="1:3" x14ac:dyDescent="0.2">
      <c r="A2931" s="1" t="str">
        <f>"300633"</f>
        <v>300633</v>
      </c>
      <c r="B2931" s="1" t="s">
        <v>1732</v>
      </c>
      <c r="C2931" s="1" t="s">
        <v>4867</v>
      </c>
    </row>
    <row r="2932" spans="1:3" x14ac:dyDescent="0.2">
      <c r="A2932" s="1" t="str">
        <f>"300632"</f>
        <v>300632</v>
      </c>
      <c r="B2932" s="1" t="s">
        <v>789</v>
      </c>
      <c r="C2932" s="1" t="s">
        <v>4878</v>
      </c>
    </row>
    <row r="2933" spans="1:3" x14ac:dyDescent="0.2">
      <c r="A2933" s="1" t="str">
        <f>"300631"</f>
        <v>300631</v>
      </c>
      <c r="B2933" s="1" t="s">
        <v>76</v>
      </c>
      <c r="C2933" s="1" t="s">
        <v>4871</v>
      </c>
    </row>
    <row r="2934" spans="1:3" x14ac:dyDescent="0.2">
      <c r="A2934" s="1" t="str">
        <f>"300629"</f>
        <v>300629</v>
      </c>
      <c r="B2934" s="1" t="s">
        <v>4278</v>
      </c>
      <c r="C2934" s="1" t="s">
        <v>4846</v>
      </c>
    </row>
    <row r="2935" spans="1:3" x14ac:dyDescent="0.2">
      <c r="A2935" s="1" t="str">
        <f>"300628"</f>
        <v>300628</v>
      </c>
      <c r="B2935" s="1" t="s">
        <v>673</v>
      </c>
      <c r="C2935" s="1" t="s">
        <v>4869</v>
      </c>
    </row>
    <row r="2936" spans="1:3" x14ac:dyDescent="0.2">
      <c r="A2936" s="1" t="str">
        <f>"300627"</f>
        <v>300627</v>
      </c>
      <c r="B2936" s="1" t="s">
        <v>658</v>
      </c>
      <c r="C2936" s="1" t="s">
        <v>4869</v>
      </c>
    </row>
    <row r="2937" spans="1:3" x14ac:dyDescent="0.2">
      <c r="A2937" s="1" t="str">
        <f>"300626"</f>
        <v>300626</v>
      </c>
      <c r="B2937" s="1" t="s">
        <v>1576</v>
      </c>
      <c r="C2937" s="1" t="s">
        <v>4919</v>
      </c>
    </row>
    <row r="2938" spans="1:3" x14ac:dyDescent="0.2">
      <c r="A2938" s="1" t="str">
        <f>"300625"</f>
        <v>300625</v>
      </c>
      <c r="B2938" s="1" t="s">
        <v>4279</v>
      </c>
      <c r="C2938" s="1" t="s">
        <v>4878</v>
      </c>
    </row>
    <row r="2939" spans="1:3" x14ac:dyDescent="0.2">
      <c r="A2939" s="1" t="str">
        <f>"300624"</f>
        <v>300624</v>
      </c>
      <c r="B2939" s="1" t="s">
        <v>4280</v>
      </c>
      <c r="C2939" s="1" t="s">
        <v>4847</v>
      </c>
    </row>
    <row r="2940" spans="1:3" x14ac:dyDescent="0.2">
      <c r="A2940" s="1" t="str">
        <f>"300623"</f>
        <v>300623</v>
      </c>
      <c r="B2940" s="1" t="s">
        <v>914</v>
      </c>
      <c r="C2940" s="1" t="s">
        <v>4840</v>
      </c>
    </row>
    <row r="2941" spans="1:3" x14ac:dyDescent="0.2">
      <c r="A2941" s="1" t="str">
        <f>"300622"</f>
        <v>300622</v>
      </c>
      <c r="B2941" s="1" t="s">
        <v>2116</v>
      </c>
      <c r="C2941" s="1" t="s">
        <v>4939</v>
      </c>
    </row>
    <row r="2942" spans="1:3" x14ac:dyDescent="0.2">
      <c r="A2942" s="1" t="str">
        <f>"300621"</f>
        <v>300621</v>
      </c>
      <c r="B2942" s="1" t="s">
        <v>4281</v>
      </c>
      <c r="C2942" s="1" t="s">
        <v>4901</v>
      </c>
    </row>
    <row r="2943" spans="1:3" x14ac:dyDescent="0.2">
      <c r="A2943" s="1" t="str">
        <f>"300620"</f>
        <v>300620</v>
      </c>
      <c r="B2943" s="1" t="s">
        <v>685</v>
      </c>
      <c r="C2943" s="1" t="s">
        <v>4869</v>
      </c>
    </row>
    <row r="2944" spans="1:3" x14ac:dyDescent="0.2">
      <c r="A2944" s="1" t="str">
        <f>"300619"</f>
        <v>300619</v>
      </c>
      <c r="B2944" s="1" t="s">
        <v>4282</v>
      </c>
      <c r="C2944" s="1" t="s">
        <v>4841</v>
      </c>
    </row>
    <row r="2945" spans="1:3" x14ac:dyDescent="0.2">
      <c r="A2945" s="1" t="str">
        <f>"300618"</f>
        <v>300618</v>
      </c>
      <c r="B2945" s="1" t="s">
        <v>2664</v>
      </c>
      <c r="C2945" s="1" t="s">
        <v>4894</v>
      </c>
    </row>
    <row r="2946" spans="1:3" x14ac:dyDescent="0.2">
      <c r="A2946" s="1" t="str">
        <f>"300617"</f>
        <v>300617</v>
      </c>
      <c r="B2946" s="1" t="s">
        <v>1438</v>
      </c>
      <c r="C2946" s="1" t="s">
        <v>4866</v>
      </c>
    </row>
    <row r="2947" spans="1:3" x14ac:dyDescent="0.2">
      <c r="A2947" s="1" t="str">
        <f>"300616"</f>
        <v>300616</v>
      </c>
      <c r="B2947" s="1" t="s">
        <v>4283</v>
      </c>
      <c r="C2947" s="1" t="s">
        <v>4902</v>
      </c>
    </row>
    <row r="2948" spans="1:3" x14ac:dyDescent="0.2">
      <c r="A2948" s="1" t="str">
        <f>"300615"</f>
        <v>300615</v>
      </c>
      <c r="B2948" s="1" t="s">
        <v>4284</v>
      </c>
      <c r="C2948" s="1" t="s">
        <v>4869</v>
      </c>
    </row>
    <row r="2949" spans="1:3" x14ac:dyDescent="0.2">
      <c r="A2949" s="1" t="str">
        <f>"300614"</f>
        <v>300614</v>
      </c>
      <c r="B2949" s="1" t="s">
        <v>4285</v>
      </c>
      <c r="C2949" s="1" t="s">
        <v>4863</v>
      </c>
    </row>
    <row r="2950" spans="1:3" x14ac:dyDescent="0.2">
      <c r="A2950" s="1" t="str">
        <f>"300613"</f>
        <v>300613</v>
      </c>
      <c r="B2950" s="1" t="s">
        <v>4286</v>
      </c>
      <c r="C2950" s="1" t="s">
        <v>4840</v>
      </c>
    </row>
    <row r="2951" spans="1:3" x14ac:dyDescent="0.2">
      <c r="A2951" s="1" t="str">
        <f>"300612"</f>
        <v>300612</v>
      </c>
      <c r="B2951" s="1" t="s">
        <v>4287</v>
      </c>
      <c r="C2951" s="1" t="s">
        <v>4907</v>
      </c>
    </row>
    <row r="2952" spans="1:3" x14ac:dyDescent="0.2">
      <c r="A2952" s="1" t="str">
        <f>"300611"</f>
        <v>300611</v>
      </c>
      <c r="B2952" s="1" t="s">
        <v>1939</v>
      </c>
      <c r="C2952" s="1" t="s">
        <v>4856</v>
      </c>
    </row>
    <row r="2953" spans="1:3" x14ac:dyDescent="0.2">
      <c r="A2953" s="1" t="str">
        <f>"300610"</f>
        <v>300610</v>
      </c>
      <c r="B2953" s="1" t="s">
        <v>2911</v>
      </c>
      <c r="C2953" s="1" t="s">
        <v>4865</v>
      </c>
    </row>
    <row r="2954" spans="1:3" x14ac:dyDescent="0.2">
      <c r="A2954" s="1" t="str">
        <f>"300609"</f>
        <v>300609</v>
      </c>
      <c r="B2954" s="1" t="s">
        <v>4288</v>
      </c>
      <c r="C2954" s="1" t="s">
        <v>4847</v>
      </c>
    </row>
    <row r="2955" spans="1:3" x14ac:dyDescent="0.2">
      <c r="A2955" s="1" t="str">
        <f>"300608"</f>
        <v>300608</v>
      </c>
      <c r="B2955" s="1" t="s">
        <v>4289</v>
      </c>
      <c r="C2955" s="1" t="s">
        <v>4847</v>
      </c>
    </row>
    <row r="2956" spans="1:3" x14ac:dyDescent="0.2">
      <c r="A2956" s="1" t="str">
        <f>"300607"</f>
        <v>300607</v>
      </c>
      <c r="B2956" s="1" t="s">
        <v>989</v>
      </c>
      <c r="C2956" s="1" t="s">
        <v>4849</v>
      </c>
    </row>
    <row r="2957" spans="1:3" x14ac:dyDescent="0.2">
      <c r="A2957" s="1" t="str">
        <f>"300606"</f>
        <v>300606</v>
      </c>
      <c r="B2957" s="1" t="s">
        <v>1169</v>
      </c>
      <c r="C2957" s="1" t="s">
        <v>4851</v>
      </c>
    </row>
    <row r="2958" spans="1:3" x14ac:dyDescent="0.2">
      <c r="A2958" s="1" t="str">
        <f>"300605"</f>
        <v>300605</v>
      </c>
      <c r="B2958" s="1" t="s">
        <v>4290</v>
      </c>
      <c r="C2958" s="1" t="s">
        <v>4847</v>
      </c>
    </row>
    <row r="2959" spans="1:3" x14ac:dyDescent="0.2">
      <c r="A2959" s="1" t="str">
        <f>"300604"</f>
        <v>300604</v>
      </c>
      <c r="B2959" s="1" t="s">
        <v>936</v>
      </c>
      <c r="C2959" s="1" t="s">
        <v>4840</v>
      </c>
    </row>
    <row r="2960" spans="1:3" x14ac:dyDescent="0.2">
      <c r="A2960" s="1" t="str">
        <f>"300603"</f>
        <v>300603</v>
      </c>
      <c r="B2960" s="1" t="s">
        <v>4291</v>
      </c>
      <c r="C2960" s="1" t="s">
        <v>4874</v>
      </c>
    </row>
    <row r="2961" spans="1:3" x14ac:dyDescent="0.2">
      <c r="A2961" s="1" t="str">
        <f>"300602"</f>
        <v>300602</v>
      </c>
      <c r="B2961" s="1" t="s">
        <v>878</v>
      </c>
      <c r="C2961" s="1" t="s">
        <v>4850</v>
      </c>
    </row>
    <row r="2962" spans="1:3" x14ac:dyDescent="0.2">
      <c r="A2962" s="1" t="str">
        <f>"300601"</f>
        <v>300601</v>
      </c>
      <c r="B2962" s="1" t="s">
        <v>1772</v>
      </c>
      <c r="C2962" s="1" t="s">
        <v>4852</v>
      </c>
    </row>
    <row r="2963" spans="1:3" x14ac:dyDescent="0.2">
      <c r="A2963" s="1" t="str">
        <f>"300600"</f>
        <v>300600</v>
      </c>
      <c r="B2963" s="1" t="s">
        <v>4292</v>
      </c>
      <c r="C2963" s="1" t="s">
        <v>4946</v>
      </c>
    </row>
    <row r="2964" spans="1:3" x14ac:dyDescent="0.2">
      <c r="A2964" s="1" t="str">
        <f>"300599"</f>
        <v>300599</v>
      </c>
      <c r="B2964" s="1" t="s">
        <v>2598</v>
      </c>
      <c r="C2964" s="1" t="s">
        <v>4886</v>
      </c>
    </row>
    <row r="2965" spans="1:3" x14ac:dyDescent="0.2">
      <c r="A2965" s="1" t="str">
        <f>"300598"</f>
        <v>300598</v>
      </c>
      <c r="B2965" s="1" t="s">
        <v>4293</v>
      </c>
      <c r="C2965" s="1" t="s">
        <v>4847</v>
      </c>
    </row>
    <row r="2966" spans="1:3" x14ac:dyDescent="0.2">
      <c r="A2966" s="1" t="str">
        <f>"300597"</f>
        <v>300597</v>
      </c>
      <c r="B2966" s="1" t="s">
        <v>4294</v>
      </c>
      <c r="C2966" s="1" t="s">
        <v>4932</v>
      </c>
    </row>
    <row r="2967" spans="1:3" x14ac:dyDescent="0.2">
      <c r="A2967" s="1" t="str">
        <f>"300596"</f>
        <v>300596</v>
      </c>
      <c r="B2967" s="1" t="s">
        <v>2852</v>
      </c>
      <c r="C2967" s="1" t="s">
        <v>4860</v>
      </c>
    </row>
    <row r="2968" spans="1:3" x14ac:dyDescent="0.2">
      <c r="A2968" s="1" t="str">
        <f>"300595"</f>
        <v>300595</v>
      </c>
      <c r="B2968" s="1" t="s">
        <v>1715</v>
      </c>
      <c r="C2968" s="1" t="s">
        <v>4867</v>
      </c>
    </row>
    <row r="2969" spans="1:3" x14ac:dyDescent="0.2">
      <c r="A2969" s="1" t="str">
        <f>"300594"</f>
        <v>300594</v>
      </c>
      <c r="B2969" s="1" t="s">
        <v>4295</v>
      </c>
      <c r="C2969" s="1" t="s">
        <v>4875</v>
      </c>
    </row>
    <row r="2970" spans="1:3" x14ac:dyDescent="0.2">
      <c r="A2970" s="1" t="str">
        <f>"300593"</f>
        <v>300593</v>
      </c>
      <c r="B2970" s="1" t="s">
        <v>4296</v>
      </c>
      <c r="C2970" s="1" t="s">
        <v>4859</v>
      </c>
    </row>
    <row r="2971" spans="1:3" x14ac:dyDescent="0.2">
      <c r="A2971" s="1" t="str">
        <f>"300592"</f>
        <v>300592</v>
      </c>
      <c r="B2971" s="1" t="s">
        <v>4297</v>
      </c>
      <c r="C2971" s="1" t="s">
        <v>4910</v>
      </c>
    </row>
    <row r="2972" spans="1:3" x14ac:dyDescent="0.2">
      <c r="A2972" s="1" t="str">
        <f>"300591"</f>
        <v>300591</v>
      </c>
      <c r="B2972" s="1" t="s">
        <v>4298</v>
      </c>
      <c r="C2972" s="1" t="s">
        <v>4909</v>
      </c>
    </row>
    <row r="2973" spans="1:3" x14ac:dyDescent="0.2">
      <c r="A2973" s="1" t="str">
        <f>"300590"</f>
        <v>300590</v>
      </c>
      <c r="B2973" s="1" t="s">
        <v>674</v>
      </c>
      <c r="C2973" s="1" t="s">
        <v>4869</v>
      </c>
    </row>
    <row r="2974" spans="1:3" x14ac:dyDescent="0.2">
      <c r="A2974" s="1" t="str">
        <f>"300589"</f>
        <v>300589</v>
      </c>
      <c r="B2974" s="1" t="s">
        <v>4299</v>
      </c>
      <c r="C2974" s="1" t="s">
        <v>4946</v>
      </c>
    </row>
    <row r="2975" spans="1:3" x14ac:dyDescent="0.2">
      <c r="A2975" s="1" t="str">
        <f>"300588"</f>
        <v>300588</v>
      </c>
      <c r="B2975" s="1" t="s">
        <v>4300</v>
      </c>
      <c r="C2975" s="1" t="s">
        <v>4873</v>
      </c>
    </row>
    <row r="2976" spans="1:3" x14ac:dyDescent="0.2">
      <c r="A2976" s="1" t="str">
        <f>"300587"</f>
        <v>300587</v>
      </c>
      <c r="B2976" s="1" t="s">
        <v>2826</v>
      </c>
      <c r="C2976" s="1" t="s">
        <v>4906</v>
      </c>
    </row>
    <row r="2977" spans="1:3" x14ac:dyDescent="0.2">
      <c r="A2977" s="1" t="str">
        <f>"300586"</f>
        <v>300586</v>
      </c>
      <c r="B2977" s="1" t="s">
        <v>2853</v>
      </c>
      <c r="C2977" s="1" t="s">
        <v>4860</v>
      </c>
    </row>
    <row r="2978" spans="1:3" x14ac:dyDescent="0.2">
      <c r="A2978" s="1" t="str">
        <f>"300585"</f>
        <v>300585</v>
      </c>
      <c r="B2978" s="1" t="s">
        <v>4301</v>
      </c>
      <c r="C2978" s="1" t="s">
        <v>4856</v>
      </c>
    </row>
    <row r="2979" spans="1:3" x14ac:dyDescent="0.2">
      <c r="A2979" s="1" t="str">
        <f>"300584"</f>
        <v>300584</v>
      </c>
      <c r="B2979" s="1" t="s">
        <v>1833</v>
      </c>
      <c r="C2979" s="1" t="s">
        <v>4843</v>
      </c>
    </row>
    <row r="2980" spans="1:3" x14ac:dyDescent="0.2">
      <c r="A2980" s="1" t="str">
        <f>"300583"</f>
        <v>300583</v>
      </c>
      <c r="B2980" s="1" t="s">
        <v>4302</v>
      </c>
      <c r="C2980" s="1" t="s">
        <v>4843</v>
      </c>
    </row>
    <row r="2981" spans="1:3" x14ac:dyDescent="0.2">
      <c r="A2981" s="1" t="str">
        <f>"300582"</f>
        <v>300582</v>
      </c>
      <c r="B2981" s="1" t="s">
        <v>790</v>
      </c>
      <c r="C2981" s="1" t="s">
        <v>4878</v>
      </c>
    </row>
    <row r="2982" spans="1:3" x14ac:dyDescent="0.2">
      <c r="A2982" s="1" t="str">
        <f>"300581"</f>
        <v>300581</v>
      </c>
      <c r="B2982" s="1" t="s">
        <v>4303</v>
      </c>
      <c r="C2982" s="1" t="s">
        <v>4862</v>
      </c>
    </row>
    <row r="2983" spans="1:3" x14ac:dyDescent="0.2">
      <c r="A2983" s="1" t="str">
        <f>"300580"</f>
        <v>300580</v>
      </c>
      <c r="B2983" s="1" t="s">
        <v>2009</v>
      </c>
      <c r="C2983" s="1" t="s">
        <v>4856</v>
      </c>
    </row>
    <row r="2984" spans="1:3" x14ac:dyDescent="0.2">
      <c r="A2984" s="1" t="str">
        <f>"300579"</f>
        <v>300579</v>
      </c>
      <c r="B2984" s="1" t="s">
        <v>4304</v>
      </c>
      <c r="C2984" s="1" t="s">
        <v>4847</v>
      </c>
    </row>
    <row r="2985" spans="1:3" x14ac:dyDescent="0.2">
      <c r="A2985" s="1" t="str">
        <f>"300578"</f>
        <v>300578</v>
      </c>
      <c r="B2985" s="1" t="s">
        <v>649</v>
      </c>
      <c r="C2985" s="1" t="s">
        <v>4954</v>
      </c>
    </row>
    <row r="2986" spans="1:3" x14ac:dyDescent="0.2">
      <c r="A2986" s="1" t="str">
        <f>"300577"</f>
        <v>300577</v>
      </c>
      <c r="B2986" s="1" t="s">
        <v>2381</v>
      </c>
      <c r="C2986" s="1" t="s">
        <v>4904</v>
      </c>
    </row>
    <row r="2987" spans="1:3" x14ac:dyDescent="0.2">
      <c r="A2987" s="1" t="str">
        <f>"300576"</f>
        <v>300576</v>
      </c>
      <c r="B2987" s="1" t="s">
        <v>946</v>
      </c>
      <c r="C2987" s="1" t="s">
        <v>4840</v>
      </c>
    </row>
    <row r="2988" spans="1:3" x14ac:dyDescent="0.2">
      <c r="A2988" s="1" t="str">
        <f>"300575"</f>
        <v>300575</v>
      </c>
      <c r="B2988" s="1" t="s">
        <v>4305</v>
      </c>
      <c r="C2988" s="1" t="s">
        <v>4915</v>
      </c>
    </row>
    <row r="2989" spans="1:3" x14ac:dyDescent="0.2">
      <c r="A2989" s="1" t="str">
        <f>"300573"</f>
        <v>300573</v>
      </c>
      <c r="B2989" s="1" t="s">
        <v>1834</v>
      </c>
      <c r="C2989" s="1" t="s">
        <v>4843</v>
      </c>
    </row>
    <row r="2990" spans="1:3" x14ac:dyDescent="0.2">
      <c r="A2990" s="1" t="str">
        <f>"300572"</f>
        <v>300572</v>
      </c>
      <c r="B2990" s="1" t="s">
        <v>4306</v>
      </c>
      <c r="C2990" s="1" t="s">
        <v>4854</v>
      </c>
    </row>
    <row r="2991" spans="1:3" x14ac:dyDescent="0.2">
      <c r="A2991" s="1" t="str">
        <f>"300571"</f>
        <v>300571</v>
      </c>
      <c r="B2991" s="1" t="s">
        <v>464</v>
      </c>
      <c r="C2991" s="1" t="s">
        <v>4923</v>
      </c>
    </row>
    <row r="2992" spans="1:3" x14ac:dyDescent="0.2">
      <c r="A2992" s="1" t="str">
        <f>"300570"</f>
        <v>300570</v>
      </c>
      <c r="B2992" s="1" t="s">
        <v>686</v>
      </c>
      <c r="C2992" s="1" t="s">
        <v>4869</v>
      </c>
    </row>
    <row r="2993" spans="1:3" x14ac:dyDescent="0.2">
      <c r="A2993" s="1" t="str">
        <f>"300569"</f>
        <v>300569</v>
      </c>
      <c r="B2993" s="1" t="s">
        <v>1392</v>
      </c>
      <c r="C2993" s="1" t="s">
        <v>4870</v>
      </c>
    </row>
    <row r="2994" spans="1:3" x14ac:dyDescent="0.2">
      <c r="A2994" s="1" t="str">
        <f>"300568"</f>
        <v>300568</v>
      </c>
      <c r="B2994" s="1" t="s">
        <v>1536</v>
      </c>
      <c r="C2994" s="1" t="s">
        <v>4841</v>
      </c>
    </row>
    <row r="2995" spans="1:3" x14ac:dyDescent="0.2">
      <c r="A2995" s="1" t="str">
        <f>"300567"</f>
        <v>300567</v>
      </c>
      <c r="B2995" s="1" t="s">
        <v>1275</v>
      </c>
      <c r="C2995" s="1" t="s">
        <v>4851</v>
      </c>
    </row>
    <row r="2996" spans="1:3" x14ac:dyDescent="0.2">
      <c r="A2996" s="1" t="str">
        <f>"300566"</f>
        <v>300566</v>
      </c>
      <c r="B2996" s="1" t="s">
        <v>816</v>
      </c>
      <c r="C2996" s="1" t="s">
        <v>4878</v>
      </c>
    </row>
    <row r="2997" spans="1:3" x14ac:dyDescent="0.2">
      <c r="A2997" s="1" t="str">
        <f>"300565"</f>
        <v>300565</v>
      </c>
      <c r="B2997" s="1" t="s">
        <v>4307</v>
      </c>
      <c r="C2997" s="1" t="s">
        <v>4869</v>
      </c>
    </row>
    <row r="2998" spans="1:3" x14ac:dyDescent="0.2">
      <c r="A2998" s="1" t="str">
        <f>"300563"</f>
        <v>300563</v>
      </c>
      <c r="B2998" s="1" t="s">
        <v>699</v>
      </c>
      <c r="C2998" s="1" t="s">
        <v>4869</v>
      </c>
    </row>
    <row r="2999" spans="1:3" x14ac:dyDescent="0.2">
      <c r="A2999" s="1" t="str">
        <f>"300562"</f>
        <v>300562</v>
      </c>
      <c r="B2999" s="1" t="s">
        <v>1739</v>
      </c>
      <c r="C2999" s="1" t="s">
        <v>4867</v>
      </c>
    </row>
    <row r="3000" spans="1:3" x14ac:dyDescent="0.2">
      <c r="A3000" s="1" t="str">
        <f>"300560"</f>
        <v>300560</v>
      </c>
      <c r="B3000" s="1" t="s">
        <v>639</v>
      </c>
      <c r="C3000" s="1" t="s">
        <v>4932</v>
      </c>
    </row>
    <row r="3001" spans="1:3" x14ac:dyDescent="0.2">
      <c r="A3001" s="1" t="str">
        <f>"300559"</f>
        <v>300559</v>
      </c>
      <c r="B3001" s="1" t="s">
        <v>4308</v>
      </c>
      <c r="C3001" s="1" t="s">
        <v>4847</v>
      </c>
    </row>
    <row r="3002" spans="1:3" x14ac:dyDescent="0.2">
      <c r="A3002" s="1" t="str">
        <f>"300558"</f>
        <v>300558</v>
      </c>
      <c r="B3002" s="1" t="s">
        <v>1835</v>
      </c>
      <c r="C3002" s="1" t="s">
        <v>4843</v>
      </c>
    </row>
    <row r="3003" spans="1:3" x14ac:dyDescent="0.2">
      <c r="A3003" s="1" t="str">
        <f>"300557"</f>
        <v>300557</v>
      </c>
      <c r="B3003" s="1" t="s">
        <v>1276</v>
      </c>
      <c r="C3003" s="1" t="s">
        <v>4851</v>
      </c>
    </row>
    <row r="3004" spans="1:3" x14ac:dyDescent="0.2">
      <c r="A3004" s="1" t="str">
        <f>"300556"</f>
        <v>300556</v>
      </c>
      <c r="B3004" s="1" t="s">
        <v>4309</v>
      </c>
      <c r="C3004" s="1" t="s">
        <v>4847</v>
      </c>
    </row>
    <row r="3005" spans="1:3" x14ac:dyDescent="0.2">
      <c r="A3005" s="1" t="str">
        <f>"300554"</f>
        <v>300554</v>
      </c>
      <c r="B3005" s="1" t="s">
        <v>4310</v>
      </c>
      <c r="C3005" s="1" t="s">
        <v>4851</v>
      </c>
    </row>
    <row r="3006" spans="1:3" x14ac:dyDescent="0.2">
      <c r="A3006" s="1" t="str">
        <f>"300553"</f>
        <v>300553</v>
      </c>
      <c r="B3006" s="1" t="s">
        <v>1277</v>
      </c>
      <c r="C3006" s="1" t="s">
        <v>4851</v>
      </c>
    </row>
    <row r="3007" spans="1:3" x14ac:dyDescent="0.2">
      <c r="A3007" s="1" t="str">
        <f>"300552"</f>
        <v>300552</v>
      </c>
      <c r="B3007" s="1" t="s">
        <v>4311</v>
      </c>
      <c r="C3007" s="1" t="s">
        <v>4873</v>
      </c>
    </row>
    <row r="3008" spans="1:3" x14ac:dyDescent="0.2">
      <c r="A3008" s="1" t="str">
        <f>"300551"</f>
        <v>300551</v>
      </c>
      <c r="B3008" s="1" t="s">
        <v>4312</v>
      </c>
      <c r="C3008" s="1" t="s">
        <v>4847</v>
      </c>
    </row>
    <row r="3009" spans="1:3" x14ac:dyDescent="0.2">
      <c r="A3009" s="1" t="str">
        <f>"300550"</f>
        <v>300550</v>
      </c>
      <c r="B3009" s="1" t="s">
        <v>4313</v>
      </c>
      <c r="C3009" s="1" t="s">
        <v>4847</v>
      </c>
    </row>
    <row r="3010" spans="1:3" x14ac:dyDescent="0.2">
      <c r="A3010" s="1" t="str">
        <f>"300549"</f>
        <v>300549</v>
      </c>
      <c r="B3010" s="1" t="s">
        <v>1052</v>
      </c>
      <c r="C3010" s="1" t="s">
        <v>4845</v>
      </c>
    </row>
    <row r="3011" spans="1:3" x14ac:dyDescent="0.2">
      <c r="A3011" s="1" t="str">
        <f>"300548"</f>
        <v>300548</v>
      </c>
      <c r="B3011" s="1" t="s">
        <v>4314</v>
      </c>
      <c r="C3011" s="1" t="s">
        <v>4869</v>
      </c>
    </row>
    <row r="3012" spans="1:3" x14ac:dyDescent="0.2">
      <c r="A3012" s="1" t="str">
        <f>"300547"</f>
        <v>300547</v>
      </c>
      <c r="B3012" s="1" t="s">
        <v>2010</v>
      </c>
      <c r="C3012" s="1" t="s">
        <v>4856</v>
      </c>
    </row>
    <row r="3013" spans="1:3" x14ac:dyDescent="0.2">
      <c r="A3013" s="1" t="str">
        <f>"300546"</f>
        <v>300546</v>
      </c>
      <c r="B3013" s="1" t="s">
        <v>4315</v>
      </c>
      <c r="C3013" s="1" t="s">
        <v>4873</v>
      </c>
    </row>
    <row r="3014" spans="1:3" x14ac:dyDescent="0.2">
      <c r="A3014" s="1" t="str">
        <f>"300545"</f>
        <v>300545</v>
      </c>
      <c r="B3014" s="1" t="s">
        <v>1053</v>
      </c>
      <c r="C3014" s="1" t="s">
        <v>4845</v>
      </c>
    </row>
    <row r="3015" spans="1:3" x14ac:dyDescent="0.2">
      <c r="A3015" s="1" t="str">
        <f>"300543"</f>
        <v>300543</v>
      </c>
      <c r="B3015" s="1" t="s">
        <v>721</v>
      </c>
      <c r="C3015" s="1" t="s">
        <v>4842</v>
      </c>
    </row>
    <row r="3016" spans="1:3" x14ac:dyDescent="0.2">
      <c r="A3016" s="1" t="str">
        <f>"300542"</f>
        <v>300542</v>
      </c>
      <c r="B3016" s="1" t="s">
        <v>4316</v>
      </c>
      <c r="C3016" s="1" t="s">
        <v>4847</v>
      </c>
    </row>
    <row r="3017" spans="1:3" x14ac:dyDescent="0.2">
      <c r="A3017" s="1" t="str">
        <f>"300541"</f>
        <v>300541</v>
      </c>
      <c r="B3017" s="1" t="s">
        <v>571</v>
      </c>
      <c r="C3017" s="1" t="s">
        <v>4847</v>
      </c>
    </row>
    <row r="3018" spans="1:3" x14ac:dyDescent="0.2">
      <c r="A3018" s="1" t="str">
        <f>"300540"</f>
        <v>300540</v>
      </c>
      <c r="B3018" s="1" t="s">
        <v>4317</v>
      </c>
      <c r="C3018" s="1" t="s">
        <v>4845</v>
      </c>
    </row>
    <row r="3019" spans="1:3" x14ac:dyDescent="0.2">
      <c r="A3019" s="1" t="str">
        <f>"300539"</f>
        <v>300539</v>
      </c>
      <c r="B3019" s="1" t="s">
        <v>2843</v>
      </c>
      <c r="C3019" s="1" t="s">
        <v>4860</v>
      </c>
    </row>
    <row r="3020" spans="1:3" x14ac:dyDescent="0.2">
      <c r="A3020" s="1" t="str">
        <f>"300538"</f>
        <v>300538</v>
      </c>
      <c r="B3020" s="1" t="s">
        <v>2867</v>
      </c>
      <c r="C3020" s="1" t="s">
        <v>4860</v>
      </c>
    </row>
    <row r="3021" spans="1:3" x14ac:dyDescent="0.2">
      <c r="A3021" s="1" t="str">
        <f>"300537"</f>
        <v>300537</v>
      </c>
      <c r="B3021" s="1" t="s">
        <v>947</v>
      </c>
      <c r="C3021" s="1" t="s">
        <v>4840</v>
      </c>
    </row>
    <row r="3022" spans="1:3" x14ac:dyDescent="0.2">
      <c r="A3022" s="1" t="str">
        <f>"300536"</f>
        <v>300536</v>
      </c>
      <c r="B3022" s="1" t="s">
        <v>4318</v>
      </c>
      <c r="C3022" s="1" t="s">
        <v>4898</v>
      </c>
    </row>
    <row r="3023" spans="1:3" x14ac:dyDescent="0.2">
      <c r="A3023" s="1" t="str">
        <f>"300535"</f>
        <v>300535</v>
      </c>
      <c r="B3023" s="1" t="s">
        <v>2912</v>
      </c>
      <c r="C3023" s="1" t="s">
        <v>4865</v>
      </c>
    </row>
    <row r="3024" spans="1:3" x14ac:dyDescent="0.2">
      <c r="A3024" s="1" t="str">
        <f>"300534"</f>
        <v>300534</v>
      </c>
      <c r="B3024" s="1" t="s">
        <v>1614</v>
      </c>
      <c r="C3024" s="1" t="s">
        <v>4917</v>
      </c>
    </row>
    <row r="3025" spans="1:3" x14ac:dyDescent="0.2">
      <c r="A3025" s="1" t="str">
        <f>"300533"</f>
        <v>300533</v>
      </c>
      <c r="B3025" s="1" t="s">
        <v>502</v>
      </c>
      <c r="C3025" s="1" t="s">
        <v>4935</v>
      </c>
    </row>
    <row r="3026" spans="1:3" x14ac:dyDescent="0.2">
      <c r="A3026" s="1" t="str">
        <f>"300532"</f>
        <v>300532</v>
      </c>
      <c r="B3026" s="1" t="s">
        <v>572</v>
      </c>
      <c r="C3026" s="1" t="s">
        <v>4847</v>
      </c>
    </row>
    <row r="3027" spans="1:3" x14ac:dyDescent="0.2">
      <c r="A3027" s="1" t="str">
        <f>"300531"</f>
        <v>300531</v>
      </c>
      <c r="B3027" s="1" t="s">
        <v>615</v>
      </c>
      <c r="C3027" s="1" t="s">
        <v>4873</v>
      </c>
    </row>
    <row r="3028" spans="1:3" x14ac:dyDescent="0.2">
      <c r="A3028" s="1" t="str">
        <f>"300530"</f>
        <v>300530</v>
      </c>
      <c r="B3028" s="1" t="s">
        <v>4319</v>
      </c>
      <c r="C3028" s="1" t="s">
        <v>4841</v>
      </c>
    </row>
    <row r="3029" spans="1:3" x14ac:dyDescent="0.2">
      <c r="A3029" s="1" t="str">
        <f>"300529"</f>
        <v>300529</v>
      </c>
      <c r="B3029" s="1" t="s">
        <v>1716</v>
      </c>
      <c r="C3029" s="1" t="s">
        <v>4867</v>
      </c>
    </row>
    <row r="3030" spans="1:3" x14ac:dyDescent="0.2">
      <c r="A3030" s="1" t="str">
        <f>"300528"</f>
        <v>300528</v>
      </c>
      <c r="B3030" s="1" t="s">
        <v>471</v>
      </c>
      <c r="C3030" s="1" t="s">
        <v>4941</v>
      </c>
    </row>
    <row r="3031" spans="1:3" x14ac:dyDescent="0.2">
      <c r="A3031" s="1" t="str">
        <f>"300525"</f>
        <v>300525</v>
      </c>
      <c r="B3031" s="1" t="s">
        <v>4320</v>
      </c>
      <c r="C3031" s="1" t="s">
        <v>4847</v>
      </c>
    </row>
    <row r="3032" spans="1:3" x14ac:dyDescent="0.2">
      <c r="A3032" s="1" t="str">
        <f>"300523"</f>
        <v>300523</v>
      </c>
      <c r="B3032" s="1" t="s">
        <v>4321</v>
      </c>
      <c r="C3032" s="1" t="s">
        <v>4847</v>
      </c>
    </row>
    <row r="3033" spans="1:3" x14ac:dyDescent="0.2">
      <c r="A3033" s="1" t="str">
        <f>"300522"</f>
        <v>300522</v>
      </c>
      <c r="B3033" s="1" t="s">
        <v>2986</v>
      </c>
      <c r="C3033" s="1" t="s">
        <v>4865</v>
      </c>
    </row>
    <row r="3034" spans="1:3" x14ac:dyDescent="0.2">
      <c r="A3034" s="1" t="str">
        <f>"300521"</f>
        <v>300521</v>
      </c>
      <c r="B3034" s="1" t="s">
        <v>4322</v>
      </c>
      <c r="C3034" s="1" t="s">
        <v>4845</v>
      </c>
    </row>
    <row r="3035" spans="1:3" x14ac:dyDescent="0.2">
      <c r="A3035" s="1" t="str">
        <f>"300520"</f>
        <v>300520</v>
      </c>
      <c r="B3035" s="1" t="s">
        <v>4323</v>
      </c>
      <c r="C3035" s="1" t="s">
        <v>4847</v>
      </c>
    </row>
    <row r="3036" spans="1:3" x14ac:dyDescent="0.2">
      <c r="A3036" s="1" t="str">
        <f>"300519"</f>
        <v>300519</v>
      </c>
      <c r="B3036" s="1" t="s">
        <v>1615</v>
      </c>
      <c r="C3036" s="1" t="s">
        <v>4917</v>
      </c>
    </row>
    <row r="3037" spans="1:3" x14ac:dyDescent="0.2">
      <c r="A3037" s="1" t="str">
        <f>"300518"</f>
        <v>300518</v>
      </c>
      <c r="B3037" s="1" t="s">
        <v>4324</v>
      </c>
      <c r="C3037" s="1" t="s">
        <v>4910</v>
      </c>
    </row>
    <row r="3038" spans="1:3" x14ac:dyDescent="0.2">
      <c r="A3038" s="1" t="str">
        <f>"300517"</f>
        <v>300517</v>
      </c>
      <c r="B3038" s="1" t="s">
        <v>4325</v>
      </c>
      <c r="C3038" s="1" t="s">
        <v>4888</v>
      </c>
    </row>
    <row r="3039" spans="1:3" x14ac:dyDescent="0.2">
      <c r="A3039" s="1" t="str">
        <f>"300516"</f>
        <v>300516</v>
      </c>
      <c r="B3039" s="1" t="s">
        <v>4326</v>
      </c>
      <c r="C3039" s="1" t="s">
        <v>4846</v>
      </c>
    </row>
    <row r="3040" spans="1:3" x14ac:dyDescent="0.2">
      <c r="A3040" s="1" t="str">
        <f>"300515"</f>
        <v>300515</v>
      </c>
      <c r="B3040" s="1" t="s">
        <v>1278</v>
      </c>
      <c r="C3040" s="1" t="s">
        <v>4851</v>
      </c>
    </row>
    <row r="3041" spans="1:3" x14ac:dyDescent="0.2">
      <c r="A3041" s="1" t="str">
        <f>"300514"</f>
        <v>300514</v>
      </c>
      <c r="B3041" s="1" t="s">
        <v>1514</v>
      </c>
      <c r="C3041" s="1" t="s">
        <v>4866</v>
      </c>
    </row>
    <row r="3042" spans="1:3" x14ac:dyDescent="0.2">
      <c r="A3042" s="1" t="str">
        <f>"300513"</f>
        <v>300513</v>
      </c>
      <c r="B3042" s="1" t="s">
        <v>4327</v>
      </c>
      <c r="C3042" s="1" t="s">
        <v>4847</v>
      </c>
    </row>
    <row r="3043" spans="1:3" x14ac:dyDescent="0.2">
      <c r="A3043" s="1" t="str">
        <f>"300512"</f>
        <v>300512</v>
      </c>
      <c r="B3043" s="1" t="s">
        <v>1099</v>
      </c>
      <c r="C3043" s="1" t="s">
        <v>4845</v>
      </c>
    </row>
    <row r="3044" spans="1:3" x14ac:dyDescent="0.2">
      <c r="A3044" s="1" t="str">
        <f>"300511"</f>
        <v>300511</v>
      </c>
      <c r="B3044" s="1" t="s">
        <v>2574</v>
      </c>
      <c r="C3044" s="1" t="s">
        <v>4949</v>
      </c>
    </row>
    <row r="3045" spans="1:3" x14ac:dyDescent="0.2">
      <c r="A3045" s="1" t="str">
        <f>"300510"</f>
        <v>300510</v>
      </c>
      <c r="B3045" s="1" t="s">
        <v>4328</v>
      </c>
      <c r="C3045" s="1" t="s">
        <v>4866</v>
      </c>
    </row>
    <row r="3046" spans="1:3" x14ac:dyDescent="0.2">
      <c r="A3046" s="1" t="str">
        <f>"300509"</f>
        <v>300509</v>
      </c>
      <c r="B3046" s="1" t="s">
        <v>1100</v>
      </c>
      <c r="C3046" s="1" t="s">
        <v>4845</v>
      </c>
    </row>
    <row r="3047" spans="1:3" x14ac:dyDescent="0.2">
      <c r="A3047" s="1" t="str">
        <f>"300508"</f>
        <v>300508</v>
      </c>
      <c r="B3047" s="1" t="s">
        <v>573</v>
      </c>
      <c r="C3047" s="1" t="s">
        <v>4847</v>
      </c>
    </row>
    <row r="3048" spans="1:3" x14ac:dyDescent="0.2">
      <c r="A3048" s="1" t="str">
        <f>"300507"</f>
        <v>300507</v>
      </c>
      <c r="B3048" s="1" t="s">
        <v>2011</v>
      </c>
      <c r="C3048" s="1" t="s">
        <v>4856</v>
      </c>
    </row>
    <row r="3049" spans="1:3" x14ac:dyDescent="0.2">
      <c r="A3049" s="1" t="str">
        <f>"300505"</f>
        <v>300505</v>
      </c>
      <c r="B3049" s="1" t="s">
        <v>2791</v>
      </c>
      <c r="C3049" s="1" t="s">
        <v>4915</v>
      </c>
    </row>
    <row r="3050" spans="1:3" x14ac:dyDescent="0.2">
      <c r="A3050" s="1" t="str">
        <f>"300504"</f>
        <v>300504</v>
      </c>
      <c r="B3050" s="1" t="s">
        <v>4329</v>
      </c>
      <c r="C3050" s="1" t="s">
        <v>4869</v>
      </c>
    </row>
    <row r="3051" spans="1:3" x14ac:dyDescent="0.2">
      <c r="A3051" s="1" t="str">
        <f>"300503"</f>
        <v>300503</v>
      </c>
      <c r="B3051" s="1" t="s">
        <v>1236</v>
      </c>
      <c r="C3051" s="1" t="s">
        <v>4851</v>
      </c>
    </row>
    <row r="3052" spans="1:3" x14ac:dyDescent="0.2">
      <c r="A3052" s="1" t="str">
        <f>"300502"</f>
        <v>300502</v>
      </c>
      <c r="B3052" s="1" t="s">
        <v>687</v>
      </c>
      <c r="C3052" s="1" t="s">
        <v>4869</v>
      </c>
    </row>
    <row r="3053" spans="1:3" x14ac:dyDescent="0.2">
      <c r="A3053" s="1" t="str">
        <f>"300501"</f>
        <v>300501</v>
      </c>
      <c r="B3053" s="1" t="s">
        <v>2257</v>
      </c>
      <c r="C3053" s="1" t="s">
        <v>4930</v>
      </c>
    </row>
    <row r="3054" spans="1:3" x14ac:dyDescent="0.2">
      <c r="A3054" s="1" t="str">
        <f>"300500"</f>
        <v>300500</v>
      </c>
      <c r="B3054" s="1" t="s">
        <v>4330</v>
      </c>
      <c r="C3054" s="1" t="s">
        <v>4922</v>
      </c>
    </row>
    <row r="3055" spans="1:3" x14ac:dyDescent="0.2">
      <c r="A3055" s="1" t="str">
        <f>"300499"</f>
        <v>300499</v>
      </c>
      <c r="B3055" s="1" t="s">
        <v>1054</v>
      </c>
      <c r="C3055" s="1" t="s">
        <v>4845</v>
      </c>
    </row>
    <row r="3056" spans="1:3" x14ac:dyDescent="0.2">
      <c r="A3056" s="1" t="str">
        <f>"300498"</f>
        <v>300498</v>
      </c>
      <c r="B3056" s="1" t="s">
        <v>2560</v>
      </c>
      <c r="C3056" s="1" t="s">
        <v>4900</v>
      </c>
    </row>
    <row r="3057" spans="1:3" x14ac:dyDescent="0.2">
      <c r="A3057" s="1" t="str">
        <f>"300497"</f>
        <v>300497</v>
      </c>
      <c r="B3057" s="1" t="s">
        <v>1797</v>
      </c>
      <c r="C3057" s="1" t="s">
        <v>4843</v>
      </c>
    </row>
    <row r="3058" spans="1:3" x14ac:dyDescent="0.2">
      <c r="A3058" s="1" t="str">
        <f>"300496"</f>
        <v>300496</v>
      </c>
      <c r="B3058" s="1" t="s">
        <v>574</v>
      </c>
      <c r="C3058" s="1" t="s">
        <v>4847</v>
      </c>
    </row>
    <row r="3059" spans="1:3" x14ac:dyDescent="0.2">
      <c r="A3059" s="1" t="str">
        <f>"300494"</f>
        <v>300494</v>
      </c>
      <c r="B3059" s="1" t="s">
        <v>503</v>
      </c>
      <c r="C3059" s="1" t="s">
        <v>4935</v>
      </c>
    </row>
    <row r="3060" spans="1:3" x14ac:dyDescent="0.2">
      <c r="A3060" s="1" t="str">
        <f>"300493"</f>
        <v>300493</v>
      </c>
      <c r="B3060" s="1" t="s">
        <v>722</v>
      </c>
      <c r="C3060" s="1" t="s">
        <v>4842</v>
      </c>
    </row>
    <row r="3061" spans="1:3" x14ac:dyDescent="0.2">
      <c r="A3061" s="1" t="str">
        <f>"300492"</f>
        <v>300492</v>
      </c>
      <c r="B3061" s="1" t="s">
        <v>4331</v>
      </c>
      <c r="C3061" s="1" t="s">
        <v>4922</v>
      </c>
    </row>
    <row r="3062" spans="1:3" x14ac:dyDescent="0.2">
      <c r="A3062" s="1" t="str">
        <f>"300491"</f>
        <v>300491</v>
      </c>
      <c r="B3062" s="1" t="s">
        <v>4332</v>
      </c>
      <c r="C3062" s="1" t="s">
        <v>4859</v>
      </c>
    </row>
    <row r="3063" spans="1:3" x14ac:dyDescent="0.2">
      <c r="A3063" s="1" t="str">
        <f>"300490"</f>
        <v>300490</v>
      </c>
      <c r="B3063" s="1" t="s">
        <v>4333</v>
      </c>
      <c r="C3063" s="1" t="s">
        <v>4841</v>
      </c>
    </row>
    <row r="3064" spans="1:3" x14ac:dyDescent="0.2">
      <c r="A3064" s="1" t="str">
        <f>"300489"</f>
        <v>300489</v>
      </c>
      <c r="B3064" s="1" t="s">
        <v>961</v>
      </c>
      <c r="C3064" s="1" t="s">
        <v>4849</v>
      </c>
    </row>
    <row r="3065" spans="1:3" x14ac:dyDescent="0.2">
      <c r="A3065" s="1" t="str">
        <f>"300488"</f>
        <v>300488</v>
      </c>
      <c r="B3065" s="1" t="s">
        <v>1200</v>
      </c>
      <c r="C3065" s="1" t="s">
        <v>4851</v>
      </c>
    </row>
    <row r="3066" spans="1:3" x14ac:dyDescent="0.2">
      <c r="A3066" s="1" t="str">
        <f>"300487"</f>
        <v>300487</v>
      </c>
      <c r="B3066" s="1" t="s">
        <v>2889</v>
      </c>
      <c r="C3066" s="1" t="s">
        <v>4860</v>
      </c>
    </row>
    <row r="3067" spans="1:3" x14ac:dyDescent="0.2">
      <c r="A3067" s="1" t="str">
        <f>"300486"</f>
        <v>300486</v>
      </c>
      <c r="B3067" s="1" t="s">
        <v>1055</v>
      </c>
      <c r="C3067" s="1" t="s">
        <v>4845</v>
      </c>
    </row>
    <row r="3068" spans="1:3" x14ac:dyDescent="0.2">
      <c r="A3068" s="1" t="str">
        <f>"300485"</f>
        <v>300485</v>
      </c>
      <c r="B3068" s="1" t="s">
        <v>1768</v>
      </c>
      <c r="C3068" s="1" t="s">
        <v>4852</v>
      </c>
    </row>
    <row r="3069" spans="1:3" x14ac:dyDescent="0.2">
      <c r="A3069" s="1" t="str">
        <f>"300484"</f>
        <v>300484</v>
      </c>
      <c r="B3069" s="1" t="s">
        <v>979</v>
      </c>
      <c r="C3069" s="1" t="s">
        <v>4849</v>
      </c>
    </row>
    <row r="3070" spans="1:3" x14ac:dyDescent="0.2">
      <c r="A3070" s="1" t="str">
        <f>"300483"</f>
        <v>300483</v>
      </c>
      <c r="B3070" s="1" t="s">
        <v>4334</v>
      </c>
      <c r="C3070" s="1" t="s">
        <v>4952</v>
      </c>
    </row>
    <row r="3071" spans="1:3" x14ac:dyDescent="0.2">
      <c r="A3071" s="1" t="str">
        <f>"300482"</f>
        <v>300482</v>
      </c>
      <c r="B3071" s="1" t="s">
        <v>1695</v>
      </c>
      <c r="C3071" s="1" t="s">
        <v>4867</v>
      </c>
    </row>
    <row r="3072" spans="1:3" x14ac:dyDescent="0.2">
      <c r="A3072" s="1" t="str">
        <f>"300481"</f>
        <v>300481</v>
      </c>
      <c r="B3072" s="1" t="s">
        <v>3015</v>
      </c>
      <c r="C3072" s="1" t="s">
        <v>4853</v>
      </c>
    </row>
    <row r="3073" spans="1:3" x14ac:dyDescent="0.2">
      <c r="A3073" s="1" t="str">
        <f>"300480"</f>
        <v>300480</v>
      </c>
      <c r="B3073" s="1" t="s">
        <v>1124</v>
      </c>
      <c r="C3073" s="1" t="s">
        <v>4845</v>
      </c>
    </row>
    <row r="3074" spans="1:3" x14ac:dyDescent="0.2">
      <c r="A3074" s="1" t="str">
        <f>"300479"</f>
        <v>300479</v>
      </c>
      <c r="B3074" s="1" t="s">
        <v>4335</v>
      </c>
      <c r="C3074" s="1" t="s">
        <v>4873</v>
      </c>
    </row>
    <row r="3075" spans="1:3" x14ac:dyDescent="0.2">
      <c r="A3075" s="1" t="str">
        <f>"300478"</f>
        <v>300478</v>
      </c>
      <c r="B3075" s="1" t="s">
        <v>4336</v>
      </c>
      <c r="C3075" s="1" t="s">
        <v>4860</v>
      </c>
    </row>
    <row r="3076" spans="1:3" x14ac:dyDescent="0.2">
      <c r="A3076" s="1" t="str">
        <f>"300476"</f>
        <v>300476</v>
      </c>
      <c r="B3076" s="1" t="s">
        <v>767</v>
      </c>
      <c r="C3076" s="1" t="s">
        <v>4872</v>
      </c>
    </row>
    <row r="3077" spans="1:3" x14ac:dyDescent="0.2">
      <c r="A3077" s="1" t="str">
        <f>"300475"</f>
        <v>300475</v>
      </c>
      <c r="B3077" s="1" t="s">
        <v>723</v>
      </c>
      <c r="C3077" s="1" t="s">
        <v>4842</v>
      </c>
    </row>
    <row r="3078" spans="1:3" x14ac:dyDescent="0.2">
      <c r="A3078" s="1" t="str">
        <f>"300474"</f>
        <v>300474</v>
      </c>
      <c r="B3078" s="1" t="s">
        <v>4337</v>
      </c>
      <c r="C3078" s="1" t="s">
        <v>4846</v>
      </c>
    </row>
    <row r="3079" spans="1:3" x14ac:dyDescent="0.2">
      <c r="A3079" s="1" t="str">
        <f>"300473"</f>
        <v>300473</v>
      </c>
      <c r="B3079" s="1" t="s">
        <v>2012</v>
      </c>
      <c r="C3079" s="1" t="s">
        <v>4856</v>
      </c>
    </row>
    <row r="3080" spans="1:3" x14ac:dyDescent="0.2">
      <c r="A3080" s="1" t="str">
        <f>"300471"</f>
        <v>300471</v>
      </c>
      <c r="B3080" s="1" t="s">
        <v>1056</v>
      </c>
      <c r="C3080" s="1" t="s">
        <v>4845</v>
      </c>
    </row>
    <row r="3081" spans="1:3" x14ac:dyDescent="0.2">
      <c r="A3081" s="1" t="str">
        <f>"300470"</f>
        <v>300470</v>
      </c>
      <c r="B3081" s="1" t="s">
        <v>1237</v>
      </c>
      <c r="C3081" s="1" t="s">
        <v>4851</v>
      </c>
    </row>
    <row r="3082" spans="1:3" x14ac:dyDescent="0.2">
      <c r="A3082" s="1" t="str">
        <f>"300469"</f>
        <v>300469</v>
      </c>
      <c r="B3082" s="1" t="s">
        <v>4338</v>
      </c>
      <c r="C3082" s="1" t="s">
        <v>4847</v>
      </c>
    </row>
    <row r="3083" spans="1:3" x14ac:dyDescent="0.2">
      <c r="A3083" s="1" t="str">
        <f>"300468"</f>
        <v>300468</v>
      </c>
      <c r="B3083" s="1" t="s">
        <v>575</v>
      </c>
      <c r="C3083" s="1" t="s">
        <v>4847</v>
      </c>
    </row>
    <row r="3084" spans="1:3" x14ac:dyDescent="0.2">
      <c r="A3084" s="1" t="str">
        <f>"300467"</f>
        <v>300467</v>
      </c>
      <c r="B3084" s="1" t="s">
        <v>504</v>
      </c>
      <c r="C3084" s="1" t="s">
        <v>4935</v>
      </c>
    </row>
    <row r="3085" spans="1:3" x14ac:dyDescent="0.2">
      <c r="A3085" s="1" t="str">
        <f>"300466"</f>
        <v>300466</v>
      </c>
      <c r="B3085" s="1" t="s">
        <v>4339</v>
      </c>
      <c r="C3085" s="1" t="s">
        <v>4851</v>
      </c>
    </row>
    <row r="3086" spans="1:3" x14ac:dyDescent="0.2">
      <c r="A3086" s="1" t="str">
        <f>"300465"</f>
        <v>300465</v>
      </c>
      <c r="B3086" s="1" t="s">
        <v>4340</v>
      </c>
      <c r="C3086" s="1" t="s">
        <v>4847</v>
      </c>
    </row>
    <row r="3087" spans="1:3" x14ac:dyDescent="0.2">
      <c r="A3087" s="1" t="str">
        <f>"300464"</f>
        <v>300464</v>
      </c>
      <c r="B3087" s="1" t="s">
        <v>4341</v>
      </c>
      <c r="C3087" s="1" t="s">
        <v>4910</v>
      </c>
    </row>
    <row r="3088" spans="1:3" x14ac:dyDescent="0.2">
      <c r="A3088" s="1" t="str">
        <f>"300463"</f>
        <v>300463</v>
      </c>
      <c r="B3088" s="1" t="s">
        <v>1764</v>
      </c>
      <c r="C3088" s="1" t="s">
        <v>4852</v>
      </c>
    </row>
    <row r="3089" spans="1:3" x14ac:dyDescent="0.2">
      <c r="A3089" s="1" t="str">
        <f>"300461"</f>
        <v>300461</v>
      </c>
      <c r="B3089" s="1" t="s">
        <v>4342</v>
      </c>
      <c r="C3089" s="1" t="s">
        <v>4849</v>
      </c>
    </row>
    <row r="3090" spans="1:3" x14ac:dyDescent="0.2">
      <c r="A3090" s="1" t="str">
        <f>"300460"</f>
        <v>300460</v>
      </c>
      <c r="B3090" s="1" t="s">
        <v>4343</v>
      </c>
      <c r="C3090" s="1" t="s">
        <v>4872</v>
      </c>
    </row>
    <row r="3091" spans="1:3" x14ac:dyDescent="0.2">
      <c r="A3091" s="1" t="str">
        <f>"300459"</f>
        <v>300459</v>
      </c>
      <c r="B3091" s="1" t="s">
        <v>505</v>
      </c>
      <c r="C3091" s="1" t="s">
        <v>4935</v>
      </c>
    </row>
    <row r="3092" spans="1:3" x14ac:dyDescent="0.2">
      <c r="A3092" s="1" t="str">
        <f>"300458"</f>
        <v>300458</v>
      </c>
      <c r="B3092" s="1" t="s">
        <v>928</v>
      </c>
      <c r="C3092" s="1" t="s">
        <v>4840</v>
      </c>
    </row>
    <row r="3093" spans="1:3" x14ac:dyDescent="0.2">
      <c r="A3093" s="1" t="str">
        <f>"300457"</f>
        <v>300457</v>
      </c>
      <c r="B3093" s="1" t="s">
        <v>1526</v>
      </c>
      <c r="C3093" s="1" t="s">
        <v>4841</v>
      </c>
    </row>
    <row r="3094" spans="1:3" x14ac:dyDescent="0.2">
      <c r="A3094" s="1" t="str">
        <f>"300456"</f>
        <v>300456</v>
      </c>
      <c r="B3094" s="1" t="s">
        <v>4344</v>
      </c>
      <c r="C3094" s="1" t="s">
        <v>4840</v>
      </c>
    </row>
    <row r="3095" spans="1:3" x14ac:dyDescent="0.2">
      <c r="A3095" s="1" t="str">
        <f>"300455"</f>
        <v>300455</v>
      </c>
      <c r="B3095" s="1" t="s">
        <v>616</v>
      </c>
      <c r="C3095" s="1" t="s">
        <v>4873</v>
      </c>
    </row>
    <row r="3096" spans="1:3" x14ac:dyDescent="0.2">
      <c r="A3096" s="1" t="str">
        <f>"300454"</f>
        <v>300454</v>
      </c>
      <c r="B3096" s="1" t="s">
        <v>4345</v>
      </c>
      <c r="C3096" s="1" t="s">
        <v>4847</v>
      </c>
    </row>
    <row r="3097" spans="1:3" x14ac:dyDescent="0.2">
      <c r="A3097" s="1" t="str">
        <f>"300453"</f>
        <v>300453</v>
      </c>
      <c r="B3097" s="1" t="s">
        <v>1717</v>
      </c>
      <c r="C3097" s="1" t="s">
        <v>4867</v>
      </c>
    </row>
    <row r="3098" spans="1:3" x14ac:dyDescent="0.2">
      <c r="A3098" s="1" t="str">
        <f>"300452"</f>
        <v>300452</v>
      </c>
      <c r="B3098" s="1" t="s">
        <v>1798</v>
      </c>
      <c r="C3098" s="1" t="s">
        <v>4843</v>
      </c>
    </row>
    <row r="3099" spans="1:3" x14ac:dyDescent="0.2">
      <c r="A3099" s="1" t="str">
        <f>"300451"</f>
        <v>300451</v>
      </c>
      <c r="B3099" s="1" t="s">
        <v>4346</v>
      </c>
      <c r="C3099" s="1" t="s">
        <v>4847</v>
      </c>
    </row>
    <row r="3100" spans="1:3" x14ac:dyDescent="0.2">
      <c r="A3100" s="1" t="str">
        <f>"300450"</f>
        <v>300450</v>
      </c>
      <c r="B3100" s="1" t="s">
        <v>1527</v>
      </c>
      <c r="C3100" s="1" t="s">
        <v>4841</v>
      </c>
    </row>
    <row r="3101" spans="1:3" x14ac:dyDescent="0.2">
      <c r="A3101" s="1" t="str">
        <f>"300449"</f>
        <v>300449</v>
      </c>
      <c r="B3101" s="1" t="s">
        <v>4347</v>
      </c>
      <c r="C3101" s="1" t="s">
        <v>4873</v>
      </c>
    </row>
    <row r="3102" spans="1:3" x14ac:dyDescent="0.2">
      <c r="A3102" s="1" t="str">
        <f>"300448"</f>
        <v>300448</v>
      </c>
      <c r="B3102" s="1" t="s">
        <v>4348</v>
      </c>
      <c r="C3102" s="1" t="s">
        <v>4847</v>
      </c>
    </row>
    <row r="3103" spans="1:3" x14ac:dyDescent="0.2">
      <c r="A3103" s="1" t="str">
        <f>"300447"</f>
        <v>300447</v>
      </c>
      <c r="B3103" s="1" t="s">
        <v>1314</v>
      </c>
      <c r="C3103" s="1" t="s">
        <v>4846</v>
      </c>
    </row>
    <row r="3104" spans="1:3" x14ac:dyDescent="0.2">
      <c r="A3104" s="1" t="str">
        <f>"300446"</f>
        <v>300446</v>
      </c>
      <c r="B3104" s="1" t="s">
        <v>2062</v>
      </c>
      <c r="C3104" s="1" t="s">
        <v>4856</v>
      </c>
    </row>
    <row r="3105" spans="1:3" x14ac:dyDescent="0.2">
      <c r="A3105" s="1" t="str">
        <f>"300445"</f>
        <v>300445</v>
      </c>
      <c r="B3105" s="1" t="s">
        <v>1279</v>
      </c>
      <c r="C3105" s="1" t="s">
        <v>4851</v>
      </c>
    </row>
    <row r="3106" spans="1:3" x14ac:dyDescent="0.2">
      <c r="A3106" s="1" t="str">
        <f>"300444"</f>
        <v>300444</v>
      </c>
      <c r="B3106" s="1" t="s">
        <v>1487</v>
      </c>
      <c r="C3106" s="1" t="s">
        <v>4866</v>
      </c>
    </row>
    <row r="3107" spans="1:3" x14ac:dyDescent="0.2">
      <c r="A3107" s="1" t="str">
        <f>"300443"</f>
        <v>300443</v>
      </c>
      <c r="B3107" s="1" t="s">
        <v>1393</v>
      </c>
      <c r="C3107" s="1" t="s">
        <v>4870</v>
      </c>
    </row>
    <row r="3108" spans="1:3" x14ac:dyDescent="0.2">
      <c r="A3108" s="1" t="str">
        <f>"300442"</f>
        <v>300442</v>
      </c>
      <c r="B3108" s="1" t="s">
        <v>541</v>
      </c>
      <c r="C3108" s="1" t="s">
        <v>4874</v>
      </c>
    </row>
    <row r="3109" spans="1:3" x14ac:dyDescent="0.2">
      <c r="A3109" s="1" t="str">
        <f>"300441"</f>
        <v>300441</v>
      </c>
      <c r="B3109" s="1" t="s">
        <v>1181</v>
      </c>
      <c r="C3109" s="1" t="s">
        <v>4851</v>
      </c>
    </row>
    <row r="3110" spans="1:3" x14ac:dyDescent="0.2">
      <c r="A3110" s="1" t="str">
        <f>"300440"</f>
        <v>300440</v>
      </c>
      <c r="B3110" s="1" t="s">
        <v>4349</v>
      </c>
      <c r="C3110" s="1" t="s">
        <v>4847</v>
      </c>
    </row>
    <row r="3111" spans="1:3" x14ac:dyDescent="0.2">
      <c r="A3111" s="1" t="str">
        <f>"300439"</f>
        <v>300439</v>
      </c>
      <c r="B3111" s="1" t="s">
        <v>1765</v>
      </c>
      <c r="C3111" s="1" t="s">
        <v>4852</v>
      </c>
    </row>
    <row r="3112" spans="1:3" x14ac:dyDescent="0.2">
      <c r="A3112" s="1" t="str">
        <f>"300438"</f>
        <v>300438</v>
      </c>
      <c r="B3112" s="1" t="s">
        <v>4350</v>
      </c>
      <c r="C3112" s="1" t="s">
        <v>4841</v>
      </c>
    </row>
    <row r="3113" spans="1:3" x14ac:dyDescent="0.2">
      <c r="A3113" s="1" t="str">
        <f>"300437"</f>
        <v>300437</v>
      </c>
      <c r="B3113" s="1" t="s">
        <v>4351</v>
      </c>
      <c r="C3113" s="1" t="s">
        <v>4863</v>
      </c>
    </row>
    <row r="3114" spans="1:3" x14ac:dyDescent="0.2">
      <c r="A3114" s="1" t="str">
        <f>"300436"</f>
        <v>300436</v>
      </c>
      <c r="B3114" s="1" t="s">
        <v>4352</v>
      </c>
      <c r="C3114" s="1" t="s">
        <v>4843</v>
      </c>
    </row>
    <row r="3115" spans="1:3" x14ac:dyDescent="0.2">
      <c r="A3115" s="1" t="str">
        <f>"300435"</f>
        <v>300435</v>
      </c>
      <c r="B3115" s="1" t="s">
        <v>109</v>
      </c>
      <c r="C3115" s="1" t="s">
        <v>4895</v>
      </c>
    </row>
    <row r="3116" spans="1:3" x14ac:dyDescent="0.2">
      <c r="A3116" s="1" t="str">
        <f>"300434"</f>
        <v>300434</v>
      </c>
      <c r="B3116" s="1" t="s">
        <v>1836</v>
      </c>
      <c r="C3116" s="1" t="s">
        <v>4843</v>
      </c>
    </row>
    <row r="3117" spans="1:3" x14ac:dyDescent="0.2">
      <c r="A3117" s="1" t="str">
        <f>"300433"</f>
        <v>300433</v>
      </c>
      <c r="B3117" s="1" t="s">
        <v>879</v>
      </c>
      <c r="C3117" s="1" t="s">
        <v>4850</v>
      </c>
    </row>
    <row r="3118" spans="1:3" x14ac:dyDescent="0.2">
      <c r="A3118" s="1" t="str">
        <f>"300432"</f>
        <v>300432</v>
      </c>
      <c r="B3118" s="1" t="s">
        <v>2013</v>
      </c>
      <c r="C3118" s="1" t="s">
        <v>4856</v>
      </c>
    </row>
    <row r="3119" spans="1:3" x14ac:dyDescent="0.2">
      <c r="A3119" s="1" t="str">
        <f>"300430"</f>
        <v>300430</v>
      </c>
      <c r="B3119" s="1" t="s">
        <v>980</v>
      </c>
      <c r="C3119" s="1" t="s">
        <v>4849</v>
      </c>
    </row>
    <row r="3120" spans="1:3" x14ac:dyDescent="0.2">
      <c r="A3120" s="1" t="str">
        <f>"300429"</f>
        <v>300429</v>
      </c>
      <c r="B3120" s="1" t="s">
        <v>4353</v>
      </c>
      <c r="C3120" s="1" t="s">
        <v>4840</v>
      </c>
    </row>
    <row r="3121" spans="1:3" x14ac:dyDescent="0.2">
      <c r="A3121" s="1" t="str">
        <f>"300428"</f>
        <v>300428</v>
      </c>
      <c r="B3121" s="1" t="s">
        <v>1959</v>
      </c>
      <c r="C3121" s="1" t="s">
        <v>4856</v>
      </c>
    </row>
    <row r="3122" spans="1:3" x14ac:dyDescent="0.2">
      <c r="A3122" s="1" t="str">
        <f>"300427"</f>
        <v>300427</v>
      </c>
      <c r="B3122" s="1" t="s">
        <v>1504</v>
      </c>
      <c r="C3122" s="1" t="s">
        <v>4866</v>
      </c>
    </row>
    <row r="3123" spans="1:3" x14ac:dyDescent="0.2">
      <c r="A3123" s="1" t="str">
        <f>"300426"</f>
        <v>300426</v>
      </c>
      <c r="B3123" s="1" t="s">
        <v>4354</v>
      </c>
      <c r="C3123" s="1" t="s">
        <v>4941</v>
      </c>
    </row>
    <row r="3124" spans="1:3" x14ac:dyDescent="0.2">
      <c r="A3124" s="1" t="str">
        <f>"300425"</f>
        <v>300425</v>
      </c>
      <c r="B3124" s="1" t="s">
        <v>4355</v>
      </c>
      <c r="C3124" s="1" t="s">
        <v>4863</v>
      </c>
    </row>
    <row r="3125" spans="1:3" x14ac:dyDescent="0.2">
      <c r="A3125" s="1" t="str">
        <f>"300424"</f>
        <v>300424</v>
      </c>
      <c r="B3125" s="1" t="s">
        <v>1348</v>
      </c>
      <c r="C3125" s="1" t="s">
        <v>4862</v>
      </c>
    </row>
    <row r="3126" spans="1:3" x14ac:dyDescent="0.2">
      <c r="A3126" s="1" t="str">
        <f>"300423"</f>
        <v>300423</v>
      </c>
      <c r="B3126" s="1" t="s">
        <v>4356</v>
      </c>
      <c r="C3126" s="1" t="s">
        <v>4866</v>
      </c>
    </row>
    <row r="3127" spans="1:3" x14ac:dyDescent="0.2">
      <c r="A3127" s="1" t="str">
        <f>"300422"</f>
        <v>300422</v>
      </c>
      <c r="B3127" s="1" t="s">
        <v>4357</v>
      </c>
      <c r="C3127" s="1" t="s">
        <v>4863</v>
      </c>
    </row>
    <row r="3128" spans="1:3" x14ac:dyDescent="0.2">
      <c r="A3128" s="1" t="str">
        <f>"300421"</f>
        <v>300421</v>
      </c>
      <c r="B3128" s="1" t="s">
        <v>1238</v>
      </c>
      <c r="C3128" s="1" t="s">
        <v>4851</v>
      </c>
    </row>
    <row r="3129" spans="1:3" x14ac:dyDescent="0.2">
      <c r="A3129" s="1" t="str">
        <f>"300420"</f>
        <v>300420</v>
      </c>
      <c r="B3129" s="1" t="s">
        <v>1057</v>
      </c>
      <c r="C3129" s="1" t="s">
        <v>4845</v>
      </c>
    </row>
    <row r="3130" spans="1:3" x14ac:dyDescent="0.2">
      <c r="A3130" s="1" t="str">
        <f>"300418"</f>
        <v>300418</v>
      </c>
      <c r="B3130" s="1" t="s">
        <v>4358</v>
      </c>
      <c r="C3130" s="1" t="s">
        <v>4935</v>
      </c>
    </row>
    <row r="3131" spans="1:3" x14ac:dyDescent="0.2">
      <c r="A3131" s="1" t="str">
        <f>"300417"</f>
        <v>300417</v>
      </c>
      <c r="B3131" s="1" t="s">
        <v>4359</v>
      </c>
      <c r="C3131" s="1" t="s">
        <v>4851</v>
      </c>
    </row>
    <row r="3132" spans="1:3" x14ac:dyDescent="0.2">
      <c r="A3132" s="1" t="str">
        <f>"300416"</f>
        <v>300416</v>
      </c>
      <c r="B3132" s="1" t="s">
        <v>274</v>
      </c>
      <c r="C3132" s="1" t="s">
        <v>4854</v>
      </c>
    </row>
    <row r="3133" spans="1:3" x14ac:dyDescent="0.2">
      <c r="A3133" s="1" t="str">
        <f>"300415"</f>
        <v>300415</v>
      </c>
      <c r="B3133" s="1" t="s">
        <v>1058</v>
      </c>
      <c r="C3133" s="1" t="s">
        <v>4845</v>
      </c>
    </row>
    <row r="3134" spans="1:3" x14ac:dyDescent="0.2">
      <c r="A3134" s="1" t="str">
        <f>"300414"</f>
        <v>300414</v>
      </c>
      <c r="B3134" s="1" t="s">
        <v>659</v>
      </c>
      <c r="C3134" s="1" t="s">
        <v>4869</v>
      </c>
    </row>
    <row r="3135" spans="1:3" x14ac:dyDescent="0.2">
      <c r="A3135" s="1" t="str">
        <f>"300413"</f>
        <v>300413</v>
      </c>
      <c r="B3135" s="1" t="s">
        <v>467</v>
      </c>
      <c r="C3135" s="1" t="s">
        <v>4923</v>
      </c>
    </row>
    <row r="3136" spans="1:3" x14ac:dyDescent="0.2">
      <c r="A3136" s="1" t="str">
        <f>"300412"</f>
        <v>300412</v>
      </c>
      <c r="B3136" s="1" t="s">
        <v>4360</v>
      </c>
      <c r="C3136" s="1" t="s">
        <v>4867</v>
      </c>
    </row>
    <row r="3137" spans="1:3" x14ac:dyDescent="0.2">
      <c r="A3137" s="1" t="str">
        <f>"300411"</f>
        <v>300411</v>
      </c>
      <c r="B3137" s="1" t="s">
        <v>1153</v>
      </c>
      <c r="C3137" s="1" t="s">
        <v>4851</v>
      </c>
    </row>
    <row r="3138" spans="1:3" x14ac:dyDescent="0.2">
      <c r="A3138" s="1" t="str">
        <f>"300410"</f>
        <v>300410</v>
      </c>
      <c r="B3138" s="1" t="s">
        <v>1528</v>
      </c>
      <c r="C3138" s="1" t="s">
        <v>4841</v>
      </c>
    </row>
    <row r="3139" spans="1:3" x14ac:dyDescent="0.2">
      <c r="A3139" s="1" t="str">
        <f>"300409"</f>
        <v>300409</v>
      </c>
      <c r="B3139" s="1" t="s">
        <v>1537</v>
      </c>
      <c r="C3139" s="1" t="s">
        <v>4841</v>
      </c>
    </row>
    <row r="3140" spans="1:3" x14ac:dyDescent="0.2">
      <c r="A3140" s="1" t="str">
        <f>"300408"</f>
        <v>300408</v>
      </c>
      <c r="B3140" s="1" t="s">
        <v>742</v>
      </c>
      <c r="C3140" s="1" t="s">
        <v>4872</v>
      </c>
    </row>
    <row r="3141" spans="1:3" x14ac:dyDescent="0.2">
      <c r="A3141" s="1" t="str">
        <f>"300407"</f>
        <v>300407</v>
      </c>
      <c r="B3141" s="1" t="s">
        <v>1505</v>
      </c>
      <c r="C3141" s="1" t="s">
        <v>4866</v>
      </c>
    </row>
    <row r="3142" spans="1:3" x14ac:dyDescent="0.2">
      <c r="A3142" s="1" t="str">
        <f>"300406"</f>
        <v>300406</v>
      </c>
      <c r="B3142" s="1" t="s">
        <v>1766</v>
      </c>
      <c r="C3142" s="1" t="s">
        <v>4852</v>
      </c>
    </row>
    <row r="3143" spans="1:3" x14ac:dyDescent="0.2">
      <c r="A3143" s="1" t="str">
        <f>"300405"</f>
        <v>300405</v>
      </c>
      <c r="B3143" s="1" t="s">
        <v>4361</v>
      </c>
      <c r="C3143" s="1" t="s">
        <v>4865</v>
      </c>
    </row>
    <row r="3144" spans="1:3" x14ac:dyDescent="0.2">
      <c r="A3144" s="1" t="str">
        <f>"300404"</f>
        <v>300404</v>
      </c>
      <c r="B3144" s="1" t="s">
        <v>1688</v>
      </c>
      <c r="C3144" s="1" t="s">
        <v>4861</v>
      </c>
    </row>
    <row r="3145" spans="1:3" x14ac:dyDescent="0.2">
      <c r="A3145" s="1" t="str">
        <f>"300403"</f>
        <v>300403</v>
      </c>
      <c r="B3145" s="1" t="s">
        <v>2141</v>
      </c>
      <c r="C3145" s="1" t="s">
        <v>4929</v>
      </c>
    </row>
    <row r="3146" spans="1:3" x14ac:dyDescent="0.2">
      <c r="A3146" s="1" t="str">
        <f>"300402"</f>
        <v>300402</v>
      </c>
      <c r="B3146" s="1" t="s">
        <v>1201</v>
      </c>
      <c r="C3146" s="1" t="s">
        <v>4851</v>
      </c>
    </row>
    <row r="3147" spans="1:3" x14ac:dyDescent="0.2">
      <c r="A3147" s="1" t="str">
        <f>"300401"</f>
        <v>300401</v>
      </c>
      <c r="B3147" s="1" t="s">
        <v>1799</v>
      </c>
      <c r="C3147" s="1" t="s">
        <v>4843</v>
      </c>
    </row>
    <row r="3148" spans="1:3" x14ac:dyDescent="0.2">
      <c r="A3148" s="1" t="str">
        <f>"300400"</f>
        <v>300400</v>
      </c>
      <c r="B3148" s="1" t="s">
        <v>1059</v>
      </c>
      <c r="C3148" s="1" t="s">
        <v>4845</v>
      </c>
    </row>
    <row r="3149" spans="1:3" x14ac:dyDescent="0.2">
      <c r="A3149" s="1" t="str">
        <f>"300399"</f>
        <v>300399</v>
      </c>
      <c r="B3149" s="1" t="s">
        <v>576</v>
      </c>
      <c r="C3149" s="1" t="s">
        <v>4847</v>
      </c>
    </row>
    <row r="3150" spans="1:3" x14ac:dyDescent="0.2">
      <c r="A3150" s="1" t="str">
        <f>"300398"</f>
        <v>300398</v>
      </c>
      <c r="B3150" s="1" t="s">
        <v>948</v>
      </c>
      <c r="C3150" s="1" t="s">
        <v>4840</v>
      </c>
    </row>
    <row r="3151" spans="1:3" x14ac:dyDescent="0.2">
      <c r="A3151" s="1" t="str">
        <f>"300397"</f>
        <v>300397</v>
      </c>
      <c r="B3151" s="1" t="s">
        <v>4362</v>
      </c>
      <c r="C3151" s="1" t="s">
        <v>4846</v>
      </c>
    </row>
    <row r="3152" spans="1:3" x14ac:dyDescent="0.2">
      <c r="A3152" s="1" t="str">
        <f>"300396"</f>
        <v>300396</v>
      </c>
      <c r="B3152" s="1" t="s">
        <v>1696</v>
      </c>
      <c r="C3152" s="1" t="s">
        <v>4867</v>
      </c>
    </row>
    <row r="3153" spans="1:3" x14ac:dyDescent="0.2">
      <c r="A3153" s="1" t="str">
        <f>"300395"</f>
        <v>300395</v>
      </c>
      <c r="B3153" s="1" t="s">
        <v>2616</v>
      </c>
      <c r="C3153" s="1" t="s">
        <v>4916</v>
      </c>
    </row>
    <row r="3154" spans="1:3" x14ac:dyDescent="0.2">
      <c r="A3154" s="1" t="str">
        <f>"300394"</f>
        <v>300394</v>
      </c>
      <c r="B3154" s="1" t="s">
        <v>688</v>
      </c>
      <c r="C3154" s="1" t="s">
        <v>4869</v>
      </c>
    </row>
    <row r="3155" spans="1:3" x14ac:dyDescent="0.2">
      <c r="A3155" s="1" t="str">
        <f>"300393"</f>
        <v>300393</v>
      </c>
      <c r="B3155" s="1" t="s">
        <v>4363</v>
      </c>
      <c r="C3155" s="1" t="s">
        <v>4857</v>
      </c>
    </row>
    <row r="3156" spans="1:3" x14ac:dyDescent="0.2">
      <c r="A3156" s="1" t="str">
        <f>"300390"</f>
        <v>300390</v>
      </c>
      <c r="B3156" s="1" t="s">
        <v>2666</v>
      </c>
      <c r="C3156" s="1" t="s">
        <v>4894</v>
      </c>
    </row>
    <row r="3157" spans="1:3" x14ac:dyDescent="0.2">
      <c r="A3157" s="1" t="str">
        <f>"300389"</f>
        <v>300389</v>
      </c>
      <c r="B3157" s="1" t="s">
        <v>791</v>
      </c>
      <c r="C3157" s="1" t="s">
        <v>4878</v>
      </c>
    </row>
    <row r="3158" spans="1:3" x14ac:dyDescent="0.2">
      <c r="A3158" s="1" t="str">
        <f>"300388"</f>
        <v>300388</v>
      </c>
      <c r="B3158" s="1" t="s">
        <v>57</v>
      </c>
      <c r="C3158" s="1" t="s">
        <v>4863</v>
      </c>
    </row>
    <row r="3159" spans="1:3" x14ac:dyDescent="0.2">
      <c r="A3159" s="1" t="str">
        <f>"300387"</f>
        <v>300387</v>
      </c>
      <c r="B3159" s="1" t="s">
        <v>2775</v>
      </c>
      <c r="C3159" s="1" t="s">
        <v>4915</v>
      </c>
    </row>
    <row r="3160" spans="1:3" x14ac:dyDescent="0.2">
      <c r="A3160" s="1" t="str">
        <f>"300386"</f>
        <v>300386</v>
      </c>
      <c r="B3160" s="1" t="s">
        <v>617</v>
      </c>
      <c r="C3160" s="1" t="s">
        <v>4873</v>
      </c>
    </row>
    <row r="3161" spans="1:3" x14ac:dyDescent="0.2">
      <c r="A3161" s="1" t="str">
        <f>"300384"</f>
        <v>300384</v>
      </c>
      <c r="B3161" s="1" t="s">
        <v>334</v>
      </c>
      <c r="C3161" s="1" t="s">
        <v>4888</v>
      </c>
    </row>
    <row r="3162" spans="1:3" x14ac:dyDescent="0.2">
      <c r="A3162" s="1" t="str">
        <f>"300383"</f>
        <v>300383</v>
      </c>
      <c r="B3162" s="1" t="s">
        <v>542</v>
      </c>
      <c r="C3162" s="1" t="s">
        <v>4874</v>
      </c>
    </row>
    <row r="3163" spans="1:3" x14ac:dyDescent="0.2">
      <c r="A3163" s="1" t="str">
        <f>"300382"</f>
        <v>300382</v>
      </c>
      <c r="B3163" s="1" t="s">
        <v>1101</v>
      </c>
      <c r="C3163" s="1" t="s">
        <v>4845</v>
      </c>
    </row>
    <row r="3164" spans="1:3" x14ac:dyDescent="0.2">
      <c r="A3164" s="1" t="str">
        <f>"300381"</f>
        <v>300381</v>
      </c>
      <c r="B3164" s="1" t="s">
        <v>1800</v>
      </c>
      <c r="C3164" s="1" t="s">
        <v>4843</v>
      </c>
    </row>
    <row r="3165" spans="1:3" x14ac:dyDescent="0.2">
      <c r="A3165" s="1" t="str">
        <f>"300380"</f>
        <v>300380</v>
      </c>
      <c r="B3165" s="1" t="s">
        <v>4364</v>
      </c>
      <c r="C3165" s="1" t="s">
        <v>4847</v>
      </c>
    </row>
    <row r="3166" spans="1:3" x14ac:dyDescent="0.2">
      <c r="A3166" s="1" t="str">
        <f>"300378"</f>
        <v>300378</v>
      </c>
      <c r="B3166" s="1" t="s">
        <v>4365</v>
      </c>
      <c r="C3166" s="1" t="s">
        <v>4847</v>
      </c>
    </row>
    <row r="3167" spans="1:3" x14ac:dyDescent="0.2">
      <c r="A3167" s="1" t="str">
        <f>"300377"</f>
        <v>300377</v>
      </c>
      <c r="B3167" s="1" t="s">
        <v>4366</v>
      </c>
      <c r="C3167" s="1" t="s">
        <v>4847</v>
      </c>
    </row>
    <row r="3168" spans="1:3" x14ac:dyDescent="0.2">
      <c r="A3168" s="1" t="str">
        <f>"300375"</f>
        <v>300375</v>
      </c>
      <c r="B3168" s="1" t="s">
        <v>2014</v>
      </c>
      <c r="C3168" s="1" t="s">
        <v>4856</v>
      </c>
    </row>
    <row r="3169" spans="1:3" x14ac:dyDescent="0.2">
      <c r="A3169" s="1" t="str">
        <f>"300374"</f>
        <v>300374</v>
      </c>
      <c r="B3169" s="1" t="s">
        <v>4367</v>
      </c>
      <c r="C3169" s="1" t="s">
        <v>4886</v>
      </c>
    </row>
    <row r="3170" spans="1:3" x14ac:dyDescent="0.2">
      <c r="A3170" s="1" t="str">
        <f>"300373"</f>
        <v>300373</v>
      </c>
      <c r="B3170" s="1" t="s">
        <v>915</v>
      </c>
      <c r="C3170" s="1" t="s">
        <v>4840</v>
      </c>
    </row>
    <row r="3171" spans="1:3" x14ac:dyDescent="0.2">
      <c r="A3171" s="1" t="str">
        <f>"300371"</f>
        <v>300371</v>
      </c>
      <c r="B3171" s="1" t="s">
        <v>1280</v>
      </c>
      <c r="C3171" s="1" t="s">
        <v>4851</v>
      </c>
    </row>
    <row r="3172" spans="1:3" x14ac:dyDescent="0.2">
      <c r="A3172" s="1" t="str">
        <f>"300370"</f>
        <v>300370</v>
      </c>
      <c r="B3172" s="1" t="s">
        <v>4368</v>
      </c>
      <c r="C3172" s="1" t="s">
        <v>4851</v>
      </c>
    </row>
    <row r="3173" spans="1:3" x14ac:dyDescent="0.2">
      <c r="A3173" s="1" t="str">
        <f>"300369"</f>
        <v>300369</v>
      </c>
      <c r="B3173" s="1" t="s">
        <v>4369</v>
      </c>
      <c r="C3173" s="1" t="s">
        <v>4847</v>
      </c>
    </row>
    <row r="3174" spans="1:3" x14ac:dyDescent="0.2">
      <c r="A3174" s="1" t="str">
        <f>"300368"</f>
        <v>300368</v>
      </c>
      <c r="B3174" s="1" t="s">
        <v>4370</v>
      </c>
      <c r="C3174" s="1" t="s">
        <v>4873</v>
      </c>
    </row>
    <row r="3175" spans="1:3" x14ac:dyDescent="0.2">
      <c r="A3175" s="1" t="str">
        <f>"300366"</f>
        <v>300366</v>
      </c>
      <c r="B3175" s="1" t="s">
        <v>4371</v>
      </c>
      <c r="C3175" s="1" t="s">
        <v>4847</v>
      </c>
    </row>
    <row r="3176" spans="1:3" x14ac:dyDescent="0.2">
      <c r="A3176" s="1" t="str">
        <f>"300365"</f>
        <v>300365</v>
      </c>
      <c r="B3176" s="1" t="s">
        <v>577</v>
      </c>
      <c r="C3176" s="1" t="s">
        <v>4847</v>
      </c>
    </row>
    <row r="3177" spans="1:3" x14ac:dyDescent="0.2">
      <c r="A3177" s="1" t="str">
        <f>"300364"</f>
        <v>300364</v>
      </c>
      <c r="B3177" s="1" t="s">
        <v>4372</v>
      </c>
      <c r="C3177" s="1" t="s">
        <v>4890</v>
      </c>
    </row>
    <row r="3178" spans="1:3" x14ac:dyDescent="0.2">
      <c r="A3178" s="1" t="str">
        <f>"300363"</f>
        <v>300363</v>
      </c>
      <c r="B3178" s="1" t="s">
        <v>4373</v>
      </c>
      <c r="C3178" s="1" t="s">
        <v>4861</v>
      </c>
    </row>
    <row r="3179" spans="1:3" x14ac:dyDescent="0.2">
      <c r="A3179" s="1" t="str">
        <f>"300360"</f>
        <v>300360</v>
      </c>
      <c r="B3179" s="1" t="s">
        <v>1515</v>
      </c>
      <c r="C3179" s="1" t="s">
        <v>4866</v>
      </c>
    </row>
    <row r="3180" spans="1:3" x14ac:dyDescent="0.2">
      <c r="A3180" s="1" t="str">
        <f>"300359"</f>
        <v>300359</v>
      </c>
      <c r="B3180" s="1" t="s">
        <v>4374</v>
      </c>
      <c r="C3180" s="1" t="s">
        <v>4913</v>
      </c>
    </row>
    <row r="3181" spans="1:3" x14ac:dyDescent="0.2">
      <c r="A3181" s="1" t="str">
        <f>"300358"</f>
        <v>300358</v>
      </c>
      <c r="B3181" s="1" t="s">
        <v>4375</v>
      </c>
      <c r="C3181" s="1" t="s">
        <v>4867</v>
      </c>
    </row>
    <row r="3182" spans="1:3" x14ac:dyDescent="0.2">
      <c r="A3182" s="1" t="str">
        <f>"300357"</f>
        <v>300357</v>
      </c>
      <c r="B3182" s="1" t="s">
        <v>1749</v>
      </c>
      <c r="C3182" s="1" t="s">
        <v>4852</v>
      </c>
    </row>
    <row r="3183" spans="1:3" x14ac:dyDescent="0.2">
      <c r="A3183" s="1" t="str">
        <f>"300355"</f>
        <v>300355</v>
      </c>
      <c r="B3183" s="1" t="s">
        <v>4376</v>
      </c>
      <c r="C3183" s="1" t="s">
        <v>4863</v>
      </c>
    </row>
    <row r="3184" spans="1:3" x14ac:dyDescent="0.2">
      <c r="A3184" s="1" t="str">
        <f>"300354"</f>
        <v>300354</v>
      </c>
      <c r="B3184" s="1" t="s">
        <v>1281</v>
      </c>
      <c r="C3184" s="1" t="s">
        <v>4851</v>
      </c>
    </row>
    <row r="3185" spans="1:3" x14ac:dyDescent="0.2">
      <c r="A3185" s="1" t="str">
        <f>"300353"</f>
        <v>300353</v>
      </c>
      <c r="B3185" s="1" t="s">
        <v>4377</v>
      </c>
      <c r="C3185" s="1" t="s">
        <v>4869</v>
      </c>
    </row>
    <row r="3186" spans="1:3" x14ac:dyDescent="0.2">
      <c r="A3186" s="1" t="str">
        <f>"300352"</f>
        <v>300352</v>
      </c>
      <c r="B3186" s="1" t="s">
        <v>4378</v>
      </c>
      <c r="C3186" s="1" t="s">
        <v>4847</v>
      </c>
    </row>
    <row r="3187" spans="1:3" x14ac:dyDescent="0.2">
      <c r="A3187" s="1" t="str">
        <f>"300351"</f>
        <v>300351</v>
      </c>
      <c r="B3187" s="1" t="s">
        <v>1303</v>
      </c>
      <c r="C3187" s="1" t="s">
        <v>4875</v>
      </c>
    </row>
    <row r="3188" spans="1:3" x14ac:dyDescent="0.2">
      <c r="A3188" s="1" t="str">
        <f>"300350"</f>
        <v>300350</v>
      </c>
      <c r="B3188" s="1" t="s">
        <v>4379</v>
      </c>
      <c r="C3188" s="1" t="s">
        <v>4914</v>
      </c>
    </row>
    <row r="3189" spans="1:3" x14ac:dyDescent="0.2">
      <c r="A3189" s="1" t="str">
        <f>"300349"</f>
        <v>300349</v>
      </c>
      <c r="B3189" s="1" t="s">
        <v>1282</v>
      </c>
      <c r="C3189" s="1" t="s">
        <v>4851</v>
      </c>
    </row>
    <row r="3190" spans="1:3" x14ac:dyDescent="0.2">
      <c r="A3190" s="1" t="str">
        <f>"300348"</f>
        <v>300348</v>
      </c>
      <c r="B3190" s="1" t="s">
        <v>4380</v>
      </c>
      <c r="C3190" s="1" t="s">
        <v>4847</v>
      </c>
    </row>
    <row r="3191" spans="1:3" x14ac:dyDescent="0.2">
      <c r="A3191" s="1" t="str">
        <f>"300347"</f>
        <v>300347</v>
      </c>
      <c r="B3191" s="1" t="s">
        <v>1689</v>
      </c>
      <c r="C3191" s="1" t="s">
        <v>4861</v>
      </c>
    </row>
    <row r="3192" spans="1:3" x14ac:dyDescent="0.2">
      <c r="A3192" s="1" t="str">
        <f>"300346"</f>
        <v>300346</v>
      </c>
      <c r="B3192" s="1" t="s">
        <v>949</v>
      </c>
      <c r="C3192" s="1" t="s">
        <v>4840</v>
      </c>
    </row>
    <row r="3193" spans="1:3" x14ac:dyDescent="0.2">
      <c r="A3193" s="1" t="str">
        <f>"300345"</f>
        <v>300345</v>
      </c>
      <c r="B3193" s="1" t="s">
        <v>4381</v>
      </c>
      <c r="C3193" s="1" t="s">
        <v>4857</v>
      </c>
    </row>
    <row r="3194" spans="1:3" x14ac:dyDescent="0.2">
      <c r="A3194" s="1" t="str">
        <f>"300342"</f>
        <v>300342</v>
      </c>
      <c r="B3194" s="1" t="s">
        <v>2142</v>
      </c>
      <c r="C3194" s="1" t="s">
        <v>4929</v>
      </c>
    </row>
    <row r="3195" spans="1:3" x14ac:dyDescent="0.2">
      <c r="A3195" s="1" t="str">
        <f>"300341"</f>
        <v>300341</v>
      </c>
      <c r="B3195" s="1" t="s">
        <v>1488</v>
      </c>
      <c r="C3195" s="1" t="s">
        <v>4866</v>
      </c>
    </row>
    <row r="3196" spans="1:3" x14ac:dyDescent="0.2">
      <c r="A3196" s="1" t="str">
        <f>"300340"</f>
        <v>300340</v>
      </c>
      <c r="B3196" s="1" t="s">
        <v>1538</v>
      </c>
      <c r="C3196" s="1" t="s">
        <v>4841</v>
      </c>
    </row>
    <row r="3197" spans="1:3" x14ac:dyDescent="0.2">
      <c r="A3197" s="1" t="str">
        <f>"300339"</f>
        <v>300339</v>
      </c>
      <c r="B3197" s="1" t="s">
        <v>578</v>
      </c>
      <c r="C3197" s="1" t="s">
        <v>4847</v>
      </c>
    </row>
    <row r="3198" spans="1:3" x14ac:dyDescent="0.2">
      <c r="A3198" s="1" t="str">
        <f>"300337"</f>
        <v>300337</v>
      </c>
      <c r="B3198" s="1" t="s">
        <v>2708</v>
      </c>
      <c r="C3198" s="1" t="s">
        <v>4879</v>
      </c>
    </row>
    <row r="3199" spans="1:3" x14ac:dyDescent="0.2">
      <c r="A3199" s="1" t="str">
        <f>"300335"</f>
        <v>300335</v>
      </c>
      <c r="B3199" s="1" t="s">
        <v>4382</v>
      </c>
      <c r="C3199" s="1" t="s">
        <v>4889</v>
      </c>
    </row>
    <row r="3200" spans="1:3" x14ac:dyDescent="0.2">
      <c r="A3200" s="1" t="str">
        <f>"300334"</f>
        <v>300334</v>
      </c>
      <c r="B3200" s="1" t="s">
        <v>77</v>
      </c>
      <c r="C3200" s="1" t="s">
        <v>4871</v>
      </c>
    </row>
    <row r="3201" spans="1:3" x14ac:dyDescent="0.2">
      <c r="A3201" s="1" t="str">
        <f>"300333"</f>
        <v>300333</v>
      </c>
      <c r="B3201" s="1" t="s">
        <v>4383</v>
      </c>
      <c r="C3201" s="1" t="s">
        <v>4873</v>
      </c>
    </row>
    <row r="3202" spans="1:3" x14ac:dyDescent="0.2">
      <c r="A3202" s="1" t="str">
        <f>"300332"</f>
        <v>300332</v>
      </c>
      <c r="B3202" s="1" t="s">
        <v>110</v>
      </c>
      <c r="C3202" s="1" t="s">
        <v>4895</v>
      </c>
    </row>
    <row r="3203" spans="1:3" x14ac:dyDescent="0.2">
      <c r="A3203" s="1" t="str">
        <f>"300331"</f>
        <v>300331</v>
      </c>
      <c r="B3203" s="1" t="s">
        <v>817</v>
      </c>
      <c r="C3203" s="1" t="s">
        <v>4878</v>
      </c>
    </row>
    <row r="3204" spans="1:3" x14ac:dyDescent="0.2">
      <c r="A3204" s="1" t="str">
        <f>"300329"</f>
        <v>300329</v>
      </c>
      <c r="B3204" s="1" t="s">
        <v>4384</v>
      </c>
      <c r="C3204" s="1" t="s">
        <v>4899</v>
      </c>
    </row>
    <row r="3205" spans="1:3" x14ac:dyDescent="0.2">
      <c r="A3205" s="1" t="str">
        <f>"300328"</f>
        <v>300328</v>
      </c>
      <c r="B3205" s="1" t="s">
        <v>4385</v>
      </c>
      <c r="C3205" s="1" t="s">
        <v>4855</v>
      </c>
    </row>
    <row r="3206" spans="1:3" x14ac:dyDescent="0.2">
      <c r="A3206" s="1" t="str">
        <f>"300327"</f>
        <v>300327</v>
      </c>
      <c r="B3206" s="1" t="s">
        <v>929</v>
      </c>
      <c r="C3206" s="1" t="s">
        <v>4840</v>
      </c>
    </row>
    <row r="3207" spans="1:3" x14ac:dyDescent="0.2">
      <c r="A3207" s="1" t="str">
        <f>"300324"</f>
        <v>300324</v>
      </c>
      <c r="B3207" s="1" t="s">
        <v>4386</v>
      </c>
      <c r="C3207" s="1" t="s">
        <v>4847</v>
      </c>
    </row>
    <row r="3208" spans="1:3" x14ac:dyDescent="0.2">
      <c r="A3208" s="1" t="str">
        <f>"300323"</f>
        <v>300323</v>
      </c>
      <c r="B3208" s="1" t="s">
        <v>4387</v>
      </c>
      <c r="C3208" s="1" t="s">
        <v>4878</v>
      </c>
    </row>
    <row r="3209" spans="1:3" x14ac:dyDescent="0.2">
      <c r="A3209" s="1" t="str">
        <f>"300322"</f>
        <v>300322</v>
      </c>
      <c r="B3209" s="1" t="s">
        <v>880</v>
      </c>
      <c r="C3209" s="1" t="s">
        <v>4850</v>
      </c>
    </row>
    <row r="3210" spans="1:3" x14ac:dyDescent="0.2">
      <c r="A3210" s="1" t="str">
        <f>"300321"</f>
        <v>300321</v>
      </c>
      <c r="B3210" s="1" t="s">
        <v>2856</v>
      </c>
      <c r="C3210" s="1" t="s">
        <v>4860</v>
      </c>
    </row>
    <row r="3211" spans="1:3" x14ac:dyDescent="0.2">
      <c r="A3211" s="1" t="str">
        <f>"300320"</f>
        <v>300320</v>
      </c>
      <c r="B3211" s="1" t="s">
        <v>2827</v>
      </c>
      <c r="C3211" s="1" t="s">
        <v>4906</v>
      </c>
    </row>
    <row r="3212" spans="1:3" x14ac:dyDescent="0.2">
      <c r="A3212" s="1" t="str">
        <f>"300319"</f>
        <v>300319</v>
      </c>
      <c r="B3212" s="1" t="s">
        <v>743</v>
      </c>
      <c r="C3212" s="1" t="s">
        <v>4872</v>
      </c>
    </row>
    <row r="3213" spans="1:3" x14ac:dyDescent="0.2">
      <c r="A3213" s="1" t="str">
        <f>"300318"</f>
        <v>300318</v>
      </c>
      <c r="B3213" s="1" t="s">
        <v>4388</v>
      </c>
      <c r="C3213" s="1" t="s">
        <v>4852</v>
      </c>
    </row>
    <row r="3214" spans="1:3" x14ac:dyDescent="0.2">
      <c r="A3214" s="1" t="str">
        <f>"300317"</f>
        <v>300317</v>
      </c>
      <c r="B3214" s="1" t="s">
        <v>128</v>
      </c>
      <c r="C3214" s="1" t="s">
        <v>4889</v>
      </c>
    </row>
    <row r="3215" spans="1:3" x14ac:dyDescent="0.2">
      <c r="A3215" s="1" t="str">
        <f>"300316"</f>
        <v>300316</v>
      </c>
      <c r="B3215" s="1" t="s">
        <v>1405</v>
      </c>
      <c r="C3215" s="1" t="s">
        <v>4857</v>
      </c>
    </row>
    <row r="3216" spans="1:3" x14ac:dyDescent="0.2">
      <c r="A3216" s="1" t="str">
        <f>"300315"</f>
        <v>300315</v>
      </c>
      <c r="B3216" s="1" t="s">
        <v>506</v>
      </c>
      <c r="C3216" s="1" t="s">
        <v>4935</v>
      </c>
    </row>
    <row r="3217" spans="1:3" x14ac:dyDescent="0.2">
      <c r="A3217" s="1" t="str">
        <f>"300314"</f>
        <v>300314</v>
      </c>
      <c r="B3217" s="1" t="s">
        <v>1733</v>
      </c>
      <c r="C3217" s="1" t="s">
        <v>4867</v>
      </c>
    </row>
    <row r="3218" spans="1:3" x14ac:dyDescent="0.2">
      <c r="A3218" s="1" t="str">
        <f>"300310"</f>
        <v>300310</v>
      </c>
      <c r="B3218" s="1" t="s">
        <v>4389</v>
      </c>
      <c r="C3218" s="1" t="s">
        <v>4932</v>
      </c>
    </row>
    <row r="3219" spans="1:3" x14ac:dyDescent="0.2">
      <c r="A3219" s="1" t="str">
        <f>"300308"</f>
        <v>300308</v>
      </c>
      <c r="B3219" s="1" t="s">
        <v>689</v>
      </c>
      <c r="C3219" s="1" t="s">
        <v>4869</v>
      </c>
    </row>
    <row r="3220" spans="1:3" x14ac:dyDescent="0.2">
      <c r="A3220" s="1" t="str">
        <f>"300307"</f>
        <v>300307</v>
      </c>
      <c r="B3220" s="1" t="s">
        <v>1092</v>
      </c>
      <c r="C3220" s="1" t="s">
        <v>4845</v>
      </c>
    </row>
    <row r="3221" spans="1:3" x14ac:dyDescent="0.2">
      <c r="A3221" s="1" t="str">
        <f>"300306"</f>
        <v>300306</v>
      </c>
      <c r="B3221" s="1" t="s">
        <v>1283</v>
      </c>
      <c r="C3221" s="1" t="s">
        <v>4851</v>
      </c>
    </row>
    <row r="3222" spans="1:3" x14ac:dyDescent="0.2">
      <c r="A3222" s="1" t="str">
        <f>"300304"</f>
        <v>300304</v>
      </c>
      <c r="B3222" s="1" t="s">
        <v>1905</v>
      </c>
      <c r="C3222" s="1" t="s">
        <v>4856</v>
      </c>
    </row>
    <row r="3223" spans="1:3" x14ac:dyDescent="0.2">
      <c r="A3223" s="1" t="str">
        <f>"300303"</f>
        <v>300303</v>
      </c>
      <c r="B3223" s="1" t="s">
        <v>792</v>
      </c>
      <c r="C3223" s="1" t="s">
        <v>4878</v>
      </c>
    </row>
    <row r="3224" spans="1:3" x14ac:dyDescent="0.2">
      <c r="A3224" s="1" t="str">
        <f>"300302"</f>
        <v>300302</v>
      </c>
      <c r="B3224" s="1" t="s">
        <v>4390</v>
      </c>
      <c r="C3224" s="1" t="s">
        <v>4873</v>
      </c>
    </row>
    <row r="3225" spans="1:3" x14ac:dyDescent="0.2">
      <c r="A3225" s="1" t="str">
        <f>"300300"</f>
        <v>300300</v>
      </c>
      <c r="B3225" s="1" t="s">
        <v>4391</v>
      </c>
      <c r="C3225" s="1" t="s">
        <v>4847</v>
      </c>
    </row>
    <row r="3226" spans="1:3" x14ac:dyDescent="0.2">
      <c r="A3226" s="1" t="str">
        <f>"300299"</f>
        <v>300299</v>
      </c>
      <c r="B3226" s="1" t="s">
        <v>507</v>
      </c>
      <c r="C3226" s="1" t="s">
        <v>4935</v>
      </c>
    </row>
    <row r="3227" spans="1:3" x14ac:dyDescent="0.2">
      <c r="A3227" s="1" t="str">
        <f>"300298"</f>
        <v>300298</v>
      </c>
      <c r="B3227" s="1" t="s">
        <v>1740</v>
      </c>
      <c r="C3227" s="1" t="s">
        <v>4867</v>
      </c>
    </row>
    <row r="3228" spans="1:3" x14ac:dyDescent="0.2">
      <c r="A3228" s="1" t="str">
        <f>"300296"</f>
        <v>300296</v>
      </c>
      <c r="B3228" s="1" t="s">
        <v>793</v>
      </c>
      <c r="C3228" s="1" t="s">
        <v>4878</v>
      </c>
    </row>
    <row r="3229" spans="1:3" x14ac:dyDescent="0.2">
      <c r="A3229" s="1" t="str">
        <f>"300295"</f>
        <v>300295</v>
      </c>
      <c r="B3229" s="1" t="s">
        <v>4392</v>
      </c>
      <c r="C3229" s="1" t="s">
        <v>4923</v>
      </c>
    </row>
    <row r="3230" spans="1:3" x14ac:dyDescent="0.2">
      <c r="A3230" s="1" t="str">
        <f>"300294"</f>
        <v>300294</v>
      </c>
      <c r="B3230" s="1" t="s">
        <v>1774</v>
      </c>
      <c r="C3230" s="1" t="s">
        <v>4852</v>
      </c>
    </row>
    <row r="3231" spans="1:3" x14ac:dyDescent="0.2">
      <c r="A3231" s="1" t="str">
        <f>"300293"</f>
        <v>300293</v>
      </c>
      <c r="B3231" s="1" t="s">
        <v>4393</v>
      </c>
      <c r="C3231" s="1" t="s">
        <v>4845</v>
      </c>
    </row>
    <row r="3232" spans="1:3" x14ac:dyDescent="0.2">
      <c r="A3232" s="1" t="str">
        <f>"300292"</f>
        <v>300292</v>
      </c>
      <c r="B3232" s="1" t="s">
        <v>650</v>
      </c>
      <c r="C3232" s="1" t="s">
        <v>4954</v>
      </c>
    </row>
    <row r="3233" spans="1:3" x14ac:dyDescent="0.2">
      <c r="A3233" s="1" t="str">
        <f>"300291"</f>
        <v>300291</v>
      </c>
      <c r="B3233" s="1" t="s">
        <v>4394</v>
      </c>
      <c r="C3233" s="1" t="s">
        <v>4941</v>
      </c>
    </row>
    <row r="3234" spans="1:3" x14ac:dyDescent="0.2">
      <c r="A3234" s="1" t="str">
        <f>"300290"</f>
        <v>300290</v>
      </c>
      <c r="B3234" s="1" t="s">
        <v>4395</v>
      </c>
      <c r="C3234" s="1" t="s">
        <v>4847</v>
      </c>
    </row>
    <row r="3235" spans="1:3" x14ac:dyDescent="0.2">
      <c r="A3235" s="1" t="str">
        <f>"300289"</f>
        <v>300289</v>
      </c>
      <c r="B3235" s="1" t="s">
        <v>4396</v>
      </c>
      <c r="C3235" s="1" t="s">
        <v>4852</v>
      </c>
    </row>
    <row r="3236" spans="1:3" x14ac:dyDescent="0.2">
      <c r="A3236" s="1" t="str">
        <f>"300288"</f>
        <v>300288</v>
      </c>
      <c r="B3236" s="1" t="s">
        <v>579</v>
      </c>
      <c r="C3236" s="1" t="s">
        <v>4847</v>
      </c>
    </row>
    <row r="3237" spans="1:3" x14ac:dyDescent="0.2">
      <c r="A3237" s="1" t="str">
        <f>"300287"</f>
        <v>300287</v>
      </c>
      <c r="B3237" s="1" t="s">
        <v>4397</v>
      </c>
      <c r="C3237" s="1" t="s">
        <v>4847</v>
      </c>
    </row>
    <row r="3238" spans="1:3" x14ac:dyDescent="0.2">
      <c r="A3238" s="1" t="str">
        <f>"300286"</f>
        <v>300286</v>
      </c>
      <c r="B3238" s="1" t="s">
        <v>1516</v>
      </c>
      <c r="C3238" s="1" t="s">
        <v>4866</v>
      </c>
    </row>
    <row r="3239" spans="1:3" x14ac:dyDescent="0.2">
      <c r="A3239" s="1" t="str">
        <f>"300285"</f>
        <v>300285</v>
      </c>
      <c r="B3239" s="1" t="s">
        <v>2913</v>
      </c>
      <c r="C3239" s="1" t="s">
        <v>4865</v>
      </c>
    </row>
    <row r="3240" spans="1:3" x14ac:dyDescent="0.2">
      <c r="A3240" s="1" t="str">
        <f>"300284"</f>
        <v>300284</v>
      </c>
      <c r="B3240" s="1" t="s">
        <v>4398</v>
      </c>
      <c r="C3240" s="1" t="s">
        <v>4922</v>
      </c>
    </row>
    <row r="3241" spans="1:3" x14ac:dyDescent="0.2">
      <c r="A3241" s="1" t="str">
        <f>"300283"</f>
        <v>300283</v>
      </c>
      <c r="B3241" s="1" t="s">
        <v>4399</v>
      </c>
      <c r="C3241" s="1" t="s">
        <v>4866</v>
      </c>
    </row>
    <row r="3242" spans="1:3" x14ac:dyDescent="0.2">
      <c r="A3242" s="1" t="str">
        <f>"300281"</f>
        <v>300281</v>
      </c>
      <c r="B3242" s="1" t="s">
        <v>1060</v>
      </c>
      <c r="C3242" s="1" t="s">
        <v>4845</v>
      </c>
    </row>
    <row r="3243" spans="1:3" x14ac:dyDescent="0.2">
      <c r="A3243" s="1" t="str">
        <f>"300279"</f>
        <v>300279</v>
      </c>
      <c r="B3243" s="1" t="s">
        <v>881</v>
      </c>
      <c r="C3243" s="1" t="s">
        <v>4850</v>
      </c>
    </row>
    <row r="3244" spans="1:3" x14ac:dyDescent="0.2">
      <c r="A3244" s="1" t="str">
        <f>"300278"</f>
        <v>300278</v>
      </c>
      <c r="B3244" s="1" t="s">
        <v>981</v>
      </c>
      <c r="C3244" s="1" t="s">
        <v>4849</v>
      </c>
    </row>
    <row r="3245" spans="1:3" x14ac:dyDescent="0.2">
      <c r="A3245" s="1" t="str">
        <f>"300277"</f>
        <v>300277</v>
      </c>
      <c r="B3245" s="1" t="s">
        <v>4400</v>
      </c>
      <c r="C3245" s="1" t="s">
        <v>4847</v>
      </c>
    </row>
    <row r="3246" spans="1:3" x14ac:dyDescent="0.2">
      <c r="A3246" s="1" t="str">
        <f>"300276"</f>
        <v>300276</v>
      </c>
      <c r="B3246" s="1" t="s">
        <v>1061</v>
      </c>
      <c r="C3246" s="1" t="s">
        <v>4845</v>
      </c>
    </row>
    <row r="3247" spans="1:3" x14ac:dyDescent="0.2">
      <c r="A3247" s="1" t="str">
        <f>"300275"</f>
        <v>300275</v>
      </c>
      <c r="B3247" s="1" t="s">
        <v>1125</v>
      </c>
      <c r="C3247" s="1" t="s">
        <v>4845</v>
      </c>
    </row>
    <row r="3248" spans="1:3" x14ac:dyDescent="0.2">
      <c r="A3248" s="1" t="str">
        <f>"300274"</f>
        <v>300274</v>
      </c>
      <c r="B3248" s="1" t="s">
        <v>1423</v>
      </c>
      <c r="C3248" s="1" t="s">
        <v>4857</v>
      </c>
    </row>
    <row r="3249" spans="1:3" x14ac:dyDescent="0.2">
      <c r="A3249" s="1" t="str">
        <f>"300272"</f>
        <v>300272</v>
      </c>
      <c r="B3249" s="1" t="s">
        <v>2171</v>
      </c>
      <c r="C3249" s="1" t="s">
        <v>4844</v>
      </c>
    </row>
    <row r="3250" spans="1:3" x14ac:dyDescent="0.2">
      <c r="A3250" s="1" t="str">
        <f>"300271"</f>
        <v>300271</v>
      </c>
      <c r="B3250" s="1" t="s">
        <v>4401</v>
      </c>
      <c r="C3250" s="1" t="s">
        <v>4847</v>
      </c>
    </row>
    <row r="3251" spans="1:3" x14ac:dyDescent="0.2">
      <c r="A3251" s="1" t="str">
        <f>"300270"</f>
        <v>300270</v>
      </c>
      <c r="B3251" s="1" t="s">
        <v>4402</v>
      </c>
      <c r="C3251" s="1" t="s">
        <v>4873</v>
      </c>
    </row>
    <row r="3252" spans="1:3" x14ac:dyDescent="0.2">
      <c r="A3252" s="1" t="str">
        <f>"300269"</f>
        <v>300269</v>
      </c>
      <c r="B3252" s="1" t="s">
        <v>4403</v>
      </c>
      <c r="C3252" s="1" t="s">
        <v>4878</v>
      </c>
    </row>
    <row r="3253" spans="1:3" x14ac:dyDescent="0.2">
      <c r="A3253" s="1" t="str">
        <f>"300267"</f>
        <v>300267</v>
      </c>
      <c r="B3253" s="1" t="s">
        <v>1801</v>
      </c>
      <c r="C3253" s="1" t="s">
        <v>4843</v>
      </c>
    </row>
    <row r="3254" spans="1:3" x14ac:dyDescent="0.2">
      <c r="A3254" s="1" t="str">
        <f>"300266"</f>
        <v>300266</v>
      </c>
      <c r="B3254" s="1" t="s">
        <v>4404</v>
      </c>
      <c r="C3254" s="1" t="s">
        <v>4863</v>
      </c>
    </row>
    <row r="3255" spans="1:3" x14ac:dyDescent="0.2">
      <c r="A3255" s="1" t="str">
        <f>"300265"</f>
        <v>300265</v>
      </c>
      <c r="B3255" s="1" t="s">
        <v>1439</v>
      </c>
      <c r="C3255" s="1" t="s">
        <v>4866</v>
      </c>
    </row>
    <row r="3256" spans="1:3" x14ac:dyDescent="0.2">
      <c r="A3256" s="1" t="str">
        <f>"300264"</f>
        <v>300264</v>
      </c>
      <c r="B3256" s="1" t="s">
        <v>580</v>
      </c>
      <c r="C3256" s="1" t="s">
        <v>4847</v>
      </c>
    </row>
    <row r="3257" spans="1:3" x14ac:dyDescent="0.2">
      <c r="A3257" s="1" t="str">
        <f>"300263"</f>
        <v>300263</v>
      </c>
      <c r="B3257" s="1" t="s">
        <v>1154</v>
      </c>
      <c r="C3257" s="1" t="s">
        <v>4851</v>
      </c>
    </row>
    <row r="3258" spans="1:3" x14ac:dyDescent="0.2">
      <c r="A3258" s="1" t="str">
        <f>"300261"</f>
        <v>300261</v>
      </c>
      <c r="B3258" s="1" t="s">
        <v>4405</v>
      </c>
      <c r="C3258" s="1" t="s">
        <v>4915</v>
      </c>
    </row>
    <row r="3259" spans="1:3" x14ac:dyDescent="0.2">
      <c r="A3259" s="1" t="str">
        <f>"300260"</f>
        <v>300260</v>
      </c>
      <c r="B3259" s="1" t="s">
        <v>1202</v>
      </c>
      <c r="C3259" s="1" t="s">
        <v>4851</v>
      </c>
    </row>
    <row r="3260" spans="1:3" x14ac:dyDescent="0.2">
      <c r="A3260" s="1" t="str">
        <f>"300259"</f>
        <v>300259</v>
      </c>
      <c r="B3260" s="1" t="s">
        <v>1284</v>
      </c>
      <c r="C3260" s="1" t="s">
        <v>4851</v>
      </c>
    </row>
    <row r="3261" spans="1:3" x14ac:dyDescent="0.2">
      <c r="A3261" s="1" t="str">
        <f>"300258"</f>
        <v>300258</v>
      </c>
      <c r="B3261" s="1" t="s">
        <v>2015</v>
      </c>
      <c r="C3261" s="1" t="s">
        <v>4856</v>
      </c>
    </row>
    <row r="3262" spans="1:3" x14ac:dyDescent="0.2">
      <c r="A3262" s="1" t="str">
        <f>"300257"</f>
        <v>300257</v>
      </c>
      <c r="B3262" s="1" t="s">
        <v>1155</v>
      </c>
      <c r="C3262" s="1" t="s">
        <v>4851</v>
      </c>
    </row>
    <row r="3263" spans="1:3" x14ac:dyDescent="0.2">
      <c r="A3263" s="1" t="str">
        <f>"300256"</f>
        <v>300256</v>
      </c>
      <c r="B3263" s="1" t="s">
        <v>4406</v>
      </c>
      <c r="C3263" s="1" t="s">
        <v>4850</v>
      </c>
    </row>
    <row r="3264" spans="1:3" x14ac:dyDescent="0.2">
      <c r="A3264" s="1" t="str">
        <f>"300255"</f>
        <v>300255</v>
      </c>
      <c r="B3264" s="1" t="s">
        <v>1750</v>
      </c>
      <c r="C3264" s="1" t="s">
        <v>4852</v>
      </c>
    </row>
    <row r="3265" spans="1:3" x14ac:dyDescent="0.2">
      <c r="A3265" s="1" t="str">
        <f>"300254"</f>
        <v>300254</v>
      </c>
      <c r="B3265" s="1" t="s">
        <v>1837</v>
      </c>
      <c r="C3265" s="1" t="s">
        <v>4843</v>
      </c>
    </row>
    <row r="3266" spans="1:3" x14ac:dyDescent="0.2">
      <c r="A3266" s="1" t="str">
        <f>"300253"</f>
        <v>300253</v>
      </c>
      <c r="B3266" s="1" t="s">
        <v>581</v>
      </c>
      <c r="C3266" s="1" t="s">
        <v>4847</v>
      </c>
    </row>
    <row r="3267" spans="1:3" x14ac:dyDescent="0.2">
      <c r="A3267" s="1" t="str">
        <f>"300252"</f>
        <v>300252</v>
      </c>
      <c r="B3267" s="1" t="s">
        <v>4407</v>
      </c>
      <c r="C3267" s="1" t="s">
        <v>4846</v>
      </c>
    </row>
    <row r="3268" spans="1:3" x14ac:dyDescent="0.2">
      <c r="A3268" s="1" t="str">
        <f>"300251"</f>
        <v>300251</v>
      </c>
      <c r="B3268" s="1" t="s">
        <v>474</v>
      </c>
      <c r="C3268" s="1" t="s">
        <v>4941</v>
      </c>
    </row>
    <row r="3269" spans="1:3" x14ac:dyDescent="0.2">
      <c r="A3269" s="1" t="str">
        <f>"300250"</f>
        <v>300250</v>
      </c>
      <c r="B3269" s="1" t="s">
        <v>582</v>
      </c>
      <c r="C3269" s="1" t="s">
        <v>4847</v>
      </c>
    </row>
    <row r="3270" spans="1:3" x14ac:dyDescent="0.2">
      <c r="A3270" s="1" t="str">
        <f>"300249"</f>
        <v>300249</v>
      </c>
      <c r="B3270" s="1" t="s">
        <v>618</v>
      </c>
      <c r="C3270" s="1" t="s">
        <v>4873</v>
      </c>
    </row>
    <row r="3271" spans="1:3" x14ac:dyDescent="0.2">
      <c r="A3271" s="1" t="str">
        <f>"300248"</f>
        <v>300248</v>
      </c>
      <c r="B3271" s="1" t="s">
        <v>4408</v>
      </c>
      <c r="C3271" s="1" t="s">
        <v>4847</v>
      </c>
    </row>
    <row r="3272" spans="1:3" x14ac:dyDescent="0.2">
      <c r="A3272" s="1" t="str">
        <f>"300247"</f>
        <v>300247</v>
      </c>
      <c r="B3272" s="1" t="s">
        <v>2160</v>
      </c>
      <c r="C3272" s="1" t="s">
        <v>4844</v>
      </c>
    </row>
    <row r="3273" spans="1:3" x14ac:dyDescent="0.2">
      <c r="A3273" s="1" t="str">
        <f>"300246"</f>
        <v>300246</v>
      </c>
      <c r="B3273" s="1" t="s">
        <v>1734</v>
      </c>
      <c r="C3273" s="1" t="s">
        <v>4867</v>
      </c>
    </row>
    <row r="3274" spans="1:3" x14ac:dyDescent="0.2">
      <c r="A3274" s="1" t="str">
        <f>"300245"</f>
        <v>300245</v>
      </c>
      <c r="B3274" s="1" t="s">
        <v>4409</v>
      </c>
      <c r="C3274" s="1" t="s">
        <v>4847</v>
      </c>
    </row>
    <row r="3275" spans="1:3" x14ac:dyDescent="0.2">
      <c r="A3275" s="1" t="str">
        <f>"300244"</f>
        <v>300244</v>
      </c>
      <c r="B3275" s="1" t="s">
        <v>4410</v>
      </c>
      <c r="C3275" s="1" t="s">
        <v>4861</v>
      </c>
    </row>
    <row r="3276" spans="1:3" x14ac:dyDescent="0.2">
      <c r="A3276" s="1" t="str">
        <f>"300243"</f>
        <v>300243</v>
      </c>
      <c r="B3276" s="1" t="s">
        <v>2854</v>
      </c>
      <c r="C3276" s="1" t="s">
        <v>4860</v>
      </c>
    </row>
    <row r="3277" spans="1:3" x14ac:dyDescent="0.2">
      <c r="A3277" s="1" t="str">
        <f>"300242"</f>
        <v>300242</v>
      </c>
      <c r="B3277" s="1" t="s">
        <v>4411</v>
      </c>
      <c r="C3277" s="1" t="s">
        <v>4907</v>
      </c>
    </row>
    <row r="3278" spans="1:3" x14ac:dyDescent="0.2">
      <c r="A3278" s="1" t="str">
        <f>"300241"</f>
        <v>300241</v>
      </c>
      <c r="B3278" s="1" t="s">
        <v>794</v>
      </c>
      <c r="C3278" s="1" t="s">
        <v>4878</v>
      </c>
    </row>
    <row r="3279" spans="1:3" x14ac:dyDescent="0.2">
      <c r="A3279" s="1" t="str">
        <f>"300240"</f>
        <v>300240</v>
      </c>
      <c r="B3279" s="1" t="s">
        <v>187</v>
      </c>
      <c r="C3279" s="1" t="s">
        <v>4914</v>
      </c>
    </row>
    <row r="3280" spans="1:3" x14ac:dyDescent="0.2">
      <c r="A3280" s="1" t="str">
        <f>"300239"</f>
        <v>300239</v>
      </c>
      <c r="B3280" s="1" t="s">
        <v>1751</v>
      </c>
      <c r="C3280" s="1" t="s">
        <v>4852</v>
      </c>
    </row>
    <row r="3281" spans="1:3" x14ac:dyDescent="0.2">
      <c r="A3281" s="1" t="str">
        <f>"300238"</f>
        <v>300238</v>
      </c>
      <c r="B3281" s="1" t="s">
        <v>1718</v>
      </c>
      <c r="C3281" s="1" t="s">
        <v>4867</v>
      </c>
    </row>
    <row r="3282" spans="1:3" x14ac:dyDescent="0.2">
      <c r="A3282" s="1" t="str">
        <f>"300237"</f>
        <v>300237</v>
      </c>
      <c r="B3282" s="1" t="s">
        <v>4412</v>
      </c>
      <c r="C3282" s="1" t="s">
        <v>4856</v>
      </c>
    </row>
    <row r="3283" spans="1:3" x14ac:dyDescent="0.2">
      <c r="A3283" s="1" t="str">
        <f>"300236"</f>
        <v>300236</v>
      </c>
      <c r="B3283" s="1" t="s">
        <v>950</v>
      </c>
      <c r="C3283" s="1" t="s">
        <v>4840</v>
      </c>
    </row>
    <row r="3284" spans="1:3" x14ac:dyDescent="0.2">
      <c r="A3284" s="1" t="str">
        <f>"300235"</f>
        <v>300235</v>
      </c>
      <c r="B3284" s="1" t="s">
        <v>583</v>
      </c>
      <c r="C3284" s="1" t="s">
        <v>4847</v>
      </c>
    </row>
    <row r="3285" spans="1:3" x14ac:dyDescent="0.2">
      <c r="A3285" s="1" t="str">
        <f>"300234"</f>
        <v>300234</v>
      </c>
      <c r="B3285" s="1" t="s">
        <v>2602</v>
      </c>
      <c r="C3285" s="1" t="s">
        <v>4886</v>
      </c>
    </row>
    <row r="3286" spans="1:3" x14ac:dyDescent="0.2">
      <c r="A3286" s="1" t="str">
        <f>"300233"</f>
        <v>300233</v>
      </c>
      <c r="B3286" s="1" t="s">
        <v>1838</v>
      </c>
      <c r="C3286" s="1" t="s">
        <v>4843</v>
      </c>
    </row>
    <row r="3287" spans="1:3" x14ac:dyDescent="0.2">
      <c r="A3287" s="1" t="str">
        <f>"300232"</f>
        <v>300232</v>
      </c>
      <c r="B3287" s="1" t="s">
        <v>795</v>
      </c>
      <c r="C3287" s="1" t="s">
        <v>4878</v>
      </c>
    </row>
    <row r="3288" spans="1:3" x14ac:dyDescent="0.2">
      <c r="A3288" s="1" t="str">
        <f>"300231"</f>
        <v>300231</v>
      </c>
      <c r="B3288" s="1" t="s">
        <v>584</v>
      </c>
      <c r="C3288" s="1" t="s">
        <v>4847</v>
      </c>
    </row>
    <row r="3289" spans="1:3" x14ac:dyDescent="0.2">
      <c r="A3289" s="1" t="str">
        <f>"300230"</f>
        <v>300230</v>
      </c>
      <c r="B3289" s="1" t="s">
        <v>2844</v>
      </c>
      <c r="C3289" s="1" t="s">
        <v>4860</v>
      </c>
    </row>
    <row r="3290" spans="1:3" x14ac:dyDescent="0.2">
      <c r="A3290" s="1" t="str">
        <f>"300229"</f>
        <v>300229</v>
      </c>
      <c r="B3290" s="1" t="s">
        <v>4413</v>
      </c>
      <c r="C3290" s="1" t="s">
        <v>4847</v>
      </c>
    </row>
    <row r="3291" spans="1:3" x14ac:dyDescent="0.2">
      <c r="A3291" s="1" t="str">
        <f>"300228"</f>
        <v>300228</v>
      </c>
      <c r="B3291" s="1" t="s">
        <v>1062</v>
      </c>
      <c r="C3291" s="1" t="s">
        <v>4845</v>
      </c>
    </row>
    <row r="3292" spans="1:3" x14ac:dyDescent="0.2">
      <c r="A3292" s="1" t="str">
        <f>"300227"</f>
        <v>300227</v>
      </c>
      <c r="B3292" s="1" t="s">
        <v>962</v>
      </c>
      <c r="C3292" s="1" t="s">
        <v>4849</v>
      </c>
    </row>
    <row r="3293" spans="1:3" x14ac:dyDescent="0.2">
      <c r="A3293" s="1" t="str">
        <f>"300226"</f>
        <v>300226</v>
      </c>
      <c r="B3293" s="1" t="s">
        <v>520</v>
      </c>
      <c r="C3293" s="1" t="s">
        <v>4883</v>
      </c>
    </row>
    <row r="3294" spans="1:3" x14ac:dyDescent="0.2">
      <c r="A3294" s="1" t="str">
        <f>"300224"</f>
        <v>300224</v>
      </c>
      <c r="B3294" s="1" t="s">
        <v>2635</v>
      </c>
      <c r="C3294" s="1" t="s">
        <v>4848</v>
      </c>
    </row>
    <row r="3295" spans="1:3" x14ac:dyDescent="0.2">
      <c r="A3295" s="1" t="str">
        <f>"300223"</f>
        <v>300223</v>
      </c>
      <c r="B3295" s="1" t="s">
        <v>930</v>
      </c>
      <c r="C3295" s="1" t="s">
        <v>4840</v>
      </c>
    </row>
    <row r="3296" spans="1:3" x14ac:dyDescent="0.2">
      <c r="A3296" s="1" t="str">
        <f>"300222"</f>
        <v>300222</v>
      </c>
      <c r="B3296" s="1" t="s">
        <v>1506</v>
      </c>
      <c r="C3296" s="1" t="s">
        <v>4866</v>
      </c>
    </row>
    <row r="3297" spans="1:3" x14ac:dyDescent="0.2">
      <c r="A3297" s="1" t="str">
        <f>"300221"</f>
        <v>300221</v>
      </c>
      <c r="B3297" s="1" t="s">
        <v>2868</v>
      </c>
      <c r="C3297" s="1" t="s">
        <v>4860</v>
      </c>
    </row>
    <row r="3298" spans="1:3" x14ac:dyDescent="0.2">
      <c r="A3298" s="1" t="str">
        <f>"300220"</f>
        <v>300220</v>
      </c>
      <c r="B3298" s="1" t="s">
        <v>963</v>
      </c>
      <c r="C3298" s="1" t="s">
        <v>4849</v>
      </c>
    </row>
    <row r="3299" spans="1:3" x14ac:dyDescent="0.2">
      <c r="A3299" s="1" t="str">
        <f>"300219"</f>
        <v>300219</v>
      </c>
      <c r="B3299" s="1" t="s">
        <v>796</v>
      </c>
      <c r="C3299" s="1" t="s">
        <v>4878</v>
      </c>
    </row>
    <row r="3300" spans="1:3" x14ac:dyDescent="0.2">
      <c r="A3300" s="1" t="str">
        <f>"300218"</f>
        <v>300218</v>
      </c>
      <c r="B3300" s="1" t="s">
        <v>2857</v>
      </c>
      <c r="C3300" s="1" t="s">
        <v>4860</v>
      </c>
    </row>
    <row r="3301" spans="1:3" x14ac:dyDescent="0.2">
      <c r="A3301" s="1" t="str">
        <f>"300217"</f>
        <v>300217</v>
      </c>
      <c r="B3301" s="1" t="s">
        <v>2143</v>
      </c>
      <c r="C3301" s="1" t="s">
        <v>4929</v>
      </c>
    </row>
    <row r="3302" spans="1:3" x14ac:dyDescent="0.2">
      <c r="A3302" s="1" t="str">
        <f>"300215"</f>
        <v>300215</v>
      </c>
      <c r="B3302" s="1" t="s">
        <v>4414</v>
      </c>
      <c r="C3302" s="1" t="s">
        <v>4854</v>
      </c>
    </row>
    <row r="3303" spans="1:3" x14ac:dyDescent="0.2">
      <c r="A3303" s="1" t="str">
        <f>"300214"</f>
        <v>300214</v>
      </c>
      <c r="B3303" s="1" t="s">
        <v>4415</v>
      </c>
      <c r="C3303" s="1" t="s">
        <v>4860</v>
      </c>
    </row>
    <row r="3304" spans="1:3" x14ac:dyDescent="0.2">
      <c r="A3304" s="1" t="str">
        <f>"300213"</f>
        <v>300213</v>
      </c>
      <c r="B3304" s="1" t="s">
        <v>4416</v>
      </c>
      <c r="C3304" s="1" t="s">
        <v>4869</v>
      </c>
    </row>
    <row r="3305" spans="1:3" x14ac:dyDescent="0.2">
      <c r="A3305" s="1" t="str">
        <f>"300212"</f>
        <v>300212</v>
      </c>
      <c r="B3305" s="1" t="s">
        <v>4417</v>
      </c>
      <c r="C3305" s="1" t="s">
        <v>4847</v>
      </c>
    </row>
    <row r="3306" spans="1:3" x14ac:dyDescent="0.2">
      <c r="A3306" s="1" t="str">
        <f>"300210"</f>
        <v>300210</v>
      </c>
      <c r="B3306" s="1" t="s">
        <v>1063</v>
      </c>
      <c r="C3306" s="1" t="s">
        <v>4845</v>
      </c>
    </row>
    <row r="3307" spans="1:3" x14ac:dyDescent="0.2">
      <c r="A3307" s="1" t="str">
        <f>"300209"</f>
        <v>300209</v>
      </c>
      <c r="B3307" s="1" t="s">
        <v>2098</v>
      </c>
      <c r="C3307" s="1" t="s">
        <v>4910</v>
      </c>
    </row>
    <row r="3308" spans="1:3" x14ac:dyDescent="0.2">
      <c r="A3308" s="1" t="str">
        <f>"300207"</f>
        <v>300207</v>
      </c>
      <c r="B3308" s="1" t="s">
        <v>1555</v>
      </c>
      <c r="C3308" s="1" t="s">
        <v>4841</v>
      </c>
    </row>
    <row r="3309" spans="1:3" x14ac:dyDescent="0.2">
      <c r="A3309" s="1" t="str">
        <f>"300206"</f>
        <v>300206</v>
      </c>
      <c r="B3309" s="1" t="s">
        <v>1735</v>
      </c>
      <c r="C3309" s="1" t="s">
        <v>4867</v>
      </c>
    </row>
    <row r="3310" spans="1:3" x14ac:dyDescent="0.2">
      <c r="A3310" s="1" t="str">
        <f>"300204"</f>
        <v>300204</v>
      </c>
      <c r="B3310" s="1" t="s">
        <v>4418</v>
      </c>
      <c r="C3310" s="1" t="s">
        <v>4852</v>
      </c>
    </row>
    <row r="3311" spans="1:3" x14ac:dyDescent="0.2">
      <c r="A3311" s="1" t="str">
        <f>"300203"</f>
        <v>300203</v>
      </c>
      <c r="B3311" s="1" t="s">
        <v>4419</v>
      </c>
      <c r="C3311" s="1" t="s">
        <v>4851</v>
      </c>
    </row>
    <row r="3312" spans="1:3" x14ac:dyDescent="0.2">
      <c r="A3312" s="1" t="str">
        <f>"300201"</f>
        <v>300201</v>
      </c>
      <c r="B3312" s="1" t="s">
        <v>1007</v>
      </c>
      <c r="C3312" s="1" t="s">
        <v>4880</v>
      </c>
    </row>
    <row r="3313" spans="1:3" x14ac:dyDescent="0.2">
      <c r="A3313" s="1" t="str">
        <f>"300200"</f>
        <v>300200</v>
      </c>
      <c r="B3313" s="1" t="s">
        <v>2929</v>
      </c>
      <c r="C3313" s="1" t="s">
        <v>4865</v>
      </c>
    </row>
    <row r="3314" spans="1:3" x14ac:dyDescent="0.2">
      <c r="A3314" s="1" t="str">
        <f>"300199"</f>
        <v>300199</v>
      </c>
      <c r="B3314" s="1" t="s">
        <v>1839</v>
      </c>
      <c r="C3314" s="1" t="s">
        <v>4843</v>
      </c>
    </row>
    <row r="3315" spans="1:3" x14ac:dyDescent="0.2">
      <c r="A3315" s="1" t="str">
        <f>"300196"</f>
        <v>300196</v>
      </c>
      <c r="B3315" s="1" t="s">
        <v>2608</v>
      </c>
      <c r="C3315" s="1" t="s">
        <v>4916</v>
      </c>
    </row>
    <row r="3316" spans="1:3" x14ac:dyDescent="0.2">
      <c r="A3316" s="1" t="str">
        <f>"300195"</f>
        <v>300195</v>
      </c>
      <c r="B3316" s="1" t="s">
        <v>1102</v>
      </c>
      <c r="C3316" s="1" t="s">
        <v>4845</v>
      </c>
    </row>
    <row r="3317" spans="1:3" x14ac:dyDescent="0.2">
      <c r="A3317" s="1" t="str">
        <f>"300194"</f>
        <v>300194</v>
      </c>
      <c r="B3317" s="1" t="s">
        <v>1840</v>
      </c>
      <c r="C3317" s="1" t="s">
        <v>4843</v>
      </c>
    </row>
    <row r="3318" spans="1:3" x14ac:dyDescent="0.2">
      <c r="A3318" s="1" t="str">
        <f>"300193"</f>
        <v>300193</v>
      </c>
      <c r="B3318" s="1" t="s">
        <v>1156</v>
      </c>
      <c r="C3318" s="1" t="s">
        <v>4851</v>
      </c>
    </row>
    <row r="3319" spans="1:3" x14ac:dyDescent="0.2">
      <c r="A3319" s="1" t="str">
        <f>"300192"</f>
        <v>300192</v>
      </c>
      <c r="B3319" s="1" t="s">
        <v>4420</v>
      </c>
      <c r="C3319" s="1" t="s">
        <v>4913</v>
      </c>
    </row>
    <row r="3320" spans="1:3" x14ac:dyDescent="0.2">
      <c r="A3320" s="1" t="str">
        <f>"300191"</f>
        <v>300191</v>
      </c>
      <c r="B3320" s="1" t="s">
        <v>4421</v>
      </c>
      <c r="C3320" s="1" t="s">
        <v>4928</v>
      </c>
    </row>
    <row r="3321" spans="1:3" x14ac:dyDescent="0.2">
      <c r="A3321" s="1" t="str">
        <f>"300190"</f>
        <v>300190</v>
      </c>
      <c r="B3321" s="1" t="s">
        <v>4422</v>
      </c>
      <c r="C3321" s="1" t="s">
        <v>4863</v>
      </c>
    </row>
    <row r="3322" spans="1:3" x14ac:dyDescent="0.2">
      <c r="A3322" s="1" t="str">
        <f>"300189"</f>
        <v>300189</v>
      </c>
      <c r="B3322" s="1" t="s">
        <v>4423</v>
      </c>
      <c r="C3322" s="1" t="s">
        <v>4949</v>
      </c>
    </row>
    <row r="3323" spans="1:3" x14ac:dyDescent="0.2">
      <c r="A3323" s="1" t="str">
        <f>"300188"</f>
        <v>300188</v>
      </c>
      <c r="B3323" s="1" t="s">
        <v>4424</v>
      </c>
      <c r="C3323" s="1" t="s">
        <v>4847</v>
      </c>
    </row>
    <row r="3324" spans="1:3" x14ac:dyDescent="0.2">
      <c r="A3324" s="1" t="str">
        <f>"300187"</f>
        <v>300187</v>
      </c>
      <c r="B3324" s="1" t="s">
        <v>15</v>
      </c>
      <c r="C3324" s="1" t="s">
        <v>4863</v>
      </c>
    </row>
    <row r="3325" spans="1:3" x14ac:dyDescent="0.2">
      <c r="A3325" s="1" t="str">
        <f>"300185"</f>
        <v>300185</v>
      </c>
      <c r="B3325" s="1" t="s">
        <v>1394</v>
      </c>
      <c r="C3325" s="1" t="s">
        <v>4870</v>
      </c>
    </row>
    <row r="3326" spans="1:3" x14ac:dyDescent="0.2">
      <c r="A3326" s="1" t="str">
        <f>"300184"</f>
        <v>300184</v>
      </c>
      <c r="B3326" s="1" t="s">
        <v>724</v>
      </c>
      <c r="C3326" s="1" t="s">
        <v>4842</v>
      </c>
    </row>
    <row r="3327" spans="1:3" x14ac:dyDescent="0.2">
      <c r="A3327" s="1" t="str">
        <f>"300183"</f>
        <v>300183</v>
      </c>
      <c r="B3327" s="1" t="s">
        <v>660</v>
      </c>
      <c r="C3327" s="1" t="s">
        <v>4869</v>
      </c>
    </row>
    <row r="3328" spans="1:3" x14ac:dyDescent="0.2">
      <c r="A3328" s="1" t="str">
        <f>"300182"</f>
        <v>300182</v>
      </c>
      <c r="B3328" s="1" t="s">
        <v>475</v>
      </c>
      <c r="C3328" s="1" t="s">
        <v>4941</v>
      </c>
    </row>
    <row r="3329" spans="1:3" x14ac:dyDescent="0.2">
      <c r="A3329" s="1" t="str">
        <f>"300181"</f>
        <v>300181</v>
      </c>
      <c r="B3329" s="1" t="s">
        <v>1616</v>
      </c>
      <c r="C3329" s="1" t="s">
        <v>4917</v>
      </c>
    </row>
    <row r="3330" spans="1:3" x14ac:dyDescent="0.2">
      <c r="A3330" s="1" t="str">
        <f>"300180"</f>
        <v>300180</v>
      </c>
      <c r="B3330" s="1" t="s">
        <v>2858</v>
      </c>
      <c r="C3330" s="1" t="s">
        <v>4860</v>
      </c>
    </row>
    <row r="3331" spans="1:3" x14ac:dyDescent="0.2">
      <c r="A3331" s="1" t="str">
        <f>"300179"</f>
        <v>300179</v>
      </c>
      <c r="B3331" s="1" t="s">
        <v>1170</v>
      </c>
      <c r="C3331" s="1" t="s">
        <v>4851</v>
      </c>
    </row>
    <row r="3332" spans="1:3" x14ac:dyDescent="0.2">
      <c r="A3332" s="1" t="str">
        <f>"300177"</f>
        <v>300177</v>
      </c>
      <c r="B3332" s="1" t="s">
        <v>4425</v>
      </c>
      <c r="C3332" s="1" t="s">
        <v>4846</v>
      </c>
    </row>
    <row r="3333" spans="1:3" x14ac:dyDescent="0.2">
      <c r="A3333" s="1" t="str">
        <f>"300176"</f>
        <v>300176</v>
      </c>
      <c r="B3333" s="1" t="s">
        <v>2016</v>
      </c>
      <c r="C3333" s="1" t="s">
        <v>4856</v>
      </c>
    </row>
    <row r="3334" spans="1:3" x14ac:dyDescent="0.2">
      <c r="A3334" s="1" t="str">
        <f>"300174"</f>
        <v>300174</v>
      </c>
      <c r="B3334" s="1" t="s">
        <v>2914</v>
      </c>
      <c r="C3334" s="1" t="s">
        <v>4865</v>
      </c>
    </row>
    <row r="3335" spans="1:3" x14ac:dyDescent="0.2">
      <c r="A3335" s="1" t="str">
        <f>"300173"</f>
        <v>300173</v>
      </c>
      <c r="B3335" s="1" t="s">
        <v>1529</v>
      </c>
      <c r="C3335" s="1" t="s">
        <v>4841</v>
      </c>
    </row>
    <row r="3336" spans="1:3" x14ac:dyDescent="0.2">
      <c r="A3336" s="1" t="str">
        <f>"300172"</f>
        <v>300172</v>
      </c>
      <c r="B3336" s="1" t="s">
        <v>58</v>
      </c>
      <c r="C3336" s="1" t="s">
        <v>4863</v>
      </c>
    </row>
    <row r="3337" spans="1:3" x14ac:dyDescent="0.2">
      <c r="A3337" s="1" t="str">
        <f>"300171"</f>
        <v>300171</v>
      </c>
      <c r="B3337" s="1" t="s">
        <v>1694</v>
      </c>
      <c r="C3337" s="1" t="s">
        <v>4867</v>
      </c>
    </row>
    <row r="3338" spans="1:3" x14ac:dyDescent="0.2">
      <c r="A3338" s="1" t="str">
        <f>"300170"</f>
        <v>300170</v>
      </c>
      <c r="B3338" s="1" t="s">
        <v>534</v>
      </c>
      <c r="C3338" s="1" t="s">
        <v>4874</v>
      </c>
    </row>
    <row r="3339" spans="1:3" x14ac:dyDescent="0.2">
      <c r="A3339" s="1" t="str">
        <f>"300169"</f>
        <v>300169</v>
      </c>
      <c r="B3339" s="1" t="s">
        <v>4426</v>
      </c>
      <c r="C3339" s="1" t="s">
        <v>4860</v>
      </c>
    </row>
    <row r="3340" spans="1:3" x14ac:dyDescent="0.2">
      <c r="A3340" s="1" t="str">
        <f>"300168"</f>
        <v>300168</v>
      </c>
      <c r="B3340" s="1" t="s">
        <v>4427</v>
      </c>
      <c r="C3340" s="1" t="s">
        <v>4847</v>
      </c>
    </row>
    <row r="3341" spans="1:3" x14ac:dyDescent="0.2">
      <c r="A3341" s="1" t="str">
        <f>"300166"</f>
        <v>300166</v>
      </c>
      <c r="B3341" s="1" t="s">
        <v>4428</v>
      </c>
      <c r="C3341" s="1" t="s">
        <v>4847</v>
      </c>
    </row>
    <row r="3342" spans="1:3" x14ac:dyDescent="0.2">
      <c r="A3342" s="1" t="str">
        <f>"300164"</f>
        <v>300164</v>
      </c>
      <c r="B3342" s="1" t="s">
        <v>4429</v>
      </c>
      <c r="C3342" s="1" t="s">
        <v>4928</v>
      </c>
    </row>
    <row r="3343" spans="1:3" x14ac:dyDescent="0.2">
      <c r="A3343" s="1" t="str">
        <f>"300163"</f>
        <v>300163</v>
      </c>
      <c r="B3343" s="1" t="s">
        <v>4430</v>
      </c>
      <c r="C3343" s="1" t="s">
        <v>4902</v>
      </c>
    </row>
    <row r="3344" spans="1:3" x14ac:dyDescent="0.2">
      <c r="A3344" s="1" t="str">
        <f>"300162"</f>
        <v>300162</v>
      </c>
      <c r="B3344" s="1" t="s">
        <v>797</v>
      </c>
      <c r="C3344" s="1" t="s">
        <v>4878</v>
      </c>
    </row>
    <row r="3345" spans="1:3" x14ac:dyDescent="0.2">
      <c r="A3345" s="1" t="str">
        <f>"300161"</f>
        <v>300161</v>
      </c>
      <c r="B3345" s="1" t="s">
        <v>4431</v>
      </c>
      <c r="C3345" s="1" t="s">
        <v>4851</v>
      </c>
    </row>
    <row r="3346" spans="1:3" x14ac:dyDescent="0.2">
      <c r="A3346" s="1" t="str">
        <f>"300160"</f>
        <v>300160</v>
      </c>
      <c r="B3346" s="1" t="s">
        <v>2144</v>
      </c>
      <c r="C3346" s="1" t="s">
        <v>4929</v>
      </c>
    </row>
    <row r="3347" spans="1:3" x14ac:dyDescent="0.2">
      <c r="A3347" s="1" t="str">
        <f>"300158"</f>
        <v>300158</v>
      </c>
      <c r="B3347" s="1" t="s">
        <v>1841</v>
      </c>
      <c r="C3347" s="1" t="s">
        <v>4843</v>
      </c>
    </row>
    <row r="3348" spans="1:3" x14ac:dyDescent="0.2">
      <c r="A3348" s="1" t="str">
        <f>"300157"</f>
        <v>300157</v>
      </c>
      <c r="B3348" s="1" t="s">
        <v>1157</v>
      </c>
      <c r="C3348" s="1" t="s">
        <v>4851</v>
      </c>
    </row>
    <row r="3349" spans="1:3" x14ac:dyDescent="0.2">
      <c r="A3349" s="1" t="str">
        <f>"300155"</f>
        <v>300155</v>
      </c>
      <c r="B3349" s="1" t="s">
        <v>4432</v>
      </c>
      <c r="C3349" s="1" t="s">
        <v>4873</v>
      </c>
    </row>
    <row r="3350" spans="1:3" x14ac:dyDescent="0.2">
      <c r="A3350" s="1" t="str">
        <f>"300154"</f>
        <v>300154</v>
      </c>
      <c r="B3350" s="1" t="s">
        <v>1158</v>
      </c>
      <c r="C3350" s="1" t="s">
        <v>4851</v>
      </c>
    </row>
    <row r="3351" spans="1:3" x14ac:dyDescent="0.2">
      <c r="A3351" s="1" t="str">
        <f>"300153"</f>
        <v>300153</v>
      </c>
      <c r="B3351" s="1" t="s">
        <v>1372</v>
      </c>
      <c r="C3351" s="1" t="s">
        <v>4859</v>
      </c>
    </row>
    <row r="3352" spans="1:3" x14ac:dyDescent="0.2">
      <c r="A3352" s="1" t="str">
        <f>"300151"</f>
        <v>300151</v>
      </c>
      <c r="B3352" s="1" t="s">
        <v>1064</v>
      </c>
      <c r="C3352" s="1" t="s">
        <v>4845</v>
      </c>
    </row>
    <row r="3353" spans="1:3" x14ac:dyDescent="0.2">
      <c r="A3353" s="1" t="str">
        <f>"300150"</f>
        <v>300150</v>
      </c>
      <c r="B3353" s="1" t="s">
        <v>585</v>
      </c>
      <c r="C3353" s="1" t="s">
        <v>4847</v>
      </c>
    </row>
    <row r="3354" spans="1:3" x14ac:dyDescent="0.2">
      <c r="A3354" s="1" t="str">
        <f>"300149"</f>
        <v>300149</v>
      </c>
      <c r="B3354" s="1" t="s">
        <v>1690</v>
      </c>
      <c r="C3354" s="1" t="s">
        <v>4861</v>
      </c>
    </row>
    <row r="3355" spans="1:3" x14ac:dyDescent="0.2">
      <c r="A3355" s="1" t="str">
        <f>"300148"</f>
        <v>300148</v>
      </c>
      <c r="B3355" s="1" t="s">
        <v>460</v>
      </c>
      <c r="C3355" s="1" t="s">
        <v>4890</v>
      </c>
    </row>
    <row r="3356" spans="1:3" x14ac:dyDescent="0.2">
      <c r="A3356" s="1" t="str">
        <f>"300146"</f>
        <v>300146</v>
      </c>
      <c r="B3356" s="1" t="s">
        <v>2401</v>
      </c>
      <c r="C3356" s="1" t="s">
        <v>4891</v>
      </c>
    </row>
    <row r="3357" spans="1:3" x14ac:dyDescent="0.2">
      <c r="A3357" s="1" t="str">
        <f>"300145"</f>
        <v>300145</v>
      </c>
      <c r="B3357" s="1" t="s">
        <v>1239</v>
      </c>
      <c r="C3357" s="1" t="s">
        <v>4851</v>
      </c>
    </row>
    <row r="3358" spans="1:3" x14ac:dyDescent="0.2">
      <c r="A3358" s="1" t="str">
        <f>"300144"</f>
        <v>300144</v>
      </c>
      <c r="B3358" s="1" t="s">
        <v>286</v>
      </c>
      <c r="C3358" s="1" t="s">
        <v>4940</v>
      </c>
    </row>
    <row r="3359" spans="1:3" x14ac:dyDescent="0.2">
      <c r="A3359" s="1" t="str">
        <f>"300143"</f>
        <v>300143</v>
      </c>
      <c r="B3359" s="1" t="s">
        <v>1672</v>
      </c>
      <c r="C3359" s="1" t="s">
        <v>4861</v>
      </c>
    </row>
    <row r="3360" spans="1:3" x14ac:dyDescent="0.2">
      <c r="A3360" s="1" t="str">
        <f>"300142"</f>
        <v>300142</v>
      </c>
      <c r="B3360" s="1" t="s">
        <v>4433</v>
      </c>
      <c r="C3360" s="1" t="s">
        <v>4852</v>
      </c>
    </row>
    <row r="3361" spans="1:3" x14ac:dyDescent="0.2">
      <c r="A3361" s="1" t="str">
        <f>"300141"</f>
        <v>300141</v>
      </c>
      <c r="B3361" s="1" t="s">
        <v>4434</v>
      </c>
      <c r="C3361" s="1" t="s">
        <v>4866</v>
      </c>
    </row>
    <row r="3362" spans="1:3" x14ac:dyDescent="0.2">
      <c r="A3362" s="1" t="str">
        <f>"300140"</f>
        <v>300140</v>
      </c>
      <c r="B3362" s="1" t="s">
        <v>33</v>
      </c>
      <c r="C3362" s="1" t="s">
        <v>4863</v>
      </c>
    </row>
    <row r="3363" spans="1:3" x14ac:dyDescent="0.2">
      <c r="A3363" s="1" t="str">
        <f>"300139"</f>
        <v>300139</v>
      </c>
      <c r="B3363" s="1" t="s">
        <v>2678</v>
      </c>
      <c r="C3363" s="1" t="s">
        <v>4958</v>
      </c>
    </row>
    <row r="3364" spans="1:3" x14ac:dyDescent="0.2">
      <c r="A3364" s="1" t="str">
        <f>"300138"</f>
        <v>300138</v>
      </c>
      <c r="B3364" s="1" t="s">
        <v>2521</v>
      </c>
      <c r="C3364" s="1" t="s">
        <v>4936</v>
      </c>
    </row>
    <row r="3365" spans="1:3" x14ac:dyDescent="0.2">
      <c r="A3365" s="1" t="str">
        <f>"300136"</f>
        <v>300136</v>
      </c>
      <c r="B3365" s="1" t="s">
        <v>882</v>
      </c>
      <c r="C3365" s="1" t="s">
        <v>4850</v>
      </c>
    </row>
    <row r="3366" spans="1:3" x14ac:dyDescent="0.2">
      <c r="A3366" s="1" t="str">
        <f>"300135"</f>
        <v>300135</v>
      </c>
      <c r="B3366" s="1" t="s">
        <v>3083</v>
      </c>
      <c r="C3366" s="1" t="s">
        <v>4925</v>
      </c>
    </row>
    <row r="3367" spans="1:3" x14ac:dyDescent="0.2">
      <c r="A3367" s="1" t="str">
        <f>"300134"</f>
        <v>300134</v>
      </c>
      <c r="B3367" s="1" t="s">
        <v>4435</v>
      </c>
      <c r="C3367" s="1" t="s">
        <v>4869</v>
      </c>
    </row>
    <row r="3368" spans="1:3" x14ac:dyDescent="0.2">
      <c r="A3368" s="1" t="str">
        <f>"300133"</f>
        <v>300133</v>
      </c>
      <c r="B3368" s="1" t="s">
        <v>476</v>
      </c>
      <c r="C3368" s="1" t="s">
        <v>4941</v>
      </c>
    </row>
    <row r="3369" spans="1:3" x14ac:dyDescent="0.2">
      <c r="A3369" s="1" t="str">
        <f>"300132"</f>
        <v>300132</v>
      </c>
      <c r="B3369" s="1" t="s">
        <v>3072</v>
      </c>
      <c r="C3369" s="1" t="s">
        <v>4920</v>
      </c>
    </row>
    <row r="3370" spans="1:3" x14ac:dyDescent="0.2">
      <c r="A3370" s="1" t="str">
        <f>"300131"</f>
        <v>300131</v>
      </c>
      <c r="B3370" s="1" t="s">
        <v>725</v>
      </c>
      <c r="C3370" s="1" t="s">
        <v>4842</v>
      </c>
    </row>
    <row r="3371" spans="1:3" x14ac:dyDescent="0.2">
      <c r="A3371" s="1" t="str">
        <f>"300130"</f>
        <v>300130</v>
      </c>
      <c r="B3371" s="1" t="s">
        <v>619</v>
      </c>
      <c r="C3371" s="1" t="s">
        <v>4873</v>
      </c>
    </row>
    <row r="3372" spans="1:3" x14ac:dyDescent="0.2">
      <c r="A3372" s="1" t="str">
        <f>"300129"</f>
        <v>300129</v>
      </c>
      <c r="B3372" s="1" t="s">
        <v>1395</v>
      </c>
      <c r="C3372" s="1" t="s">
        <v>4870</v>
      </c>
    </row>
    <row r="3373" spans="1:3" x14ac:dyDescent="0.2">
      <c r="A3373" s="1" t="str">
        <f>"300128"</f>
        <v>300128</v>
      </c>
      <c r="B3373" s="1" t="s">
        <v>4436</v>
      </c>
      <c r="C3373" s="1" t="s">
        <v>4878</v>
      </c>
    </row>
    <row r="3374" spans="1:3" x14ac:dyDescent="0.2">
      <c r="A3374" s="1" t="str">
        <f>"300127"</f>
        <v>300127</v>
      </c>
      <c r="B3374" s="1" t="s">
        <v>2636</v>
      </c>
      <c r="C3374" s="1" t="s">
        <v>4848</v>
      </c>
    </row>
    <row r="3375" spans="1:3" x14ac:dyDescent="0.2">
      <c r="A3375" s="1" t="str">
        <f>"300126"</f>
        <v>300126</v>
      </c>
      <c r="B3375" s="1" t="s">
        <v>1159</v>
      </c>
      <c r="C3375" s="1" t="s">
        <v>4851</v>
      </c>
    </row>
    <row r="3376" spans="1:3" x14ac:dyDescent="0.2">
      <c r="A3376" s="1" t="str">
        <f>"300124"</f>
        <v>300124</v>
      </c>
      <c r="B3376" s="1" t="s">
        <v>982</v>
      </c>
      <c r="C3376" s="1" t="s">
        <v>4849</v>
      </c>
    </row>
    <row r="3377" spans="1:3" x14ac:dyDescent="0.2">
      <c r="A3377" s="1" t="str">
        <f>"300123"</f>
        <v>300123</v>
      </c>
      <c r="B3377" s="1" t="s">
        <v>4437</v>
      </c>
      <c r="C3377" s="1" t="s">
        <v>4846</v>
      </c>
    </row>
    <row r="3378" spans="1:3" x14ac:dyDescent="0.2">
      <c r="A3378" s="1" t="str">
        <f>"300122"</f>
        <v>300122</v>
      </c>
      <c r="B3378" s="1" t="s">
        <v>4438</v>
      </c>
      <c r="C3378" s="1" t="s">
        <v>4852</v>
      </c>
    </row>
    <row r="3379" spans="1:3" x14ac:dyDescent="0.2">
      <c r="A3379" s="1" t="str">
        <f>"300121"</f>
        <v>300121</v>
      </c>
      <c r="B3379" s="1" t="s">
        <v>2835</v>
      </c>
      <c r="C3379" s="1" t="s">
        <v>4906</v>
      </c>
    </row>
    <row r="3380" spans="1:3" x14ac:dyDescent="0.2">
      <c r="A3380" s="1" t="str">
        <f>"300120"</f>
        <v>300120</v>
      </c>
      <c r="B3380" s="1" t="s">
        <v>832</v>
      </c>
      <c r="C3380" s="1" t="s">
        <v>4878</v>
      </c>
    </row>
    <row r="3381" spans="1:3" x14ac:dyDescent="0.2">
      <c r="A3381" s="1" t="str">
        <f>"300119"</f>
        <v>300119</v>
      </c>
      <c r="B3381" s="1" t="s">
        <v>2518</v>
      </c>
      <c r="C3381" s="1" t="s">
        <v>4877</v>
      </c>
    </row>
    <row r="3382" spans="1:3" x14ac:dyDescent="0.2">
      <c r="A3382" s="1" t="str">
        <f>"300118"</f>
        <v>300118</v>
      </c>
      <c r="B3382" s="1" t="s">
        <v>4439</v>
      </c>
      <c r="C3382" s="1" t="s">
        <v>4857</v>
      </c>
    </row>
    <row r="3383" spans="1:3" x14ac:dyDescent="0.2">
      <c r="A3383" s="1" t="str">
        <f>"300115"</f>
        <v>300115</v>
      </c>
      <c r="B3383" s="1" t="s">
        <v>883</v>
      </c>
      <c r="C3383" s="1" t="s">
        <v>4850</v>
      </c>
    </row>
    <row r="3384" spans="1:3" x14ac:dyDescent="0.2">
      <c r="A3384" s="1" t="str">
        <f>"300113"</f>
        <v>300113</v>
      </c>
      <c r="B3384" s="1" t="s">
        <v>508</v>
      </c>
      <c r="C3384" s="1" t="s">
        <v>4935</v>
      </c>
    </row>
    <row r="3385" spans="1:3" x14ac:dyDescent="0.2">
      <c r="A3385" s="1" t="str">
        <f>"300112"</f>
        <v>300112</v>
      </c>
      <c r="B3385" s="1" t="s">
        <v>4440</v>
      </c>
      <c r="C3385" s="1" t="s">
        <v>4851</v>
      </c>
    </row>
    <row r="3386" spans="1:3" x14ac:dyDescent="0.2">
      <c r="A3386" s="1" t="str">
        <f>"300111"</f>
        <v>300111</v>
      </c>
      <c r="B3386" s="1" t="s">
        <v>1842</v>
      </c>
      <c r="C3386" s="1" t="s">
        <v>4843</v>
      </c>
    </row>
    <row r="3387" spans="1:3" x14ac:dyDescent="0.2">
      <c r="A3387" s="1" t="str">
        <f>"300110"</f>
        <v>300110</v>
      </c>
      <c r="B3387" s="1" t="s">
        <v>1843</v>
      </c>
      <c r="C3387" s="1" t="s">
        <v>4843</v>
      </c>
    </row>
    <row r="3388" spans="1:3" x14ac:dyDescent="0.2">
      <c r="A3388" s="1" t="str">
        <f>"300109"</f>
        <v>300109</v>
      </c>
      <c r="B3388" s="1" t="s">
        <v>2915</v>
      </c>
      <c r="C3388" s="1" t="s">
        <v>4865</v>
      </c>
    </row>
    <row r="3389" spans="1:3" x14ac:dyDescent="0.2">
      <c r="A3389" s="1" t="str">
        <f>"300107"</f>
        <v>300107</v>
      </c>
      <c r="B3389" s="1" t="s">
        <v>2966</v>
      </c>
      <c r="C3389" s="1" t="s">
        <v>4865</v>
      </c>
    </row>
    <row r="3390" spans="1:3" x14ac:dyDescent="0.2">
      <c r="A3390" s="1" t="str">
        <f>"300106"</f>
        <v>300106</v>
      </c>
      <c r="B3390" s="1" t="s">
        <v>4441</v>
      </c>
      <c r="C3390" s="1" t="s">
        <v>4893</v>
      </c>
    </row>
    <row r="3391" spans="1:3" x14ac:dyDescent="0.2">
      <c r="A3391" s="1" t="str">
        <f>"300105"</f>
        <v>300105</v>
      </c>
      <c r="B3391" s="1" t="s">
        <v>1373</v>
      </c>
      <c r="C3391" s="1" t="s">
        <v>4871</v>
      </c>
    </row>
    <row r="3392" spans="1:3" x14ac:dyDescent="0.2">
      <c r="A3392" s="1" t="str">
        <f>"300103"</f>
        <v>300103</v>
      </c>
      <c r="B3392" s="1" t="s">
        <v>4442</v>
      </c>
      <c r="C3392" s="1" t="s">
        <v>4845</v>
      </c>
    </row>
    <row r="3393" spans="1:3" x14ac:dyDescent="0.2">
      <c r="A3393" s="1" t="str">
        <f>"300102"</f>
        <v>300102</v>
      </c>
      <c r="B3393" s="1" t="s">
        <v>798</v>
      </c>
      <c r="C3393" s="1" t="s">
        <v>4878</v>
      </c>
    </row>
    <row r="3394" spans="1:3" x14ac:dyDescent="0.2">
      <c r="A3394" s="1" t="str">
        <f>"300101"</f>
        <v>300101</v>
      </c>
      <c r="B3394" s="1" t="s">
        <v>1315</v>
      </c>
      <c r="C3394" s="1" t="s">
        <v>4846</v>
      </c>
    </row>
    <row r="3395" spans="1:3" x14ac:dyDescent="0.2">
      <c r="A3395" s="1" t="str">
        <f>"300100"</f>
        <v>300100</v>
      </c>
      <c r="B3395" s="1" t="s">
        <v>2063</v>
      </c>
      <c r="C3395" s="1" t="s">
        <v>4856</v>
      </c>
    </row>
    <row r="3396" spans="1:3" x14ac:dyDescent="0.2">
      <c r="A3396" s="1" t="str">
        <f>"300099"</f>
        <v>300099</v>
      </c>
      <c r="B3396" s="1" t="s">
        <v>1126</v>
      </c>
      <c r="C3396" s="1" t="s">
        <v>4845</v>
      </c>
    </row>
    <row r="3397" spans="1:3" x14ac:dyDescent="0.2">
      <c r="A3397" s="1" t="str">
        <f>"300098"</f>
        <v>300098</v>
      </c>
      <c r="B3397" s="1" t="s">
        <v>4443</v>
      </c>
      <c r="C3397" s="1" t="s">
        <v>4847</v>
      </c>
    </row>
    <row r="3398" spans="1:3" x14ac:dyDescent="0.2">
      <c r="A3398" s="1" t="str">
        <f>"300095"</f>
        <v>300095</v>
      </c>
      <c r="B3398" s="1" t="s">
        <v>1127</v>
      </c>
      <c r="C3398" s="1" t="s">
        <v>4845</v>
      </c>
    </row>
    <row r="3399" spans="1:3" x14ac:dyDescent="0.2">
      <c r="A3399" s="1" t="str">
        <f>"300094"</f>
        <v>300094</v>
      </c>
      <c r="B3399" s="1" t="s">
        <v>2548</v>
      </c>
      <c r="C3399" s="1" t="s">
        <v>4963</v>
      </c>
    </row>
    <row r="3400" spans="1:3" x14ac:dyDescent="0.2">
      <c r="A3400" s="1" t="str">
        <f>"300092"</f>
        <v>300092</v>
      </c>
      <c r="B3400" s="1" t="s">
        <v>1128</v>
      </c>
      <c r="C3400" s="1" t="s">
        <v>4845</v>
      </c>
    </row>
    <row r="3401" spans="1:3" x14ac:dyDescent="0.2">
      <c r="A3401" s="1" t="str">
        <f>"300091"</f>
        <v>300091</v>
      </c>
      <c r="B3401" s="1" t="s">
        <v>4444</v>
      </c>
      <c r="C3401" s="1" t="s">
        <v>4851</v>
      </c>
    </row>
    <row r="3402" spans="1:3" x14ac:dyDescent="0.2">
      <c r="A3402" s="1" t="str">
        <f>"300088"</f>
        <v>300088</v>
      </c>
      <c r="B3402" s="1" t="s">
        <v>818</v>
      </c>
      <c r="C3402" s="1" t="s">
        <v>4878</v>
      </c>
    </row>
    <row r="3403" spans="1:3" x14ac:dyDescent="0.2">
      <c r="A3403" s="1" t="str">
        <f>"300087"</f>
        <v>300087</v>
      </c>
      <c r="B3403" s="1" t="s">
        <v>4445</v>
      </c>
      <c r="C3403" s="1" t="s">
        <v>4949</v>
      </c>
    </row>
    <row r="3404" spans="1:3" x14ac:dyDescent="0.2">
      <c r="A3404" s="1" t="str">
        <f>"300086"</f>
        <v>300086</v>
      </c>
      <c r="B3404" s="1" t="s">
        <v>4446</v>
      </c>
      <c r="C3404" s="1" t="s">
        <v>4843</v>
      </c>
    </row>
    <row r="3405" spans="1:3" x14ac:dyDescent="0.2">
      <c r="A3405" s="1" t="str">
        <f>"300085"</f>
        <v>300085</v>
      </c>
      <c r="B3405" s="1" t="s">
        <v>4447</v>
      </c>
      <c r="C3405" s="1" t="s">
        <v>4847</v>
      </c>
    </row>
    <row r="3406" spans="1:3" x14ac:dyDescent="0.2">
      <c r="A3406" s="1" t="str">
        <f>"300084"</f>
        <v>300084</v>
      </c>
      <c r="B3406" s="1" t="s">
        <v>4448</v>
      </c>
      <c r="C3406" s="1" t="s">
        <v>4845</v>
      </c>
    </row>
    <row r="3407" spans="1:3" x14ac:dyDescent="0.2">
      <c r="A3407" s="1" t="str">
        <f>"300083"</f>
        <v>300083</v>
      </c>
      <c r="B3407" s="1" t="s">
        <v>1257</v>
      </c>
      <c r="C3407" s="1" t="s">
        <v>4851</v>
      </c>
    </row>
    <row r="3408" spans="1:3" x14ac:dyDescent="0.2">
      <c r="A3408" s="1" t="str">
        <f>"300082"</f>
        <v>300082</v>
      </c>
      <c r="B3408" s="1" t="s">
        <v>4449</v>
      </c>
      <c r="C3408" s="1" t="s">
        <v>4853</v>
      </c>
    </row>
    <row r="3409" spans="1:3" x14ac:dyDescent="0.2">
      <c r="A3409" s="1" t="str">
        <f>"300081"</f>
        <v>300081</v>
      </c>
      <c r="B3409" s="1" t="s">
        <v>4450</v>
      </c>
      <c r="C3409" s="1" t="s">
        <v>4954</v>
      </c>
    </row>
    <row r="3410" spans="1:3" x14ac:dyDescent="0.2">
      <c r="A3410" s="1" t="str">
        <f>"300080"</f>
        <v>300080</v>
      </c>
      <c r="B3410" s="1" t="s">
        <v>4451</v>
      </c>
      <c r="C3410" s="1" t="s">
        <v>4857</v>
      </c>
    </row>
    <row r="3411" spans="1:3" x14ac:dyDescent="0.2">
      <c r="A3411" s="1" t="str">
        <f>"300079"</f>
        <v>300079</v>
      </c>
      <c r="B3411" s="1" t="s">
        <v>661</v>
      </c>
      <c r="C3411" s="1" t="s">
        <v>4847</v>
      </c>
    </row>
    <row r="3412" spans="1:3" x14ac:dyDescent="0.2">
      <c r="A3412" s="1" t="str">
        <f>"300078"</f>
        <v>300078</v>
      </c>
      <c r="B3412" s="1" t="s">
        <v>4452</v>
      </c>
      <c r="C3412" s="1" t="s">
        <v>4847</v>
      </c>
    </row>
    <row r="3413" spans="1:3" x14ac:dyDescent="0.2">
      <c r="A3413" s="1" t="str">
        <f>"300077"</f>
        <v>300077</v>
      </c>
      <c r="B3413" s="1" t="s">
        <v>4453</v>
      </c>
      <c r="C3413" s="1" t="s">
        <v>4840</v>
      </c>
    </row>
    <row r="3414" spans="1:3" x14ac:dyDescent="0.2">
      <c r="A3414" s="1" t="str">
        <f>"300075"</f>
        <v>300075</v>
      </c>
      <c r="B3414" s="1" t="s">
        <v>586</v>
      </c>
      <c r="C3414" s="1" t="s">
        <v>4847</v>
      </c>
    </row>
    <row r="3415" spans="1:3" x14ac:dyDescent="0.2">
      <c r="A3415" s="1" t="str">
        <f>"300074"</f>
        <v>300074</v>
      </c>
      <c r="B3415" s="1" t="s">
        <v>4454</v>
      </c>
      <c r="C3415" s="1" t="s">
        <v>4847</v>
      </c>
    </row>
    <row r="3416" spans="1:3" x14ac:dyDescent="0.2">
      <c r="A3416" s="1" t="str">
        <f>"300073"</f>
        <v>300073</v>
      </c>
      <c r="B3416" s="1" t="s">
        <v>1539</v>
      </c>
      <c r="C3416" s="1" t="s">
        <v>4841</v>
      </c>
    </row>
    <row r="3417" spans="1:3" x14ac:dyDescent="0.2">
      <c r="A3417" s="1" t="str">
        <f>"300071"</f>
        <v>300071</v>
      </c>
      <c r="B3417" s="1" t="s">
        <v>4455</v>
      </c>
      <c r="C3417" s="1" t="s">
        <v>4907</v>
      </c>
    </row>
    <row r="3418" spans="1:3" x14ac:dyDescent="0.2">
      <c r="A3418" s="1" t="str">
        <f>"300070"</f>
        <v>300070</v>
      </c>
      <c r="B3418" s="1" t="s">
        <v>59</v>
      </c>
      <c r="C3418" s="1" t="s">
        <v>4863</v>
      </c>
    </row>
    <row r="3419" spans="1:3" x14ac:dyDescent="0.2">
      <c r="A3419" s="1" t="str">
        <f>"300069"</f>
        <v>300069</v>
      </c>
      <c r="B3419" s="1" t="s">
        <v>4456</v>
      </c>
      <c r="C3419" s="1" t="s">
        <v>4866</v>
      </c>
    </row>
    <row r="3420" spans="1:3" x14ac:dyDescent="0.2">
      <c r="A3420" s="1" t="str">
        <f>"300068"</f>
        <v>300068</v>
      </c>
      <c r="B3420" s="1" t="s">
        <v>4457</v>
      </c>
      <c r="C3420" s="1" t="s">
        <v>4841</v>
      </c>
    </row>
    <row r="3421" spans="1:3" x14ac:dyDescent="0.2">
      <c r="A3421" s="1" t="str">
        <f>"300067"</f>
        <v>300067</v>
      </c>
      <c r="B3421" s="1" t="s">
        <v>4458</v>
      </c>
      <c r="C3421" s="1" t="s">
        <v>4865</v>
      </c>
    </row>
    <row r="3422" spans="1:3" x14ac:dyDescent="0.2">
      <c r="A3422" s="1" t="str">
        <f>"300066"</f>
        <v>300066</v>
      </c>
      <c r="B3422" s="1" t="s">
        <v>1285</v>
      </c>
      <c r="C3422" s="1" t="s">
        <v>4851</v>
      </c>
    </row>
    <row r="3423" spans="1:3" x14ac:dyDescent="0.2">
      <c r="A3423" s="1" t="str">
        <f>"300065"</f>
        <v>300065</v>
      </c>
      <c r="B3423" s="1" t="s">
        <v>1330</v>
      </c>
      <c r="C3423" s="1" t="s">
        <v>4946</v>
      </c>
    </row>
    <row r="3424" spans="1:3" x14ac:dyDescent="0.2">
      <c r="A3424" s="1" t="str">
        <f>"300063"</f>
        <v>300063</v>
      </c>
      <c r="B3424" s="1" t="s">
        <v>492</v>
      </c>
      <c r="C3424" s="1" t="s">
        <v>4907</v>
      </c>
    </row>
    <row r="3425" spans="1:3" x14ac:dyDescent="0.2">
      <c r="A3425" s="1" t="str">
        <f>"300062"</f>
        <v>300062</v>
      </c>
      <c r="B3425" s="1" t="s">
        <v>4459</v>
      </c>
      <c r="C3425" s="1" t="s">
        <v>4866</v>
      </c>
    </row>
    <row r="3426" spans="1:3" x14ac:dyDescent="0.2">
      <c r="A3426" s="1" t="str">
        <f>"300061"</f>
        <v>300061</v>
      </c>
      <c r="B3426" s="1" t="s">
        <v>482</v>
      </c>
      <c r="C3426" s="1" t="s">
        <v>4907</v>
      </c>
    </row>
    <row r="3427" spans="1:3" x14ac:dyDescent="0.2">
      <c r="A3427" s="1" t="str">
        <f>"300059"</f>
        <v>300059</v>
      </c>
      <c r="B3427" s="1" t="s">
        <v>399</v>
      </c>
      <c r="C3427" s="1" t="s">
        <v>4945</v>
      </c>
    </row>
    <row r="3428" spans="1:3" x14ac:dyDescent="0.2">
      <c r="A3428" s="1" t="str">
        <f>"300058"</f>
        <v>300058</v>
      </c>
      <c r="B3428" s="1" t="s">
        <v>493</v>
      </c>
      <c r="C3428" s="1" t="s">
        <v>4907</v>
      </c>
    </row>
    <row r="3429" spans="1:3" x14ac:dyDescent="0.2">
      <c r="A3429" s="1" t="str">
        <f>"300057"</f>
        <v>300057</v>
      </c>
      <c r="B3429" s="1" t="s">
        <v>4460</v>
      </c>
      <c r="C3429" s="1" t="s">
        <v>4879</v>
      </c>
    </row>
    <row r="3430" spans="1:3" x14ac:dyDescent="0.2">
      <c r="A3430" s="1" t="str">
        <f>"300056"</f>
        <v>300056</v>
      </c>
      <c r="B3430" s="1" t="s">
        <v>4461</v>
      </c>
      <c r="C3430" s="1" t="s">
        <v>4863</v>
      </c>
    </row>
    <row r="3431" spans="1:3" x14ac:dyDescent="0.2">
      <c r="A3431" s="1" t="str">
        <f>"300055"</f>
        <v>300055</v>
      </c>
      <c r="B3431" s="1" t="s">
        <v>3084</v>
      </c>
      <c r="C3431" s="1" t="s">
        <v>4925</v>
      </c>
    </row>
    <row r="3432" spans="1:3" x14ac:dyDescent="0.2">
      <c r="A3432" s="1" t="str">
        <f>"300054"</f>
        <v>300054</v>
      </c>
      <c r="B3432" s="1" t="s">
        <v>951</v>
      </c>
      <c r="C3432" s="1" t="s">
        <v>4840</v>
      </c>
    </row>
    <row r="3433" spans="1:3" x14ac:dyDescent="0.2">
      <c r="A3433" s="1" t="str">
        <f>"300053"</f>
        <v>300053</v>
      </c>
      <c r="B3433" s="1" t="s">
        <v>4462</v>
      </c>
      <c r="C3433" s="1" t="s">
        <v>4840</v>
      </c>
    </row>
    <row r="3434" spans="1:3" x14ac:dyDescent="0.2">
      <c r="A3434" s="1" t="str">
        <f>"300050"</f>
        <v>300050</v>
      </c>
      <c r="B3434" s="1" t="s">
        <v>640</v>
      </c>
      <c r="C3434" s="1" t="s">
        <v>4932</v>
      </c>
    </row>
    <row r="3435" spans="1:3" x14ac:dyDescent="0.2">
      <c r="A3435" s="1" t="str">
        <f>"300049"</f>
        <v>300049</v>
      </c>
      <c r="B3435" s="1" t="s">
        <v>1736</v>
      </c>
      <c r="C3435" s="1" t="s">
        <v>4867</v>
      </c>
    </row>
    <row r="3436" spans="1:3" x14ac:dyDescent="0.2">
      <c r="A3436" s="1" t="str">
        <f>"300048"</f>
        <v>300048</v>
      </c>
      <c r="B3436" s="1" t="s">
        <v>1489</v>
      </c>
      <c r="C3436" s="1" t="s">
        <v>4866</v>
      </c>
    </row>
    <row r="3437" spans="1:3" x14ac:dyDescent="0.2">
      <c r="A3437" s="1" t="str">
        <f>"300047"</f>
        <v>300047</v>
      </c>
      <c r="B3437" s="1" t="s">
        <v>587</v>
      </c>
      <c r="C3437" s="1" t="s">
        <v>4847</v>
      </c>
    </row>
    <row r="3438" spans="1:3" x14ac:dyDescent="0.2">
      <c r="A3438" s="1" t="str">
        <f>"300046"</f>
        <v>300046</v>
      </c>
      <c r="B3438" s="1" t="s">
        <v>916</v>
      </c>
      <c r="C3438" s="1" t="s">
        <v>4840</v>
      </c>
    </row>
    <row r="3439" spans="1:3" x14ac:dyDescent="0.2">
      <c r="A3439" s="1" t="str">
        <f>"300045"</f>
        <v>300045</v>
      </c>
      <c r="B3439" s="1" t="s">
        <v>4463</v>
      </c>
      <c r="C3439" s="1" t="s">
        <v>4846</v>
      </c>
    </row>
    <row r="3440" spans="1:3" x14ac:dyDescent="0.2">
      <c r="A3440" s="1" t="str">
        <f>"300043"</f>
        <v>300043</v>
      </c>
      <c r="B3440" s="1" t="s">
        <v>4464</v>
      </c>
      <c r="C3440" s="1" t="s">
        <v>4935</v>
      </c>
    </row>
    <row r="3441" spans="1:3" x14ac:dyDescent="0.2">
      <c r="A3441" s="1" t="str">
        <f>"300042"</f>
        <v>300042</v>
      </c>
      <c r="B3441" s="1" t="s">
        <v>4465</v>
      </c>
      <c r="C3441" s="1" t="s">
        <v>4873</v>
      </c>
    </row>
    <row r="3442" spans="1:3" x14ac:dyDescent="0.2">
      <c r="A3442" s="1" t="str">
        <f>"300041"</f>
        <v>300041</v>
      </c>
      <c r="B3442" s="1" t="s">
        <v>2930</v>
      </c>
      <c r="C3442" s="1" t="s">
        <v>4865</v>
      </c>
    </row>
    <row r="3443" spans="1:3" x14ac:dyDescent="0.2">
      <c r="A3443" s="1" t="str">
        <f>"300040"</f>
        <v>300040</v>
      </c>
      <c r="B3443" s="1" t="s">
        <v>118</v>
      </c>
      <c r="C3443" s="1" t="s">
        <v>4889</v>
      </c>
    </row>
    <row r="3444" spans="1:3" x14ac:dyDescent="0.2">
      <c r="A3444" s="1" t="str">
        <f>"300039"</f>
        <v>300039</v>
      </c>
      <c r="B3444" s="1" t="s">
        <v>1617</v>
      </c>
      <c r="C3444" s="1" t="s">
        <v>4917</v>
      </c>
    </row>
    <row r="3445" spans="1:3" x14ac:dyDescent="0.2">
      <c r="A3445" s="1" t="str">
        <f>"300037"</f>
        <v>300037</v>
      </c>
      <c r="B3445" s="1" t="s">
        <v>1540</v>
      </c>
      <c r="C3445" s="1" t="s">
        <v>4841</v>
      </c>
    </row>
    <row r="3446" spans="1:3" x14ac:dyDescent="0.2">
      <c r="A3446" s="1" t="str">
        <f>"300036"</f>
        <v>300036</v>
      </c>
      <c r="B3446" s="1" t="s">
        <v>4466</v>
      </c>
      <c r="C3446" s="1" t="s">
        <v>4847</v>
      </c>
    </row>
    <row r="3447" spans="1:3" x14ac:dyDescent="0.2">
      <c r="A3447" s="1" t="str">
        <f>"300035"</f>
        <v>300035</v>
      </c>
      <c r="B3447" s="1" t="s">
        <v>1541</v>
      </c>
      <c r="C3447" s="1" t="s">
        <v>4841</v>
      </c>
    </row>
    <row r="3448" spans="1:3" x14ac:dyDescent="0.2">
      <c r="A3448" s="1" t="str">
        <f>"300034"</f>
        <v>300034</v>
      </c>
      <c r="B3448" s="1" t="s">
        <v>1349</v>
      </c>
      <c r="C3448" s="1" t="s">
        <v>4862</v>
      </c>
    </row>
    <row r="3449" spans="1:3" x14ac:dyDescent="0.2">
      <c r="A3449" s="1" t="str">
        <f>"300033"</f>
        <v>300033</v>
      </c>
      <c r="B3449" s="1" t="s">
        <v>588</v>
      </c>
      <c r="C3449" s="1" t="s">
        <v>4847</v>
      </c>
    </row>
    <row r="3450" spans="1:3" x14ac:dyDescent="0.2">
      <c r="A3450" s="1" t="str">
        <f>"300032"</f>
        <v>300032</v>
      </c>
      <c r="B3450" s="1" t="s">
        <v>884</v>
      </c>
      <c r="C3450" s="1" t="s">
        <v>4850</v>
      </c>
    </row>
    <row r="3451" spans="1:3" x14ac:dyDescent="0.2">
      <c r="A3451" s="1" t="str">
        <f>"300031"</f>
        <v>300031</v>
      </c>
      <c r="B3451" s="1" t="s">
        <v>509</v>
      </c>
      <c r="C3451" s="1" t="s">
        <v>4935</v>
      </c>
    </row>
    <row r="3452" spans="1:3" x14ac:dyDescent="0.2">
      <c r="A3452" s="1" t="str">
        <f>"300030"</f>
        <v>300030</v>
      </c>
      <c r="B3452" s="1" t="s">
        <v>1737</v>
      </c>
      <c r="C3452" s="1" t="s">
        <v>4867</v>
      </c>
    </row>
    <row r="3453" spans="1:3" x14ac:dyDescent="0.2">
      <c r="A3453" s="1" t="str">
        <f>"300027"</f>
        <v>300027</v>
      </c>
      <c r="B3453" s="1" t="s">
        <v>477</v>
      </c>
      <c r="C3453" s="1" t="s">
        <v>4941</v>
      </c>
    </row>
    <row r="3454" spans="1:3" x14ac:dyDescent="0.2">
      <c r="A3454" s="1" t="str">
        <f>"300026"</f>
        <v>300026</v>
      </c>
      <c r="B3454" s="1" t="s">
        <v>1618</v>
      </c>
      <c r="C3454" s="1" t="s">
        <v>4917</v>
      </c>
    </row>
    <row r="3455" spans="1:3" x14ac:dyDescent="0.2">
      <c r="A3455" s="1" t="str">
        <f>"300025"</f>
        <v>300025</v>
      </c>
      <c r="B3455" s="1" t="s">
        <v>4467</v>
      </c>
      <c r="C3455" s="1" t="s">
        <v>4932</v>
      </c>
    </row>
    <row r="3456" spans="1:3" x14ac:dyDescent="0.2">
      <c r="A3456" s="1" t="str">
        <f>"300024"</f>
        <v>300024</v>
      </c>
      <c r="B3456" s="1" t="s">
        <v>3087</v>
      </c>
      <c r="C3456" s="1" t="s">
        <v>4849</v>
      </c>
    </row>
    <row r="3457" spans="1:3" x14ac:dyDescent="0.2">
      <c r="A3457" s="1" t="str">
        <f>"300022"</f>
        <v>300022</v>
      </c>
      <c r="B3457" s="1" t="s">
        <v>2117</v>
      </c>
      <c r="C3457" s="1" t="s">
        <v>4939</v>
      </c>
    </row>
    <row r="3458" spans="1:3" x14ac:dyDescent="0.2">
      <c r="A3458" s="1" t="str">
        <f>"300021"</f>
        <v>300021</v>
      </c>
      <c r="B3458" s="1" t="s">
        <v>324</v>
      </c>
      <c r="C3458" s="1" t="s">
        <v>4888</v>
      </c>
    </row>
    <row r="3459" spans="1:3" x14ac:dyDescent="0.2">
      <c r="A3459" s="1" t="str">
        <f>"300019"</f>
        <v>300019</v>
      </c>
      <c r="B3459" s="1" t="s">
        <v>2938</v>
      </c>
      <c r="C3459" s="1" t="s">
        <v>4865</v>
      </c>
    </row>
    <row r="3460" spans="1:3" x14ac:dyDescent="0.2">
      <c r="A3460" s="1" t="str">
        <f>"300018"</f>
        <v>300018</v>
      </c>
      <c r="B3460" s="1" t="s">
        <v>1507</v>
      </c>
      <c r="C3460" s="1" t="s">
        <v>4866</v>
      </c>
    </row>
    <row r="3461" spans="1:3" x14ac:dyDescent="0.2">
      <c r="A3461" s="1" t="str">
        <f>"300017"</f>
        <v>300017</v>
      </c>
      <c r="B3461" s="1" t="s">
        <v>543</v>
      </c>
      <c r="C3461" s="1" t="s">
        <v>4874</v>
      </c>
    </row>
    <row r="3462" spans="1:3" x14ac:dyDescent="0.2">
      <c r="A3462" s="1" t="str">
        <f>"300016"</f>
        <v>300016</v>
      </c>
      <c r="B3462" s="1" t="s">
        <v>1844</v>
      </c>
      <c r="C3462" s="1" t="s">
        <v>4843</v>
      </c>
    </row>
    <row r="3463" spans="1:3" x14ac:dyDescent="0.2">
      <c r="A3463" s="1" t="str">
        <f>"300015"</f>
        <v>300015</v>
      </c>
      <c r="B3463" s="1" t="s">
        <v>1673</v>
      </c>
      <c r="C3463" s="1" t="s">
        <v>4861</v>
      </c>
    </row>
    <row r="3464" spans="1:3" x14ac:dyDescent="0.2">
      <c r="A3464" s="1" t="str">
        <f>"300014"</f>
        <v>300014</v>
      </c>
      <c r="B3464" s="1" t="s">
        <v>1556</v>
      </c>
      <c r="C3464" s="1" t="s">
        <v>4841</v>
      </c>
    </row>
    <row r="3465" spans="1:3" x14ac:dyDescent="0.2">
      <c r="A3465" s="1" t="str">
        <f>"300013"</f>
        <v>300013</v>
      </c>
      <c r="B3465" s="1" t="s">
        <v>188</v>
      </c>
      <c r="C3465" s="1" t="s">
        <v>4914</v>
      </c>
    </row>
    <row r="3466" spans="1:3" x14ac:dyDescent="0.2">
      <c r="A3466" s="1" t="str">
        <f>"300012"</f>
        <v>300012</v>
      </c>
      <c r="B3466" s="1" t="s">
        <v>275</v>
      </c>
      <c r="C3466" s="1" t="s">
        <v>4854</v>
      </c>
    </row>
    <row r="3467" spans="1:3" x14ac:dyDescent="0.2">
      <c r="A3467" s="1" t="str">
        <f>"300011"</f>
        <v>300011</v>
      </c>
      <c r="B3467" s="1" t="s">
        <v>4468</v>
      </c>
      <c r="C3467" s="1" t="s">
        <v>4875</v>
      </c>
    </row>
    <row r="3468" spans="1:3" x14ac:dyDescent="0.2">
      <c r="A3468" s="1" t="str">
        <f>"300010"</f>
        <v>300010</v>
      </c>
      <c r="B3468" s="1" t="s">
        <v>4469</v>
      </c>
      <c r="C3468" s="1" t="s">
        <v>4913</v>
      </c>
    </row>
    <row r="3469" spans="1:3" x14ac:dyDescent="0.2">
      <c r="A3469" s="1" t="str">
        <f>"300009"</f>
        <v>300009</v>
      </c>
      <c r="B3469" s="1" t="s">
        <v>1756</v>
      </c>
      <c r="C3469" s="1" t="s">
        <v>4852</v>
      </c>
    </row>
    <row r="3470" spans="1:3" x14ac:dyDescent="0.2">
      <c r="A3470" s="1" t="str">
        <f>"300008"</f>
        <v>300008</v>
      </c>
      <c r="B3470" s="1" t="s">
        <v>1331</v>
      </c>
      <c r="C3470" s="1" t="s">
        <v>4946</v>
      </c>
    </row>
    <row r="3471" spans="1:3" x14ac:dyDescent="0.2">
      <c r="A3471" s="1" t="str">
        <f>"300007"</f>
        <v>300007</v>
      </c>
      <c r="B3471" s="1" t="s">
        <v>1286</v>
      </c>
      <c r="C3471" s="1" t="s">
        <v>4851</v>
      </c>
    </row>
    <row r="3472" spans="1:3" x14ac:dyDescent="0.2">
      <c r="A3472" s="1" t="str">
        <f>"300006"</f>
        <v>300006</v>
      </c>
      <c r="B3472" s="1" t="s">
        <v>4470</v>
      </c>
      <c r="C3472" s="1" t="s">
        <v>4843</v>
      </c>
    </row>
    <row r="3473" spans="1:3" x14ac:dyDescent="0.2">
      <c r="A3473" s="1" t="str">
        <f>"300005"</f>
        <v>300005</v>
      </c>
      <c r="B3473" s="1" t="s">
        <v>2349</v>
      </c>
      <c r="C3473" s="1" t="s">
        <v>4909</v>
      </c>
    </row>
    <row r="3474" spans="1:3" x14ac:dyDescent="0.2">
      <c r="A3474" s="1" t="str">
        <f>"300004"</f>
        <v>300004</v>
      </c>
      <c r="B3474" s="1" t="s">
        <v>1160</v>
      </c>
      <c r="C3474" s="1" t="s">
        <v>4851</v>
      </c>
    </row>
    <row r="3475" spans="1:3" x14ac:dyDescent="0.2">
      <c r="A3475" s="1" t="str">
        <f>"300003"</f>
        <v>300003</v>
      </c>
      <c r="B3475" s="1" t="s">
        <v>1719</v>
      </c>
      <c r="C3475" s="1" t="s">
        <v>4867</v>
      </c>
    </row>
    <row r="3476" spans="1:3" x14ac:dyDescent="0.2">
      <c r="A3476" s="1" t="str">
        <f>"300002"</f>
        <v>300002</v>
      </c>
      <c r="B3476" s="1" t="s">
        <v>510</v>
      </c>
      <c r="C3476" s="1" t="s">
        <v>4935</v>
      </c>
    </row>
    <row r="3477" spans="1:3" x14ac:dyDescent="0.2">
      <c r="A3477" s="1" t="str">
        <f>"300001"</f>
        <v>300001</v>
      </c>
      <c r="B3477" s="1" t="s">
        <v>1490</v>
      </c>
      <c r="C3477" s="1" t="s">
        <v>4866</v>
      </c>
    </row>
    <row r="3478" spans="1:3" x14ac:dyDescent="0.2">
      <c r="A3478" s="1" t="str">
        <f>"003816"</f>
        <v>003816</v>
      </c>
      <c r="B3478" s="1" t="s">
        <v>123</v>
      </c>
      <c r="C3478" s="1" t="s">
        <v>4889</v>
      </c>
    </row>
    <row r="3479" spans="1:3" x14ac:dyDescent="0.2">
      <c r="A3479" s="1" t="str">
        <f>"003043"</f>
        <v>003043</v>
      </c>
      <c r="B3479" s="1" t="s">
        <v>937</v>
      </c>
      <c r="C3479" s="1" t="s">
        <v>4840</v>
      </c>
    </row>
    <row r="3480" spans="1:3" x14ac:dyDescent="0.2">
      <c r="A3480" s="1" t="str">
        <f>"003042"</f>
        <v>003042</v>
      </c>
      <c r="B3480" s="1" t="s">
        <v>2811</v>
      </c>
      <c r="C3480" s="1" t="s">
        <v>4915</v>
      </c>
    </row>
    <row r="3481" spans="1:3" x14ac:dyDescent="0.2">
      <c r="A3481" s="1" t="str">
        <f>"003041"</f>
        <v>003041</v>
      </c>
      <c r="B3481" s="1" t="s">
        <v>2363</v>
      </c>
      <c r="C3481" s="1" t="s">
        <v>4909</v>
      </c>
    </row>
    <row r="3482" spans="1:3" x14ac:dyDescent="0.2">
      <c r="A3482" s="1" t="str">
        <f>"003040"</f>
        <v>003040</v>
      </c>
      <c r="B3482" s="1" t="s">
        <v>675</v>
      </c>
      <c r="C3482" s="1" t="s">
        <v>4869</v>
      </c>
    </row>
    <row r="3483" spans="1:3" x14ac:dyDescent="0.2">
      <c r="A3483" s="1" t="str">
        <f>"003039"</f>
        <v>003039</v>
      </c>
      <c r="B3483" s="1" t="s">
        <v>91</v>
      </c>
      <c r="C3483" s="1" t="s">
        <v>4926</v>
      </c>
    </row>
    <row r="3484" spans="1:3" x14ac:dyDescent="0.2">
      <c r="A3484" s="1" t="str">
        <f>"003038"</f>
        <v>003038</v>
      </c>
      <c r="B3484" s="1" t="s">
        <v>2709</v>
      </c>
      <c r="C3484" s="1" t="s">
        <v>4879</v>
      </c>
    </row>
    <row r="3485" spans="1:3" x14ac:dyDescent="0.2">
      <c r="A3485" s="1" t="str">
        <f>"003037"</f>
        <v>003037</v>
      </c>
      <c r="B3485" s="1" t="s">
        <v>4471</v>
      </c>
      <c r="C3485" s="1" t="s">
        <v>4911</v>
      </c>
    </row>
    <row r="3486" spans="1:3" x14ac:dyDescent="0.2">
      <c r="A3486" s="1" t="str">
        <f>"003036"</f>
        <v>003036</v>
      </c>
      <c r="B3486" s="1" t="s">
        <v>1093</v>
      </c>
      <c r="C3486" s="1" t="s">
        <v>4845</v>
      </c>
    </row>
    <row r="3487" spans="1:3" x14ac:dyDescent="0.2">
      <c r="A3487" s="1" t="str">
        <f>"003035"</f>
        <v>003035</v>
      </c>
      <c r="B3487" s="1" t="s">
        <v>119</v>
      </c>
      <c r="C3487" s="1" t="s">
        <v>4889</v>
      </c>
    </row>
    <row r="3488" spans="1:3" x14ac:dyDescent="0.2">
      <c r="A3488" s="1" t="str">
        <f>"003033"</f>
        <v>003033</v>
      </c>
      <c r="B3488" s="1" t="s">
        <v>1940</v>
      </c>
      <c r="C3488" s="1" t="s">
        <v>4856</v>
      </c>
    </row>
    <row r="3489" spans="1:3" x14ac:dyDescent="0.2">
      <c r="A3489" s="1" t="str">
        <f>"003031"</f>
        <v>003031</v>
      </c>
      <c r="B3489" s="1" t="s">
        <v>726</v>
      </c>
      <c r="C3489" s="1" t="s">
        <v>4842</v>
      </c>
    </row>
    <row r="3490" spans="1:3" x14ac:dyDescent="0.2">
      <c r="A3490" s="1" t="str">
        <f>"003030"</f>
        <v>003030</v>
      </c>
      <c r="B3490" s="1" t="s">
        <v>4472</v>
      </c>
      <c r="C3490" s="1" t="s">
        <v>4936</v>
      </c>
    </row>
    <row r="3491" spans="1:3" x14ac:dyDescent="0.2">
      <c r="A3491" s="1" t="str">
        <f>"003028"</f>
        <v>003028</v>
      </c>
      <c r="B3491" s="1" t="s">
        <v>727</v>
      </c>
      <c r="C3491" s="1" t="s">
        <v>4842</v>
      </c>
    </row>
    <row r="3492" spans="1:3" x14ac:dyDescent="0.2">
      <c r="A3492" s="1" t="str">
        <f>"003027"</f>
        <v>003027</v>
      </c>
      <c r="B3492" s="1" t="s">
        <v>66</v>
      </c>
      <c r="C3492" s="1" t="s">
        <v>4863</v>
      </c>
    </row>
    <row r="3493" spans="1:3" x14ac:dyDescent="0.2">
      <c r="A3493" s="1" t="str">
        <f>"003026"</f>
        <v>003026</v>
      </c>
      <c r="B3493" s="1" t="s">
        <v>952</v>
      </c>
      <c r="C3493" s="1" t="s">
        <v>4840</v>
      </c>
    </row>
    <row r="3494" spans="1:3" x14ac:dyDescent="0.2">
      <c r="A3494" s="1" t="str">
        <f>"003025"</f>
        <v>003025</v>
      </c>
      <c r="B3494" s="1" t="s">
        <v>1258</v>
      </c>
      <c r="C3494" s="1" t="s">
        <v>4851</v>
      </c>
    </row>
    <row r="3495" spans="1:3" x14ac:dyDescent="0.2">
      <c r="A3495" s="1" t="str">
        <f>"003023"</f>
        <v>003023</v>
      </c>
      <c r="B3495" s="1" t="s">
        <v>2161</v>
      </c>
      <c r="C3495" s="1" t="s">
        <v>4844</v>
      </c>
    </row>
    <row r="3496" spans="1:3" x14ac:dyDescent="0.2">
      <c r="A3496" s="1" t="str">
        <f>"003022"</f>
        <v>003022</v>
      </c>
      <c r="B3496" s="1" t="s">
        <v>1416</v>
      </c>
      <c r="C3496" s="1" t="s">
        <v>4857</v>
      </c>
    </row>
    <row r="3497" spans="1:3" x14ac:dyDescent="0.2">
      <c r="A3497" s="1" t="str">
        <f>"003021"</f>
        <v>003021</v>
      </c>
      <c r="B3497" s="1" t="s">
        <v>1577</v>
      </c>
      <c r="C3497" s="1" t="s">
        <v>4919</v>
      </c>
    </row>
    <row r="3498" spans="1:3" x14ac:dyDescent="0.2">
      <c r="A3498" s="1" t="str">
        <f>"003020"</f>
        <v>003020</v>
      </c>
      <c r="B3498" s="1" t="s">
        <v>1845</v>
      </c>
      <c r="C3498" s="1" t="s">
        <v>4843</v>
      </c>
    </row>
    <row r="3499" spans="1:3" x14ac:dyDescent="0.2">
      <c r="A3499" s="1" t="str">
        <f>"003019"</f>
        <v>003019</v>
      </c>
      <c r="B3499" s="1" t="s">
        <v>833</v>
      </c>
      <c r="C3499" s="1" t="s">
        <v>4878</v>
      </c>
    </row>
    <row r="3500" spans="1:3" x14ac:dyDescent="0.2">
      <c r="A3500" s="1" t="str">
        <f>"003018"</f>
        <v>003018</v>
      </c>
      <c r="B3500" s="1" t="s">
        <v>2275</v>
      </c>
      <c r="C3500" s="1" t="s">
        <v>4930</v>
      </c>
    </row>
    <row r="3501" spans="1:3" x14ac:dyDescent="0.2">
      <c r="A3501" s="1" t="str">
        <f>"003017"</f>
        <v>003017</v>
      </c>
      <c r="B3501" s="1" t="s">
        <v>3028</v>
      </c>
      <c r="C3501" s="1" t="s">
        <v>4853</v>
      </c>
    </row>
    <row r="3502" spans="1:3" x14ac:dyDescent="0.2">
      <c r="A3502" s="1" t="str">
        <f>"003016"</f>
        <v>003016</v>
      </c>
      <c r="B3502" s="1" t="s">
        <v>2339</v>
      </c>
      <c r="C3502" s="1" t="s">
        <v>4909</v>
      </c>
    </row>
    <row r="3503" spans="1:3" x14ac:dyDescent="0.2">
      <c r="A3503" s="1" t="str">
        <f>"003015"</f>
        <v>003015</v>
      </c>
      <c r="B3503" s="1" t="s">
        <v>819</v>
      </c>
      <c r="C3503" s="1" t="s">
        <v>4878</v>
      </c>
    </row>
    <row r="3504" spans="1:3" x14ac:dyDescent="0.2">
      <c r="A3504" s="1" t="str">
        <f>"003013"</f>
        <v>003013</v>
      </c>
      <c r="B3504" s="1" t="s">
        <v>4473</v>
      </c>
      <c r="C3504" s="1" t="s">
        <v>4922</v>
      </c>
    </row>
    <row r="3505" spans="1:3" x14ac:dyDescent="0.2">
      <c r="A3505" s="1" t="str">
        <f>"003012"</f>
        <v>003012</v>
      </c>
      <c r="B3505" s="1" t="s">
        <v>4474</v>
      </c>
      <c r="C3505" s="1" t="s">
        <v>4886</v>
      </c>
    </row>
    <row r="3506" spans="1:3" x14ac:dyDescent="0.2">
      <c r="A3506" s="1" t="str">
        <f>"003011"</f>
        <v>003011</v>
      </c>
      <c r="B3506" s="1" t="s">
        <v>2250</v>
      </c>
      <c r="C3506" s="1" t="s">
        <v>4902</v>
      </c>
    </row>
    <row r="3507" spans="1:3" x14ac:dyDescent="0.2">
      <c r="A3507" s="1" t="str">
        <f>"003010"</f>
        <v>003010</v>
      </c>
      <c r="B3507" s="1" t="s">
        <v>2093</v>
      </c>
      <c r="C3507" s="1" t="s">
        <v>4910</v>
      </c>
    </row>
    <row r="3508" spans="1:3" x14ac:dyDescent="0.2">
      <c r="A3508" s="1" t="str">
        <f>"003009"</f>
        <v>003009</v>
      </c>
      <c r="B3508" s="1" t="s">
        <v>4475</v>
      </c>
      <c r="C3508" s="1" t="s">
        <v>4884</v>
      </c>
    </row>
    <row r="3509" spans="1:3" x14ac:dyDescent="0.2">
      <c r="A3509" s="1" t="str">
        <f>"003008"</f>
        <v>003008</v>
      </c>
      <c r="B3509" s="1" t="s">
        <v>276</v>
      </c>
      <c r="C3509" s="1" t="s">
        <v>4854</v>
      </c>
    </row>
    <row r="3510" spans="1:3" x14ac:dyDescent="0.2">
      <c r="A3510" s="1" t="str">
        <f>"003006"</f>
        <v>003006</v>
      </c>
      <c r="B3510" s="1" t="s">
        <v>2301</v>
      </c>
      <c r="C3510" s="1" t="s">
        <v>4892</v>
      </c>
    </row>
    <row r="3511" spans="1:3" x14ac:dyDescent="0.2">
      <c r="A3511" s="1" t="str">
        <f>"003003"</f>
        <v>003003</v>
      </c>
      <c r="B3511" s="1" t="s">
        <v>2258</v>
      </c>
      <c r="C3511" s="1" t="s">
        <v>4930</v>
      </c>
    </row>
    <row r="3512" spans="1:3" x14ac:dyDescent="0.2">
      <c r="A3512" s="1" t="str">
        <f>"003002"</f>
        <v>003002</v>
      </c>
      <c r="B3512" s="1" t="s">
        <v>2971</v>
      </c>
      <c r="C3512" s="1" t="s">
        <v>4865</v>
      </c>
    </row>
    <row r="3513" spans="1:3" x14ac:dyDescent="0.2">
      <c r="A3513" s="1" t="str">
        <f>"003001"</f>
        <v>003001</v>
      </c>
      <c r="B3513" s="1" t="s">
        <v>325</v>
      </c>
      <c r="C3513" s="1" t="s">
        <v>4888</v>
      </c>
    </row>
    <row r="3514" spans="1:3" x14ac:dyDescent="0.2">
      <c r="A3514" s="1" t="str">
        <f>"003000"</f>
        <v>003000</v>
      </c>
      <c r="B3514" s="1" t="s">
        <v>2437</v>
      </c>
      <c r="C3514" s="1" t="s">
        <v>4896</v>
      </c>
    </row>
    <row r="3515" spans="1:3" x14ac:dyDescent="0.2">
      <c r="A3515" s="1" t="str">
        <f>"002999"</f>
        <v>002999</v>
      </c>
      <c r="B3515" s="1" t="s">
        <v>2776</v>
      </c>
      <c r="C3515" s="1" t="s">
        <v>4915</v>
      </c>
    </row>
    <row r="3516" spans="1:3" x14ac:dyDescent="0.2">
      <c r="A3516" s="1" t="str">
        <f>"002998"</f>
        <v>002998</v>
      </c>
      <c r="B3516" s="1" t="s">
        <v>3057</v>
      </c>
      <c r="C3516" s="1" t="s">
        <v>4858</v>
      </c>
    </row>
    <row r="3517" spans="1:3" x14ac:dyDescent="0.2">
      <c r="A3517" s="1" t="str">
        <f>"002997"</f>
        <v>002997</v>
      </c>
      <c r="B3517" s="1" t="s">
        <v>1065</v>
      </c>
      <c r="C3517" s="1" t="s">
        <v>4845</v>
      </c>
    </row>
    <row r="3518" spans="1:3" x14ac:dyDescent="0.2">
      <c r="A3518" s="1" t="str">
        <f>"002996"</f>
        <v>002996</v>
      </c>
      <c r="B3518" s="1" t="s">
        <v>2710</v>
      </c>
      <c r="C3518" s="1" t="s">
        <v>4879</v>
      </c>
    </row>
    <row r="3519" spans="1:3" x14ac:dyDescent="0.2">
      <c r="A3519" s="1" t="str">
        <f>"002995"</f>
        <v>002995</v>
      </c>
      <c r="B3519" s="1" t="s">
        <v>4476</v>
      </c>
      <c r="C3519" s="1" t="s">
        <v>4907</v>
      </c>
    </row>
    <row r="3520" spans="1:3" x14ac:dyDescent="0.2">
      <c r="A3520" s="1" t="str">
        <f>"002993"</f>
        <v>002993</v>
      </c>
      <c r="B3520" s="1" t="s">
        <v>885</v>
      </c>
      <c r="C3520" s="1" t="s">
        <v>4850</v>
      </c>
    </row>
    <row r="3521" spans="1:3" x14ac:dyDescent="0.2">
      <c r="A3521" s="1" t="str">
        <f>"002992"</f>
        <v>002992</v>
      </c>
      <c r="B3521" s="1" t="s">
        <v>4477</v>
      </c>
      <c r="C3521" s="1" t="s">
        <v>4878</v>
      </c>
    </row>
    <row r="3522" spans="1:3" x14ac:dyDescent="0.2">
      <c r="A3522" s="1" t="str">
        <f>"002991"</f>
        <v>002991</v>
      </c>
      <c r="B3522" s="1" t="s">
        <v>2438</v>
      </c>
      <c r="C3522" s="1" t="s">
        <v>4896</v>
      </c>
    </row>
    <row r="3523" spans="1:3" x14ac:dyDescent="0.2">
      <c r="A3523" s="1" t="str">
        <f>"002990"</f>
        <v>002990</v>
      </c>
      <c r="B3523" s="1" t="s">
        <v>589</v>
      </c>
      <c r="C3523" s="1" t="s">
        <v>4847</v>
      </c>
    </row>
    <row r="3524" spans="1:3" x14ac:dyDescent="0.2">
      <c r="A3524" s="1" t="str">
        <f>"002989"</f>
        <v>002989</v>
      </c>
      <c r="B3524" s="1" t="s">
        <v>4478</v>
      </c>
      <c r="C3524" s="1" t="s">
        <v>4901</v>
      </c>
    </row>
    <row r="3525" spans="1:3" x14ac:dyDescent="0.2">
      <c r="A3525" s="1" t="str">
        <f>"002988"</f>
        <v>002988</v>
      </c>
      <c r="B3525" s="1" t="s">
        <v>2711</v>
      </c>
      <c r="C3525" s="1" t="s">
        <v>4879</v>
      </c>
    </row>
    <row r="3526" spans="1:3" x14ac:dyDescent="0.2">
      <c r="A3526" s="1" t="str">
        <f>"002987"</f>
        <v>002987</v>
      </c>
      <c r="B3526" s="1" t="s">
        <v>590</v>
      </c>
      <c r="C3526" s="1" t="s">
        <v>4847</v>
      </c>
    </row>
    <row r="3527" spans="1:3" x14ac:dyDescent="0.2">
      <c r="A3527" s="1" t="str">
        <f>"002986"</f>
        <v>002986</v>
      </c>
      <c r="B3527" s="1" t="s">
        <v>3016</v>
      </c>
      <c r="C3527" s="1" t="s">
        <v>4853</v>
      </c>
    </row>
    <row r="3528" spans="1:3" x14ac:dyDescent="0.2">
      <c r="A3528" s="1" t="str">
        <f>"002985"</f>
        <v>002985</v>
      </c>
      <c r="B3528" s="1" t="s">
        <v>1350</v>
      </c>
      <c r="C3528" s="1" t="s">
        <v>4862</v>
      </c>
    </row>
    <row r="3529" spans="1:3" x14ac:dyDescent="0.2">
      <c r="A3529" s="1" t="str">
        <f>"002984"</f>
        <v>002984</v>
      </c>
      <c r="B3529" s="1" t="s">
        <v>1960</v>
      </c>
      <c r="C3529" s="1" t="s">
        <v>4856</v>
      </c>
    </row>
    <row r="3530" spans="1:3" x14ac:dyDescent="0.2">
      <c r="A3530" s="1" t="str">
        <f>"002983"</f>
        <v>002983</v>
      </c>
      <c r="B3530" s="1" t="s">
        <v>799</v>
      </c>
      <c r="C3530" s="1" t="s">
        <v>4878</v>
      </c>
    </row>
    <row r="3531" spans="1:3" x14ac:dyDescent="0.2">
      <c r="A3531" s="1" t="str">
        <f>"002982"</f>
        <v>002982</v>
      </c>
      <c r="B3531" s="1" t="s">
        <v>2553</v>
      </c>
      <c r="C3531" s="1" t="s">
        <v>4900</v>
      </c>
    </row>
    <row r="3532" spans="1:3" x14ac:dyDescent="0.2">
      <c r="A3532" s="1" t="str">
        <f>"002981"</f>
        <v>002981</v>
      </c>
      <c r="B3532" s="1" t="s">
        <v>886</v>
      </c>
      <c r="C3532" s="1" t="s">
        <v>4850</v>
      </c>
    </row>
    <row r="3533" spans="1:3" x14ac:dyDescent="0.2">
      <c r="A3533" s="1" t="str">
        <f>"002980"</f>
        <v>002980</v>
      </c>
      <c r="B3533" s="1" t="s">
        <v>1517</v>
      </c>
      <c r="C3533" s="1" t="s">
        <v>4866</v>
      </c>
    </row>
    <row r="3534" spans="1:3" x14ac:dyDescent="0.2">
      <c r="A3534" s="1" t="str">
        <f>"002979"</f>
        <v>002979</v>
      </c>
      <c r="B3534" s="1" t="s">
        <v>983</v>
      </c>
      <c r="C3534" s="1" t="s">
        <v>4849</v>
      </c>
    </row>
    <row r="3535" spans="1:3" x14ac:dyDescent="0.2">
      <c r="A3535" s="1" t="str">
        <f>"002978"</f>
        <v>002978</v>
      </c>
      <c r="B3535" s="1" t="s">
        <v>2650</v>
      </c>
      <c r="C3535" s="1" t="s">
        <v>4855</v>
      </c>
    </row>
    <row r="3536" spans="1:3" x14ac:dyDescent="0.2">
      <c r="A3536" s="1" t="str">
        <f>"002977"</f>
        <v>002977</v>
      </c>
      <c r="B3536" s="1" t="s">
        <v>1316</v>
      </c>
      <c r="C3536" s="1" t="s">
        <v>4846</v>
      </c>
    </row>
    <row r="3537" spans="1:3" x14ac:dyDescent="0.2">
      <c r="A3537" s="1" t="str">
        <f>"002976"</f>
        <v>002976</v>
      </c>
      <c r="B3537" s="1" t="s">
        <v>1941</v>
      </c>
      <c r="C3537" s="1" t="s">
        <v>4856</v>
      </c>
    </row>
    <row r="3538" spans="1:3" x14ac:dyDescent="0.2">
      <c r="A3538" s="1" t="str">
        <f>"002975"</f>
        <v>002975</v>
      </c>
      <c r="B3538" s="1" t="s">
        <v>4479</v>
      </c>
      <c r="C3538" s="1" t="s">
        <v>4849</v>
      </c>
    </row>
    <row r="3539" spans="1:3" x14ac:dyDescent="0.2">
      <c r="A3539" s="1" t="str">
        <f>"002973"</f>
        <v>002973</v>
      </c>
      <c r="B3539" s="1" t="s">
        <v>34</v>
      </c>
      <c r="C3539" s="1" t="s">
        <v>4863</v>
      </c>
    </row>
    <row r="3540" spans="1:3" x14ac:dyDescent="0.2">
      <c r="A3540" s="1" t="str">
        <f>"002972"</f>
        <v>002972</v>
      </c>
      <c r="B3540" s="1" t="s">
        <v>1304</v>
      </c>
      <c r="C3540" s="1" t="s">
        <v>4875</v>
      </c>
    </row>
    <row r="3541" spans="1:3" x14ac:dyDescent="0.2">
      <c r="A3541" s="1" t="str">
        <f>"002971"</f>
        <v>002971</v>
      </c>
      <c r="B3541" s="1" t="s">
        <v>2916</v>
      </c>
      <c r="C3541" s="1" t="s">
        <v>4865</v>
      </c>
    </row>
    <row r="3542" spans="1:3" x14ac:dyDescent="0.2">
      <c r="A3542" s="1" t="str">
        <f>"002970"</f>
        <v>002970</v>
      </c>
      <c r="B3542" s="1" t="s">
        <v>620</v>
      </c>
      <c r="C3542" s="1" t="s">
        <v>4873</v>
      </c>
    </row>
    <row r="3543" spans="1:3" x14ac:dyDescent="0.2">
      <c r="A3543" s="1" t="str">
        <f>"002969"</f>
        <v>002969</v>
      </c>
      <c r="B3543" s="1" t="s">
        <v>2279</v>
      </c>
      <c r="C3543" s="1" t="s">
        <v>4930</v>
      </c>
    </row>
    <row r="3544" spans="1:3" x14ac:dyDescent="0.2">
      <c r="A3544" s="1" t="str">
        <f>"002968"</f>
        <v>002968</v>
      </c>
      <c r="B3544" s="1" t="s">
        <v>300</v>
      </c>
      <c r="C3544" s="1" t="s">
        <v>4934</v>
      </c>
    </row>
    <row r="3545" spans="1:3" x14ac:dyDescent="0.2">
      <c r="A3545" s="1" t="str">
        <f>"002967"</f>
        <v>002967</v>
      </c>
      <c r="B3545" s="1" t="s">
        <v>4480</v>
      </c>
      <c r="C3545" s="1" t="s">
        <v>4854</v>
      </c>
    </row>
    <row r="3546" spans="1:3" x14ac:dyDescent="0.2">
      <c r="A3546" s="1" t="str">
        <f>"002966"</f>
        <v>002966</v>
      </c>
      <c r="B3546" s="1" t="s">
        <v>4481</v>
      </c>
      <c r="C3546" s="1" t="s">
        <v>4937</v>
      </c>
    </row>
    <row r="3547" spans="1:3" x14ac:dyDescent="0.2">
      <c r="A3547" s="1" t="str">
        <f>"002965"</f>
        <v>002965</v>
      </c>
      <c r="B3547" s="1" t="s">
        <v>1942</v>
      </c>
      <c r="C3547" s="1" t="s">
        <v>4856</v>
      </c>
    </row>
    <row r="3548" spans="1:3" x14ac:dyDescent="0.2">
      <c r="A3548" s="1" t="str">
        <f>"002963"</f>
        <v>002963</v>
      </c>
      <c r="B3548" s="1" t="s">
        <v>4482</v>
      </c>
      <c r="C3548" s="1" t="s">
        <v>4901</v>
      </c>
    </row>
    <row r="3549" spans="1:3" x14ac:dyDescent="0.2">
      <c r="A3549" s="1" t="str">
        <f>"002962"</f>
        <v>002962</v>
      </c>
      <c r="B3549" s="1" t="s">
        <v>820</v>
      </c>
      <c r="C3549" s="1" t="s">
        <v>4878</v>
      </c>
    </row>
    <row r="3550" spans="1:3" x14ac:dyDescent="0.2">
      <c r="A3550" s="1" t="str">
        <f>"002961"</f>
        <v>002961</v>
      </c>
      <c r="B3550" s="1" t="s">
        <v>353</v>
      </c>
      <c r="C3550" s="1" t="s">
        <v>4938</v>
      </c>
    </row>
    <row r="3551" spans="1:3" x14ac:dyDescent="0.2">
      <c r="A3551" s="1" t="str">
        <f>"002960"</f>
        <v>002960</v>
      </c>
      <c r="B3551" s="1" t="s">
        <v>4483</v>
      </c>
      <c r="C3551" s="1" t="s">
        <v>4845</v>
      </c>
    </row>
    <row r="3552" spans="1:3" x14ac:dyDescent="0.2">
      <c r="A3552" s="1" t="str">
        <f>"002959"</f>
        <v>002959</v>
      </c>
      <c r="B3552" s="1" t="s">
        <v>2172</v>
      </c>
      <c r="C3552" s="1" t="s">
        <v>4844</v>
      </c>
    </row>
    <row r="3553" spans="1:3" x14ac:dyDescent="0.2">
      <c r="A3553" s="1" t="str">
        <f>"002958"</f>
        <v>002958</v>
      </c>
      <c r="B3553" s="1" t="s">
        <v>4484</v>
      </c>
      <c r="C3553" s="1" t="s">
        <v>4937</v>
      </c>
    </row>
    <row r="3554" spans="1:3" x14ac:dyDescent="0.2">
      <c r="A3554" s="1" t="str">
        <f>"002957"</f>
        <v>002957</v>
      </c>
      <c r="B3554" s="1" t="s">
        <v>984</v>
      </c>
      <c r="C3554" s="1" t="s">
        <v>4849</v>
      </c>
    </row>
    <row r="3555" spans="1:3" x14ac:dyDescent="0.2">
      <c r="A3555" s="1" t="str">
        <f>"002956"</f>
        <v>002956</v>
      </c>
      <c r="B3555" s="1" t="s">
        <v>2397</v>
      </c>
      <c r="C3555" s="1" t="s">
        <v>4891</v>
      </c>
    </row>
    <row r="3556" spans="1:3" x14ac:dyDescent="0.2">
      <c r="A3556" s="1" t="str">
        <f>"002955"</f>
        <v>002955</v>
      </c>
      <c r="B3556" s="1" t="s">
        <v>843</v>
      </c>
      <c r="C3556" s="1" t="s">
        <v>4850</v>
      </c>
    </row>
    <row r="3557" spans="1:3" x14ac:dyDescent="0.2">
      <c r="A3557" s="1" t="str">
        <f>"002953"</f>
        <v>002953</v>
      </c>
      <c r="B3557" s="1" t="s">
        <v>1440</v>
      </c>
      <c r="C3557" s="1" t="s">
        <v>4866</v>
      </c>
    </row>
    <row r="3558" spans="1:3" x14ac:dyDescent="0.2">
      <c r="A3558" s="1" t="str">
        <f>"002952"</f>
        <v>002952</v>
      </c>
      <c r="B3558" s="1" t="s">
        <v>834</v>
      </c>
      <c r="C3558" s="1" t="s">
        <v>4878</v>
      </c>
    </row>
    <row r="3559" spans="1:3" x14ac:dyDescent="0.2">
      <c r="A3559" s="1" t="str">
        <f>"002950"</f>
        <v>002950</v>
      </c>
      <c r="B3559" s="1" t="s">
        <v>1720</v>
      </c>
      <c r="C3559" s="1" t="s">
        <v>4867</v>
      </c>
    </row>
    <row r="3560" spans="1:3" x14ac:dyDescent="0.2">
      <c r="A3560" s="1" t="str">
        <f>"002949"</f>
        <v>002949</v>
      </c>
      <c r="B3560" s="1" t="s">
        <v>4485</v>
      </c>
      <c r="C3560" s="1" t="s">
        <v>4922</v>
      </c>
    </row>
    <row r="3561" spans="1:3" x14ac:dyDescent="0.2">
      <c r="A3561" s="1" t="str">
        <f>"002948"</f>
        <v>002948</v>
      </c>
      <c r="B3561" s="1" t="s">
        <v>4486</v>
      </c>
      <c r="C3561" s="1" t="s">
        <v>4937</v>
      </c>
    </row>
    <row r="3562" spans="1:3" x14ac:dyDescent="0.2">
      <c r="A3562" s="1" t="str">
        <f>"002947"</f>
        <v>002947</v>
      </c>
      <c r="B3562" s="1" t="s">
        <v>887</v>
      </c>
      <c r="C3562" s="1" t="s">
        <v>4850</v>
      </c>
    </row>
    <row r="3563" spans="1:3" x14ac:dyDescent="0.2">
      <c r="A3563" s="1" t="str">
        <f>"002946"</f>
        <v>002946</v>
      </c>
      <c r="B3563" s="1" t="s">
        <v>2467</v>
      </c>
      <c r="C3563" s="1" t="s">
        <v>4893</v>
      </c>
    </row>
    <row r="3564" spans="1:3" x14ac:dyDescent="0.2">
      <c r="A3564" s="1" t="str">
        <f>"002945"</f>
        <v>002945</v>
      </c>
      <c r="B3564" s="1" t="s">
        <v>400</v>
      </c>
      <c r="C3564" s="1" t="s">
        <v>4945</v>
      </c>
    </row>
    <row r="3565" spans="1:3" x14ac:dyDescent="0.2">
      <c r="A3565" s="1" t="str">
        <f>"002943"</f>
        <v>002943</v>
      </c>
      <c r="B3565" s="1" t="s">
        <v>4487</v>
      </c>
      <c r="C3565" s="1" t="s">
        <v>4851</v>
      </c>
    </row>
    <row r="3566" spans="1:3" x14ac:dyDescent="0.2">
      <c r="A3566" s="1" t="str">
        <f>"002942"</f>
        <v>002942</v>
      </c>
      <c r="B3566" s="1" t="s">
        <v>2812</v>
      </c>
      <c r="C3566" s="1" t="s">
        <v>4915</v>
      </c>
    </row>
    <row r="3567" spans="1:3" x14ac:dyDescent="0.2">
      <c r="A3567" s="1" t="str">
        <f>"002941"</f>
        <v>002941</v>
      </c>
      <c r="B3567" s="1" t="s">
        <v>4488</v>
      </c>
      <c r="C3567" s="1" t="s">
        <v>4898</v>
      </c>
    </row>
    <row r="3568" spans="1:3" x14ac:dyDescent="0.2">
      <c r="A3568" s="1" t="str">
        <f>"002940"</f>
        <v>002940</v>
      </c>
      <c r="B3568" s="1" t="s">
        <v>1846</v>
      </c>
      <c r="C3568" s="1" t="s">
        <v>4843</v>
      </c>
    </row>
    <row r="3569" spans="1:3" x14ac:dyDescent="0.2">
      <c r="A3569" s="1" t="str">
        <f>"002939"</f>
        <v>002939</v>
      </c>
      <c r="B3569" s="1" t="s">
        <v>401</v>
      </c>
      <c r="C3569" s="1" t="s">
        <v>4945</v>
      </c>
    </row>
    <row r="3570" spans="1:3" x14ac:dyDescent="0.2">
      <c r="A3570" s="1" t="str">
        <f>"002938"</f>
        <v>002938</v>
      </c>
      <c r="B3570" s="1" t="s">
        <v>768</v>
      </c>
      <c r="C3570" s="1" t="s">
        <v>4872</v>
      </c>
    </row>
    <row r="3571" spans="1:3" x14ac:dyDescent="0.2">
      <c r="A3571" s="1" t="str">
        <f>"002937"</f>
        <v>002937</v>
      </c>
      <c r="B3571" s="1" t="s">
        <v>888</v>
      </c>
      <c r="C3571" s="1" t="s">
        <v>4850</v>
      </c>
    </row>
    <row r="3572" spans="1:3" x14ac:dyDescent="0.2">
      <c r="A3572" s="1" t="str">
        <f>"002936"</f>
        <v>002936</v>
      </c>
      <c r="B3572" s="1" t="s">
        <v>4489</v>
      </c>
      <c r="C3572" s="1" t="s">
        <v>4937</v>
      </c>
    </row>
    <row r="3573" spans="1:3" x14ac:dyDescent="0.2">
      <c r="A3573" s="1" t="str">
        <f>"002935"</f>
        <v>002935</v>
      </c>
      <c r="B3573" s="1" t="s">
        <v>4490</v>
      </c>
      <c r="C3573" s="1" t="s">
        <v>4846</v>
      </c>
    </row>
    <row r="3574" spans="1:3" x14ac:dyDescent="0.2">
      <c r="A3574" s="1" t="str">
        <f>"002933"</f>
        <v>002933</v>
      </c>
      <c r="B3574" s="1" t="s">
        <v>1351</v>
      </c>
      <c r="C3574" s="1" t="s">
        <v>4862</v>
      </c>
    </row>
    <row r="3575" spans="1:3" x14ac:dyDescent="0.2">
      <c r="A3575" s="1" t="str">
        <f>"002932"</f>
        <v>002932</v>
      </c>
      <c r="B3575" s="1" t="s">
        <v>4491</v>
      </c>
      <c r="C3575" s="1" t="s">
        <v>4852</v>
      </c>
    </row>
    <row r="3576" spans="1:3" x14ac:dyDescent="0.2">
      <c r="A3576" s="1" t="str">
        <f>"002931"</f>
        <v>002931</v>
      </c>
      <c r="B3576" s="1" t="s">
        <v>1240</v>
      </c>
      <c r="C3576" s="1" t="s">
        <v>4851</v>
      </c>
    </row>
    <row r="3577" spans="1:3" x14ac:dyDescent="0.2">
      <c r="A3577" s="1" t="str">
        <f>"002930"</f>
        <v>002930</v>
      </c>
      <c r="B3577" s="1" t="s">
        <v>165</v>
      </c>
      <c r="C3577" s="1" t="s">
        <v>4914</v>
      </c>
    </row>
    <row r="3578" spans="1:3" x14ac:dyDescent="0.2">
      <c r="A3578" s="1" t="str">
        <f>"002929"</f>
        <v>002929</v>
      </c>
      <c r="B3578" s="1" t="s">
        <v>644</v>
      </c>
      <c r="C3578" s="1" t="s">
        <v>4932</v>
      </c>
    </row>
    <row r="3579" spans="1:3" x14ac:dyDescent="0.2">
      <c r="A3579" s="1" t="str">
        <f>"002928"</f>
        <v>002928</v>
      </c>
      <c r="B3579" s="1" t="s">
        <v>238</v>
      </c>
      <c r="C3579" s="1" t="s">
        <v>4924</v>
      </c>
    </row>
    <row r="3580" spans="1:3" x14ac:dyDescent="0.2">
      <c r="A3580" s="1" t="str">
        <f>"002927"</f>
        <v>002927</v>
      </c>
      <c r="B3580" s="1" t="s">
        <v>1469</v>
      </c>
      <c r="C3580" s="1" t="s">
        <v>4866</v>
      </c>
    </row>
    <row r="3581" spans="1:3" x14ac:dyDescent="0.2">
      <c r="A3581" s="1" t="str">
        <f>"002926"</f>
        <v>002926</v>
      </c>
      <c r="B3581" s="1" t="s">
        <v>402</v>
      </c>
      <c r="C3581" s="1" t="s">
        <v>4945</v>
      </c>
    </row>
    <row r="3582" spans="1:3" x14ac:dyDescent="0.2">
      <c r="A3582" s="1" t="str">
        <f>"002925"</f>
        <v>002925</v>
      </c>
      <c r="B3582" s="1" t="s">
        <v>889</v>
      </c>
      <c r="C3582" s="1" t="s">
        <v>4850</v>
      </c>
    </row>
    <row r="3583" spans="1:3" x14ac:dyDescent="0.2">
      <c r="A3583" s="1" t="str">
        <f>"002923"</f>
        <v>002923</v>
      </c>
      <c r="B3583" s="1" t="s">
        <v>1847</v>
      </c>
      <c r="C3583" s="1" t="s">
        <v>4843</v>
      </c>
    </row>
    <row r="3584" spans="1:3" x14ac:dyDescent="0.2">
      <c r="A3584" s="1" t="str">
        <f>"002922"</f>
        <v>002922</v>
      </c>
      <c r="B3584" s="1" t="s">
        <v>1491</v>
      </c>
      <c r="C3584" s="1" t="s">
        <v>4866</v>
      </c>
    </row>
    <row r="3585" spans="1:3" x14ac:dyDescent="0.2">
      <c r="A3585" s="1" t="str">
        <f>"002921"</f>
        <v>002921</v>
      </c>
      <c r="B3585" s="1" t="s">
        <v>4492</v>
      </c>
      <c r="C3585" s="1" t="s">
        <v>4856</v>
      </c>
    </row>
    <row r="3586" spans="1:3" x14ac:dyDescent="0.2">
      <c r="A3586" s="1" t="str">
        <f>"002920"</f>
        <v>002920</v>
      </c>
      <c r="B3586" s="1" t="s">
        <v>1906</v>
      </c>
      <c r="C3586" s="1" t="s">
        <v>4856</v>
      </c>
    </row>
    <row r="3587" spans="1:3" x14ac:dyDescent="0.2">
      <c r="A3587" s="1" t="str">
        <f>"002919"</f>
        <v>002919</v>
      </c>
      <c r="B3587" s="1" t="s">
        <v>511</v>
      </c>
      <c r="C3587" s="1" t="s">
        <v>4935</v>
      </c>
    </row>
    <row r="3588" spans="1:3" x14ac:dyDescent="0.2">
      <c r="A3588" s="1" t="str">
        <f>"002918"</f>
        <v>002918</v>
      </c>
      <c r="B3588" s="1" t="s">
        <v>4493</v>
      </c>
      <c r="C3588" s="1" t="s">
        <v>4886</v>
      </c>
    </row>
    <row r="3589" spans="1:3" x14ac:dyDescent="0.2">
      <c r="A3589" s="1" t="str">
        <f>"002917"</f>
        <v>002917</v>
      </c>
      <c r="B3589" s="1" t="s">
        <v>2972</v>
      </c>
      <c r="C3589" s="1" t="s">
        <v>4865</v>
      </c>
    </row>
    <row r="3590" spans="1:3" x14ac:dyDescent="0.2">
      <c r="A3590" s="1" t="str">
        <f>"002916"</f>
        <v>002916</v>
      </c>
      <c r="B3590" s="1" t="s">
        <v>769</v>
      </c>
      <c r="C3590" s="1" t="s">
        <v>4872</v>
      </c>
    </row>
    <row r="3591" spans="1:3" x14ac:dyDescent="0.2">
      <c r="A3591" s="1" t="str">
        <f>"002915"</f>
        <v>002915</v>
      </c>
      <c r="B3591" s="1" t="s">
        <v>2955</v>
      </c>
      <c r="C3591" s="1" t="s">
        <v>4865</v>
      </c>
    </row>
    <row r="3592" spans="1:3" x14ac:dyDescent="0.2">
      <c r="A3592" s="1" t="str">
        <f>"002913"</f>
        <v>002913</v>
      </c>
      <c r="B3592" s="1" t="s">
        <v>770</v>
      </c>
      <c r="C3592" s="1" t="s">
        <v>4872</v>
      </c>
    </row>
    <row r="3593" spans="1:3" x14ac:dyDescent="0.2">
      <c r="A3593" s="1" t="str">
        <f>"002911"</f>
        <v>002911</v>
      </c>
      <c r="B3593" s="1" t="s">
        <v>111</v>
      </c>
      <c r="C3593" s="1" t="s">
        <v>4895</v>
      </c>
    </row>
    <row r="3594" spans="1:3" x14ac:dyDescent="0.2">
      <c r="A3594" s="1" t="str">
        <f>"002910"</f>
        <v>002910</v>
      </c>
      <c r="B3594" s="1" t="s">
        <v>4494</v>
      </c>
      <c r="C3594" s="1" t="s">
        <v>4893</v>
      </c>
    </row>
    <row r="3595" spans="1:3" x14ac:dyDescent="0.2">
      <c r="A3595" s="1" t="str">
        <f>"002909"</f>
        <v>002909</v>
      </c>
      <c r="B3595" s="1" t="s">
        <v>4495</v>
      </c>
      <c r="C3595" s="1" t="s">
        <v>4865</v>
      </c>
    </row>
    <row r="3596" spans="1:3" x14ac:dyDescent="0.2">
      <c r="A3596" s="1" t="str">
        <f>"002908"</f>
        <v>002908</v>
      </c>
      <c r="B3596" s="1" t="s">
        <v>591</v>
      </c>
      <c r="C3596" s="1" t="s">
        <v>4847</v>
      </c>
    </row>
    <row r="3597" spans="1:3" x14ac:dyDescent="0.2">
      <c r="A3597" s="1" t="str">
        <f>"002907"</f>
        <v>002907</v>
      </c>
      <c r="B3597" s="1" t="s">
        <v>1619</v>
      </c>
      <c r="C3597" s="1" t="s">
        <v>4917</v>
      </c>
    </row>
    <row r="3598" spans="1:3" x14ac:dyDescent="0.2">
      <c r="A3598" s="1" t="str">
        <f>"002906"</f>
        <v>002906</v>
      </c>
      <c r="B3598" s="1" t="s">
        <v>1907</v>
      </c>
      <c r="C3598" s="1" t="s">
        <v>4856</v>
      </c>
    </row>
    <row r="3599" spans="1:3" x14ac:dyDescent="0.2">
      <c r="A3599" s="1" t="str">
        <f>"002905"</f>
        <v>002905</v>
      </c>
      <c r="B3599" s="1" t="s">
        <v>472</v>
      </c>
      <c r="C3599" s="1" t="s">
        <v>4941</v>
      </c>
    </row>
    <row r="3600" spans="1:3" x14ac:dyDescent="0.2">
      <c r="A3600" s="1" t="str">
        <f>"002903"</f>
        <v>002903</v>
      </c>
      <c r="B3600" s="1" t="s">
        <v>1259</v>
      </c>
      <c r="C3600" s="1" t="s">
        <v>4851</v>
      </c>
    </row>
    <row r="3601" spans="1:3" x14ac:dyDescent="0.2">
      <c r="A3601" s="1" t="str">
        <f>"002902"</f>
        <v>002902</v>
      </c>
      <c r="B3601" s="1" t="s">
        <v>4496</v>
      </c>
      <c r="C3601" s="1" t="s">
        <v>4869</v>
      </c>
    </row>
    <row r="3602" spans="1:3" x14ac:dyDescent="0.2">
      <c r="A3602" s="1" t="str">
        <f>"002901"</f>
        <v>002901</v>
      </c>
      <c r="B3602" s="1" t="s">
        <v>1721</v>
      </c>
      <c r="C3602" s="1" t="s">
        <v>4867</v>
      </c>
    </row>
    <row r="3603" spans="1:3" x14ac:dyDescent="0.2">
      <c r="A3603" s="1" t="str">
        <f>"002900"</f>
        <v>002900</v>
      </c>
      <c r="B3603" s="1" t="s">
        <v>4497</v>
      </c>
      <c r="C3603" s="1" t="s">
        <v>4843</v>
      </c>
    </row>
    <row r="3604" spans="1:3" x14ac:dyDescent="0.2">
      <c r="A3604" s="1" t="str">
        <f>"002899"</f>
        <v>002899</v>
      </c>
      <c r="B3604" s="1" t="s">
        <v>2199</v>
      </c>
      <c r="C3604" s="1" t="s">
        <v>4899</v>
      </c>
    </row>
    <row r="3605" spans="1:3" x14ac:dyDescent="0.2">
      <c r="A3605" s="1" t="str">
        <f>"002897"</f>
        <v>002897</v>
      </c>
      <c r="B3605" s="1" t="s">
        <v>690</v>
      </c>
      <c r="C3605" s="1" t="s">
        <v>4869</v>
      </c>
    </row>
    <row r="3606" spans="1:3" x14ac:dyDescent="0.2">
      <c r="A3606" s="1" t="str">
        <f>"002896"</f>
        <v>002896</v>
      </c>
      <c r="B3606" s="1" t="s">
        <v>1241</v>
      </c>
      <c r="C3606" s="1" t="s">
        <v>4851</v>
      </c>
    </row>
    <row r="3607" spans="1:3" x14ac:dyDescent="0.2">
      <c r="A3607" s="1" t="str">
        <f>"002895"</f>
        <v>002895</v>
      </c>
      <c r="B3607" s="1" t="s">
        <v>2792</v>
      </c>
      <c r="C3607" s="1" t="s">
        <v>4915</v>
      </c>
    </row>
    <row r="3608" spans="1:3" x14ac:dyDescent="0.2">
      <c r="A3608" s="1" t="str">
        <f>"002893"</f>
        <v>002893</v>
      </c>
      <c r="B3608" s="1" t="s">
        <v>4498</v>
      </c>
      <c r="C3608" s="1" t="s">
        <v>4889</v>
      </c>
    </row>
    <row r="3609" spans="1:3" x14ac:dyDescent="0.2">
      <c r="A3609" s="1" t="str">
        <f>"002892"</f>
        <v>002892</v>
      </c>
      <c r="B3609" s="1" t="s">
        <v>1578</v>
      </c>
      <c r="C3609" s="1" t="s">
        <v>4919</v>
      </c>
    </row>
    <row r="3610" spans="1:3" x14ac:dyDescent="0.2">
      <c r="A3610" s="1" t="str">
        <f>"002891"</f>
        <v>002891</v>
      </c>
      <c r="B3610" s="1" t="s">
        <v>2535</v>
      </c>
      <c r="C3610" s="1" t="s">
        <v>4885</v>
      </c>
    </row>
    <row r="3611" spans="1:3" x14ac:dyDescent="0.2">
      <c r="A3611" s="1" t="str">
        <f>"002890"</f>
        <v>002890</v>
      </c>
      <c r="B3611" s="1" t="s">
        <v>1087</v>
      </c>
      <c r="C3611" s="1" t="s">
        <v>4845</v>
      </c>
    </row>
    <row r="3612" spans="1:3" x14ac:dyDescent="0.2">
      <c r="A3612" s="1" t="str">
        <f>"002889"</f>
        <v>002889</v>
      </c>
      <c r="B3612" s="1" t="s">
        <v>189</v>
      </c>
      <c r="C3612" s="1" t="s">
        <v>4914</v>
      </c>
    </row>
    <row r="3613" spans="1:3" x14ac:dyDescent="0.2">
      <c r="A3613" s="1" t="str">
        <f>"002888"</f>
        <v>002888</v>
      </c>
      <c r="B3613" s="1" t="s">
        <v>890</v>
      </c>
      <c r="C3613" s="1" t="s">
        <v>4850</v>
      </c>
    </row>
    <row r="3614" spans="1:3" x14ac:dyDescent="0.2">
      <c r="A3614" s="1" t="str">
        <f>"002887"</f>
        <v>002887</v>
      </c>
      <c r="B3614" s="1" t="s">
        <v>16</v>
      </c>
      <c r="C3614" s="1" t="s">
        <v>4863</v>
      </c>
    </row>
    <row r="3615" spans="1:3" x14ac:dyDescent="0.2">
      <c r="A3615" s="1" t="str">
        <f>"002886"</f>
        <v>002886</v>
      </c>
      <c r="B3615" s="1" t="s">
        <v>2869</v>
      </c>
      <c r="C3615" s="1" t="s">
        <v>4860</v>
      </c>
    </row>
    <row r="3616" spans="1:3" x14ac:dyDescent="0.2">
      <c r="A3616" s="1" t="str">
        <f>"002885"</f>
        <v>002885</v>
      </c>
      <c r="B3616" s="1" t="s">
        <v>728</v>
      </c>
      <c r="C3616" s="1" t="s">
        <v>4842</v>
      </c>
    </row>
    <row r="3617" spans="1:3" x14ac:dyDescent="0.2">
      <c r="A3617" s="1" t="str">
        <f>"002884"</f>
        <v>002884</v>
      </c>
      <c r="B3617" s="1" t="s">
        <v>1242</v>
      </c>
      <c r="C3617" s="1" t="s">
        <v>4851</v>
      </c>
    </row>
    <row r="3618" spans="1:3" x14ac:dyDescent="0.2">
      <c r="A3618" s="1" t="str">
        <f>"002883"</f>
        <v>002883</v>
      </c>
      <c r="B3618" s="1" t="s">
        <v>4499</v>
      </c>
      <c r="C3618" s="1" t="s">
        <v>4922</v>
      </c>
    </row>
    <row r="3619" spans="1:3" x14ac:dyDescent="0.2">
      <c r="A3619" s="1" t="str">
        <f>"002882"</f>
        <v>002882</v>
      </c>
      <c r="B3619" s="1" t="s">
        <v>1441</v>
      </c>
      <c r="C3619" s="1" t="s">
        <v>4866</v>
      </c>
    </row>
    <row r="3620" spans="1:3" x14ac:dyDescent="0.2">
      <c r="A3620" s="1" t="str">
        <f>"002881"</f>
        <v>002881</v>
      </c>
      <c r="B3620" s="1" t="s">
        <v>891</v>
      </c>
      <c r="C3620" s="1" t="s">
        <v>4850</v>
      </c>
    </row>
    <row r="3621" spans="1:3" x14ac:dyDescent="0.2">
      <c r="A3621" s="1" t="str">
        <f>"002880"</f>
        <v>002880</v>
      </c>
      <c r="B3621" s="1" t="s">
        <v>1775</v>
      </c>
      <c r="C3621" s="1" t="s">
        <v>4852</v>
      </c>
    </row>
    <row r="3622" spans="1:3" x14ac:dyDescent="0.2">
      <c r="A3622" s="1" t="str">
        <f>"002879"</f>
        <v>002879</v>
      </c>
      <c r="B3622" s="1" t="s">
        <v>1442</v>
      </c>
      <c r="C3622" s="1" t="s">
        <v>4866</v>
      </c>
    </row>
    <row r="3623" spans="1:3" x14ac:dyDescent="0.2">
      <c r="A3623" s="1" t="str">
        <f>"002878"</f>
        <v>002878</v>
      </c>
      <c r="B3623" s="1" t="s">
        <v>483</v>
      </c>
      <c r="C3623" s="1" t="s">
        <v>4907</v>
      </c>
    </row>
    <row r="3624" spans="1:3" x14ac:dyDescent="0.2">
      <c r="A3624" s="1" t="str">
        <f>"002877"</f>
        <v>002877</v>
      </c>
      <c r="B3624" s="1" t="s">
        <v>1243</v>
      </c>
      <c r="C3624" s="1" t="s">
        <v>4851</v>
      </c>
    </row>
    <row r="3625" spans="1:3" x14ac:dyDescent="0.2">
      <c r="A3625" s="1" t="str">
        <f>"002876"</f>
        <v>002876</v>
      </c>
      <c r="B3625" s="1" t="s">
        <v>821</v>
      </c>
      <c r="C3625" s="1" t="s">
        <v>4878</v>
      </c>
    </row>
    <row r="3626" spans="1:3" x14ac:dyDescent="0.2">
      <c r="A3626" s="1" t="str">
        <f>"002875"</f>
        <v>002875</v>
      </c>
      <c r="B3626" s="1" t="s">
        <v>4500</v>
      </c>
      <c r="C3626" s="1" t="s">
        <v>4909</v>
      </c>
    </row>
    <row r="3627" spans="1:3" x14ac:dyDescent="0.2">
      <c r="A3627" s="1" t="str">
        <f>"002873"</f>
        <v>002873</v>
      </c>
      <c r="B3627" s="1" t="s">
        <v>1620</v>
      </c>
      <c r="C3627" s="1" t="s">
        <v>4917</v>
      </c>
    </row>
    <row r="3628" spans="1:3" x14ac:dyDescent="0.2">
      <c r="A3628" s="1" t="str">
        <f>"002871"</f>
        <v>002871</v>
      </c>
      <c r="B3628" s="1" t="s">
        <v>1244</v>
      </c>
      <c r="C3628" s="1" t="s">
        <v>4851</v>
      </c>
    </row>
    <row r="3629" spans="1:3" x14ac:dyDescent="0.2">
      <c r="A3629" s="1" t="str">
        <f>"002870"</f>
        <v>002870</v>
      </c>
      <c r="B3629" s="1" t="s">
        <v>2064</v>
      </c>
      <c r="C3629" s="1" t="s">
        <v>4856</v>
      </c>
    </row>
    <row r="3630" spans="1:3" x14ac:dyDescent="0.2">
      <c r="A3630" s="1" t="str">
        <f>"002869"</f>
        <v>002869</v>
      </c>
      <c r="B3630" s="1" t="s">
        <v>4501</v>
      </c>
      <c r="C3630" s="1" t="s">
        <v>4842</v>
      </c>
    </row>
    <row r="3631" spans="1:3" x14ac:dyDescent="0.2">
      <c r="A3631" s="1" t="str">
        <f>"002867"</f>
        <v>002867</v>
      </c>
      <c r="B3631" s="1" t="s">
        <v>2319</v>
      </c>
      <c r="C3631" s="1" t="s">
        <v>4887</v>
      </c>
    </row>
    <row r="3632" spans="1:3" x14ac:dyDescent="0.2">
      <c r="A3632" s="1" t="str">
        <f>"002866"</f>
        <v>002866</v>
      </c>
      <c r="B3632" s="1" t="s">
        <v>892</v>
      </c>
      <c r="C3632" s="1" t="s">
        <v>4850</v>
      </c>
    </row>
    <row r="3633" spans="1:3" x14ac:dyDescent="0.2">
      <c r="A3633" s="1" t="str">
        <f>"002865"</f>
        <v>002865</v>
      </c>
      <c r="B3633" s="1" t="s">
        <v>4502</v>
      </c>
      <c r="C3633" s="1" t="s">
        <v>4857</v>
      </c>
    </row>
    <row r="3634" spans="1:3" x14ac:dyDescent="0.2">
      <c r="A3634" s="1" t="str">
        <f>"002864"</f>
        <v>002864</v>
      </c>
      <c r="B3634" s="1" t="s">
        <v>1621</v>
      </c>
      <c r="C3634" s="1" t="s">
        <v>4917</v>
      </c>
    </row>
    <row r="3635" spans="1:3" x14ac:dyDescent="0.2">
      <c r="A3635" s="1" t="str">
        <f>"002863"</f>
        <v>002863</v>
      </c>
      <c r="B3635" s="1" t="s">
        <v>1961</v>
      </c>
      <c r="C3635" s="1" t="s">
        <v>4856</v>
      </c>
    </row>
    <row r="3636" spans="1:3" x14ac:dyDescent="0.2">
      <c r="A3636" s="1" t="str">
        <f>"002862"</f>
        <v>002862</v>
      </c>
      <c r="B3636" s="1" t="s">
        <v>2200</v>
      </c>
      <c r="C3636" s="1" t="s">
        <v>4899</v>
      </c>
    </row>
    <row r="3637" spans="1:3" x14ac:dyDescent="0.2">
      <c r="A3637" s="1" t="str">
        <f>"002861"</f>
        <v>002861</v>
      </c>
      <c r="B3637" s="1" t="s">
        <v>4503</v>
      </c>
      <c r="C3637" s="1" t="s">
        <v>4850</v>
      </c>
    </row>
    <row r="3638" spans="1:3" x14ac:dyDescent="0.2">
      <c r="A3638" s="1" t="str">
        <f>"002860"</f>
        <v>002860</v>
      </c>
      <c r="B3638" s="1" t="s">
        <v>2145</v>
      </c>
      <c r="C3638" s="1" t="s">
        <v>4929</v>
      </c>
    </row>
    <row r="3639" spans="1:3" x14ac:dyDescent="0.2">
      <c r="A3639" s="1" t="str">
        <f>"002859"</f>
        <v>002859</v>
      </c>
      <c r="B3639" s="1" t="s">
        <v>744</v>
      </c>
      <c r="C3639" s="1" t="s">
        <v>4872</v>
      </c>
    </row>
    <row r="3640" spans="1:3" x14ac:dyDescent="0.2">
      <c r="A3640" s="1" t="str">
        <f>"002858"</f>
        <v>002858</v>
      </c>
      <c r="B3640" s="1" t="s">
        <v>297</v>
      </c>
      <c r="C3640" s="1" t="s">
        <v>4964</v>
      </c>
    </row>
    <row r="3641" spans="1:3" x14ac:dyDescent="0.2">
      <c r="A3641" s="1" t="str">
        <f>"002857"</f>
        <v>002857</v>
      </c>
      <c r="B3641" s="1" t="s">
        <v>4504</v>
      </c>
      <c r="C3641" s="1" t="s">
        <v>4866</v>
      </c>
    </row>
    <row r="3642" spans="1:3" x14ac:dyDescent="0.2">
      <c r="A3642" s="1" t="str">
        <f>"002855"</f>
        <v>002855</v>
      </c>
      <c r="B3642" s="1" t="s">
        <v>4505</v>
      </c>
      <c r="C3642" s="1" t="s">
        <v>4850</v>
      </c>
    </row>
    <row r="3643" spans="1:3" x14ac:dyDescent="0.2">
      <c r="A3643" s="1" t="str">
        <f>"002853"</f>
        <v>002853</v>
      </c>
      <c r="B3643" s="1" t="s">
        <v>4506</v>
      </c>
      <c r="C3643" s="1" t="s">
        <v>4902</v>
      </c>
    </row>
    <row r="3644" spans="1:3" x14ac:dyDescent="0.2">
      <c r="A3644" s="1" t="str">
        <f>"002852"</f>
        <v>002852</v>
      </c>
      <c r="B3644" s="1" t="s">
        <v>2530</v>
      </c>
      <c r="C3644" s="1" t="s">
        <v>4936</v>
      </c>
    </row>
    <row r="3645" spans="1:3" x14ac:dyDescent="0.2">
      <c r="A3645" s="1" t="str">
        <f>"002851"</f>
        <v>002851</v>
      </c>
      <c r="B3645" s="1" t="s">
        <v>1374</v>
      </c>
      <c r="C3645" s="1" t="s">
        <v>4859</v>
      </c>
    </row>
    <row r="3646" spans="1:3" x14ac:dyDescent="0.2">
      <c r="A3646" s="1" t="str">
        <f>"002850"</f>
        <v>002850</v>
      </c>
      <c r="B3646" s="1" t="s">
        <v>1557</v>
      </c>
      <c r="C3646" s="1" t="s">
        <v>4841</v>
      </c>
    </row>
    <row r="3647" spans="1:3" x14ac:dyDescent="0.2">
      <c r="A3647" s="1" t="str">
        <f>"002849"</f>
        <v>002849</v>
      </c>
      <c r="B3647" s="1" t="s">
        <v>1287</v>
      </c>
      <c r="C3647" s="1" t="s">
        <v>4851</v>
      </c>
    </row>
    <row r="3648" spans="1:3" x14ac:dyDescent="0.2">
      <c r="A3648" s="1" t="str">
        <f>"002847"</f>
        <v>002847</v>
      </c>
      <c r="B3648" s="1" t="s">
        <v>2439</v>
      </c>
      <c r="C3648" s="1" t="s">
        <v>4896</v>
      </c>
    </row>
    <row r="3649" spans="1:3" x14ac:dyDescent="0.2">
      <c r="A3649" s="1" t="str">
        <f>"002846"</f>
        <v>002846</v>
      </c>
      <c r="B3649" s="1" t="s">
        <v>2280</v>
      </c>
      <c r="C3649" s="1" t="s">
        <v>4930</v>
      </c>
    </row>
    <row r="3650" spans="1:3" x14ac:dyDescent="0.2">
      <c r="A3650" s="1" t="str">
        <f>"002845"</f>
        <v>002845</v>
      </c>
      <c r="B3650" s="1" t="s">
        <v>4507</v>
      </c>
      <c r="C3650" s="1" t="s">
        <v>4878</v>
      </c>
    </row>
    <row r="3651" spans="1:3" x14ac:dyDescent="0.2">
      <c r="A3651" s="1" t="str">
        <f>"002843"</f>
        <v>002843</v>
      </c>
      <c r="B3651" s="1" t="s">
        <v>1203</v>
      </c>
      <c r="C3651" s="1" t="s">
        <v>4851</v>
      </c>
    </row>
    <row r="3652" spans="1:3" x14ac:dyDescent="0.2">
      <c r="A3652" s="1" t="str">
        <f>"002842"</f>
        <v>002842</v>
      </c>
      <c r="B3652" s="1" t="s">
        <v>2655</v>
      </c>
      <c r="C3652" s="1" t="s">
        <v>4855</v>
      </c>
    </row>
    <row r="3653" spans="1:3" x14ac:dyDescent="0.2">
      <c r="A3653" s="1" t="str">
        <f>"002841"</f>
        <v>002841</v>
      </c>
      <c r="B3653" s="1" t="s">
        <v>844</v>
      </c>
      <c r="C3653" s="1" t="s">
        <v>4850</v>
      </c>
    </row>
    <row r="3654" spans="1:3" x14ac:dyDescent="0.2">
      <c r="A3654" s="1" t="str">
        <f>"002840"</f>
        <v>002840</v>
      </c>
      <c r="B3654" s="1" t="s">
        <v>2418</v>
      </c>
      <c r="C3654" s="1" t="s">
        <v>4891</v>
      </c>
    </row>
    <row r="3655" spans="1:3" x14ac:dyDescent="0.2">
      <c r="A3655" s="1" t="str">
        <f>"002839"</f>
        <v>002839</v>
      </c>
      <c r="B3655" s="1" t="s">
        <v>4508</v>
      </c>
      <c r="C3655" s="1" t="s">
        <v>4937</v>
      </c>
    </row>
    <row r="3656" spans="1:3" x14ac:dyDescent="0.2">
      <c r="A3656" s="1" t="str">
        <f>"002838"</f>
        <v>002838</v>
      </c>
      <c r="B3656" s="1" t="s">
        <v>2870</v>
      </c>
      <c r="C3656" s="1" t="s">
        <v>4860</v>
      </c>
    </row>
    <row r="3657" spans="1:3" x14ac:dyDescent="0.2">
      <c r="A3657" s="1" t="str">
        <f>"002837"</f>
        <v>002837</v>
      </c>
      <c r="B3657" s="1" t="s">
        <v>1066</v>
      </c>
      <c r="C3657" s="1" t="s">
        <v>4845</v>
      </c>
    </row>
    <row r="3658" spans="1:3" x14ac:dyDescent="0.2">
      <c r="A3658" s="1" t="str">
        <f>"002836"</f>
        <v>002836</v>
      </c>
      <c r="B3658" s="1" t="s">
        <v>2267</v>
      </c>
      <c r="C3658" s="1" t="s">
        <v>4930</v>
      </c>
    </row>
    <row r="3659" spans="1:3" x14ac:dyDescent="0.2">
      <c r="A3659" s="1" t="str">
        <f>"002835"</f>
        <v>002835</v>
      </c>
      <c r="B3659" s="1" t="s">
        <v>634</v>
      </c>
      <c r="C3659" s="1" t="s">
        <v>4873</v>
      </c>
    </row>
    <row r="3660" spans="1:3" x14ac:dyDescent="0.2">
      <c r="A3660" s="1" t="str">
        <f>"002833"</f>
        <v>002833</v>
      </c>
      <c r="B3660" s="1" t="s">
        <v>1067</v>
      </c>
      <c r="C3660" s="1" t="s">
        <v>4845</v>
      </c>
    </row>
    <row r="3661" spans="1:3" x14ac:dyDescent="0.2">
      <c r="A3661" s="1" t="str">
        <f>"002832"</f>
        <v>002832</v>
      </c>
      <c r="B3661" s="1" t="s">
        <v>2350</v>
      </c>
      <c r="C3661" s="1" t="s">
        <v>4909</v>
      </c>
    </row>
    <row r="3662" spans="1:3" x14ac:dyDescent="0.2">
      <c r="A3662" s="1" t="str">
        <f>"002831"</f>
        <v>002831</v>
      </c>
      <c r="B3662" s="1" t="s">
        <v>2268</v>
      </c>
      <c r="C3662" s="1" t="s">
        <v>4930</v>
      </c>
    </row>
    <row r="3663" spans="1:3" x14ac:dyDescent="0.2">
      <c r="A3663" s="1" t="str">
        <f>"002830"</f>
        <v>002830</v>
      </c>
      <c r="B3663" s="1" t="s">
        <v>4509</v>
      </c>
      <c r="C3663" s="1" t="s">
        <v>4901</v>
      </c>
    </row>
    <row r="3664" spans="1:3" x14ac:dyDescent="0.2">
      <c r="A3664" s="1" t="str">
        <f>"002829"</f>
        <v>002829</v>
      </c>
      <c r="B3664" s="1" t="s">
        <v>4510</v>
      </c>
      <c r="C3664" s="1" t="s">
        <v>4884</v>
      </c>
    </row>
    <row r="3665" spans="1:3" x14ac:dyDescent="0.2">
      <c r="A3665" s="1" t="str">
        <f>"002828"</f>
        <v>002828</v>
      </c>
      <c r="B3665" s="1" t="s">
        <v>4511</v>
      </c>
      <c r="C3665" s="1" t="s">
        <v>4928</v>
      </c>
    </row>
    <row r="3666" spans="1:3" x14ac:dyDescent="0.2">
      <c r="A3666" s="1" t="str">
        <f>"002827"</f>
        <v>002827</v>
      </c>
      <c r="B3666" s="1" t="s">
        <v>2973</v>
      </c>
      <c r="C3666" s="1" t="s">
        <v>4865</v>
      </c>
    </row>
    <row r="3667" spans="1:3" x14ac:dyDescent="0.2">
      <c r="A3667" s="1" t="str">
        <f>"002826"</f>
        <v>002826</v>
      </c>
      <c r="B3667" s="1" t="s">
        <v>1848</v>
      </c>
      <c r="C3667" s="1" t="s">
        <v>4843</v>
      </c>
    </row>
    <row r="3668" spans="1:3" x14ac:dyDescent="0.2">
      <c r="A3668" s="1" t="str">
        <f>"002825"</f>
        <v>002825</v>
      </c>
      <c r="B3668" s="1" t="s">
        <v>2845</v>
      </c>
      <c r="C3668" s="1" t="s">
        <v>4860</v>
      </c>
    </row>
    <row r="3669" spans="1:3" x14ac:dyDescent="0.2">
      <c r="A3669" s="1" t="str">
        <f>"002824"</f>
        <v>002824</v>
      </c>
      <c r="B3669" s="1" t="s">
        <v>2712</v>
      </c>
      <c r="C3669" s="1" t="s">
        <v>4879</v>
      </c>
    </row>
    <row r="3670" spans="1:3" x14ac:dyDescent="0.2">
      <c r="A3670" s="1" t="str">
        <f>"002823"</f>
        <v>002823</v>
      </c>
      <c r="B3670" s="1" t="s">
        <v>1579</v>
      </c>
      <c r="C3670" s="1" t="s">
        <v>4919</v>
      </c>
    </row>
    <row r="3671" spans="1:3" x14ac:dyDescent="0.2">
      <c r="A3671" s="1" t="str">
        <f>"002821"</f>
        <v>002821</v>
      </c>
      <c r="B3671" s="1" t="s">
        <v>1691</v>
      </c>
      <c r="C3671" s="1" t="s">
        <v>4861</v>
      </c>
    </row>
    <row r="3672" spans="1:3" x14ac:dyDescent="0.2">
      <c r="A3672" s="1" t="str">
        <f>"002820"</f>
        <v>002820</v>
      </c>
      <c r="B3672" s="1" t="s">
        <v>2431</v>
      </c>
      <c r="C3672" s="1" t="s">
        <v>4896</v>
      </c>
    </row>
    <row r="3673" spans="1:3" x14ac:dyDescent="0.2">
      <c r="A3673" s="1" t="str">
        <f>"002819"</f>
        <v>002819</v>
      </c>
      <c r="B3673" s="1" t="s">
        <v>4512</v>
      </c>
      <c r="C3673" s="1" t="s">
        <v>4851</v>
      </c>
    </row>
    <row r="3674" spans="1:3" x14ac:dyDescent="0.2">
      <c r="A3674" s="1" t="str">
        <f>"002818"</f>
        <v>002818</v>
      </c>
      <c r="B3674" s="1" t="s">
        <v>4513</v>
      </c>
      <c r="C3674" s="1" t="s">
        <v>4931</v>
      </c>
    </row>
    <row r="3675" spans="1:3" x14ac:dyDescent="0.2">
      <c r="A3675" s="1" t="str">
        <f>"002817"</f>
        <v>002817</v>
      </c>
      <c r="B3675" s="1" t="s">
        <v>1802</v>
      </c>
      <c r="C3675" s="1" t="s">
        <v>4843</v>
      </c>
    </row>
    <row r="3676" spans="1:3" x14ac:dyDescent="0.2">
      <c r="A3676" s="1" t="str">
        <f>"002815"</f>
        <v>002815</v>
      </c>
      <c r="B3676" s="1" t="s">
        <v>771</v>
      </c>
      <c r="C3676" s="1" t="s">
        <v>4872</v>
      </c>
    </row>
    <row r="3677" spans="1:3" x14ac:dyDescent="0.2">
      <c r="A3677" s="1" t="str">
        <f>"002813"</f>
        <v>002813</v>
      </c>
      <c r="B3677" s="1" t="s">
        <v>4514</v>
      </c>
      <c r="C3677" s="1" t="s">
        <v>4856</v>
      </c>
    </row>
    <row r="3678" spans="1:3" x14ac:dyDescent="0.2">
      <c r="A3678" s="1" t="str">
        <f>"002812"</f>
        <v>002812</v>
      </c>
      <c r="B3678" s="1" t="s">
        <v>1542</v>
      </c>
      <c r="C3678" s="1" t="s">
        <v>4841</v>
      </c>
    </row>
    <row r="3679" spans="1:3" x14ac:dyDescent="0.2">
      <c r="A3679" s="1" t="str">
        <f>"002811"</f>
        <v>002811</v>
      </c>
      <c r="B3679" s="1" t="s">
        <v>4515</v>
      </c>
      <c r="C3679" s="1" t="s">
        <v>4901</v>
      </c>
    </row>
    <row r="3680" spans="1:3" x14ac:dyDescent="0.2">
      <c r="A3680" s="1" t="str">
        <f>"002810"</f>
        <v>002810</v>
      </c>
      <c r="B3680" s="1" t="s">
        <v>2917</v>
      </c>
      <c r="C3680" s="1" t="s">
        <v>4865</v>
      </c>
    </row>
    <row r="3681" spans="1:3" x14ac:dyDescent="0.2">
      <c r="A3681" s="1" t="str">
        <f>"002809"</f>
        <v>002809</v>
      </c>
      <c r="B3681" s="1" t="s">
        <v>2918</v>
      </c>
      <c r="C3681" s="1" t="s">
        <v>4865</v>
      </c>
    </row>
    <row r="3682" spans="1:3" x14ac:dyDescent="0.2">
      <c r="A3682" s="1" t="str">
        <f>"002807"</f>
        <v>002807</v>
      </c>
      <c r="B3682" s="1" t="s">
        <v>4516</v>
      </c>
      <c r="C3682" s="1" t="s">
        <v>4937</v>
      </c>
    </row>
    <row r="3683" spans="1:3" x14ac:dyDescent="0.2">
      <c r="A3683" s="1" t="str">
        <f>"002806"</f>
        <v>002806</v>
      </c>
      <c r="B3683" s="1" t="s">
        <v>4517</v>
      </c>
      <c r="C3683" s="1" t="s">
        <v>4856</v>
      </c>
    </row>
    <row r="3684" spans="1:3" x14ac:dyDescent="0.2">
      <c r="A3684" s="1" t="str">
        <f>"002803"</f>
        <v>002803</v>
      </c>
      <c r="B3684" s="1" t="s">
        <v>2099</v>
      </c>
      <c r="C3684" s="1" t="s">
        <v>4910</v>
      </c>
    </row>
    <row r="3685" spans="1:3" x14ac:dyDescent="0.2">
      <c r="A3685" s="1" t="str">
        <f>"002802"</f>
        <v>002802</v>
      </c>
      <c r="B3685" s="1" t="s">
        <v>2890</v>
      </c>
      <c r="C3685" s="1" t="s">
        <v>4860</v>
      </c>
    </row>
    <row r="3686" spans="1:3" x14ac:dyDescent="0.2">
      <c r="A3686" s="1" t="str">
        <f>"002801"</f>
        <v>002801</v>
      </c>
      <c r="B3686" s="1" t="s">
        <v>1580</v>
      </c>
      <c r="C3686" s="1" t="s">
        <v>4919</v>
      </c>
    </row>
    <row r="3687" spans="1:3" x14ac:dyDescent="0.2">
      <c r="A3687" s="1" t="str">
        <f>"002800"</f>
        <v>002800</v>
      </c>
      <c r="B3687" s="1" t="s">
        <v>190</v>
      </c>
      <c r="C3687" s="1" t="s">
        <v>4914</v>
      </c>
    </row>
    <row r="3688" spans="1:3" x14ac:dyDescent="0.2">
      <c r="A3688" s="1" t="str">
        <f>"002799"</f>
        <v>002799</v>
      </c>
      <c r="B3688" s="1" t="s">
        <v>4518</v>
      </c>
      <c r="C3688" s="1" t="s">
        <v>4930</v>
      </c>
    </row>
    <row r="3689" spans="1:3" x14ac:dyDescent="0.2">
      <c r="A3689" s="1" t="str">
        <f>"002798"</f>
        <v>002798</v>
      </c>
      <c r="B3689" s="1" t="s">
        <v>4519</v>
      </c>
      <c r="C3689" s="1" t="s">
        <v>4902</v>
      </c>
    </row>
    <row r="3690" spans="1:3" x14ac:dyDescent="0.2">
      <c r="A3690" s="1" t="str">
        <f>"002797"</f>
        <v>002797</v>
      </c>
      <c r="B3690" s="1" t="s">
        <v>403</v>
      </c>
      <c r="C3690" s="1" t="s">
        <v>4945</v>
      </c>
    </row>
    <row r="3691" spans="1:3" x14ac:dyDescent="0.2">
      <c r="A3691" s="1" t="str">
        <f>"002796"</f>
        <v>002796</v>
      </c>
      <c r="B3691" s="1" t="s">
        <v>4520</v>
      </c>
      <c r="C3691" s="1" t="s">
        <v>4869</v>
      </c>
    </row>
    <row r="3692" spans="1:3" x14ac:dyDescent="0.2">
      <c r="A3692" s="1" t="str">
        <f>"002795"</f>
        <v>002795</v>
      </c>
      <c r="B3692" s="1" t="s">
        <v>4521</v>
      </c>
      <c r="C3692" s="1" t="s">
        <v>4851</v>
      </c>
    </row>
    <row r="3693" spans="1:3" x14ac:dyDescent="0.2">
      <c r="A3693" s="1" t="str">
        <f>"002793"</f>
        <v>002793</v>
      </c>
      <c r="B3693" s="1" t="s">
        <v>1849</v>
      </c>
      <c r="C3693" s="1" t="s">
        <v>4843</v>
      </c>
    </row>
    <row r="3694" spans="1:3" x14ac:dyDescent="0.2">
      <c r="A3694" s="1" t="str">
        <f>"002792"</f>
        <v>002792</v>
      </c>
      <c r="B3694" s="1" t="s">
        <v>691</v>
      </c>
      <c r="C3694" s="1" t="s">
        <v>4869</v>
      </c>
    </row>
    <row r="3695" spans="1:3" x14ac:dyDescent="0.2">
      <c r="A3695" s="1" t="str">
        <f>"002791"</f>
        <v>002791</v>
      </c>
      <c r="B3695" s="1" t="s">
        <v>4522</v>
      </c>
      <c r="C3695" s="1" t="s">
        <v>4886</v>
      </c>
    </row>
    <row r="3696" spans="1:3" x14ac:dyDescent="0.2">
      <c r="A3696" s="1" t="str">
        <f>"002790"</f>
        <v>002790</v>
      </c>
      <c r="B3696" s="1" t="s">
        <v>2224</v>
      </c>
      <c r="C3696" s="1" t="s">
        <v>4902</v>
      </c>
    </row>
    <row r="3697" spans="1:3" x14ac:dyDescent="0.2">
      <c r="A3697" s="1" t="str">
        <f>"002788"</f>
        <v>002788</v>
      </c>
      <c r="B3697" s="1" t="s">
        <v>1656</v>
      </c>
      <c r="C3697" s="1" t="s">
        <v>4903</v>
      </c>
    </row>
    <row r="3698" spans="1:3" x14ac:dyDescent="0.2">
      <c r="A3698" s="1" t="str">
        <f>"002787"</f>
        <v>002787</v>
      </c>
      <c r="B3698" s="1" t="s">
        <v>2281</v>
      </c>
      <c r="C3698" s="1" t="s">
        <v>4930</v>
      </c>
    </row>
    <row r="3699" spans="1:3" x14ac:dyDescent="0.2">
      <c r="A3699" s="1" t="str">
        <f>"002786"</f>
        <v>002786</v>
      </c>
      <c r="B3699" s="1" t="s">
        <v>4523</v>
      </c>
      <c r="C3699" s="1" t="s">
        <v>4845</v>
      </c>
    </row>
    <row r="3700" spans="1:3" x14ac:dyDescent="0.2">
      <c r="A3700" s="1" t="str">
        <f>"002785"</f>
        <v>002785</v>
      </c>
      <c r="B3700" s="1" t="s">
        <v>2580</v>
      </c>
      <c r="C3700" s="1" t="s">
        <v>4886</v>
      </c>
    </row>
    <row r="3701" spans="1:3" x14ac:dyDescent="0.2">
      <c r="A3701" s="1" t="str">
        <f>"002783"</f>
        <v>002783</v>
      </c>
      <c r="B3701" s="1" t="s">
        <v>2974</v>
      </c>
      <c r="C3701" s="1" t="s">
        <v>4865</v>
      </c>
    </row>
    <row r="3702" spans="1:3" x14ac:dyDescent="0.2">
      <c r="A3702" s="1" t="str">
        <f>"002782"</f>
        <v>002782</v>
      </c>
      <c r="B3702" s="1" t="s">
        <v>893</v>
      </c>
      <c r="C3702" s="1" t="s">
        <v>4850</v>
      </c>
    </row>
    <row r="3703" spans="1:3" x14ac:dyDescent="0.2">
      <c r="A3703" s="1" t="str">
        <f>"002780"</f>
        <v>002780</v>
      </c>
      <c r="B3703" s="1" t="s">
        <v>2351</v>
      </c>
      <c r="C3703" s="1" t="s">
        <v>4909</v>
      </c>
    </row>
    <row r="3704" spans="1:3" x14ac:dyDescent="0.2">
      <c r="A3704" s="1" t="str">
        <f>"002779"</f>
        <v>002779</v>
      </c>
      <c r="B3704" s="1" t="s">
        <v>1088</v>
      </c>
      <c r="C3704" s="1" t="s">
        <v>4845</v>
      </c>
    </row>
    <row r="3705" spans="1:3" x14ac:dyDescent="0.2">
      <c r="A3705" s="1" t="str">
        <f>"002778"</f>
        <v>002778</v>
      </c>
      <c r="B3705" s="1" t="s">
        <v>60</v>
      </c>
      <c r="C3705" s="1" t="s">
        <v>4863</v>
      </c>
    </row>
    <row r="3706" spans="1:3" x14ac:dyDescent="0.2">
      <c r="A3706" s="1" t="str">
        <f>"002777"</f>
        <v>002777</v>
      </c>
      <c r="B3706" s="1" t="s">
        <v>592</v>
      </c>
      <c r="C3706" s="1" t="s">
        <v>4847</v>
      </c>
    </row>
    <row r="3707" spans="1:3" x14ac:dyDescent="0.2">
      <c r="A3707" s="1" t="str">
        <f>"002775"</f>
        <v>002775</v>
      </c>
      <c r="B3707" s="1" t="s">
        <v>4524</v>
      </c>
      <c r="C3707" s="1" t="s">
        <v>4898</v>
      </c>
    </row>
    <row r="3708" spans="1:3" x14ac:dyDescent="0.2">
      <c r="A3708" s="1" t="str">
        <f>"002774"</f>
        <v>002774</v>
      </c>
      <c r="B3708" s="1" t="s">
        <v>4525</v>
      </c>
      <c r="C3708" s="1" t="s">
        <v>4845</v>
      </c>
    </row>
    <row r="3709" spans="1:3" x14ac:dyDescent="0.2">
      <c r="A3709" s="1" t="str">
        <f>"002773"</f>
        <v>002773</v>
      </c>
      <c r="B3709" s="1" t="s">
        <v>1850</v>
      </c>
      <c r="C3709" s="1" t="s">
        <v>4843</v>
      </c>
    </row>
    <row r="3710" spans="1:3" x14ac:dyDescent="0.2">
      <c r="A3710" s="1" t="str">
        <f>"002772"</f>
        <v>002772</v>
      </c>
      <c r="B3710" s="1" t="s">
        <v>2575</v>
      </c>
      <c r="C3710" s="1" t="s">
        <v>4949</v>
      </c>
    </row>
    <row r="3711" spans="1:3" x14ac:dyDescent="0.2">
      <c r="A3711" s="1" t="str">
        <f>"002771"</f>
        <v>002771</v>
      </c>
      <c r="B3711" s="1" t="s">
        <v>4526</v>
      </c>
      <c r="C3711" s="1" t="s">
        <v>4847</v>
      </c>
    </row>
    <row r="3712" spans="1:3" x14ac:dyDescent="0.2">
      <c r="A3712" s="1" t="str">
        <f>"002769"</f>
        <v>002769</v>
      </c>
      <c r="B3712" s="1" t="s">
        <v>191</v>
      </c>
      <c r="C3712" s="1" t="s">
        <v>4914</v>
      </c>
    </row>
    <row r="3713" spans="1:3" x14ac:dyDescent="0.2">
      <c r="A3713" s="1" t="str">
        <f>"002768"</f>
        <v>002768</v>
      </c>
      <c r="B3713" s="1" t="s">
        <v>2871</v>
      </c>
      <c r="C3713" s="1" t="s">
        <v>4860</v>
      </c>
    </row>
    <row r="3714" spans="1:3" x14ac:dyDescent="0.2">
      <c r="A3714" s="1" t="str">
        <f>"002767"</f>
        <v>002767</v>
      </c>
      <c r="B3714" s="1" t="s">
        <v>1288</v>
      </c>
      <c r="C3714" s="1" t="s">
        <v>4851</v>
      </c>
    </row>
    <row r="3715" spans="1:3" x14ac:dyDescent="0.2">
      <c r="A3715" s="1" t="str">
        <f>"002766"</f>
        <v>002766</v>
      </c>
      <c r="B3715" s="1" t="s">
        <v>1908</v>
      </c>
      <c r="C3715" s="1" t="s">
        <v>4856</v>
      </c>
    </row>
    <row r="3716" spans="1:3" x14ac:dyDescent="0.2">
      <c r="A3716" s="1" t="str">
        <f>"002765"</f>
        <v>002765</v>
      </c>
      <c r="B3716" s="1" t="s">
        <v>835</v>
      </c>
      <c r="C3716" s="1" t="s">
        <v>4878</v>
      </c>
    </row>
    <row r="3717" spans="1:3" x14ac:dyDescent="0.2">
      <c r="A3717" s="1" t="str">
        <f>"002763"</f>
        <v>002763</v>
      </c>
      <c r="B3717" s="1" t="s">
        <v>2360</v>
      </c>
      <c r="C3717" s="1" t="s">
        <v>4909</v>
      </c>
    </row>
    <row r="3718" spans="1:3" x14ac:dyDescent="0.2">
      <c r="A3718" s="1" t="str">
        <f>"002761"</f>
        <v>002761</v>
      </c>
      <c r="B3718" s="1" t="s">
        <v>4527</v>
      </c>
      <c r="C3718" s="1" t="s">
        <v>4953</v>
      </c>
    </row>
    <row r="3719" spans="1:3" x14ac:dyDescent="0.2">
      <c r="A3719" s="1" t="str">
        <f>"002760"</f>
        <v>002760</v>
      </c>
      <c r="B3719" s="1" t="s">
        <v>1171</v>
      </c>
      <c r="C3719" s="1" t="s">
        <v>4851</v>
      </c>
    </row>
    <row r="3720" spans="1:3" x14ac:dyDescent="0.2">
      <c r="A3720" s="1" t="str">
        <f>"002759"</f>
        <v>002759</v>
      </c>
      <c r="B3720" s="1" t="s">
        <v>4528</v>
      </c>
      <c r="C3720" s="1" t="s">
        <v>4841</v>
      </c>
    </row>
    <row r="3721" spans="1:3" x14ac:dyDescent="0.2">
      <c r="A3721" s="1" t="str">
        <f>"002758"</f>
        <v>002758</v>
      </c>
      <c r="B3721" s="1" t="s">
        <v>2108</v>
      </c>
      <c r="C3721" s="1" t="s">
        <v>4942</v>
      </c>
    </row>
    <row r="3722" spans="1:3" x14ac:dyDescent="0.2">
      <c r="A3722" s="1" t="str">
        <f>"002757"</f>
        <v>002757</v>
      </c>
      <c r="B3722" s="1" t="s">
        <v>1068</v>
      </c>
      <c r="C3722" s="1" t="s">
        <v>4845</v>
      </c>
    </row>
    <row r="3723" spans="1:3" x14ac:dyDescent="0.2">
      <c r="A3723" s="1" t="str">
        <f>"002756"</f>
        <v>002756</v>
      </c>
      <c r="B3723" s="1" t="s">
        <v>2667</v>
      </c>
      <c r="C3723" s="1" t="s">
        <v>4894</v>
      </c>
    </row>
    <row r="3724" spans="1:3" x14ac:dyDescent="0.2">
      <c r="A3724" s="1" t="str">
        <f>"002755"</f>
        <v>002755</v>
      </c>
      <c r="B3724" s="1" t="s">
        <v>1851</v>
      </c>
      <c r="C3724" s="1" t="s">
        <v>4843</v>
      </c>
    </row>
    <row r="3725" spans="1:3" x14ac:dyDescent="0.2">
      <c r="A3725" s="1" t="str">
        <f>"002753"</f>
        <v>002753</v>
      </c>
      <c r="B3725" s="1" t="s">
        <v>2831</v>
      </c>
      <c r="C3725" s="1" t="s">
        <v>4906</v>
      </c>
    </row>
    <row r="3726" spans="1:3" x14ac:dyDescent="0.2">
      <c r="A3726" s="1" t="str">
        <f>"002752"</f>
        <v>002752</v>
      </c>
      <c r="B3726" s="1" t="s">
        <v>2282</v>
      </c>
      <c r="C3726" s="1" t="s">
        <v>4930</v>
      </c>
    </row>
    <row r="3727" spans="1:3" x14ac:dyDescent="0.2">
      <c r="A3727" s="1" t="str">
        <f>"002749"</f>
        <v>002749</v>
      </c>
      <c r="B3727" s="1" t="s">
        <v>2813</v>
      </c>
      <c r="C3727" s="1" t="s">
        <v>4915</v>
      </c>
    </row>
    <row r="3728" spans="1:3" x14ac:dyDescent="0.2">
      <c r="A3728" s="1" t="str">
        <f>"002748"</f>
        <v>002748</v>
      </c>
      <c r="B3728" s="1" t="s">
        <v>2855</v>
      </c>
      <c r="C3728" s="1" t="s">
        <v>4860</v>
      </c>
    </row>
    <row r="3729" spans="1:3" x14ac:dyDescent="0.2">
      <c r="A3729" s="1" t="str">
        <f>"002747"</f>
        <v>002747</v>
      </c>
      <c r="B3729" s="1" t="s">
        <v>990</v>
      </c>
      <c r="C3729" s="1" t="s">
        <v>4849</v>
      </c>
    </row>
    <row r="3730" spans="1:3" x14ac:dyDescent="0.2">
      <c r="A3730" s="1" t="str">
        <f>"002746"</f>
        <v>002746</v>
      </c>
      <c r="B3730" s="1" t="s">
        <v>2554</v>
      </c>
      <c r="C3730" s="1" t="s">
        <v>4900</v>
      </c>
    </row>
    <row r="3731" spans="1:3" x14ac:dyDescent="0.2">
      <c r="A3731" s="1" t="str">
        <f>"002745"</f>
        <v>002745</v>
      </c>
      <c r="B3731" s="1" t="s">
        <v>800</v>
      </c>
      <c r="C3731" s="1" t="s">
        <v>4878</v>
      </c>
    </row>
    <row r="3732" spans="1:3" x14ac:dyDescent="0.2">
      <c r="A3732" s="1" t="str">
        <f>"002743"</f>
        <v>002743</v>
      </c>
      <c r="B3732" s="1" t="s">
        <v>4529</v>
      </c>
      <c r="C3732" s="1" t="s">
        <v>4888</v>
      </c>
    </row>
    <row r="3733" spans="1:3" x14ac:dyDescent="0.2">
      <c r="A3733" s="1" t="str">
        <f>"002741"</f>
        <v>002741</v>
      </c>
      <c r="B3733" s="1" t="s">
        <v>953</v>
      </c>
      <c r="C3733" s="1" t="s">
        <v>4840</v>
      </c>
    </row>
    <row r="3734" spans="1:3" x14ac:dyDescent="0.2">
      <c r="A3734" s="1" t="str">
        <f>"002739"</f>
        <v>002739</v>
      </c>
      <c r="B3734" s="1" t="s">
        <v>473</v>
      </c>
      <c r="C3734" s="1" t="s">
        <v>4941</v>
      </c>
    </row>
    <row r="3735" spans="1:3" x14ac:dyDescent="0.2">
      <c r="A3735" s="1" t="str">
        <f>"002738"</f>
        <v>002738</v>
      </c>
      <c r="B3735" s="1" t="s">
        <v>2668</v>
      </c>
      <c r="C3735" s="1" t="s">
        <v>4894</v>
      </c>
    </row>
    <row r="3736" spans="1:3" x14ac:dyDescent="0.2">
      <c r="A3736" s="1" t="str">
        <f>"002737"</f>
        <v>002737</v>
      </c>
      <c r="B3736" s="1" t="s">
        <v>1622</v>
      </c>
      <c r="C3736" s="1" t="s">
        <v>4917</v>
      </c>
    </row>
    <row r="3737" spans="1:3" x14ac:dyDescent="0.2">
      <c r="A3737" s="1" t="str">
        <f>"002736"</f>
        <v>002736</v>
      </c>
      <c r="B3737" s="1" t="s">
        <v>404</v>
      </c>
      <c r="C3737" s="1" t="s">
        <v>4945</v>
      </c>
    </row>
    <row r="3738" spans="1:3" x14ac:dyDescent="0.2">
      <c r="A3738" s="1" t="str">
        <f>"002735"</f>
        <v>002735</v>
      </c>
      <c r="B3738" s="1" t="s">
        <v>2276</v>
      </c>
      <c r="C3738" s="1" t="s">
        <v>4930</v>
      </c>
    </row>
    <row r="3739" spans="1:3" x14ac:dyDescent="0.2">
      <c r="A3739" s="1" t="str">
        <f>"002734"</f>
        <v>002734</v>
      </c>
      <c r="B3739" s="1" t="s">
        <v>2814</v>
      </c>
      <c r="C3739" s="1" t="s">
        <v>4915</v>
      </c>
    </row>
    <row r="3740" spans="1:3" x14ac:dyDescent="0.2">
      <c r="A3740" s="1" t="str">
        <f>"002733"</f>
        <v>002733</v>
      </c>
      <c r="B3740" s="1" t="s">
        <v>1525</v>
      </c>
      <c r="C3740" s="1" t="s">
        <v>4841</v>
      </c>
    </row>
    <row r="3741" spans="1:3" x14ac:dyDescent="0.2">
      <c r="A3741" s="1" t="str">
        <f>"002732"</f>
        <v>002732</v>
      </c>
      <c r="B3741" s="1" t="s">
        <v>2468</v>
      </c>
      <c r="C3741" s="1" t="s">
        <v>4893</v>
      </c>
    </row>
    <row r="3742" spans="1:3" x14ac:dyDescent="0.2">
      <c r="A3742" s="1" t="str">
        <f>"002731"</f>
        <v>002731</v>
      </c>
      <c r="B3742" s="1" t="s">
        <v>2320</v>
      </c>
      <c r="C3742" s="1" t="s">
        <v>4887</v>
      </c>
    </row>
    <row r="3743" spans="1:3" x14ac:dyDescent="0.2">
      <c r="A3743" s="1" t="str">
        <f>"002730"</f>
        <v>002730</v>
      </c>
      <c r="B3743" s="1" t="s">
        <v>1129</v>
      </c>
      <c r="C3743" s="1" t="s">
        <v>4845</v>
      </c>
    </row>
    <row r="3744" spans="1:3" x14ac:dyDescent="0.2">
      <c r="A3744" s="1" t="str">
        <f>"002729"</f>
        <v>002729</v>
      </c>
      <c r="B3744" s="1" t="s">
        <v>729</v>
      </c>
      <c r="C3744" s="1" t="s">
        <v>4842</v>
      </c>
    </row>
    <row r="3745" spans="1:3" x14ac:dyDescent="0.2">
      <c r="A3745" s="1" t="str">
        <f>"002728"</f>
        <v>002728</v>
      </c>
      <c r="B3745" s="1" t="s">
        <v>1623</v>
      </c>
      <c r="C3745" s="1" t="s">
        <v>4917</v>
      </c>
    </row>
    <row r="3746" spans="1:3" x14ac:dyDescent="0.2">
      <c r="A3746" s="1" t="str">
        <f>"002727"</f>
        <v>002727</v>
      </c>
      <c r="B3746" s="1" t="s">
        <v>4530</v>
      </c>
      <c r="C3746" s="1" t="s">
        <v>4903</v>
      </c>
    </row>
    <row r="3747" spans="1:3" x14ac:dyDescent="0.2">
      <c r="A3747" s="1" t="str">
        <f>"002726"</f>
        <v>002726</v>
      </c>
      <c r="B3747" s="1" t="s">
        <v>2419</v>
      </c>
      <c r="C3747" s="1" t="s">
        <v>4891</v>
      </c>
    </row>
    <row r="3748" spans="1:3" x14ac:dyDescent="0.2">
      <c r="A3748" s="1" t="str">
        <f>"002725"</f>
        <v>002725</v>
      </c>
      <c r="B3748" s="1" t="s">
        <v>1962</v>
      </c>
      <c r="C3748" s="1" t="s">
        <v>4856</v>
      </c>
    </row>
    <row r="3749" spans="1:3" x14ac:dyDescent="0.2">
      <c r="A3749" s="1" t="str">
        <f>"002724"</f>
        <v>002724</v>
      </c>
      <c r="B3749" s="1" t="s">
        <v>801</v>
      </c>
      <c r="C3749" s="1" t="s">
        <v>4878</v>
      </c>
    </row>
    <row r="3750" spans="1:3" x14ac:dyDescent="0.2">
      <c r="A3750" s="1" t="str">
        <f>"002723"</f>
        <v>002723</v>
      </c>
      <c r="B3750" s="1" t="s">
        <v>4531</v>
      </c>
      <c r="C3750" s="1" t="s">
        <v>4844</v>
      </c>
    </row>
    <row r="3751" spans="1:3" x14ac:dyDescent="0.2">
      <c r="A3751" s="1" t="str">
        <f>"002722"</f>
        <v>002722</v>
      </c>
      <c r="B3751" s="1" t="s">
        <v>1204</v>
      </c>
      <c r="C3751" s="1" t="s">
        <v>4851</v>
      </c>
    </row>
    <row r="3752" spans="1:3" x14ac:dyDescent="0.2">
      <c r="A3752" s="1" t="str">
        <f>"002721"</f>
        <v>002721</v>
      </c>
      <c r="B3752" s="1" t="s">
        <v>4532</v>
      </c>
      <c r="C3752" s="1" t="s">
        <v>4887</v>
      </c>
    </row>
    <row r="3753" spans="1:3" x14ac:dyDescent="0.2">
      <c r="A3753" s="1" t="str">
        <f>"002719"</f>
        <v>002719</v>
      </c>
      <c r="B3753" s="1" t="s">
        <v>2469</v>
      </c>
      <c r="C3753" s="1" t="s">
        <v>4893</v>
      </c>
    </row>
    <row r="3754" spans="1:3" x14ac:dyDescent="0.2">
      <c r="A3754" s="1" t="str">
        <f>"002718"</f>
        <v>002718</v>
      </c>
      <c r="B3754" s="1" t="s">
        <v>2581</v>
      </c>
      <c r="C3754" s="1" t="s">
        <v>4886</v>
      </c>
    </row>
    <row r="3755" spans="1:3" x14ac:dyDescent="0.2">
      <c r="A3755" s="1" t="str">
        <f>"002716"</f>
        <v>002716</v>
      </c>
      <c r="B3755" s="1" t="s">
        <v>2672</v>
      </c>
      <c r="C3755" s="1" t="s">
        <v>4958</v>
      </c>
    </row>
    <row r="3756" spans="1:3" x14ac:dyDescent="0.2">
      <c r="A3756" s="1" t="str">
        <f>"002715"</f>
        <v>002715</v>
      </c>
      <c r="B3756" s="1" t="s">
        <v>2017</v>
      </c>
      <c r="C3756" s="1" t="s">
        <v>4856</v>
      </c>
    </row>
    <row r="3757" spans="1:3" x14ac:dyDescent="0.2">
      <c r="A3757" s="1" t="str">
        <f>"002714"</f>
        <v>002714</v>
      </c>
      <c r="B3757" s="1" t="s">
        <v>2561</v>
      </c>
      <c r="C3757" s="1" t="s">
        <v>4900</v>
      </c>
    </row>
    <row r="3758" spans="1:3" x14ac:dyDescent="0.2">
      <c r="A3758" s="1" t="str">
        <f>"002712"</f>
        <v>002712</v>
      </c>
      <c r="B3758" s="1" t="s">
        <v>4533</v>
      </c>
      <c r="C3758" s="1" t="s">
        <v>4907</v>
      </c>
    </row>
    <row r="3759" spans="1:3" x14ac:dyDescent="0.2">
      <c r="A3759" s="1" t="str">
        <f>"002709"</f>
        <v>002709</v>
      </c>
      <c r="B3759" s="1" t="s">
        <v>1543</v>
      </c>
      <c r="C3759" s="1" t="s">
        <v>4841</v>
      </c>
    </row>
    <row r="3760" spans="1:3" x14ac:dyDescent="0.2">
      <c r="A3760" s="1" t="str">
        <f>"002708"</f>
        <v>002708</v>
      </c>
      <c r="B3760" s="1" t="s">
        <v>2018</v>
      </c>
      <c r="C3760" s="1" t="s">
        <v>4856</v>
      </c>
    </row>
    <row r="3761" spans="1:3" x14ac:dyDescent="0.2">
      <c r="A3761" s="1" t="str">
        <f>"002707"</f>
        <v>002707</v>
      </c>
      <c r="B3761" s="1" t="s">
        <v>278</v>
      </c>
      <c r="C3761" s="1" t="s">
        <v>4940</v>
      </c>
    </row>
    <row r="3762" spans="1:3" x14ac:dyDescent="0.2">
      <c r="A3762" s="1" t="str">
        <f>"002706"</f>
        <v>002706</v>
      </c>
      <c r="B3762" s="1" t="s">
        <v>1470</v>
      </c>
      <c r="C3762" s="1" t="s">
        <v>4866</v>
      </c>
    </row>
    <row r="3763" spans="1:3" x14ac:dyDescent="0.2">
      <c r="A3763" s="1" t="str">
        <f>"002705"</f>
        <v>002705</v>
      </c>
      <c r="B3763" s="1" t="s">
        <v>2173</v>
      </c>
      <c r="C3763" s="1" t="s">
        <v>4844</v>
      </c>
    </row>
    <row r="3764" spans="1:3" x14ac:dyDescent="0.2">
      <c r="A3764" s="1" t="str">
        <f>"002703"</f>
        <v>002703</v>
      </c>
      <c r="B3764" s="1" t="s">
        <v>2019</v>
      </c>
      <c r="C3764" s="1" t="s">
        <v>4856</v>
      </c>
    </row>
    <row r="3765" spans="1:3" x14ac:dyDescent="0.2">
      <c r="A3765" s="1" t="str">
        <f>"002702"</f>
        <v>002702</v>
      </c>
      <c r="B3765" s="1" t="s">
        <v>2406</v>
      </c>
      <c r="C3765" s="1" t="s">
        <v>4891</v>
      </c>
    </row>
    <row r="3766" spans="1:3" x14ac:dyDescent="0.2">
      <c r="A3766" s="1" t="str">
        <f>"002701"</f>
        <v>002701</v>
      </c>
      <c r="B3766" s="1" t="s">
        <v>2283</v>
      </c>
      <c r="C3766" s="1" t="s">
        <v>4930</v>
      </c>
    </row>
    <row r="3767" spans="1:3" x14ac:dyDescent="0.2">
      <c r="A3767" s="1" t="str">
        <f>"002700"</f>
        <v>002700</v>
      </c>
      <c r="B3767" s="1" t="s">
        <v>4534</v>
      </c>
      <c r="C3767" s="1" t="s">
        <v>4895</v>
      </c>
    </row>
    <row r="3768" spans="1:3" x14ac:dyDescent="0.2">
      <c r="A3768" s="1" t="str">
        <f>"002698"</f>
        <v>002698</v>
      </c>
      <c r="B3768" s="1" t="s">
        <v>1069</v>
      </c>
      <c r="C3768" s="1" t="s">
        <v>4845</v>
      </c>
    </row>
    <row r="3769" spans="1:3" x14ac:dyDescent="0.2">
      <c r="A3769" s="1" t="str">
        <f>"002697"</f>
        <v>002697</v>
      </c>
      <c r="B3769" s="1" t="s">
        <v>4535</v>
      </c>
      <c r="C3769" s="1" t="s">
        <v>4905</v>
      </c>
    </row>
    <row r="3770" spans="1:3" x14ac:dyDescent="0.2">
      <c r="A3770" s="1" t="str">
        <f>"002696"</f>
        <v>002696</v>
      </c>
      <c r="B3770" s="1" t="s">
        <v>2537</v>
      </c>
      <c r="C3770" s="1" t="s">
        <v>4885</v>
      </c>
    </row>
    <row r="3771" spans="1:3" x14ac:dyDescent="0.2">
      <c r="A3771" s="1" t="str">
        <f>"002695"</f>
        <v>002695</v>
      </c>
      <c r="B3771" s="1" t="s">
        <v>2426</v>
      </c>
      <c r="C3771" s="1" t="s">
        <v>4896</v>
      </c>
    </row>
    <row r="3772" spans="1:3" x14ac:dyDescent="0.2">
      <c r="A3772" s="1" t="str">
        <f>"002694"</f>
        <v>002694</v>
      </c>
      <c r="B3772" s="1" t="s">
        <v>2599</v>
      </c>
      <c r="C3772" s="1" t="s">
        <v>4886</v>
      </c>
    </row>
    <row r="3773" spans="1:3" x14ac:dyDescent="0.2">
      <c r="A3773" s="1" t="str">
        <f>"002692"</f>
        <v>002692</v>
      </c>
      <c r="B3773" s="1" t="s">
        <v>1443</v>
      </c>
      <c r="C3773" s="1" t="s">
        <v>4866</v>
      </c>
    </row>
    <row r="3774" spans="1:3" x14ac:dyDescent="0.2">
      <c r="A3774" s="1" t="str">
        <f>"002691"</f>
        <v>002691</v>
      </c>
      <c r="B3774" s="1" t="s">
        <v>4536</v>
      </c>
      <c r="C3774" s="1" t="s">
        <v>4845</v>
      </c>
    </row>
    <row r="3775" spans="1:3" x14ac:dyDescent="0.2">
      <c r="A3775" s="1" t="str">
        <f>"002690"</f>
        <v>002690</v>
      </c>
      <c r="B3775" s="1" t="s">
        <v>1070</v>
      </c>
      <c r="C3775" s="1" t="s">
        <v>4845</v>
      </c>
    </row>
    <row r="3776" spans="1:3" x14ac:dyDescent="0.2">
      <c r="A3776" s="1" t="str">
        <f>"002689"</f>
        <v>002689</v>
      </c>
      <c r="B3776" s="1" t="s">
        <v>4537</v>
      </c>
      <c r="C3776" s="1" t="s">
        <v>4845</v>
      </c>
    </row>
    <row r="3777" spans="1:3" x14ac:dyDescent="0.2">
      <c r="A3777" s="1" t="str">
        <f>"002688"</f>
        <v>002688</v>
      </c>
      <c r="B3777" s="1" t="s">
        <v>2519</v>
      </c>
      <c r="C3777" s="1" t="s">
        <v>4877</v>
      </c>
    </row>
    <row r="3778" spans="1:3" x14ac:dyDescent="0.2">
      <c r="A3778" s="1" t="str">
        <f>"002687"</f>
        <v>002687</v>
      </c>
      <c r="B3778" s="1" t="s">
        <v>2340</v>
      </c>
      <c r="C3778" s="1" t="s">
        <v>4909</v>
      </c>
    </row>
    <row r="3779" spans="1:3" x14ac:dyDescent="0.2">
      <c r="A3779" s="1" t="str">
        <f>"002686"</f>
        <v>002686</v>
      </c>
      <c r="B3779" s="1" t="s">
        <v>1161</v>
      </c>
      <c r="C3779" s="1" t="s">
        <v>4851</v>
      </c>
    </row>
    <row r="3780" spans="1:3" x14ac:dyDescent="0.2">
      <c r="A3780" s="1" t="str">
        <f>"002685"</f>
        <v>002685</v>
      </c>
      <c r="B3780" s="1" t="s">
        <v>1260</v>
      </c>
      <c r="C3780" s="1" t="s">
        <v>4851</v>
      </c>
    </row>
    <row r="3781" spans="1:3" x14ac:dyDescent="0.2">
      <c r="A3781" s="1" t="str">
        <f>"002683"</f>
        <v>002683</v>
      </c>
      <c r="B3781" s="1" t="s">
        <v>2975</v>
      </c>
      <c r="C3781" s="1" t="s">
        <v>4865</v>
      </c>
    </row>
    <row r="3782" spans="1:3" x14ac:dyDescent="0.2">
      <c r="A3782" s="1" t="str">
        <f>"002681"</f>
        <v>002681</v>
      </c>
      <c r="B3782" s="1" t="s">
        <v>894</v>
      </c>
      <c r="C3782" s="1" t="s">
        <v>4850</v>
      </c>
    </row>
    <row r="3783" spans="1:3" x14ac:dyDescent="0.2">
      <c r="A3783" s="1" t="str">
        <f>"002677"</f>
        <v>002677</v>
      </c>
      <c r="B3783" s="1" t="s">
        <v>2154</v>
      </c>
      <c r="C3783" s="1" t="s">
        <v>4897</v>
      </c>
    </row>
    <row r="3784" spans="1:3" x14ac:dyDescent="0.2">
      <c r="A3784" s="1" t="str">
        <f>"002676"</f>
        <v>002676</v>
      </c>
      <c r="B3784" s="1" t="s">
        <v>2146</v>
      </c>
      <c r="C3784" s="1" t="s">
        <v>4929</v>
      </c>
    </row>
    <row r="3785" spans="1:3" x14ac:dyDescent="0.2">
      <c r="A3785" s="1" t="str">
        <f>"002675"</f>
        <v>002675</v>
      </c>
      <c r="B3785" s="1" t="s">
        <v>1852</v>
      </c>
      <c r="C3785" s="1" t="s">
        <v>4843</v>
      </c>
    </row>
    <row r="3786" spans="1:3" x14ac:dyDescent="0.2">
      <c r="A3786" s="1" t="str">
        <f>"002674"</f>
        <v>002674</v>
      </c>
      <c r="B3786" s="1" t="s">
        <v>2385</v>
      </c>
      <c r="C3786" s="1" t="s">
        <v>4904</v>
      </c>
    </row>
    <row r="3787" spans="1:3" x14ac:dyDescent="0.2">
      <c r="A3787" s="1" t="str">
        <f>"002673"</f>
        <v>002673</v>
      </c>
      <c r="B3787" s="1" t="s">
        <v>405</v>
      </c>
      <c r="C3787" s="1" t="s">
        <v>4945</v>
      </c>
    </row>
    <row r="3788" spans="1:3" x14ac:dyDescent="0.2">
      <c r="A3788" s="1" t="str">
        <f>"002672"</f>
        <v>002672</v>
      </c>
      <c r="B3788" s="1" t="s">
        <v>4538</v>
      </c>
      <c r="C3788" s="1" t="s">
        <v>4863</v>
      </c>
    </row>
    <row r="3789" spans="1:3" x14ac:dyDescent="0.2">
      <c r="A3789" s="1" t="str">
        <f>"002671"</f>
        <v>002671</v>
      </c>
      <c r="B3789" s="1" t="s">
        <v>4539</v>
      </c>
      <c r="C3789" s="1" t="s">
        <v>4911</v>
      </c>
    </row>
    <row r="3790" spans="1:3" x14ac:dyDescent="0.2">
      <c r="A3790" s="1" t="str">
        <f>"002670"</f>
        <v>002670</v>
      </c>
      <c r="B3790" s="1" t="s">
        <v>406</v>
      </c>
      <c r="C3790" s="1" t="s">
        <v>4945</v>
      </c>
    </row>
    <row r="3791" spans="1:3" x14ac:dyDescent="0.2">
      <c r="A3791" s="1" t="str">
        <f>"002669"</f>
        <v>002669</v>
      </c>
      <c r="B3791" s="1" t="s">
        <v>2931</v>
      </c>
      <c r="C3791" s="1" t="s">
        <v>4865</v>
      </c>
    </row>
    <row r="3792" spans="1:3" x14ac:dyDescent="0.2">
      <c r="A3792" s="1" t="str">
        <f>"002668"</f>
        <v>002668</v>
      </c>
      <c r="B3792" s="1" t="s">
        <v>2186</v>
      </c>
      <c r="C3792" s="1" t="s">
        <v>4960</v>
      </c>
    </row>
    <row r="3793" spans="1:3" x14ac:dyDescent="0.2">
      <c r="A3793" s="1" t="str">
        <f>"002666"</f>
        <v>002666</v>
      </c>
      <c r="B3793" s="1" t="s">
        <v>2919</v>
      </c>
      <c r="C3793" s="1" t="s">
        <v>4865</v>
      </c>
    </row>
    <row r="3794" spans="1:3" x14ac:dyDescent="0.2">
      <c r="A3794" s="1" t="str">
        <f>"002664"</f>
        <v>002664</v>
      </c>
      <c r="B3794" s="1" t="s">
        <v>1909</v>
      </c>
      <c r="C3794" s="1" t="s">
        <v>4856</v>
      </c>
    </row>
    <row r="3795" spans="1:3" x14ac:dyDescent="0.2">
      <c r="A3795" s="1" t="str">
        <f>"002663"</f>
        <v>002663</v>
      </c>
      <c r="B3795" s="1" t="s">
        <v>4540</v>
      </c>
      <c r="C3795" s="1" t="s">
        <v>4898</v>
      </c>
    </row>
    <row r="3796" spans="1:3" x14ac:dyDescent="0.2">
      <c r="A3796" s="1" t="str">
        <f>"002662"</f>
        <v>002662</v>
      </c>
      <c r="B3796" s="1" t="s">
        <v>2065</v>
      </c>
      <c r="C3796" s="1" t="s">
        <v>4856</v>
      </c>
    </row>
    <row r="3797" spans="1:3" x14ac:dyDescent="0.2">
      <c r="A3797" s="1" t="str">
        <f>"002661"</f>
        <v>002661</v>
      </c>
      <c r="B3797" s="1" t="s">
        <v>2522</v>
      </c>
      <c r="C3797" s="1" t="s">
        <v>4936</v>
      </c>
    </row>
    <row r="3798" spans="1:3" x14ac:dyDescent="0.2">
      <c r="A3798" s="1" t="str">
        <f>"002660"</f>
        <v>002660</v>
      </c>
      <c r="B3798" s="1" t="s">
        <v>4541</v>
      </c>
      <c r="C3798" s="1" t="s">
        <v>4850</v>
      </c>
    </row>
    <row r="3799" spans="1:3" x14ac:dyDescent="0.2">
      <c r="A3799" s="1" t="str">
        <f>"002659"</f>
        <v>002659</v>
      </c>
      <c r="B3799" s="1" t="s">
        <v>4542</v>
      </c>
      <c r="C3799" s="1" t="s">
        <v>4913</v>
      </c>
    </row>
    <row r="3800" spans="1:3" x14ac:dyDescent="0.2">
      <c r="A3800" s="1" t="str">
        <f>"002658"</f>
        <v>002658</v>
      </c>
      <c r="B3800" s="1" t="s">
        <v>13</v>
      </c>
      <c r="C3800" s="1" t="s">
        <v>4868</v>
      </c>
    </row>
    <row r="3801" spans="1:3" x14ac:dyDescent="0.2">
      <c r="A3801" s="1" t="str">
        <f>"002657"</f>
        <v>002657</v>
      </c>
      <c r="B3801" s="1" t="s">
        <v>4543</v>
      </c>
      <c r="C3801" s="1" t="s">
        <v>4847</v>
      </c>
    </row>
    <row r="3802" spans="1:3" x14ac:dyDescent="0.2">
      <c r="A3802" s="1" t="str">
        <f>"002655"</f>
        <v>002655</v>
      </c>
      <c r="B3802" s="1" t="s">
        <v>895</v>
      </c>
      <c r="C3802" s="1" t="s">
        <v>4850</v>
      </c>
    </row>
    <row r="3803" spans="1:3" x14ac:dyDescent="0.2">
      <c r="A3803" s="1" t="str">
        <f>"002654"</f>
        <v>002654</v>
      </c>
      <c r="B3803" s="1" t="s">
        <v>4544</v>
      </c>
      <c r="C3803" s="1" t="s">
        <v>4907</v>
      </c>
    </row>
    <row r="3804" spans="1:3" x14ac:dyDescent="0.2">
      <c r="A3804" s="1" t="str">
        <f>"002653"</f>
        <v>002653</v>
      </c>
      <c r="B3804" s="1" t="s">
        <v>1853</v>
      </c>
      <c r="C3804" s="1" t="s">
        <v>4843</v>
      </c>
    </row>
    <row r="3805" spans="1:3" x14ac:dyDescent="0.2">
      <c r="A3805" s="1" t="str">
        <f>"002652"</f>
        <v>002652</v>
      </c>
      <c r="B3805" s="1" t="s">
        <v>4545</v>
      </c>
      <c r="C3805" s="1" t="s">
        <v>4886</v>
      </c>
    </row>
    <row r="3806" spans="1:3" x14ac:dyDescent="0.2">
      <c r="A3806" s="1" t="str">
        <f>"002651"</f>
        <v>002651</v>
      </c>
      <c r="B3806" s="1" t="s">
        <v>1352</v>
      </c>
      <c r="C3806" s="1" t="s">
        <v>4862</v>
      </c>
    </row>
    <row r="3807" spans="1:3" x14ac:dyDescent="0.2">
      <c r="A3807" s="1" t="str">
        <f>"002649"</f>
        <v>002649</v>
      </c>
      <c r="B3807" s="1" t="s">
        <v>593</v>
      </c>
      <c r="C3807" s="1" t="s">
        <v>4847</v>
      </c>
    </row>
    <row r="3808" spans="1:3" x14ac:dyDescent="0.2">
      <c r="A3808" s="1" t="str">
        <f>"002648"</f>
        <v>002648</v>
      </c>
      <c r="B3808" s="1" t="s">
        <v>3017</v>
      </c>
      <c r="C3808" s="1" t="s">
        <v>4853</v>
      </c>
    </row>
    <row r="3809" spans="1:3" x14ac:dyDescent="0.2">
      <c r="A3809" s="1" t="str">
        <f>"002646"</f>
        <v>002646</v>
      </c>
      <c r="B3809" s="1" t="s">
        <v>2491</v>
      </c>
      <c r="C3809" s="1" t="s">
        <v>4921</v>
      </c>
    </row>
    <row r="3810" spans="1:3" x14ac:dyDescent="0.2">
      <c r="A3810" s="1" t="str">
        <f>"002645"</f>
        <v>002645</v>
      </c>
      <c r="B3810" s="1" t="s">
        <v>78</v>
      </c>
      <c r="C3810" s="1" t="s">
        <v>4871</v>
      </c>
    </row>
    <row r="3811" spans="1:3" x14ac:dyDescent="0.2">
      <c r="A3811" s="1" t="str">
        <f>"002644"</f>
        <v>002644</v>
      </c>
      <c r="B3811" s="1" t="s">
        <v>1624</v>
      </c>
      <c r="C3811" s="1" t="s">
        <v>4917</v>
      </c>
    </row>
    <row r="3812" spans="1:3" x14ac:dyDescent="0.2">
      <c r="A3812" s="1" t="str">
        <f>"002643"</f>
        <v>002643</v>
      </c>
      <c r="B3812" s="1" t="s">
        <v>954</v>
      </c>
      <c r="C3812" s="1" t="s">
        <v>4840</v>
      </c>
    </row>
    <row r="3813" spans="1:3" x14ac:dyDescent="0.2">
      <c r="A3813" s="1" t="str">
        <f>"002642"</f>
        <v>002642</v>
      </c>
      <c r="B3813" s="1" t="s">
        <v>594</v>
      </c>
      <c r="C3813" s="1" t="s">
        <v>4847</v>
      </c>
    </row>
    <row r="3814" spans="1:3" x14ac:dyDescent="0.2">
      <c r="A3814" s="1" t="str">
        <f>"002641"</f>
        <v>002641</v>
      </c>
      <c r="B3814" s="1" t="s">
        <v>4546</v>
      </c>
      <c r="C3814" s="1" t="s">
        <v>4886</v>
      </c>
    </row>
    <row r="3815" spans="1:3" x14ac:dyDescent="0.2">
      <c r="A3815" s="1" t="str">
        <f>"002640"</f>
        <v>002640</v>
      </c>
      <c r="B3815" s="1" t="s">
        <v>4547</v>
      </c>
      <c r="C3815" s="1" t="s">
        <v>4910</v>
      </c>
    </row>
    <row r="3816" spans="1:3" x14ac:dyDescent="0.2">
      <c r="A3816" s="1" t="str">
        <f>"002639"</f>
        <v>002639</v>
      </c>
      <c r="B3816" s="1" t="s">
        <v>4548</v>
      </c>
      <c r="C3816" s="1" t="s">
        <v>4851</v>
      </c>
    </row>
    <row r="3817" spans="1:3" x14ac:dyDescent="0.2">
      <c r="A3817" s="1" t="str">
        <f>"002638"</f>
        <v>002638</v>
      </c>
      <c r="B3817" s="1" t="s">
        <v>4549</v>
      </c>
      <c r="C3817" s="1" t="s">
        <v>4878</v>
      </c>
    </row>
    <row r="3818" spans="1:3" x14ac:dyDescent="0.2">
      <c r="A3818" s="1" t="str">
        <f>"002637"</f>
        <v>002637</v>
      </c>
      <c r="B3818" s="1" t="s">
        <v>3079</v>
      </c>
      <c r="C3818" s="1" t="s">
        <v>4920</v>
      </c>
    </row>
    <row r="3819" spans="1:3" x14ac:dyDescent="0.2">
      <c r="A3819" s="1" t="str">
        <f>"002636"</f>
        <v>002636</v>
      </c>
      <c r="B3819" s="1" t="s">
        <v>772</v>
      </c>
      <c r="C3819" s="1" t="s">
        <v>4872</v>
      </c>
    </row>
    <row r="3820" spans="1:3" x14ac:dyDescent="0.2">
      <c r="A3820" s="1" t="str">
        <f>"002635"</f>
        <v>002635</v>
      </c>
      <c r="B3820" s="1" t="s">
        <v>896</v>
      </c>
      <c r="C3820" s="1" t="s">
        <v>4850</v>
      </c>
    </row>
    <row r="3821" spans="1:3" x14ac:dyDescent="0.2">
      <c r="A3821" s="1" t="str">
        <f>"002633"</f>
        <v>002633</v>
      </c>
      <c r="B3821" s="1" t="s">
        <v>1245</v>
      </c>
      <c r="C3821" s="1" t="s">
        <v>4851</v>
      </c>
    </row>
    <row r="3822" spans="1:3" x14ac:dyDescent="0.2">
      <c r="A3822" s="1" t="str">
        <f>"002632"</f>
        <v>002632</v>
      </c>
      <c r="B3822" s="1" t="s">
        <v>2876</v>
      </c>
      <c r="C3822" s="1" t="s">
        <v>4860</v>
      </c>
    </row>
    <row r="3823" spans="1:3" x14ac:dyDescent="0.2">
      <c r="A3823" s="1" t="str">
        <f>"002631"</f>
        <v>002631</v>
      </c>
      <c r="B3823" s="1" t="s">
        <v>4550</v>
      </c>
      <c r="C3823" s="1" t="s">
        <v>4902</v>
      </c>
    </row>
    <row r="3824" spans="1:3" x14ac:dyDescent="0.2">
      <c r="A3824" s="1" t="str">
        <f>"002629"</f>
        <v>002629</v>
      </c>
      <c r="B3824" s="1" t="s">
        <v>4551</v>
      </c>
      <c r="C3824" s="1" t="s">
        <v>4928</v>
      </c>
    </row>
    <row r="3825" spans="1:3" x14ac:dyDescent="0.2">
      <c r="A3825" s="1" t="str">
        <f>"002628"</f>
        <v>002628</v>
      </c>
      <c r="B3825" s="1" t="s">
        <v>4552</v>
      </c>
      <c r="C3825" s="1" t="s">
        <v>4898</v>
      </c>
    </row>
    <row r="3826" spans="1:3" x14ac:dyDescent="0.2">
      <c r="A3826" s="1" t="str">
        <f>"002627"</f>
        <v>002627</v>
      </c>
      <c r="B3826" s="1" t="s">
        <v>287</v>
      </c>
      <c r="C3826" s="1" t="s">
        <v>4940</v>
      </c>
    </row>
    <row r="3827" spans="1:3" x14ac:dyDescent="0.2">
      <c r="A3827" s="1" t="str">
        <f>"002626"</f>
        <v>002626</v>
      </c>
      <c r="B3827" s="1" t="s">
        <v>2402</v>
      </c>
      <c r="C3827" s="1" t="s">
        <v>4891</v>
      </c>
    </row>
    <row r="3828" spans="1:3" x14ac:dyDescent="0.2">
      <c r="A3828" s="1" t="str">
        <f>"002625"</f>
        <v>002625</v>
      </c>
      <c r="B3828" s="1" t="s">
        <v>1353</v>
      </c>
      <c r="C3828" s="1" t="s">
        <v>4862</v>
      </c>
    </row>
    <row r="3829" spans="1:3" x14ac:dyDescent="0.2">
      <c r="A3829" s="1" t="str">
        <f>"002624"</f>
        <v>002624</v>
      </c>
      <c r="B3829" s="1" t="s">
        <v>512</v>
      </c>
      <c r="C3829" s="1" t="s">
        <v>4935</v>
      </c>
    </row>
    <row r="3830" spans="1:3" x14ac:dyDescent="0.2">
      <c r="A3830" s="1" t="str">
        <f>"002623"</f>
        <v>002623</v>
      </c>
      <c r="B3830" s="1" t="s">
        <v>1417</v>
      </c>
      <c r="C3830" s="1" t="s">
        <v>4857</v>
      </c>
    </row>
    <row r="3831" spans="1:3" x14ac:dyDescent="0.2">
      <c r="A3831" s="1" t="str">
        <f>"002622"</f>
        <v>002622</v>
      </c>
      <c r="B3831" s="1" t="s">
        <v>4553</v>
      </c>
      <c r="C3831" s="1" t="s">
        <v>4861</v>
      </c>
    </row>
    <row r="3832" spans="1:3" x14ac:dyDescent="0.2">
      <c r="A3832" s="1" t="str">
        <f>"002617"</f>
        <v>002617</v>
      </c>
      <c r="B3832" s="1" t="s">
        <v>1444</v>
      </c>
      <c r="C3832" s="1" t="s">
        <v>4866</v>
      </c>
    </row>
    <row r="3833" spans="1:3" x14ac:dyDescent="0.2">
      <c r="A3833" s="1" t="str">
        <f>"002616"</f>
        <v>002616</v>
      </c>
      <c r="B3833" s="1" t="s">
        <v>120</v>
      </c>
      <c r="C3833" s="1" t="s">
        <v>4889</v>
      </c>
    </row>
    <row r="3834" spans="1:3" x14ac:dyDescent="0.2">
      <c r="A3834" s="1" t="str">
        <f>"002615"</f>
        <v>002615</v>
      </c>
      <c r="B3834" s="1" t="s">
        <v>2225</v>
      </c>
      <c r="C3834" s="1" t="s">
        <v>4902</v>
      </c>
    </row>
    <row r="3835" spans="1:3" x14ac:dyDescent="0.2">
      <c r="A3835" s="1" t="str">
        <f>"002614"</f>
        <v>002614</v>
      </c>
      <c r="B3835" s="1" t="s">
        <v>2162</v>
      </c>
      <c r="C3835" s="1" t="s">
        <v>4844</v>
      </c>
    </row>
    <row r="3836" spans="1:3" x14ac:dyDescent="0.2">
      <c r="A3836" s="1" t="str">
        <f>"002613"</f>
        <v>002613</v>
      </c>
      <c r="B3836" s="1" t="s">
        <v>1071</v>
      </c>
      <c r="C3836" s="1" t="s">
        <v>4845</v>
      </c>
    </row>
    <row r="3837" spans="1:3" x14ac:dyDescent="0.2">
      <c r="A3837" s="1" t="str">
        <f>"002612"</f>
        <v>002612</v>
      </c>
      <c r="B3837" s="1" t="s">
        <v>2341</v>
      </c>
      <c r="C3837" s="1" t="s">
        <v>4909</v>
      </c>
    </row>
    <row r="3838" spans="1:3" x14ac:dyDescent="0.2">
      <c r="A3838" s="1" t="str">
        <f>"002611"</f>
        <v>002611</v>
      </c>
      <c r="B3838" s="1" t="s">
        <v>1103</v>
      </c>
      <c r="C3838" s="1" t="s">
        <v>4845</v>
      </c>
    </row>
    <row r="3839" spans="1:3" x14ac:dyDescent="0.2">
      <c r="A3839" s="1" t="str">
        <f>"002609"</f>
        <v>002609</v>
      </c>
      <c r="B3839" s="1" t="s">
        <v>595</v>
      </c>
      <c r="C3839" s="1" t="s">
        <v>4847</v>
      </c>
    </row>
    <row r="3840" spans="1:3" x14ac:dyDescent="0.2">
      <c r="A3840" s="1" t="str">
        <f>"002608"</f>
        <v>002608</v>
      </c>
      <c r="B3840" s="1" t="s">
        <v>4554</v>
      </c>
      <c r="C3840" s="1" t="s">
        <v>4889</v>
      </c>
    </row>
    <row r="3841" spans="1:3" x14ac:dyDescent="0.2">
      <c r="A3841" s="1" t="str">
        <f>"002607"</f>
        <v>002607</v>
      </c>
      <c r="B3841" s="1" t="s">
        <v>4555</v>
      </c>
      <c r="C3841" s="1" t="s">
        <v>4913</v>
      </c>
    </row>
    <row r="3842" spans="1:3" x14ac:dyDescent="0.2">
      <c r="A3842" s="1" t="str">
        <f>"002606"</f>
        <v>002606</v>
      </c>
      <c r="B3842" s="1" t="s">
        <v>1445</v>
      </c>
      <c r="C3842" s="1" t="s">
        <v>4866</v>
      </c>
    </row>
    <row r="3843" spans="1:3" x14ac:dyDescent="0.2">
      <c r="A3843" s="1" t="str">
        <f>"002605"</f>
        <v>002605</v>
      </c>
      <c r="B3843" s="1" t="s">
        <v>513</v>
      </c>
      <c r="C3843" s="1" t="s">
        <v>4935</v>
      </c>
    </row>
    <row r="3844" spans="1:3" x14ac:dyDescent="0.2">
      <c r="A3844" s="1" t="str">
        <f>"002603"</f>
        <v>002603</v>
      </c>
      <c r="B3844" s="1" t="s">
        <v>1625</v>
      </c>
      <c r="C3844" s="1" t="s">
        <v>4917</v>
      </c>
    </row>
    <row r="3845" spans="1:3" x14ac:dyDescent="0.2">
      <c r="A3845" s="1" t="str">
        <f>"002601"</f>
        <v>002601</v>
      </c>
      <c r="B3845" s="1" t="s">
        <v>3042</v>
      </c>
      <c r="C3845" s="1" t="s">
        <v>4853</v>
      </c>
    </row>
    <row r="3846" spans="1:3" x14ac:dyDescent="0.2">
      <c r="A3846" s="1" t="str">
        <f>"002600"</f>
        <v>002600</v>
      </c>
      <c r="B3846" s="1" t="s">
        <v>897</v>
      </c>
      <c r="C3846" s="1" t="s">
        <v>4850</v>
      </c>
    </row>
    <row r="3847" spans="1:3" x14ac:dyDescent="0.2">
      <c r="A3847" s="1" t="str">
        <f>"002599"</f>
        <v>002599</v>
      </c>
      <c r="B3847" s="1" t="s">
        <v>4556</v>
      </c>
      <c r="C3847" s="1" t="s">
        <v>4930</v>
      </c>
    </row>
    <row r="3848" spans="1:3" x14ac:dyDescent="0.2">
      <c r="A3848" s="1" t="str">
        <f>"002598"</f>
        <v>002598</v>
      </c>
      <c r="B3848" s="1" t="s">
        <v>1162</v>
      </c>
      <c r="C3848" s="1" t="s">
        <v>4851</v>
      </c>
    </row>
    <row r="3849" spans="1:3" x14ac:dyDescent="0.2">
      <c r="A3849" s="1" t="str">
        <f>"002597"</f>
        <v>002597</v>
      </c>
      <c r="B3849" s="1" t="s">
        <v>2946</v>
      </c>
      <c r="C3849" s="1" t="s">
        <v>4865</v>
      </c>
    </row>
    <row r="3850" spans="1:3" x14ac:dyDescent="0.2">
      <c r="A3850" s="1" t="str">
        <f>"002596"</f>
        <v>002596</v>
      </c>
      <c r="B3850" s="1" t="s">
        <v>4557</v>
      </c>
      <c r="C3850" s="1" t="s">
        <v>4911</v>
      </c>
    </row>
    <row r="3851" spans="1:3" x14ac:dyDescent="0.2">
      <c r="A3851" s="1" t="str">
        <f>"002595"</f>
        <v>002595</v>
      </c>
      <c r="B3851" s="1" t="s">
        <v>1072</v>
      </c>
      <c r="C3851" s="1" t="s">
        <v>4845</v>
      </c>
    </row>
    <row r="3852" spans="1:3" x14ac:dyDescent="0.2">
      <c r="A3852" s="1" t="str">
        <f>"002594"</f>
        <v>002594</v>
      </c>
      <c r="B3852" s="1" t="s">
        <v>2088</v>
      </c>
      <c r="C3852" s="1" t="s">
        <v>4955</v>
      </c>
    </row>
    <row r="3853" spans="1:3" x14ac:dyDescent="0.2">
      <c r="A3853" s="1" t="str">
        <f>"002593"</f>
        <v>002593</v>
      </c>
      <c r="B3853" s="1" t="s">
        <v>4558</v>
      </c>
      <c r="C3853" s="1" t="s">
        <v>4888</v>
      </c>
    </row>
    <row r="3854" spans="1:3" x14ac:dyDescent="0.2">
      <c r="A3854" s="1" t="str">
        <f>"002591"</f>
        <v>002591</v>
      </c>
      <c r="B3854" s="1" t="s">
        <v>79</v>
      </c>
      <c r="C3854" s="1" t="s">
        <v>4871</v>
      </c>
    </row>
    <row r="3855" spans="1:3" x14ac:dyDescent="0.2">
      <c r="A3855" s="1" t="str">
        <f>"002590"</f>
        <v>002590</v>
      </c>
      <c r="B3855" s="1" t="s">
        <v>2020</v>
      </c>
      <c r="C3855" s="1" t="s">
        <v>4856</v>
      </c>
    </row>
    <row r="3856" spans="1:3" x14ac:dyDescent="0.2">
      <c r="A3856" s="1" t="str">
        <f>"002589"</f>
        <v>002589</v>
      </c>
      <c r="B3856" s="1" t="s">
        <v>1657</v>
      </c>
      <c r="C3856" s="1" t="s">
        <v>4903</v>
      </c>
    </row>
    <row r="3857" spans="1:3" x14ac:dyDescent="0.2">
      <c r="A3857" s="1" t="str">
        <f>"002588"</f>
        <v>002588</v>
      </c>
      <c r="B3857" s="1" t="s">
        <v>2777</v>
      </c>
      <c r="C3857" s="1" t="s">
        <v>4915</v>
      </c>
    </row>
    <row r="3858" spans="1:3" x14ac:dyDescent="0.2">
      <c r="A3858" s="1" t="str">
        <f>"002587"</f>
        <v>002587</v>
      </c>
      <c r="B3858" s="1" t="s">
        <v>802</v>
      </c>
      <c r="C3858" s="1" t="s">
        <v>4878</v>
      </c>
    </row>
    <row r="3859" spans="1:3" x14ac:dyDescent="0.2">
      <c r="A3859" s="1" t="str">
        <f>"002585"</f>
        <v>002585</v>
      </c>
      <c r="B3859" s="1" t="s">
        <v>4559</v>
      </c>
      <c r="C3859" s="1" t="s">
        <v>4860</v>
      </c>
    </row>
    <row r="3860" spans="1:3" x14ac:dyDescent="0.2">
      <c r="A3860" s="1" t="str">
        <f>"002584"</f>
        <v>002584</v>
      </c>
      <c r="B3860" s="1" t="s">
        <v>2920</v>
      </c>
      <c r="C3860" s="1" t="s">
        <v>4865</v>
      </c>
    </row>
    <row r="3861" spans="1:3" x14ac:dyDescent="0.2">
      <c r="A3861" s="1" t="str">
        <f>"002583"</f>
        <v>002583</v>
      </c>
      <c r="B3861" s="1" t="s">
        <v>662</v>
      </c>
      <c r="C3861" s="1" t="s">
        <v>4869</v>
      </c>
    </row>
    <row r="3862" spans="1:3" x14ac:dyDescent="0.2">
      <c r="A3862" s="1" t="str">
        <f>"002582"</f>
        <v>002582</v>
      </c>
      <c r="B3862" s="1" t="s">
        <v>2440</v>
      </c>
      <c r="C3862" s="1" t="s">
        <v>4896</v>
      </c>
    </row>
    <row r="3863" spans="1:3" x14ac:dyDescent="0.2">
      <c r="A3863" s="1" t="str">
        <f>"002580"</f>
        <v>002580</v>
      </c>
      <c r="B3863" s="1" t="s">
        <v>1524</v>
      </c>
      <c r="C3863" s="1" t="s">
        <v>4841</v>
      </c>
    </row>
    <row r="3864" spans="1:3" x14ac:dyDescent="0.2">
      <c r="A3864" s="1" t="str">
        <f>"002579"</f>
        <v>002579</v>
      </c>
      <c r="B3864" s="1" t="s">
        <v>4560</v>
      </c>
      <c r="C3864" s="1" t="s">
        <v>4872</v>
      </c>
    </row>
    <row r="3865" spans="1:3" x14ac:dyDescent="0.2">
      <c r="A3865" s="1" t="str">
        <f>"002578"</f>
        <v>002578</v>
      </c>
      <c r="B3865" s="1" t="s">
        <v>2713</v>
      </c>
      <c r="C3865" s="1" t="s">
        <v>4879</v>
      </c>
    </row>
    <row r="3866" spans="1:3" x14ac:dyDescent="0.2">
      <c r="A3866" s="1" t="str">
        <f>"002577"</f>
        <v>002577</v>
      </c>
      <c r="B3866" s="1" t="s">
        <v>621</v>
      </c>
      <c r="C3866" s="1" t="s">
        <v>4873</v>
      </c>
    </row>
    <row r="3867" spans="1:3" x14ac:dyDescent="0.2">
      <c r="A3867" s="1" t="str">
        <f>"002576"</f>
        <v>002576</v>
      </c>
      <c r="B3867" s="1" t="s">
        <v>1581</v>
      </c>
      <c r="C3867" s="1" t="s">
        <v>4919</v>
      </c>
    </row>
    <row r="3868" spans="1:3" x14ac:dyDescent="0.2">
      <c r="A3868" s="1" t="str">
        <f>"002574"</f>
        <v>002574</v>
      </c>
      <c r="B3868" s="1" t="s">
        <v>4561</v>
      </c>
      <c r="C3868" s="1" t="s">
        <v>4887</v>
      </c>
    </row>
    <row r="3869" spans="1:3" x14ac:dyDescent="0.2">
      <c r="A3869" s="1" t="str">
        <f>"002573"</f>
        <v>002573</v>
      </c>
      <c r="B3869" s="1" t="s">
        <v>61</v>
      </c>
      <c r="C3869" s="1" t="s">
        <v>4863</v>
      </c>
    </row>
    <row r="3870" spans="1:3" x14ac:dyDescent="0.2">
      <c r="A3870" s="1" t="str">
        <f>"002572"</f>
        <v>002572</v>
      </c>
      <c r="B3870" s="1" t="s">
        <v>2251</v>
      </c>
      <c r="C3870" s="1" t="s">
        <v>4902</v>
      </c>
    </row>
    <row r="3871" spans="1:3" x14ac:dyDescent="0.2">
      <c r="A3871" s="1" t="str">
        <f>"002571"</f>
        <v>002571</v>
      </c>
      <c r="B3871" s="1" t="s">
        <v>4562</v>
      </c>
      <c r="C3871" s="1" t="s">
        <v>4902</v>
      </c>
    </row>
    <row r="3872" spans="1:3" x14ac:dyDescent="0.2">
      <c r="A3872" s="1" t="str">
        <f>"002570"</f>
        <v>002570</v>
      </c>
      <c r="B3872" s="1" t="s">
        <v>2470</v>
      </c>
      <c r="C3872" s="1" t="s">
        <v>4893</v>
      </c>
    </row>
    <row r="3873" spans="1:3" x14ac:dyDescent="0.2">
      <c r="A3873" s="1" t="str">
        <f>"002568"</f>
        <v>002568</v>
      </c>
      <c r="B3873" s="1" t="s">
        <v>2499</v>
      </c>
      <c r="C3873" s="1" t="s">
        <v>4921</v>
      </c>
    </row>
    <row r="3874" spans="1:3" x14ac:dyDescent="0.2">
      <c r="A3874" s="1" t="str">
        <f>"002567"</f>
        <v>002567</v>
      </c>
      <c r="B3874" s="1" t="s">
        <v>4563</v>
      </c>
      <c r="C3874" s="1" t="s">
        <v>4885</v>
      </c>
    </row>
    <row r="3875" spans="1:3" x14ac:dyDescent="0.2">
      <c r="A3875" s="1" t="str">
        <f>"002566"</f>
        <v>002566</v>
      </c>
      <c r="B3875" s="1" t="s">
        <v>1626</v>
      </c>
      <c r="C3875" s="1" t="s">
        <v>4917</v>
      </c>
    </row>
    <row r="3876" spans="1:3" x14ac:dyDescent="0.2">
      <c r="A3876" s="1" t="str">
        <f>"002565"</f>
        <v>002565</v>
      </c>
      <c r="B3876" s="1" t="s">
        <v>2269</v>
      </c>
      <c r="C3876" s="1" t="s">
        <v>4930</v>
      </c>
    </row>
    <row r="3877" spans="1:3" x14ac:dyDescent="0.2">
      <c r="A3877" s="1" t="str">
        <f>"002564"</f>
        <v>002564</v>
      </c>
      <c r="B3877" s="1" t="s">
        <v>1073</v>
      </c>
      <c r="C3877" s="1" t="s">
        <v>4845</v>
      </c>
    </row>
    <row r="3878" spans="1:3" x14ac:dyDescent="0.2">
      <c r="A3878" s="1" t="str">
        <f>"002563"</f>
        <v>002563</v>
      </c>
      <c r="B3878" s="1" t="s">
        <v>2342</v>
      </c>
      <c r="C3878" s="1" t="s">
        <v>4909</v>
      </c>
    </row>
    <row r="3879" spans="1:3" x14ac:dyDescent="0.2">
      <c r="A3879" s="1" t="str">
        <f>"002562"</f>
        <v>002562</v>
      </c>
      <c r="B3879" s="1" t="s">
        <v>2947</v>
      </c>
      <c r="C3879" s="1" t="s">
        <v>4865</v>
      </c>
    </row>
    <row r="3880" spans="1:3" x14ac:dyDescent="0.2">
      <c r="A3880" s="1" t="str">
        <f>"002561"</f>
        <v>002561</v>
      </c>
      <c r="B3880" s="1" t="s">
        <v>4564</v>
      </c>
      <c r="C3880" s="1" t="s">
        <v>4905</v>
      </c>
    </row>
    <row r="3881" spans="1:3" x14ac:dyDescent="0.2">
      <c r="A3881" s="1" t="str">
        <f>"002560"</f>
        <v>002560</v>
      </c>
      <c r="B3881" s="1" t="s">
        <v>1446</v>
      </c>
      <c r="C3881" s="1" t="s">
        <v>4866</v>
      </c>
    </row>
    <row r="3882" spans="1:3" x14ac:dyDescent="0.2">
      <c r="A3882" s="1" t="str">
        <f>"002559"</f>
        <v>002559</v>
      </c>
      <c r="B3882" s="1" t="s">
        <v>1261</v>
      </c>
      <c r="C3882" s="1" t="s">
        <v>4851</v>
      </c>
    </row>
    <row r="3883" spans="1:3" x14ac:dyDescent="0.2">
      <c r="A3883" s="1" t="str">
        <f>"002558"</f>
        <v>002558</v>
      </c>
      <c r="B3883" s="1" t="s">
        <v>514</v>
      </c>
      <c r="C3883" s="1" t="s">
        <v>4935</v>
      </c>
    </row>
    <row r="3884" spans="1:3" x14ac:dyDescent="0.2">
      <c r="A3884" s="1" t="str">
        <f>"002557"</f>
        <v>002557</v>
      </c>
      <c r="B3884" s="1" t="s">
        <v>2441</v>
      </c>
      <c r="C3884" s="1" t="s">
        <v>4896</v>
      </c>
    </row>
    <row r="3885" spans="1:3" x14ac:dyDescent="0.2">
      <c r="A3885" s="1" t="str">
        <f>"002556"</f>
        <v>002556</v>
      </c>
      <c r="B3885" s="1" t="s">
        <v>2778</v>
      </c>
      <c r="C3885" s="1" t="s">
        <v>4915</v>
      </c>
    </row>
    <row r="3886" spans="1:3" x14ac:dyDescent="0.2">
      <c r="A3886" s="1" t="str">
        <f>"002555"</f>
        <v>002555</v>
      </c>
      <c r="B3886" s="1" t="s">
        <v>515</v>
      </c>
      <c r="C3886" s="1" t="s">
        <v>4935</v>
      </c>
    </row>
    <row r="3887" spans="1:3" x14ac:dyDescent="0.2">
      <c r="A3887" s="1" t="str">
        <f>"002554"</f>
        <v>002554</v>
      </c>
      <c r="B3887" s="1" t="s">
        <v>4565</v>
      </c>
      <c r="C3887" s="1" t="s">
        <v>4928</v>
      </c>
    </row>
    <row r="3888" spans="1:3" x14ac:dyDescent="0.2">
      <c r="A3888" s="1" t="str">
        <f>"002553"</f>
        <v>002553</v>
      </c>
      <c r="B3888" s="1" t="s">
        <v>2021</v>
      </c>
      <c r="C3888" s="1" t="s">
        <v>4856</v>
      </c>
    </row>
    <row r="3889" spans="1:3" x14ac:dyDescent="0.2">
      <c r="A3889" s="1" t="str">
        <f>"002552"</f>
        <v>002552</v>
      </c>
      <c r="B3889" s="1" t="s">
        <v>773</v>
      </c>
      <c r="C3889" s="1" t="s">
        <v>4872</v>
      </c>
    </row>
    <row r="3890" spans="1:3" x14ac:dyDescent="0.2">
      <c r="A3890" s="1" t="str">
        <f>"002551"</f>
        <v>002551</v>
      </c>
      <c r="B3890" s="1" t="s">
        <v>1665</v>
      </c>
      <c r="C3890" s="1" t="s">
        <v>4861</v>
      </c>
    </row>
    <row r="3891" spans="1:3" x14ac:dyDescent="0.2">
      <c r="A3891" s="1" t="str">
        <f>"002550"</f>
        <v>002550</v>
      </c>
      <c r="B3891" s="1" t="s">
        <v>1752</v>
      </c>
      <c r="C3891" s="1" t="s">
        <v>4852</v>
      </c>
    </row>
    <row r="3892" spans="1:3" x14ac:dyDescent="0.2">
      <c r="A3892" s="1" t="str">
        <f>"002549"</f>
        <v>002549</v>
      </c>
      <c r="B3892" s="1" t="s">
        <v>67</v>
      </c>
      <c r="C3892" s="1" t="s">
        <v>4863</v>
      </c>
    </row>
    <row r="3893" spans="1:3" x14ac:dyDescent="0.2">
      <c r="A3893" s="1" t="str">
        <f>"002548"</f>
        <v>002548</v>
      </c>
      <c r="B3893" s="1" t="s">
        <v>4566</v>
      </c>
      <c r="C3893" s="1" t="s">
        <v>4885</v>
      </c>
    </row>
    <row r="3894" spans="1:3" x14ac:dyDescent="0.2">
      <c r="A3894" s="1" t="str">
        <f>"002547"</f>
        <v>002547</v>
      </c>
      <c r="B3894" s="1" t="s">
        <v>4567</v>
      </c>
      <c r="C3894" s="1" t="s">
        <v>4856</v>
      </c>
    </row>
    <row r="3895" spans="1:3" x14ac:dyDescent="0.2">
      <c r="A3895" s="1" t="str">
        <f>"002546"</f>
        <v>002546</v>
      </c>
      <c r="B3895" s="1" t="s">
        <v>1518</v>
      </c>
      <c r="C3895" s="1" t="s">
        <v>4866</v>
      </c>
    </row>
    <row r="3896" spans="1:3" x14ac:dyDescent="0.2">
      <c r="A3896" s="1" t="str">
        <f>"002545"</f>
        <v>002545</v>
      </c>
      <c r="B3896" s="1" t="s">
        <v>2785</v>
      </c>
      <c r="C3896" s="1" t="s">
        <v>4915</v>
      </c>
    </row>
    <row r="3897" spans="1:3" x14ac:dyDescent="0.2">
      <c r="A3897" s="1" t="str">
        <f>"002544"</f>
        <v>002544</v>
      </c>
      <c r="B3897" s="1" t="s">
        <v>4568</v>
      </c>
      <c r="C3897" s="1" t="s">
        <v>4932</v>
      </c>
    </row>
    <row r="3898" spans="1:3" x14ac:dyDescent="0.2">
      <c r="A3898" s="1" t="str">
        <f>"002543"</f>
        <v>002543</v>
      </c>
      <c r="B3898" s="1" t="s">
        <v>2155</v>
      </c>
      <c r="C3898" s="1" t="s">
        <v>4897</v>
      </c>
    </row>
    <row r="3899" spans="1:3" x14ac:dyDescent="0.2">
      <c r="A3899" s="1" t="str">
        <f>"002541"</f>
        <v>002541</v>
      </c>
      <c r="B3899" s="1" t="s">
        <v>4569</v>
      </c>
      <c r="C3899" s="1" t="s">
        <v>4888</v>
      </c>
    </row>
    <row r="3900" spans="1:3" x14ac:dyDescent="0.2">
      <c r="A3900" s="1" t="str">
        <f>"002540"</f>
        <v>002540</v>
      </c>
      <c r="B3900" s="1" t="s">
        <v>2714</v>
      </c>
      <c r="C3900" s="1" t="s">
        <v>4879</v>
      </c>
    </row>
    <row r="3901" spans="1:3" x14ac:dyDescent="0.2">
      <c r="A3901" s="1" t="str">
        <f>"002539"</f>
        <v>002539</v>
      </c>
      <c r="B3901" s="1" t="s">
        <v>2779</v>
      </c>
      <c r="C3901" s="1" t="s">
        <v>4915</v>
      </c>
    </row>
    <row r="3902" spans="1:3" x14ac:dyDescent="0.2">
      <c r="A3902" s="1" t="str">
        <f>"002538"</f>
        <v>002538</v>
      </c>
      <c r="B3902" s="1" t="s">
        <v>2780</v>
      </c>
      <c r="C3902" s="1" t="s">
        <v>4915</v>
      </c>
    </row>
    <row r="3903" spans="1:3" x14ac:dyDescent="0.2">
      <c r="A3903" s="1" t="str">
        <f>"002537"</f>
        <v>002537</v>
      </c>
      <c r="B3903" s="1" t="s">
        <v>2066</v>
      </c>
      <c r="C3903" s="1" t="s">
        <v>4856</v>
      </c>
    </row>
    <row r="3904" spans="1:3" x14ac:dyDescent="0.2">
      <c r="A3904" s="1" t="str">
        <f>"002536"</f>
        <v>002536</v>
      </c>
      <c r="B3904" s="1" t="s">
        <v>2022</v>
      </c>
      <c r="C3904" s="1" t="s">
        <v>4856</v>
      </c>
    </row>
    <row r="3905" spans="1:3" x14ac:dyDescent="0.2">
      <c r="A3905" s="1" t="str">
        <f>"002535"</f>
        <v>002535</v>
      </c>
      <c r="B3905" s="1" t="s">
        <v>1130</v>
      </c>
      <c r="C3905" s="1" t="s">
        <v>4845</v>
      </c>
    </row>
    <row r="3906" spans="1:3" x14ac:dyDescent="0.2">
      <c r="A3906" s="1" t="str">
        <f>"002534"</f>
        <v>002534</v>
      </c>
      <c r="B3906" s="1" t="s">
        <v>1375</v>
      </c>
      <c r="C3906" s="1" t="s">
        <v>4859</v>
      </c>
    </row>
    <row r="3907" spans="1:3" x14ac:dyDescent="0.2">
      <c r="A3907" s="1" t="str">
        <f>"002533"</f>
        <v>002533</v>
      </c>
      <c r="B3907" s="1" t="s">
        <v>1447</v>
      </c>
      <c r="C3907" s="1" t="s">
        <v>4866</v>
      </c>
    </row>
    <row r="3908" spans="1:3" x14ac:dyDescent="0.2">
      <c r="A3908" s="1" t="str">
        <f>"002532"</f>
        <v>002532</v>
      </c>
      <c r="B3908" s="1" t="s">
        <v>2715</v>
      </c>
      <c r="C3908" s="1" t="s">
        <v>4879</v>
      </c>
    </row>
    <row r="3909" spans="1:3" x14ac:dyDescent="0.2">
      <c r="A3909" s="1" t="str">
        <f>"002531"</f>
        <v>002531</v>
      </c>
      <c r="B3909" s="1" t="s">
        <v>1396</v>
      </c>
      <c r="C3909" s="1" t="s">
        <v>4870</v>
      </c>
    </row>
    <row r="3910" spans="1:3" x14ac:dyDescent="0.2">
      <c r="A3910" s="1" t="str">
        <f>"002530"</f>
        <v>002530</v>
      </c>
      <c r="B3910" s="1" t="s">
        <v>1163</v>
      </c>
      <c r="C3910" s="1" t="s">
        <v>4851</v>
      </c>
    </row>
    <row r="3911" spans="1:3" x14ac:dyDescent="0.2">
      <c r="A3911" s="1" t="str">
        <f>"002527"</f>
        <v>002527</v>
      </c>
      <c r="B3911" s="1" t="s">
        <v>4570</v>
      </c>
      <c r="C3911" s="1" t="s">
        <v>4849</v>
      </c>
    </row>
    <row r="3912" spans="1:3" x14ac:dyDescent="0.2">
      <c r="A3912" s="1" t="str">
        <f>"002526"</f>
        <v>002526</v>
      </c>
      <c r="B3912" s="1" t="s">
        <v>1131</v>
      </c>
      <c r="C3912" s="1" t="s">
        <v>4845</v>
      </c>
    </row>
    <row r="3913" spans="1:3" x14ac:dyDescent="0.2">
      <c r="A3913" s="1" t="str">
        <f>"002524"</f>
        <v>002524</v>
      </c>
      <c r="B3913" s="1" t="s">
        <v>1674</v>
      </c>
      <c r="C3913" s="1" t="s">
        <v>4861</v>
      </c>
    </row>
    <row r="3914" spans="1:3" x14ac:dyDescent="0.2">
      <c r="A3914" s="1" t="str">
        <f>"002523"</f>
        <v>002523</v>
      </c>
      <c r="B3914" s="1" t="s">
        <v>1132</v>
      </c>
      <c r="C3914" s="1" t="s">
        <v>4845</v>
      </c>
    </row>
    <row r="3915" spans="1:3" x14ac:dyDescent="0.2">
      <c r="A3915" s="1" t="str">
        <f>"002522"</f>
        <v>002522</v>
      </c>
      <c r="B3915" s="1" t="s">
        <v>2877</v>
      </c>
      <c r="C3915" s="1" t="s">
        <v>4860</v>
      </c>
    </row>
    <row r="3916" spans="1:3" x14ac:dyDescent="0.2">
      <c r="A3916" s="1" t="str">
        <f>"002521"</f>
        <v>002521</v>
      </c>
      <c r="B3916" s="1" t="s">
        <v>2296</v>
      </c>
      <c r="C3916" s="1" t="s">
        <v>4892</v>
      </c>
    </row>
    <row r="3917" spans="1:3" x14ac:dyDescent="0.2">
      <c r="A3917" s="1" t="str">
        <f>"002520"</f>
        <v>002520</v>
      </c>
      <c r="B3917" s="1" t="s">
        <v>4571</v>
      </c>
      <c r="C3917" s="1" t="s">
        <v>4851</v>
      </c>
    </row>
    <row r="3918" spans="1:3" x14ac:dyDescent="0.2">
      <c r="A3918" s="1" t="str">
        <f>"002519"</f>
        <v>002519</v>
      </c>
      <c r="B3918" s="1" t="s">
        <v>4572</v>
      </c>
      <c r="C3918" s="1" t="s">
        <v>4876</v>
      </c>
    </row>
    <row r="3919" spans="1:3" x14ac:dyDescent="0.2">
      <c r="A3919" s="1" t="str">
        <f>"002518"</f>
        <v>002518</v>
      </c>
      <c r="B3919" s="1" t="s">
        <v>1376</v>
      </c>
      <c r="C3919" s="1" t="s">
        <v>4859</v>
      </c>
    </row>
    <row r="3920" spans="1:3" x14ac:dyDescent="0.2">
      <c r="A3920" s="1" t="str">
        <f>"002517"</f>
        <v>002517</v>
      </c>
      <c r="B3920" s="1" t="s">
        <v>516</v>
      </c>
      <c r="C3920" s="1" t="s">
        <v>4935</v>
      </c>
    </row>
    <row r="3921" spans="1:3" x14ac:dyDescent="0.2">
      <c r="A3921" s="1" t="str">
        <f>"002516"</f>
        <v>002516</v>
      </c>
      <c r="B3921" s="1" t="s">
        <v>2067</v>
      </c>
      <c r="C3921" s="1" t="s">
        <v>4856</v>
      </c>
    </row>
    <row r="3922" spans="1:3" x14ac:dyDescent="0.2">
      <c r="A3922" s="1" t="str">
        <f>"002515"</f>
        <v>002515</v>
      </c>
      <c r="B3922" s="1" t="s">
        <v>2420</v>
      </c>
      <c r="C3922" s="1" t="s">
        <v>4891</v>
      </c>
    </row>
    <row r="3923" spans="1:3" x14ac:dyDescent="0.2">
      <c r="A3923" s="1" t="str">
        <f>"002513"</f>
        <v>002513</v>
      </c>
      <c r="B3923" s="1" t="s">
        <v>4573</v>
      </c>
      <c r="C3923" s="1" t="s">
        <v>4857</v>
      </c>
    </row>
    <row r="3924" spans="1:3" x14ac:dyDescent="0.2">
      <c r="A3924" s="1" t="str">
        <f>"002512"</f>
        <v>002512</v>
      </c>
      <c r="B3924" s="1" t="s">
        <v>4574</v>
      </c>
      <c r="C3924" s="1" t="s">
        <v>4873</v>
      </c>
    </row>
    <row r="3925" spans="1:3" x14ac:dyDescent="0.2">
      <c r="A3925" s="1" t="str">
        <f>"002511"</f>
        <v>002511</v>
      </c>
      <c r="B3925" s="1" t="s">
        <v>2302</v>
      </c>
      <c r="C3925" s="1" t="s">
        <v>4892</v>
      </c>
    </row>
    <row r="3926" spans="1:3" x14ac:dyDescent="0.2">
      <c r="A3926" s="1" t="str">
        <f>"002510"</f>
        <v>002510</v>
      </c>
      <c r="B3926" s="1" t="s">
        <v>1943</v>
      </c>
      <c r="C3926" s="1" t="s">
        <v>4856</v>
      </c>
    </row>
    <row r="3927" spans="1:3" x14ac:dyDescent="0.2">
      <c r="A3927" s="1" t="str">
        <f>"002508"</f>
        <v>002508</v>
      </c>
      <c r="B3927" s="1" t="s">
        <v>2156</v>
      </c>
      <c r="C3927" s="1" t="s">
        <v>4897</v>
      </c>
    </row>
    <row r="3928" spans="1:3" x14ac:dyDescent="0.2">
      <c r="A3928" s="1" t="str">
        <f>"002507"</f>
        <v>002507</v>
      </c>
      <c r="B3928" s="1" t="s">
        <v>2455</v>
      </c>
      <c r="C3928" s="1" t="s">
        <v>4927</v>
      </c>
    </row>
    <row r="3929" spans="1:3" x14ac:dyDescent="0.2">
      <c r="A3929" s="1" t="str">
        <f>"002506"</f>
        <v>002506</v>
      </c>
      <c r="B3929" s="1" t="s">
        <v>4575</v>
      </c>
      <c r="C3929" s="1" t="s">
        <v>4857</v>
      </c>
    </row>
    <row r="3930" spans="1:3" x14ac:dyDescent="0.2">
      <c r="A3930" s="1" t="str">
        <f>"002500"</f>
        <v>002500</v>
      </c>
      <c r="B3930" s="1" t="s">
        <v>407</v>
      </c>
      <c r="C3930" s="1" t="s">
        <v>4945</v>
      </c>
    </row>
    <row r="3931" spans="1:3" x14ac:dyDescent="0.2">
      <c r="A3931" s="1" t="str">
        <f>"002498"</f>
        <v>002498</v>
      </c>
      <c r="B3931" s="1" t="s">
        <v>1448</v>
      </c>
      <c r="C3931" s="1" t="s">
        <v>4866</v>
      </c>
    </row>
    <row r="3932" spans="1:3" x14ac:dyDescent="0.2">
      <c r="A3932" s="1" t="str">
        <f>"002497"</f>
        <v>002497</v>
      </c>
      <c r="B3932" s="1" t="s">
        <v>2669</v>
      </c>
      <c r="C3932" s="1" t="s">
        <v>4894</v>
      </c>
    </row>
    <row r="3933" spans="1:3" x14ac:dyDescent="0.2">
      <c r="A3933" s="1" t="str">
        <f>"002495"</f>
        <v>002495</v>
      </c>
      <c r="B3933" s="1" t="s">
        <v>2456</v>
      </c>
      <c r="C3933" s="1" t="s">
        <v>4927</v>
      </c>
    </row>
    <row r="3934" spans="1:3" x14ac:dyDescent="0.2">
      <c r="A3934" s="1" t="str">
        <f>"002494"</f>
        <v>002494</v>
      </c>
      <c r="B3934" s="1" t="s">
        <v>2343</v>
      </c>
      <c r="C3934" s="1" t="s">
        <v>4909</v>
      </c>
    </row>
    <row r="3935" spans="1:3" x14ac:dyDescent="0.2">
      <c r="A3935" s="1" t="str">
        <f>"002493"</f>
        <v>002493</v>
      </c>
      <c r="B3935" s="1" t="s">
        <v>3058</v>
      </c>
      <c r="C3935" s="1" t="s">
        <v>4858</v>
      </c>
    </row>
    <row r="3936" spans="1:3" x14ac:dyDescent="0.2">
      <c r="A3936" s="1" t="str">
        <f>"002492"</f>
        <v>002492</v>
      </c>
      <c r="B3936" s="1" t="s">
        <v>166</v>
      </c>
      <c r="C3936" s="1" t="s">
        <v>4914</v>
      </c>
    </row>
    <row r="3937" spans="1:3" x14ac:dyDescent="0.2">
      <c r="A3937" s="1" t="str">
        <f>"002491"</f>
        <v>002491</v>
      </c>
      <c r="B3937" s="1" t="s">
        <v>700</v>
      </c>
      <c r="C3937" s="1" t="s">
        <v>4869</v>
      </c>
    </row>
    <row r="3938" spans="1:3" x14ac:dyDescent="0.2">
      <c r="A3938" s="1" t="str">
        <f>"002490"</f>
        <v>002490</v>
      </c>
      <c r="B3938" s="1" t="s">
        <v>4576</v>
      </c>
      <c r="C3938" s="1" t="s">
        <v>4845</v>
      </c>
    </row>
    <row r="3939" spans="1:3" x14ac:dyDescent="0.2">
      <c r="A3939" s="1" t="str">
        <f>"002489"</f>
        <v>002489</v>
      </c>
      <c r="B3939" s="1" t="s">
        <v>2252</v>
      </c>
      <c r="C3939" s="1" t="s">
        <v>4902</v>
      </c>
    </row>
    <row r="3940" spans="1:3" x14ac:dyDescent="0.2">
      <c r="A3940" s="1" t="str">
        <f>"002488"</f>
        <v>002488</v>
      </c>
      <c r="B3940" s="1" t="s">
        <v>1963</v>
      </c>
      <c r="C3940" s="1" t="s">
        <v>4856</v>
      </c>
    </row>
    <row r="3941" spans="1:3" x14ac:dyDescent="0.2">
      <c r="A3941" s="1" t="str">
        <f>"002487"</f>
        <v>002487</v>
      </c>
      <c r="B3941" s="1" t="s">
        <v>1397</v>
      </c>
      <c r="C3941" s="1" t="s">
        <v>4870</v>
      </c>
    </row>
    <row r="3942" spans="1:3" x14ac:dyDescent="0.2">
      <c r="A3942" s="1" t="str">
        <f>"002486"</f>
        <v>002486</v>
      </c>
      <c r="B3942" s="1" t="s">
        <v>2344</v>
      </c>
      <c r="C3942" s="1" t="s">
        <v>4909</v>
      </c>
    </row>
    <row r="3943" spans="1:3" x14ac:dyDescent="0.2">
      <c r="A3943" s="1" t="str">
        <f>"002484"</f>
        <v>002484</v>
      </c>
      <c r="B3943" s="1" t="s">
        <v>745</v>
      </c>
      <c r="C3943" s="1" t="s">
        <v>4872</v>
      </c>
    </row>
    <row r="3944" spans="1:3" x14ac:dyDescent="0.2">
      <c r="A3944" s="1" t="str">
        <f>"002483"</f>
        <v>002483</v>
      </c>
      <c r="B3944" s="1" t="s">
        <v>1133</v>
      </c>
      <c r="C3944" s="1" t="s">
        <v>4845</v>
      </c>
    </row>
    <row r="3945" spans="1:3" x14ac:dyDescent="0.2">
      <c r="A3945" s="1" t="str">
        <f>"002482"</f>
        <v>002482</v>
      </c>
      <c r="B3945" s="1" t="s">
        <v>4577</v>
      </c>
      <c r="C3945" s="1" t="s">
        <v>4901</v>
      </c>
    </row>
    <row r="3946" spans="1:3" x14ac:dyDescent="0.2">
      <c r="A3946" s="1" t="str">
        <f>"002481"</f>
        <v>002481</v>
      </c>
      <c r="B3946" s="1" t="s">
        <v>2523</v>
      </c>
      <c r="C3946" s="1" t="s">
        <v>4936</v>
      </c>
    </row>
    <row r="3947" spans="1:3" x14ac:dyDescent="0.2">
      <c r="A3947" s="1" t="str">
        <f>"002480"</f>
        <v>002480</v>
      </c>
      <c r="B3947" s="1" t="s">
        <v>4578</v>
      </c>
      <c r="C3947" s="1" t="s">
        <v>4875</v>
      </c>
    </row>
    <row r="3948" spans="1:3" x14ac:dyDescent="0.2">
      <c r="A3948" s="1" t="str">
        <f>"002479"</f>
        <v>002479</v>
      </c>
      <c r="B3948" s="1" t="s">
        <v>4579</v>
      </c>
      <c r="C3948" s="1" t="s">
        <v>4889</v>
      </c>
    </row>
    <row r="3949" spans="1:3" x14ac:dyDescent="0.2">
      <c r="A3949" s="1" t="str">
        <f>"002478"</f>
        <v>002478</v>
      </c>
      <c r="B3949" s="1" t="s">
        <v>2739</v>
      </c>
      <c r="C3949" s="1" t="s">
        <v>4918</v>
      </c>
    </row>
    <row r="3950" spans="1:3" x14ac:dyDescent="0.2">
      <c r="A3950" s="1" t="str">
        <f>"002476"</f>
        <v>002476</v>
      </c>
      <c r="B3950" s="1" t="s">
        <v>2921</v>
      </c>
      <c r="C3950" s="1" t="s">
        <v>4865</v>
      </c>
    </row>
    <row r="3951" spans="1:3" x14ac:dyDescent="0.2">
      <c r="A3951" s="1" t="str">
        <f>"002475"</f>
        <v>002475</v>
      </c>
      <c r="B3951" s="1" t="s">
        <v>898</v>
      </c>
      <c r="C3951" s="1" t="s">
        <v>4850</v>
      </c>
    </row>
    <row r="3952" spans="1:3" x14ac:dyDescent="0.2">
      <c r="A3952" s="1" t="str">
        <f>"002474"</f>
        <v>002474</v>
      </c>
      <c r="B3952" s="1" t="s">
        <v>4580</v>
      </c>
      <c r="C3952" s="1" t="s">
        <v>4847</v>
      </c>
    </row>
    <row r="3953" spans="1:3" x14ac:dyDescent="0.2">
      <c r="A3953" s="1" t="str">
        <f>"002472"</f>
        <v>002472</v>
      </c>
      <c r="B3953" s="1" t="s">
        <v>2023</v>
      </c>
      <c r="C3953" s="1" t="s">
        <v>4856</v>
      </c>
    </row>
    <row r="3954" spans="1:3" x14ac:dyDescent="0.2">
      <c r="A3954" s="1" t="str">
        <f>"002471"</f>
        <v>002471</v>
      </c>
      <c r="B3954" s="1" t="s">
        <v>4581</v>
      </c>
      <c r="C3954" s="1" t="s">
        <v>4866</v>
      </c>
    </row>
    <row r="3955" spans="1:3" x14ac:dyDescent="0.2">
      <c r="A3955" s="1" t="str">
        <f>"002470"</f>
        <v>002470</v>
      </c>
      <c r="B3955" s="1" t="s">
        <v>2781</v>
      </c>
      <c r="C3955" s="1" t="s">
        <v>4915</v>
      </c>
    </row>
    <row r="3956" spans="1:3" x14ac:dyDescent="0.2">
      <c r="A3956" s="1" t="str">
        <f>"002469"</f>
        <v>002469</v>
      </c>
      <c r="B3956" s="1" t="s">
        <v>3018</v>
      </c>
      <c r="C3956" s="1" t="s">
        <v>4853</v>
      </c>
    </row>
    <row r="3957" spans="1:3" x14ac:dyDescent="0.2">
      <c r="A3957" s="1" t="str">
        <f>"002468"</f>
        <v>002468</v>
      </c>
      <c r="B3957" s="1" t="s">
        <v>176</v>
      </c>
      <c r="C3957" s="1" t="s">
        <v>4914</v>
      </c>
    </row>
    <row r="3958" spans="1:3" x14ac:dyDescent="0.2">
      <c r="A3958" s="1" t="str">
        <f>"002467"</f>
        <v>002467</v>
      </c>
      <c r="B3958" s="1" t="s">
        <v>651</v>
      </c>
      <c r="C3958" s="1" t="s">
        <v>4954</v>
      </c>
    </row>
    <row r="3959" spans="1:3" x14ac:dyDescent="0.2">
      <c r="A3959" s="1" t="str">
        <f>"002466"</f>
        <v>002466</v>
      </c>
      <c r="B3959" s="1" t="s">
        <v>2670</v>
      </c>
      <c r="C3959" s="1" t="s">
        <v>4894</v>
      </c>
    </row>
    <row r="3960" spans="1:3" x14ac:dyDescent="0.2">
      <c r="A3960" s="1" t="str">
        <f>"002465"</f>
        <v>002465</v>
      </c>
      <c r="B3960" s="1" t="s">
        <v>1317</v>
      </c>
      <c r="C3960" s="1" t="s">
        <v>4846</v>
      </c>
    </row>
    <row r="3961" spans="1:3" x14ac:dyDescent="0.2">
      <c r="A3961" s="1" t="str">
        <f>"002463"</f>
        <v>002463</v>
      </c>
      <c r="B3961" s="1" t="s">
        <v>774</v>
      </c>
      <c r="C3961" s="1" t="s">
        <v>4872</v>
      </c>
    </row>
    <row r="3962" spans="1:3" x14ac:dyDescent="0.2">
      <c r="A3962" s="1" t="str">
        <f>"002462"</f>
        <v>002462</v>
      </c>
      <c r="B3962" s="1" t="s">
        <v>1658</v>
      </c>
      <c r="C3962" s="1" t="s">
        <v>4903</v>
      </c>
    </row>
    <row r="3963" spans="1:3" x14ac:dyDescent="0.2">
      <c r="A3963" s="1" t="str">
        <f>"002461"</f>
        <v>002461</v>
      </c>
      <c r="B3963" s="1" t="s">
        <v>2509</v>
      </c>
      <c r="C3963" s="1" t="s">
        <v>4921</v>
      </c>
    </row>
    <row r="3964" spans="1:3" x14ac:dyDescent="0.2">
      <c r="A3964" s="1" t="str">
        <f>"002460"</f>
        <v>002460</v>
      </c>
      <c r="B3964" s="1" t="s">
        <v>4582</v>
      </c>
      <c r="C3964" s="1" t="s">
        <v>4894</v>
      </c>
    </row>
    <row r="3965" spans="1:3" x14ac:dyDescent="0.2">
      <c r="A3965" s="1" t="str">
        <f>"002458"</f>
        <v>002458</v>
      </c>
      <c r="B3965" s="1" t="s">
        <v>4583</v>
      </c>
      <c r="C3965" s="1" t="s">
        <v>4900</v>
      </c>
    </row>
    <row r="3966" spans="1:3" x14ac:dyDescent="0.2">
      <c r="A3966" s="1" t="str">
        <f>"002457"</f>
        <v>002457</v>
      </c>
      <c r="B3966" s="1" t="s">
        <v>4584</v>
      </c>
      <c r="C3966" s="1" t="s">
        <v>4886</v>
      </c>
    </row>
    <row r="3967" spans="1:3" x14ac:dyDescent="0.2">
      <c r="A3967" s="1" t="str">
        <f>"002456"</f>
        <v>002456</v>
      </c>
      <c r="B3967" s="1" t="s">
        <v>4585</v>
      </c>
      <c r="C3967" s="1" t="s">
        <v>4850</v>
      </c>
    </row>
    <row r="3968" spans="1:3" x14ac:dyDescent="0.2">
      <c r="A3968" s="1" t="str">
        <f>"002455"</f>
        <v>002455</v>
      </c>
      <c r="B3968" s="1" t="s">
        <v>3019</v>
      </c>
      <c r="C3968" s="1" t="s">
        <v>4853</v>
      </c>
    </row>
    <row r="3969" spans="1:3" x14ac:dyDescent="0.2">
      <c r="A3969" s="1" t="str">
        <f>"002454"</f>
        <v>002454</v>
      </c>
      <c r="B3969" s="1" t="s">
        <v>1910</v>
      </c>
      <c r="C3969" s="1" t="s">
        <v>4856</v>
      </c>
    </row>
    <row r="3970" spans="1:3" x14ac:dyDescent="0.2">
      <c r="A3970" s="1" t="str">
        <f>"002453"</f>
        <v>002453</v>
      </c>
      <c r="B3970" s="1" t="s">
        <v>4586</v>
      </c>
      <c r="C3970" s="1" t="s">
        <v>4865</v>
      </c>
    </row>
    <row r="3971" spans="1:3" x14ac:dyDescent="0.2">
      <c r="A3971" s="1" t="str">
        <f>"002452"</f>
        <v>002452</v>
      </c>
      <c r="B3971" s="1" t="s">
        <v>1492</v>
      </c>
      <c r="C3971" s="1" t="s">
        <v>4866</v>
      </c>
    </row>
    <row r="3972" spans="1:3" x14ac:dyDescent="0.2">
      <c r="A3972" s="1" t="str">
        <f>"002451"</f>
        <v>002451</v>
      </c>
      <c r="B3972" s="1" t="s">
        <v>1449</v>
      </c>
      <c r="C3972" s="1" t="s">
        <v>4866</v>
      </c>
    </row>
    <row r="3973" spans="1:3" x14ac:dyDescent="0.2">
      <c r="A3973" s="1" t="str">
        <f>"002449"</f>
        <v>002449</v>
      </c>
      <c r="B3973" s="1" t="s">
        <v>803</v>
      </c>
      <c r="C3973" s="1" t="s">
        <v>4878</v>
      </c>
    </row>
    <row r="3974" spans="1:3" x14ac:dyDescent="0.2">
      <c r="A3974" s="1" t="str">
        <f>"002448"</f>
        <v>002448</v>
      </c>
      <c r="B3974" s="1" t="s">
        <v>2024</v>
      </c>
      <c r="C3974" s="1" t="s">
        <v>4856</v>
      </c>
    </row>
    <row r="3975" spans="1:3" x14ac:dyDescent="0.2">
      <c r="A3975" s="1" t="str">
        <f>"002446"</f>
        <v>002446</v>
      </c>
      <c r="B3975" s="1" t="s">
        <v>1318</v>
      </c>
      <c r="C3975" s="1" t="s">
        <v>4846</v>
      </c>
    </row>
    <row r="3976" spans="1:3" x14ac:dyDescent="0.2">
      <c r="A3976" s="1" t="str">
        <f>"002445"</f>
        <v>002445</v>
      </c>
      <c r="B3976" s="1" t="s">
        <v>1205</v>
      </c>
      <c r="C3976" s="1" t="s">
        <v>4851</v>
      </c>
    </row>
    <row r="3977" spans="1:3" x14ac:dyDescent="0.2">
      <c r="A3977" s="1" t="str">
        <f>"002444"</f>
        <v>002444</v>
      </c>
      <c r="B3977" s="1" t="s">
        <v>1164</v>
      </c>
      <c r="C3977" s="1" t="s">
        <v>4851</v>
      </c>
    </row>
    <row r="3978" spans="1:3" x14ac:dyDescent="0.2">
      <c r="A3978" s="1" t="str">
        <f>"002443"</f>
        <v>002443</v>
      </c>
      <c r="B3978" s="1" t="s">
        <v>2740</v>
      </c>
      <c r="C3978" s="1" t="s">
        <v>4918</v>
      </c>
    </row>
    <row r="3979" spans="1:3" x14ac:dyDescent="0.2">
      <c r="A3979" s="1" t="str">
        <f>"002442"</f>
        <v>002442</v>
      </c>
      <c r="B3979" s="1" t="s">
        <v>2832</v>
      </c>
      <c r="C3979" s="1" t="s">
        <v>4906</v>
      </c>
    </row>
    <row r="3980" spans="1:3" x14ac:dyDescent="0.2">
      <c r="A3980" s="1" t="str">
        <f>"002441"</f>
        <v>002441</v>
      </c>
      <c r="B3980" s="1" t="s">
        <v>1471</v>
      </c>
      <c r="C3980" s="1" t="s">
        <v>4866</v>
      </c>
    </row>
    <row r="3981" spans="1:3" x14ac:dyDescent="0.2">
      <c r="A3981" s="1" t="str">
        <f>"002440"</f>
        <v>002440</v>
      </c>
      <c r="B3981" s="1" t="s">
        <v>2967</v>
      </c>
      <c r="C3981" s="1" t="s">
        <v>4865</v>
      </c>
    </row>
    <row r="3982" spans="1:3" x14ac:dyDescent="0.2">
      <c r="A3982" s="1" t="str">
        <f>"002439"</f>
        <v>002439</v>
      </c>
      <c r="B3982" s="1" t="s">
        <v>4587</v>
      </c>
      <c r="C3982" s="1" t="s">
        <v>4847</v>
      </c>
    </row>
    <row r="3983" spans="1:3" x14ac:dyDescent="0.2">
      <c r="A3983" s="1" t="str">
        <f>"002438"</f>
        <v>002438</v>
      </c>
      <c r="B3983" s="1" t="s">
        <v>1246</v>
      </c>
      <c r="C3983" s="1" t="s">
        <v>4851</v>
      </c>
    </row>
    <row r="3984" spans="1:3" x14ac:dyDescent="0.2">
      <c r="A3984" s="1" t="str">
        <f>"002437"</f>
        <v>002437</v>
      </c>
      <c r="B3984" s="1" t="s">
        <v>1854</v>
      </c>
      <c r="C3984" s="1" t="s">
        <v>4843</v>
      </c>
    </row>
    <row r="3985" spans="1:3" x14ac:dyDescent="0.2">
      <c r="A3985" s="1" t="str">
        <f>"002436"</f>
        <v>002436</v>
      </c>
      <c r="B3985" s="1" t="s">
        <v>4588</v>
      </c>
      <c r="C3985" s="1" t="s">
        <v>4872</v>
      </c>
    </row>
    <row r="3986" spans="1:3" x14ac:dyDescent="0.2">
      <c r="A3986" s="1" t="str">
        <f>"002434"</f>
        <v>002434</v>
      </c>
      <c r="B3986" s="1" t="s">
        <v>2025</v>
      </c>
      <c r="C3986" s="1" t="s">
        <v>4856</v>
      </c>
    </row>
    <row r="3987" spans="1:3" x14ac:dyDescent="0.2">
      <c r="A3987" s="1" t="str">
        <f>"002432"</f>
        <v>002432</v>
      </c>
      <c r="B3987" s="1" t="s">
        <v>1741</v>
      </c>
      <c r="C3987" s="1" t="s">
        <v>4867</v>
      </c>
    </row>
    <row r="3988" spans="1:3" x14ac:dyDescent="0.2">
      <c r="A3988" s="1" t="str">
        <f>"002431"</f>
        <v>002431</v>
      </c>
      <c r="B3988" s="1" t="s">
        <v>4589</v>
      </c>
      <c r="C3988" s="1" t="s">
        <v>4898</v>
      </c>
    </row>
    <row r="3989" spans="1:3" x14ac:dyDescent="0.2">
      <c r="A3989" s="1" t="str">
        <f>"002430"</f>
        <v>002430</v>
      </c>
      <c r="B3989" s="1" t="s">
        <v>1074</v>
      </c>
      <c r="C3989" s="1" t="s">
        <v>4845</v>
      </c>
    </row>
    <row r="3990" spans="1:3" x14ac:dyDescent="0.2">
      <c r="A3990" s="1" t="str">
        <f>"002429"</f>
        <v>002429</v>
      </c>
      <c r="B3990" s="1" t="s">
        <v>2181</v>
      </c>
      <c r="C3990" s="1" t="s">
        <v>4864</v>
      </c>
    </row>
    <row r="3991" spans="1:3" x14ac:dyDescent="0.2">
      <c r="A3991" s="1" t="str">
        <f>"002428"</f>
        <v>002428</v>
      </c>
      <c r="B3991" s="1" t="s">
        <v>2644</v>
      </c>
      <c r="C3991" s="1" t="s">
        <v>4855</v>
      </c>
    </row>
    <row r="3992" spans="1:3" x14ac:dyDescent="0.2">
      <c r="A3992" s="1" t="str">
        <f>"002427"</f>
        <v>002427</v>
      </c>
      <c r="B3992" s="1" t="s">
        <v>3059</v>
      </c>
      <c r="C3992" s="1" t="s">
        <v>4858</v>
      </c>
    </row>
    <row r="3993" spans="1:3" x14ac:dyDescent="0.2">
      <c r="A3993" s="1" t="str">
        <f>"002426"</f>
        <v>002426</v>
      </c>
      <c r="B3993" s="1" t="s">
        <v>4590</v>
      </c>
      <c r="C3993" s="1" t="s">
        <v>4850</v>
      </c>
    </row>
    <row r="3994" spans="1:3" x14ac:dyDescent="0.2">
      <c r="A3994" s="1" t="str">
        <f>"002424"</f>
        <v>002424</v>
      </c>
      <c r="B3994" s="1" t="s">
        <v>4591</v>
      </c>
      <c r="C3994" s="1" t="s">
        <v>4917</v>
      </c>
    </row>
    <row r="3995" spans="1:3" x14ac:dyDescent="0.2">
      <c r="A3995" s="1" t="str">
        <f>"002423"</f>
        <v>002423</v>
      </c>
      <c r="B3995" s="1" t="s">
        <v>345</v>
      </c>
      <c r="C3995" s="1" t="s">
        <v>4938</v>
      </c>
    </row>
    <row r="3996" spans="1:3" x14ac:dyDescent="0.2">
      <c r="A3996" s="1" t="str">
        <f>"002422"</f>
        <v>002422</v>
      </c>
      <c r="B3996" s="1" t="s">
        <v>1855</v>
      </c>
      <c r="C3996" s="1" t="s">
        <v>4843</v>
      </c>
    </row>
    <row r="3997" spans="1:3" x14ac:dyDescent="0.2">
      <c r="A3997" s="1" t="str">
        <f>"002421"</f>
        <v>002421</v>
      </c>
      <c r="B3997" s="1" t="s">
        <v>4592</v>
      </c>
      <c r="C3997" s="1" t="s">
        <v>4847</v>
      </c>
    </row>
    <row r="3998" spans="1:3" x14ac:dyDescent="0.2">
      <c r="A3998" s="1" t="str">
        <f>"002420"</f>
        <v>002420</v>
      </c>
      <c r="B3998" s="1" t="s">
        <v>2147</v>
      </c>
      <c r="C3998" s="1" t="s">
        <v>4929</v>
      </c>
    </row>
    <row r="3999" spans="1:3" x14ac:dyDescent="0.2">
      <c r="A3999" s="1" t="str">
        <f>"002419"</f>
        <v>002419</v>
      </c>
      <c r="B3999" s="1" t="s">
        <v>4593</v>
      </c>
      <c r="C3999" s="1" t="s">
        <v>4905</v>
      </c>
    </row>
    <row r="4000" spans="1:3" x14ac:dyDescent="0.2">
      <c r="A4000" s="1" t="str">
        <f>"002418"</f>
        <v>002418</v>
      </c>
      <c r="B4000" s="1" t="s">
        <v>2148</v>
      </c>
      <c r="C4000" s="1" t="s">
        <v>4929</v>
      </c>
    </row>
    <row r="4001" spans="1:3" x14ac:dyDescent="0.2">
      <c r="A4001" s="1" t="str">
        <f>"002416"</f>
        <v>002416</v>
      </c>
      <c r="B4001" s="1" t="s">
        <v>2118</v>
      </c>
      <c r="C4001" s="1" t="s">
        <v>4939</v>
      </c>
    </row>
    <row r="4002" spans="1:3" x14ac:dyDescent="0.2">
      <c r="A4002" s="1" t="str">
        <f>"002415"</f>
        <v>002415</v>
      </c>
      <c r="B4002" s="1" t="s">
        <v>635</v>
      </c>
      <c r="C4002" s="1" t="s">
        <v>4873</v>
      </c>
    </row>
    <row r="4003" spans="1:3" x14ac:dyDescent="0.2">
      <c r="A4003" s="1" t="str">
        <f>"002414"</f>
        <v>002414</v>
      </c>
      <c r="B4003" s="1" t="s">
        <v>1319</v>
      </c>
      <c r="C4003" s="1" t="s">
        <v>4846</v>
      </c>
    </row>
    <row r="4004" spans="1:3" x14ac:dyDescent="0.2">
      <c r="A4004" s="1" t="str">
        <f>"002413"</f>
        <v>002413</v>
      </c>
      <c r="B4004" s="1" t="s">
        <v>4594</v>
      </c>
      <c r="C4004" s="1" t="s">
        <v>4846</v>
      </c>
    </row>
    <row r="4005" spans="1:3" x14ac:dyDescent="0.2">
      <c r="A4005" s="1" t="str">
        <f>"002412"</f>
        <v>002412</v>
      </c>
      <c r="B4005" s="1" t="s">
        <v>1627</v>
      </c>
      <c r="C4005" s="1" t="s">
        <v>4917</v>
      </c>
    </row>
    <row r="4006" spans="1:3" x14ac:dyDescent="0.2">
      <c r="A4006" s="1" t="str">
        <f>"002410"</f>
        <v>002410</v>
      </c>
      <c r="B4006" s="1" t="s">
        <v>531</v>
      </c>
      <c r="C4006" s="1" t="s">
        <v>4874</v>
      </c>
    </row>
    <row r="4007" spans="1:3" x14ac:dyDescent="0.2">
      <c r="A4007" s="1" t="str">
        <f>"002409"</f>
        <v>002409</v>
      </c>
      <c r="B4007" s="1" t="s">
        <v>955</v>
      </c>
      <c r="C4007" s="1" t="s">
        <v>4840</v>
      </c>
    </row>
    <row r="4008" spans="1:3" x14ac:dyDescent="0.2">
      <c r="A4008" s="1" t="str">
        <f>"002408"</f>
        <v>002408</v>
      </c>
      <c r="B4008" s="1" t="s">
        <v>3020</v>
      </c>
      <c r="C4008" s="1" t="s">
        <v>4853</v>
      </c>
    </row>
    <row r="4009" spans="1:3" x14ac:dyDescent="0.2">
      <c r="A4009" s="1" t="str">
        <f>"002407"</f>
        <v>002407</v>
      </c>
      <c r="B4009" s="1" t="s">
        <v>2956</v>
      </c>
      <c r="C4009" s="1" t="s">
        <v>4865</v>
      </c>
    </row>
    <row r="4010" spans="1:3" x14ac:dyDescent="0.2">
      <c r="A4010" s="1" t="str">
        <f>"002406"</f>
        <v>002406</v>
      </c>
      <c r="B4010" s="1" t="s">
        <v>2026</v>
      </c>
      <c r="C4010" s="1" t="s">
        <v>4856</v>
      </c>
    </row>
    <row r="4011" spans="1:3" x14ac:dyDescent="0.2">
      <c r="A4011" s="1" t="str">
        <f>"002405"</f>
        <v>002405</v>
      </c>
      <c r="B4011" s="1" t="s">
        <v>4595</v>
      </c>
      <c r="C4011" s="1" t="s">
        <v>4847</v>
      </c>
    </row>
    <row r="4012" spans="1:3" x14ac:dyDescent="0.2">
      <c r="A4012" s="1" t="str">
        <f>"002404"</f>
        <v>002404</v>
      </c>
      <c r="B4012" s="1" t="s">
        <v>2382</v>
      </c>
      <c r="C4012" s="1" t="s">
        <v>4904</v>
      </c>
    </row>
    <row r="4013" spans="1:3" x14ac:dyDescent="0.2">
      <c r="A4013" s="1" t="str">
        <f>"002403"</f>
        <v>002403</v>
      </c>
      <c r="B4013" s="1" t="s">
        <v>2174</v>
      </c>
      <c r="C4013" s="1" t="s">
        <v>4844</v>
      </c>
    </row>
    <row r="4014" spans="1:3" x14ac:dyDescent="0.2">
      <c r="A4014" s="1" t="str">
        <f>"002402"</f>
        <v>002402</v>
      </c>
      <c r="B4014" s="1" t="s">
        <v>730</v>
      </c>
      <c r="C4014" s="1" t="s">
        <v>4842</v>
      </c>
    </row>
    <row r="4015" spans="1:3" x14ac:dyDescent="0.2">
      <c r="A4015" s="1" t="str">
        <f>"002401"</f>
        <v>002401</v>
      </c>
      <c r="B4015" s="1" t="s">
        <v>596</v>
      </c>
      <c r="C4015" s="1" t="s">
        <v>4847</v>
      </c>
    </row>
    <row r="4016" spans="1:3" x14ac:dyDescent="0.2">
      <c r="A4016" s="1" t="str">
        <f>"002400"</f>
        <v>002400</v>
      </c>
      <c r="B4016" s="1" t="s">
        <v>494</v>
      </c>
      <c r="C4016" s="1" t="s">
        <v>4907</v>
      </c>
    </row>
    <row r="4017" spans="1:3" x14ac:dyDescent="0.2">
      <c r="A4017" s="1" t="str">
        <f>"002399"</f>
        <v>002399</v>
      </c>
      <c r="B4017" s="1" t="s">
        <v>1803</v>
      </c>
      <c r="C4017" s="1" t="s">
        <v>4843</v>
      </c>
    </row>
    <row r="4018" spans="1:3" x14ac:dyDescent="0.2">
      <c r="A4018" s="1" t="str">
        <f>"002398"</f>
        <v>002398</v>
      </c>
      <c r="B4018" s="1" t="s">
        <v>2582</v>
      </c>
      <c r="C4018" s="1" t="s">
        <v>4886</v>
      </c>
    </row>
    <row r="4019" spans="1:3" x14ac:dyDescent="0.2">
      <c r="A4019" s="1" t="str">
        <f>"002397"</f>
        <v>002397</v>
      </c>
      <c r="B4019" s="1" t="s">
        <v>2364</v>
      </c>
      <c r="C4019" s="1" t="s">
        <v>4909</v>
      </c>
    </row>
    <row r="4020" spans="1:3" x14ac:dyDescent="0.2">
      <c r="A4020" s="1" t="str">
        <f>"002396"</f>
        <v>002396</v>
      </c>
      <c r="B4020" s="1" t="s">
        <v>679</v>
      </c>
      <c r="C4020" s="1" t="s">
        <v>4869</v>
      </c>
    </row>
    <row r="4021" spans="1:3" x14ac:dyDescent="0.2">
      <c r="A4021" s="1" t="str">
        <f>"002395"</f>
        <v>002395</v>
      </c>
      <c r="B4021" s="1" t="s">
        <v>2859</v>
      </c>
      <c r="C4021" s="1" t="s">
        <v>4860</v>
      </c>
    </row>
    <row r="4022" spans="1:3" x14ac:dyDescent="0.2">
      <c r="A4022" s="1" t="str">
        <f>"002394"</f>
        <v>002394</v>
      </c>
      <c r="B4022" s="1" t="s">
        <v>2394</v>
      </c>
      <c r="C4022" s="1" t="s">
        <v>4904</v>
      </c>
    </row>
    <row r="4023" spans="1:3" x14ac:dyDescent="0.2">
      <c r="A4023" s="1" t="str">
        <f>"002393"</f>
        <v>002393</v>
      </c>
      <c r="B4023" s="1" t="s">
        <v>1856</v>
      </c>
      <c r="C4023" s="1" t="s">
        <v>4843</v>
      </c>
    </row>
    <row r="4024" spans="1:3" x14ac:dyDescent="0.2">
      <c r="A4024" s="1" t="str">
        <f>"002392"</f>
        <v>002392</v>
      </c>
      <c r="B4024" s="1" t="s">
        <v>2593</v>
      </c>
      <c r="C4024" s="1" t="s">
        <v>4886</v>
      </c>
    </row>
    <row r="4025" spans="1:3" x14ac:dyDescent="0.2">
      <c r="A4025" s="1" t="str">
        <f>"002391"</f>
        <v>002391</v>
      </c>
      <c r="B4025" s="1" t="s">
        <v>2815</v>
      </c>
      <c r="C4025" s="1" t="s">
        <v>4915</v>
      </c>
    </row>
    <row r="4026" spans="1:3" x14ac:dyDescent="0.2">
      <c r="A4026" s="1" t="str">
        <f>"002390"</f>
        <v>002390</v>
      </c>
      <c r="B4026" s="1" t="s">
        <v>1659</v>
      </c>
      <c r="C4026" s="1" t="s">
        <v>4903</v>
      </c>
    </row>
    <row r="4027" spans="1:3" x14ac:dyDescent="0.2">
      <c r="A4027" s="1" t="str">
        <f>"002389"</f>
        <v>002389</v>
      </c>
      <c r="B4027" s="1" t="s">
        <v>4596</v>
      </c>
      <c r="C4027" s="1" t="s">
        <v>4862</v>
      </c>
    </row>
    <row r="4028" spans="1:3" x14ac:dyDescent="0.2">
      <c r="A4028" s="1" t="str">
        <f>"002387"</f>
        <v>002387</v>
      </c>
      <c r="B4028" s="1" t="s">
        <v>4597</v>
      </c>
      <c r="C4028" s="1" t="s">
        <v>4878</v>
      </c>
    </row>
    <row r="4029" spans="1:3" x14ac:dyDescent="0.2">
      <c r="A4029" s="1" t="str">
        <f>"002386"</f>
        <v>002386</v>
      </c>
      <c r="B4029" s="1" t="s">
        <v>3038</v>
      </c>
      <c r="C4029" s="1" t="s">
        <v>4853</v>
      </c>
    </row>
    <row r="4030" spans="1:3" x14ac:dyDescent="0.2">
      <c r="A4030" s="1" t="str">
        <f>"002385"</f>
        <v>002385</v>
      </c>
      <c r="B4030" s="1" t="s">
        <v>2543</v>
      </c>
      <c r="C4030" s="1" t="s">
        <v>4885</v>
      </c>
    </row>
    <row r="4031" spans="1:3" x14ac:dyDescent="0.2">
      <c r="A4031" s="1" t="str">
        <f>"002384"</f>
        <v>002384</v>
      </c>
      <c r="B4031" s="1" t="s">
        <v>775</v>
      </c>
      <c r="C4031" s="1" t="s">
        <v>4872</v>
      </c>
    </row>
    <row r="4032" spans="1:3" x14ac:dyDescent="0.2">
      <c r="A4032" s="1" t="str">
        <f>"002383"</f>
        <v>002383</v>
      </c>
      <c r="B4032" s="1" t="s">
        <v>663</v>
      </c>
      <c r="C4032" s="1" t="s">
        <v>4869</v>
      </c>
    </row>
    <row r="4033" spans="1:3" x14ac:dyDescent="0.2">
      <c r="A4033" s="1" t="str">
        <f>"002382"</f>
        <v>002382</v>
      </c>
      <c r="B4033" s="1" t="s">
        <v>1722</v>
      </c>
      <c r="C4033" s="1" t="s">
        <v>4867</v>
      </c>
    </row>
    <row r="4034" spans="1:3" x14ac:dyDescent="0.2">
      <c r="A4034" s="1" t="str">
        <f>"002381"</f>
        <v>002381</v>
      </c>
      <c r="B4034" s="1" t="s">
        <v>2828</v>
      </c>
      <c r="C4034" s="1" t="s">
        <v>4906</v>
      </c>
    </row>
    <row r="4035" spans="1:3" x14ac:dyDescent="0.2">
      <c r="A4035" s="1" t="str">
        <f>"002380"</f>
        <v>002380</v>
      </c>
      <c r="B4035" s="1" t="s">
        <v>597</v>
      </c>
      <c r="C4035" s="1" t="s">
        <v>4847</v>
      </c>
    </row>
    <row r="4036" spans="1:3" x14ac:dyDescent="0.2">
      <c r="A4036" s="1" t="str">
        <f>"002379"</f>
        <v>002379</v>
      </c>
      <c r="B4036" s="1" t="s">
        <v>4598</v>
      </c>
      <c r="C4036" s="1" t="s">
        <v>4879</v>
      </c>
    </row>
    <row r="4037" spans="1:3" x14ac:dyDescent="0.2">
      <c r="A4037" s="1" t="str">
        <f>"002378"</f>
        <v>002378</v>
      </c>
      <c r="B4037" s="1" t="s">
        <v>2656</v>
      </c>
      <c r="C4037" s="1" t="s">
        <v>4855</v>
      </c>
    </row>
    <row r="4038" spans="1:3" x14ac:dyDescent="0.2">
      <c r="A4038" s="1" t="str">
        <f>"002377"</f>
        <v>002377</v>
      </c>
      <c r="B4038" s="1" t="s">
        <v>2583</v>
      </c>
      <c r="C4038" s="1" t="s">
        <v>4886</v>
      </c>
    </row>
    <row r="4039" spans="1:3" x14ac:dyDescent="0.2">
      <c r="A4039" s="1" t="str">
        <f>"002376"</f>
        <v>002376</v>
      </c>
      <c r="B4039" s="1" t="s">
        <v>622</v>
      </c>
      <c r="C4039" s="1" t="s">
        <v>4873</v>
      </c>
    </row>
    <row r="4040" spans="1:3" x14ac:dyDescent="0.2">
      <c r="A4040" s="1" t="str">
        <f>"002375"</f>
        <v>002375</v>
      </c>
      <c r="B4040" s="1" t="s">
        <v>4599</v>
      </c>
      <c r="C4040" s="1" t="s">
        <v>4901</v>
      </c>
    </row>
    <row r="4041" spans="1:3" x14ac:dyDescent="0.2">
      <c r="A4041" s="1" t="str">
        <f>"002373"</f>
        <v>002373</v>
      </c>
      <c r="B4041" s="1" t="s">
        <v>598</v>
      </c>
      <c r="C4041" s="1" t="s">
        <v>4847</v>
      </c>
    </row>
    <row r="4042" spans="1:3" x14ac:dyDescent="0.2">
      <c r="A4042" s="1" t="str">
        <f>"002372"</f>
        <v>002372</v>
      </c>
      <c r="B4042" s="1" t="s">
        <v>2600</v>
      </c>
      <c r="C4042" s="1" t="s">
        <v>4886</v>
      </c>
    </row>
    <row r="4043" spans="1:3" x14ac:dyDescent="0.2">
      <c r="A4043" s="1" t="str">
        <f>"002371"</f>
        <v>002371</v>
      </c>
      <c r="B4043" s="1" t="s">
        <v>938</v>
      </c>
      <c r="C4043" s="1" t="s">
        <v>4840</v>
      </c>
    </row>
    <row r="4044" spans="1:3" x14ac:dyDescent="0.2">
      <c r="A4044" s="1" t="str">
        <f>"002370"</f>
        <v>002370</v>
      </c>
      <c r="B4044" s="1" t="s">
        <v>4600</v>
      </c>
      <c r="C4044" s="1" t="s">
        <v>4843</v>
      </c>
    </row>
    <row r="4045" spans="1:3" x14ac:dyDescent="0.2">
      <c r="A4045" s="1" t="str">
        <f>"002369"</f>
        <v>002369</v>
      </c>
      <c r="B4045" s="1" t="s">
        <v>4601</v>
      </c>
      <c r="C4045" s="1" t="s">
        <v>4869</v>
      </c>
    </row>
    <row r="4046" spans="1:3" x14ac:dyDescent="0.2">
      <c r="A4046" s="1" t="str">
        <f>"002368"</f>
        <v>002368</v>
      </c>
      <c r="B4046" s="1" t="s">
        <v>599</v>
      </c>
      <c r="C4046" s="1" t="s">
        <v>4847</v>
      </c>
    </row>
    <row r="4047" spans="1:3" x14ac:dyDescent="0.2">
      <c r="A4047" s="1" t="str">
        <f>"002367"</f>
        <v>002367</v>
      </c>
      <c r="B4047" s="1" t="s">
        <v>4602</v>
      </c>
      <c r="C4047" s="1" t="s">
        <v>4845</v>
      </c>
    </row>
    <row r="4048" spans="1:3" x14ac:dyDescent="0.2">
      <c r="A4048" s="1" t="str">
        <f>"002366"</f>
        <v>002366</v>
      </c>
      <c r="B4048" s="1" t="s">
        <v>1134</v>
      </c>
      <c r="C4048" s="1" t="s">
        <v>4845</v>
      </c>
    </row>
    <row r="4049" spans="1:3" x14ac:dyDescent="0.2">
      <c r="A4049" s="1" t="str">
        <f>"002365"</f>
        <v>002365</v>
      </c>
      <c r="B4049" s="1" t="s">
        <v>4603</v>
      </c>
      <c r="C4049" s="1" t="s">
        <v>4843</v>
      </c>
    </row>
    <row r="4050" spans="1:3" x14ac:dyDescent="0.2">
      <c r="A4050" s="1" t="str">
        <f>"002364"</f>
        <v>002364</v>
      </c>
      <c r="B4050" s="1" t="s">
        <v>1377</v>
      </c>
      <c r="C4050" s="1" t="s">
        <v>4859</v>
      </c>
    </row>
    <row r="4051" spans="1:3" x14ac:dyDescent="0.2">
      <c r="A4051" s="1" t="str">
        <f>"002363"</f>
        <v>002363</v>
      </c>
      <c r="B4051" s="1" t="s">
        <v>2027</v>
      </c>
      <c r="C4051" s="1" t="s">
        <v>4856</v>
      </c>
    </row>
    <row r="4052" spans="1:3" x14ac:dyDescent="0.2">
      <c r="A4052" s="1" t="str">
        <f>"002362"</f>
        <v>002362</v>
      </c>
      <c r="B4052" s="1" t="s">
        <v>4604</v>
      </c>
      <c r="C4052" s="1" t="s">
        <v>4847</v>
      </c>
    </row>
    <row r="4053" spans="1:3" x14ac:dyDescent="0.2">
      <c r="A4053" s="1" t="str">
        <f>"002361"</f>
        <v>002361</v>
      </c>
      <c r="B4053" s="1" t="s">
        <v>2891</v>
      </c>
      <c r="C4053" s="1" t="s">
        <v>4860</v>
      </c>
    </row>
    <row r="4054" spans="1:3" x14ac:dyDescent="0.2">
      <c r="A4054" s="1" t="str">
        <f>"002360"</f>
        <v>002360</v>
      </c>
      <c r="B4054" s="1" t="s">
        <v>2976</v>
      </c>
      <c r="C4054" s="1" t="s">
        <v>4865</v>
      </c>
    </row>
    <row r="4055" spans="1:3" x14ac:dyDescent="0.2">
      <c r="A4055" s="1" t="str">
        <f>"002358"</f>
        <v>002358</v>
      </c>
      <c r="B4055" s="1" t="s">
        <v>1493</v>
      </c>
      <c r="C4055" s="1" t="s">
        <v>4866</v>
      </c>
    </row>
    <row r="4056" spans="1:3" x14ac:dyDescent="0.2">
      <c r="A4056" s="1" t="str">
        <f>"002357"</f>
        <v>002357</v>
      </c>
      <c r="B4056" s="1" t="s">
        <v>242</v>
      </c>
      <c r="C4056" s="1" t="s">
        <v>4943</v>
      </c>
    </row>
    <row r="4057" spans="1:3" x14ac:dyDescent="0.2">
      <c r="A4057" s="1" t="str">
        <f>"002356"</f>
        <v>002356</v>
      </c>
      <c r="B4057" s="1" t="s">
        <v>4605</v>
      </c>
      <c r="C4057" s="1" t="s">
        <v>4905</v>
      </c>
    </row>
    <row r="4058" spans="1:3" x14ac:dyDescent="0.2">
      <c r="A4058" s="1" t="str">
        <f>"002355"</f>
        <v>002355</v>
      </c>
      <c r="B4058" s="1" t="s">
        <v>1964</v>
      </c>
      <c r="C4058" s="1" t="s">
        <v>4856</v>
      </c>
    </row>
    <row r="4059" spans="1:3" x14ac:dyDescent="0.2">
      <c r="A4059" s="1" t="str">
        <f>"002354"</f>
        <v>002354</v>
      </c>
      <c r="B4059" s="1" t="s">
        <v>495</v>
      </c>
      <c r="C4059" s="1" t="s">
        <v>4907</v>
      </c>
    </row>
    <row r="4060" spans="1:3" x14ac:dyDescent="0.2">
      <c r="A4060" s="1" t="str">
        <f>"002353"</f>
        <v>002353</v>
      </c>
      <c r="B4060" s="1" t="s">
        <v>1135</v>
      </c>
      <c r="C4060" s="1" t="s">
        <v>4845</v>
      </c>
    </row>
    <row r="4061" spans="1:3" x14ac:dyDescent="0.2">
      <c r="A4061" s="1" t="str">
        <f>"002352"</f>
        <v>002352</v>
      </c>
      <c r="B4061" s="1" t="s">
        <v>177</v>
      </c>
      <c r="C4061" s="1" t="s">
        <v>4914</v>
      </c>
    </row>
    <row r="4062" spans="1:3" x14ac:dyDescent="0.2">
      <c r="A4062" s="1" t="str">
        <f>"002351"</f>
        <v>002351</v>
      </c>
      <c r="B4062" s="1" t="s">
        <v>899</v>
      </c>
      <c r="C4062" s="1" t="s">
        <v>4850</v>
      </c>
    </row>
    <row r="4063" spans="1:3" x14ac:dyDescent="0.2">
      <c r="A4063" s="1" t="str">
        <f>"002350"</f>
        <v>002350</v>
      </c>
      <c r="B4063" s="1" t="s">
        <v>1472</v>
      </c>
      <c r="C4063" s="1" t="s">
        <v>4866</v>
      </c>
    </row>
    <row r="4064" spans="1:3" x14ac:dyDescent="0.2">
      <c r="A4064" s="1" t="str">
        <f>"002349"</f>
        <v>002349</v>
      </c>
      <c r="B4064" s="1" t="s">
        <v>1628</v>
      </c>
      <c r="C4064" s="1" t="s">
        <v>4917</v>
      </c>
    </row>
    <row r="4065" spans="1:3" x14ac:dyDescent="0.2">
      <c r="A4065" s="1" t="str">
        <f>"002348"</f>
        <v>002348</v>
      </c>
      <c r="B4065" s="1" t="s">
        <v>4606</v>
      </c>
      <c r="C4065" s="1" t="s">
        <v>4899</v>
      </c>
    </row>
    <row r="4066" spans="1:3" x14ac:dyDescent="0.2">
      <c r="A4066" s="1" t="str">
        <f>"002347"</f>
        <v>002347</v>
      </c>
      <c r="B4066" s="1" t="s">
        <v>4607</v>
      </c>
      <c r="C4066" s="1" t="s">
        <v>4851</v>
      </c>
    </row>
    <row r="4067" spans="1:3" x14ac:dyDescent="0.2">
      <c r="A4067" s="1" t="str">
        <f>"002346"</f>
        <v>002346</v>
      </c>
      <c r="B4067" s="1" t="s">
        <v>1473</v>
      </c>
      <c r="C4067" s="1" t="s">
        <v>4866</v>
      </c>
    </row>
    <row r="4068" spans="1:3" x14ac:dyDescent="0.2">
      <c r="A4068" s="1" t="str">
        <f>"002345"</f>
        <v>002345</v>
      </c>
      <c r="B4068" s="1" t="s">
        <v>2321</v>
      </c>
      <c r="C4068" s="1" t="s">
        <v>4887</v>
      </c>
    </row>
    <row r="4069" spans="1:3" x14ac:dyDescent="0.2">
      <c r="A4069" s="1" t="str">
        <f>"002344"</f>
        <v>002344</v>
      </c>
      <c r="B4069" s="1" t="s">
        <v>4608</v>
      </c>
      <c r="C4069" s="1" t="s">
        <v>4931</v>
      </c>
    </row>
    <row r="4070" spans="1:3" x14ac:dyDescent="0.2">
      <c r="A4070" s="1" t="str">
        <f>"002343"</f>
        <v>002343</v>
      </c>
      <c r="B4070" s="1" t="s">
        <v>4609</v>
      </c>
      <c r="C4070" s="1" t="s">
        <v>4941</v>
      </c>
    </row>
    <row r="4071" spans="1:3" x14ac:dyDescent="0.2">
      <c r="A4071" s="1" t="str">
        <f>"002342"</f>
        <v>002342</v>
      </c>
      <c r="B4071" s="1" t="s">
        <v>1206</v>
      </c>
      <c r="C4071" s="1" t="s">
        <v>4851</v>
      </c>
    </row>
    <row r="4072" spans="1:3" x14ac:dyDescent="0.2">
      <c r="A4072" s="1" t="str">
        <f>"002340"</f>
        <v>002340</v>
      </c>
      <c r="B4072" s="1" t="s">
        <v>1544</v>
      </c>
      <c r="C4072" s="1" t="s">
        <v>4841</v>
      </c>
    </row>
    <row r="4073" spans="1:3" x14ac:dyDescent="0.2">
      <c r="A4073" s="1" t="str">
        <f>"002339"</f>
        <v>002339</v>
      </c>
      <c r="B4073" s="1" t="s">
        <v>4610</v>
      </c>
      <c r="C4073" s="1" t="s">
        <v>4866</v>
      </c>
    </row>
    <row r="4074" spans="1:3" x14ac:dyDescent="0.2">
      <c r="A4074" s="1" t="str">
        <f>"002338"</f>
        <v>002338</v>
      </c>
      <c r="B4074" s="1" t="s">
        <v>1320</v>
      </c>
      <c r="C4074" s="1" t="s">
        <v>4846</v>
      </c>
    </row>
    <row r="4075" spans="1:3" x14ac:dyDescent="0.2">
      <c r="A4075" s="1" t="str">
        <f>"002337"</f>
        <v>002337</v>
      </c>
      <c r="B4075" s="1" t="s">
        <v>1075</v>
      </c>
      <c r="C4075" s="1" t="s">
        <v>4845</v>
      </c>
    </row>
    <row r="4076" spans="1:3" x14ac:dyDescent="0.2">
      <c r="A4076" s="1" t="str">
        <f>"002335"</f>
        <v>002335</v>
      </c>
      <c r="B4076" s="1" t="s">
        <v>1378</v>
      </c>
      <c r="C4076" s="1" t="s">
        <v>4859</v>
      </c>
    </row>
    <row r="4077" spans="1:3" x14ac:dyDescent="0.2">
      <c r="A4077" s="1" t="str">
        <f>"002334"</f>
        <v>002334</v>
      </c>
      <c r="B4077" s="1" t="s">
        <v>985</v>
      </c>
      <c r="C4077" s="1" t="s">
        <v>4849</v>
      </c>
    </row>
    <row r="4078" spans="1:3" x14ac:dyDescent="0.2">
      <c r="A4078" s="1" t="str">
        <f>"002333"</f>
        <v>002333</v>
      </c>
      <c r="B4078" s="1" t="s">
        <v>2584</v>
      </c>
      <c r="C4078" s="1" t="s">
        <v>4886</v>
      </c>
    </row>
    <row r="4079" spans="1:3" x14ac:dyDescent="0.2">
      <c r="A4079" s="1" t="str">
        <f>"002332"</f>
        <v>002332</v>
      </c>
      <c r="B4079" s="1" t="s">
        <v>1857</v>
      </c>
      <c r="C4079" s="1" t="s">
        <v>4843</v>
      </c>
    </row>
    <row r="4080" spans="1:3" x14ac:dyDescent="0.2">
      <c r="A4080" s="1" t="str">
        <f>"002331"</f>
        <v>002331</v>
      </c>
      <c r="B4080" s="1" t="s">
        <v>4611</v>
      </c>
      <c r="C4080" s="1" t="s">
        <v>4847</v>
      </c>
    </row>
    <row r="4081" spans="1:3" x14ac:dyDescent="0.2">
      <c r="A4081" s="1" t="str">
        <f>"002330"</f>
        <v>002330</v>
      </c>
      <c r="B4081" s="1" t="s">
        <v>2421</v>
      </c>
      <c r="C4081" s="1" t="s">
        <v>4891</v>
      </c>
    </row>
    <row r="4082" spans="1:3" x14ac:dyDescent="0.2">
      <c r="A4082" s="1" t="str">
        <f>"002329"</f>
        <v>002329</v>
      </c>
      <c r="B4082" s="1" t="s">
        <v>2471</v>
      </c>
      <c r="C4082" s="1" t="s">
        <v>4893</v>
      </c>
    </row>
    <row r="4083" spans="1:3" x14ac:dyDescent="0.2">
      <c r="A4083" s="1" t="str">
        <f>"002328"</f>
        <v>002328</v>
      </c>
      <c r="B4083" s="1" t="s">
        <v>2068</v>
      </c>
      <c r="C4083" s="1" t="s">
        <v>4856</v>
      </c>
    </row>
    <row r="4084" spans="1:3" x14ac:dyDescent="0.2">
      <c r="A4084" s="1" t="str">
        <f>"002327"</f>
        <v>002327</v>
      </c>
      <c r="B4084" s="1" t="s">
        <v>2365</v>
      </c>
      <c r="C4084" s="1" t="s">
        <v>4909</v>
      </c>
    </row>
    <row r="4085" spans="1:3" x14ac:dyDescent="0.2">
      <c r="A4085" s="1" t="str">
        <f>"002326"</f>
        <v>002326</v>
      </c>
      <c r="B4085" s="1" t="s">
        <v>2957</v>
      </c>
      <c r="C4085" s="1" t="s">
        <v>4865</v>
      </c>
    </row>
    <row r="4086" spans="1:3" x14ac:dyDescent="0.2">
      <c r="A4086" s="1" t="str">
        <f>"002324"</f>
        <v>002324</v>
      </c>
      <c r="B4086" s="1" t="s">
        <v>2872</v>
      </c>
      <c r="C4086" s="1" t="s">
        <v>4860</v>
      </c>
    </row>
    <row r="4087" spans="1:3" x14ac:dyDescent="0.2">
      <c r="A4087" s="1" t="str">
        <f>"002322"</f>
        <v>002322</v>
      </c>
      <c r="B4087" s="1" t="s">
        <v>600</v>
      </c>
      <c r="C4087" s="1" t="s">
        <v>4847</v>
      </c>
    </row>
    <row r="4088" spans="1:3" x14ac:dyDescent="0.2">
      <c r="A4088" s="1" t="str">
        <f>"002321"</f>
        <v>002321</v>
      </c>
      <c r="B4088" s="1" t="s">
        <v>4612</v>
      </c>
      <c r="C4088" s="1" t="s">
        <v>4900</v>
      </c>
    </row>
    <row r="4089" spans="1:3" x14ac:dyDescent="0.2">
      <c r="A4089" s="1" t="str">
        <f>"002320"</f>
        <v>002320</v>
      </c>
      <c r="B4089" s="1" t="s">
        <v>212</v>
      </c>
      <c r="C4089" s="1" t="s">
        <v>4933</v>
      </c>
    </row>
    <row r="4090" spans="1:3" x14ac:dyDescent="0.2">
      <c r="A4090" s="1" t="str">
        <f>"002319"</f>
        <v>002319</v>
      </c>
      <c r="B4090" s="1" t="s">
        <v>4613</v>
      </c>
      <c r="C4090" s="1" t="s">
        <v>4865</v>
      </c>
    </row>
    <row r="4091" spans="1:3" x14ac:dyDescent="0.2">
      <c r="A4091" s="1" t="str">
        <f>"002318"</f>
        <v>002318</v>
      </c>
      <c r="B4091" s="1" t="s">
        <v>2741</v>
      </c>
      <c r="C4091" s="1" t="s">
        <v>4918</v>
      </c>
    </row>
    <row r="4092" spans="1:3" x14ac:dyDescent="0.2">
      <c r="A4092" s="1" t="str">
        <f>"002317"</f>
        <v>002317</v>
      </c>
      <c r="B4092" s="1" t="s">
        <v>1629</v>
      </c>
      <c r="C4092" s="1" t="s">
        <v>4917</v>
      </c>
    </row>
    <row r="4093" spans="1:3" x14ac:dyDescent="0.2">
      <c r="A4093" s="1" t="str">
        <f>"002315"</f>
        <v>002315</v>
      </c>
      <c r="B4093" s="1" t="s">
        <v>2100</v>
      </c>
      <c r="C4093" s="1" t="s">
        <v>4910</v>
      </c>
    </row>
    <row r="4094" spans="1:3" x14ac:dyDescent="0.2">
      <c r="A4094" s="1" t="str">
        <f>"002314"</f>
        <v>002314</v>
      </c>
      <c r="B4094" s="1" t="s">
        <v>4614</v>
      </c>
      <c r="C4094" s="1" t="s">
        <v>4957</v>
      </c>
    </row>
    <row r="4095" spans="1:3" x14ac:dyDescent="0.2">
      <c r="A4095" s="1" t="str">
        <f>"002313"</f>
        <v>002313</v>
      </c>
      <c r="B4095" s="1" t="s">
        <v>4615</v>
      </c>
      <c r="C4095" s="1" t="s">
        <v>4869</v>
      </c>
    </row>
    <row r="4096" spans="1:3" x14ac:dyDescent="0.2">
      <c r="A4096" s="1" t="str">
        <f>"002312"</f>
        <v>002312</v>
      </c>
      <c r="B4096" s="1" t="s">
        <v>2793</v>
      </c>
      <c r="C4096" s="1" t="s">
        <v>4915</v>
      </c>
    </row>
    <row r="4097" spans="1:3" x14ac:dyDescent="0.2">
      <c r="A4097" s="1" t="str">
        <f>"002311"</f>
        <v>002311</v>
      </c>
      <c r="B4097" s="1" t="s">
        <v>2538</v>
      </c>
      <c r="C4097" s="1" t="s">
        <v>4885</v>
      </c>
    </row>
    <row r="4098" spans="1:3" x14ac:dyDescent="0.2">
      <c r="A4098" s="1" t="str">
        <f>"002309"</f>
        <v>002309</v>
      </c>
      <c r="B4098" s="1" t="s">
        <v>4616</v>
      </c>
      <c r="C4098" s="1" t="s">
        <v>4857</v>
      </c>
    </row>
    <row r="4099" spans="1:3" x14ac:dyDescent="0.2">
      <c r="A4099" s="1" t="str">
        <f>"002307"</f>
        <v>002307</v>
      </c>
      <c r="B4099" s="1" t="s">
        <v>4617</v>
      </c>
      <c r="C4099" s="1" t="s">
        <v>4898</v>
      </c>
    </row>
    <row r="4100" spans="1:3" x14ac:dyDescent="0.2">
      <c r="A4100" s="1" t="str">
        <f>"002304"</f>
        <v>002304</v>
      </c>
      <c r="B4100" s="1" t="s">
        <v>2492</v>
      </c>
      <c r="C4100" s="1" t="s">
        <v>4921</v>
      </c>
    </row>
    <row r="4101" spans="1:3" x14ac:dyDescent="0.2">
      <c r="A4101" s="1" t="str">
        <f>"002303"</f>
        <v>002303</v>
      </c>
      <c r="B4101" s="1" t="s">
        <v>2270</v>
      </c>
      <c r="C4101" s="1" t="s">
        <v>4930</v>
      </c>
    </row>
    <row r="4102" spans="1:3" x14ac:dyDescent="0.2">
      <c r="A4102" s="1" t="str">
        <f>"002302"</f>
        <v>002302</v>
      </c>
      <c r="B4102" s="1" t="s">
        <v>4618</v>
      </c>
      <c r="C4102" s="1" t="s">
        <v>4911</v>
      </c>
    </row>
    <row r="4103" spans="1:3" x14ac:dyDescent="0.2">
      <c r="A4103" s="1" t="str">
        <f>"002301"</f>
        <v>002301</v>
      </c>
      <c r="B4103" s="1" t="s">
        <v>2207</v>
      </c>
      <c r="C4103" s="1" t="s">
        <v>4899</v>
      </c>
    </row>
    <row r="4104" spans="1:3" x14ac:dyDescent="0.2">
      <c r="A4104" s="1" t="str">
        <f>"002300"</f>
        <v>002300</v>
      </c>
      <c r="B4104" s="1" t="s">
        <v>1450</v>
      </c>
      <c r="C4104" s="1" t="s">
        <v>4866</v>
      </c>
    </row>
    <row r="4105" spans="1:3" x14ac:dyDescent="0.2">
      <c r="A4105" s="1" t="str">
        <f>"002299"</f>
        <v>002299</v>
      </c>
      <c r="B4105" s="1" t="s">
        <v>2555</v>
      </c>
      <c r="C4105" s="1" t="s">
        <v>4900</v>
      </c>
    </row>
    <row r="4106" spans="1:3" x14ac:dyDescent="0.2">
      <c r="A4106" s="1" t="str">
        <f>"002298"</f>
        <v>002298</v>
      </c>
      <c r="B4106" s="1" t="s">
        <v>1494</v>
      </c>
      <c r="C4106" s="1" t="s">
        <v>4866</v>
      </c>
    </row>
    <row r="4107" spans="1:3" x14ac:dyDescent="0.2">
      <c r="A4107" s="1" t="str">
        <f>"002297"</f>
        <v>002297</v>
      </c>
      <c r="B4107" s="1" t="s">
        <v>1354</v>
      </c>
      <c r="C4107" s="1" t="s">
        <v>4862</v>
      </c>
    </row>
    <row r="4108" spans="1:3" x14ac:dyDescent="0.2">
      <c r="A4108" s="1" t="str">
        <f>"002296"</f>
        <v>002296</v>
      </c>
      <c r="B4108" s="1" t="s">
        <v>664</v>
      </c>
      <c r="C4108" s="1" t="s">
        <v>4869</v>
      </c>
    </row>
    <row r="4109" spans="1:3" x14ac:dyDescent="0.2">
      <c r="A4109" s="1" t="str">
        <f>"002295"</f>
        <v>002295</v>
      </c>
      <c r="B4109" s="1" t="s">
        <v>2730</v>
      </c>
      <c r="C4109" s="1" t="s">
        <v>4879</v>
      </c>
    </row>
    <row r="4110" spans="1:3" x14ac:dyDescent="0.2">
      <c r="A4110" s="1" t="str">
        <f>"002294"</f>
        <v>002294</v>
      </c>
      <c r="B4110" s="1" t="s">
        <v>1858</v>
      </c>
      <c r="C4110" s="1" t="s">
        <v>4843</v>
      </c>
    </row>
    <row r="4111" spans="1:3" x14ac:dyDescent="0.2">
      <c r="A4111" s="1" t="str">
        <f>"002293"</f>
        <v>002293</v>
      </c>
      <c r="B4111" s="1" t="s">
        <v>2366</v>
      </c>
      <c r="C4111" s="1" t="s">
        <v>4909</v>
      </c>
    </row>
    <row r="4112" spans="1:3" x14ac:dyDescent="0.2">
      <c r="A4112" s="1" t="str">
        <f>"002292"</f>
        <v>002292</v>
      </c>
      <c r="B4112" s="1" t="s">
        <v>478</v>
      </c>
      <c r="C4112" s="1" t="s">
        <v>4941</v>
      </c>
    </row>
    <row r="4113" spans="1:3" x14ac:dyDescent="0.2">
      <c r="A4113" s="1" t="str">
        <f>"002291"</f>
        <v>002291</v>
      </c>
      <c r="B4113" s="1" t="s">
        <v>4619</v>
      </c>
      <c r="C4113" s="1" t="s">
        <v>4907</v>
      </c>
    </row>
    <row r="4114" spans="1:3" x14ac:dyDescent="0.2">
      <c r="A4114" s="1" t="str">
        <f>"002290"</f>
        <v>002290</v>
      </c>
      <c r="B4114" s="1" t="s">
        <v>2149</v>
      </c>
      <c r="C4114" s="1" t="s">
        <v>4929</v>
      </c>
    </row>
    <row r="4115" spans="1:3" x14ac:dyDescent="0.2">
      <c r="A4115" s="1" t="str">
        <f>"002287"</f>
        <v>002287</v>
      </c>
      <c r="B4115" s="1" t="s">
        <v>1630</v>
      </c>
      <c r="C4115" s="1" t="s">
        <v>4917</v>
      </c>
    </row>
    <row r="4116" spans="1:3" x14ac:dyDescent="0.2">
      <c r="A4116" s="1" t="str">
        <f>"002286"</f>
        <v>002286</v>
      </c>
      <c r="B4116" s="1" t="s">
        <v>2413</v>
      </c>
      <c r="C4116" s="1" t="s">
        <v>4891</v>
      </c>
    </row>
    <row r="4117" spans="1:3" x14ac:dyDescent="0.2">
      <c r="A4117" s="1" t="str">
        <f>"002285"</f>
        <v>002285</v>
      </c>
      <c r="B4117" s="1" t="s">
        <v>4620</v>
      </c>
      <c r="C4117" s="1" t="s">
        <v>4934</v>
      </c>
    </row>
    <row r="4118" spans="1:3" x14ac:dyDescent="0.2">
      <c r="A4118" s="1" t="str">
        <f>"002284"</f>
        <v>002284</v>
      </c>
      <c r="B4118" s="1" t="s">
        <v>2028</v>
      </c>
      <c r="C4118" s="1" t="s">
        <v>4856</v>
      </c>
    </row>
    <row r="4119" spans="1:3" x14ac:dyDescent="0.2">
      <c r="A4119" s="1" t="str">
        <f>"002283"</f>
        <v>002283</v>
      </c>
      <c r="B4119" s="1" t="s">
        <v>2029</v>
      </c>
      <c r="C4119" s="1" t="s">
        <v>4856</v>
      </c>
    </row>
    <row r="4120" spans="1:3" x14ac:dyDescent="0.2">
      <c r="A4120" s="1" t="str">
        <f>"002282"</f>
        <v>002282</v>
      </c>
      <c r="B4120" s="1" t="s">
        <v>1172</v>
      </c>
      <c r="C4120" s="1" t="s">
        <v>4851</v>
      </c>
    </row>
    <row r="4121" spans="1:3" x14ac:dyDescent="0.2">
      <c r="A4121" s="1" t="str">
        <f>"002281"</f>
        <v>002281</v>
      </c>
      <c r="B4121" s="1" t="s">
        <v>692</v>
      </c>
      <c r="C4121" s="1" t="s">
        <v>4869</v>
      </c>
    </row>
    <row r="4122" spans="1:3" x14ac:dyDescent="0.2">
      <c r="A4122" s="1" t="str">
        <f>"002278"</f>
        <v>002278</v>
      </c>
      <c r="B4122" s="1" t="s">
        <v>1136</v>
      </c>
      <c r="C4122" s="1" t="s">
        <v>4845</v>
      </c>
    </row>
    <row r="4123" spans="1:3" x14ac:dyDescent="0.2">
      <c r="A4123" s="1" t="str">
        <f>"002277"</f>
        <v>002277</v>
      </c>
      <c r="B4123" s="1" t="s">
        <v>4621</v>
      </c>
      <c r="C4123" s="1" t="s">
        <v>4905</v>
      </c>
    </row>
    <row r="4124" spans="1:3" x14ac:dyDescent="0.2">
      <c r="A4124" s="1" t="str">
        <f>"002276"</f>
        <v>002276</v>
      </c>
      <c r="B4124" s="1" t="s">
        <v>1451</v>
      </c>
      <c r="C4124" s="1" t="s">
        <v>4866</v>
      </c>
    </row>
    <row r="4125" spans="1:3" x14ac:dyDescent="0.2">
      <c r="A4125" s="1" t="str">
        <f>"002275"</f>
        <v>002275</v>
      </c>
      <c r="B4125" s="1" t="s">
        <v>1631</v>
      </c>
      <c r="C4125" s="1" t="s">
        <v>4917</v>
      </c>
    </row>
    <row r="4126" spans="1:3" x14ac:dyDescent="0.2">
      <c r="A4126" s="1" t="str">
        <f>"002274"</f>
        <v>002274</v>
      </c>
      <c r="B4126" s="1" t="s">
        <v>2782</v>
      </c>
      <c r="C4126" s="1" t="s">
        <v>4915</v>
      </c>
    </row>
    <row r="4127" spans="1:3" x14ac:dyDescent="0.2">
      <c r="A4127" s="1" t="str">
        <f>"002273"</f>
        <v>002273</v>
      </c>
      <c r="B4127" s="1" t="s">
        <v>822</v>
      </c>
      <c r="C4127" s="1" t="s">
        <v>4878</v>
      </c>
    </row>
    <row r="4128" spans="1:3" x14ac:dyDescent="0.2">
      <c r="A4128" s="1" t="str">
        <f>"002272"</f>
        <v>002272</v>
      </c>
      <c r="B4128" s="1" t="s">
        <v>4622</v>
      </c>
      <c r="C4128" s="1" t="s">
        <v>4851</v>
      </c>
    </row>
    <row r="4129" spans="1:3" x14ac:dyDescent="0.2">
      <c r="A4129" s="1" t="str">
        <f>"002271"</f>
        <v>002271</v>
      </c>
      <c r="B4129" s="1" t="s">
        <v>2592</v>
      </c>
      <c r="C4129" s="1" t="s">
        <v>4886</v>
      </c>
    </row>
    <row r="4130" spans="1:3" x14ac:dyDescent="0.2">
      <c r="A4130" s="1" t="str">
        <f>"002270"</f>
        <v>002270</v>
      </c>
      <c r="B4130" s="1" t="s">
        <v>1495</v>
      </c>
      <c r="C4130" s="1" t="s">
        <v>4866</v>
      </c>
    </row>
    <row r="4131" spans="1:3" x14ac:dyDescent="0.2">
      <c r="A4131" s="1" t="str">
        <f>"002269"</f>
        <v>002269</v>
      </c>
      <c r="B4131" s="1" t="s">
        <v>2345</v>
      </c>
      <c r="C4131" s="1" t="s">
        <v>4909</v>
      </c>
    </row>
    <row r="4132" spans="1:3" x14ac:dyDescent="0.2">
      <c r="A4132" s="1" t="str">
        <f>"002267"</f>
        <v>002267</v>
      </c>
      <c r="B4132" s="1" t="s">
        <v>112</v>
      </c>
      <c r="C4132" s="1" t="s">
        <v>4895</v>
      </c>
    </row>
    <row r="4133" spans="1:3" x14ac:dyDescent="0.2">
      <c r="A4133" s="1" t="str">
        <f>"002266"</f>
        <v>002266</v>
      </c>
      <c r="B4133" s="1" t="s">
        <v>35</v>
      </c>
      <c r="C4133" s="1" t="s">
        <v>4863</v>
      </c>
    </row>
    <row r="4134" spans="1:3" x14ac:dyDescent="0.2">
      <c r="A4134" s="1" t="str">
        <f>"002265"</f>
        <v>002265</v>
      </c>
      <c r="B4134" s="1" t="s">
        <v>1362</v>
      </c>
      <c r="C4134" s="1" t="s">
        <v>4876</v>
      </c>
    </row>
    <row r="4135" spans="1:3" x14ac:dyDescent="0.2">
      <c r="A4135" s="1" t="str">
        <f>"002264"</f>
        <v>002264</v>
      </c>
      <c r="B4135" s="1" t="s">
        <v>2094</v>
      </c>
      <c r="C4135" s="1" t="s">
        <v>4910</v>
      </c>
    </row>
    <row r="4136" spans="1:3" x14ac:dyDescent="0.2">
      <c r="A4136" s="1" t="str">
        <f>"002263"</f>
        <v>002263</v>
      </c>
      <c r="B4136" s="1" t="s">
        <v>2878</v>
      </c>
      <c r="C4136" s="1" t="s">
        <v>4860</v>
      </c>
    </row>
    <row r="4137" spans="1:3" x14ac:dyDescent="0.2">
      <c r="A4137" s="1" t="str">
        <f>"002262"</f>
        <v>002262</v>
      </c>
      <c r="B4137" s="1" t="s">
        <v>1859</v>
      </c>
      <c r="C4137" s="1" t="s">
        <v>4843</v>
      </c>
    </row>
    <row r="4138" spans="1:3" x14ac:dyDescent="0.2">
      <c r="A4138" s="1" t="str">
        <f>"002261"</f>
        <v>002261</v>
      </c>
      <c r="B4138" s="1" t="s">
        <v>532</v>
      </c>
      <c r="C4138" s="1" t="s">
        <v>4874</v>
      </c>
    </row>
    <row r="4139" spans="1:3" x14ac:dyDescent="0.2">
      <c r="A4139" s="1" t="str">
        <f>"002259"</f>
        <v>002259</v>
      </c>
      <c r="B4139" s="1" t="s">
        <v>113</v>
      </c>
      <c r="C4139" s="1" t="s">
        <v>4895</v>
      </c>
    </row>
    <row r="4140" spans="1:3" x14ac:dyDescent="0.2">
      <c r="A4140" s="1" t="str">
        <f>"002258"</f>
        <v>002258</v>
      </c>
      <c r="B4140" s="1" t="s">
        <v>2816</v>
      </c>
      <c r="C4140" s="1" t="s">
        <v>4915</v>
      </c>
    </row>
    <row r="4141" spans="1:3" x14ac:dyDescent="0.2">
      <c r="A4141" s="1" t="str">
        <f>"002256"</f>
        <v>002256</v>
      </c>
      <c r="B4141" s="1" t="s">
        <v>129</v>
      </c>
      <c r="C4141" s="1" t="s">
        <v>4889</v>
      </c>
    </row>
    <row r="4142" spans="1:3" x14ac:dyDescent="0.2">
      <c r="A4142" s="1" t="str">
        <f>"002255"</f>
        <v>002255</v>
      </c>
      <c r="B4142" s="1" t="s">
        <v>1379</v>
      </c>
      <c r="C4142" s="1" t="s">
        <v>4859</v>
      </c>
    </row>
    <row r="4143" spans="1:3" x14ac:dyDescent="0.2">
      <c r="A4143" s="1" t="str">
        <f>"002254"</f>
        <v>002254</v>
      </c>
      <c r="B4143" s="1" t="s">
        <v>3050</v>
      </c>
      <c r="C4143" s="1" t="s">
        <v>4858</v>
      </c>
    </row>
    <row r="4144" spans="1:3" x14ac:dyDescent="0.2">
      <c r="A4144" s="1" t="str">
        <f>"002252"</f>
        <v>002252</v>
      </c>
      <c r="B4144" s="1" t="s">
        <v>1776</v>
      </c>
      <c r="C4144" s="1" t="s">
        <v>4852</v>
      </c>
    </row>
    <row r="4145" spans="1:3" x14ac:dyDescent="0.2">
      <c r="A4145" s="1" t="str">
        <f>"002251"</f>
        <v>002251</v>
      </c>
      <c r="B4145" s="1" t="s">
        <v>4623</v>
      </c>
      <c r="C4145" s="1" t="s">
        <v>4905</v>
      </c>
    </row>
    <row r="4146" spans="1:3" x14ac:dyDescent="0.2">
      <c r="A4146" s="1" t="str">
        <f>"002250"</f>
        <v>002250</v>
      </c>
      <c r="B4146" s="1" t="s">
        <v>2817</v>
      </c>
      <c r="C4146" s="1" t="s">
        <v>4915</v>
      </c>
    </row>
    <row r="4147" spans="1:3" x14ac:dyDescent="0.2">
      <c r="A4147" s="1" t="str">
        <f>"002249"</f>
        <v>002249</v>
      </c>
      <c r="B4147" s="1" t="s">
        <v>1582</v>
      </c>
      <c r="C4147" s="1" t="s">
        <v>4919</v>
      </c>
    </row>
    <row r="4148" spans="1:3" x14ac:dyDescent="0.2">
      <c r="A4148" s="1" t="str">
        <f>"002248"</f>
        <v>002248</v>
      </c>
      <c r="B4148" s="1" t="s">
        <v>1262</v>
      </c>
      <c r="C4148" s="1" t="s">
        <v>4851</v>
      </c>
    </row>
    <row r="4149" spans="1:3" x14ac:dyDescent="0.2">
      <c r="A4149" s="1" t="str">
        <f>"002247"</f>
        <v>002247</v>
      </c>
      <c r="B4149" s="1" t="s">
        <v>2585</v>
      </c>
      <c r="C4149" s="1" t="s">
        <v>4886</v>
      </c>
    </row>
    <row r="4150" spans="1:3" x14ac:dyDescent="0.2">
      <c r="A4150" s="1" t="str">
        <f>"002246"</f>
        <v>002246</v>
      </c>
      <c r="B4150" s="1" t="s">
        <v>2977</v>
      </c>
      <c r="C4150" s="1" t="s">
        <v>4865</v>
      </c>
    </row>
    <row r="4151" spans="1:3" x14ac:dyDescent="0.2">
      <c r="A4151" s="1" t="str">
        <f>"002245"</f>
        <v>002245</v>
      </c>
      <c r="B4151" s="1" t="s">
        <v>1558</v>
      </c>
      <c r="C4151" s="1" t="s">
        <v>4841</v>
      </c>
    </row>
    <row r="4152" spans="1:3" x14ac:dyDescent="0.2">
      <c r="A4152" s="1" t="str">
        <f>"002244"</f>
        <v>002244</v>
      </c>
      <c r="B4152" s="1" t="s">
        <v>4624</v>
      </c>
      <c r="C4152" s="1" t="s">
        <v>4957</v>
      </c>
    </row>
    <row r="4153" spans="1:3" x14ac:dyDescent="0.2">
      <c r="A4153" s="1" t="str">
        <f>"002243"</f>
        <v>002243</v>
      </c>
      <c r="B4153" s="1" t="s">
        <v>4625</v>
      </c>
      <c r="C4153" s="1" t="s">
        <v>4930</v>
      </c>
    </row>
    <row r="4154" spans="1:3" x14ac:dyDescent="0.2">
      <c r="A4154" s="1" t="str">
        <f>"002242"</f>
        <v>002242</v>
      </c>
      <c r="B4154" s="1" t="s">
        <v>2175</v>
      </c>
      <c r="C4154" s="1" t="s">
        <v>4844</v>
      </c>
    </row>
    <row r="4155" spans="1:3" x14ac:dyDescent="0.2">
      <c r="A4155" s="1" t="str">
        <f>"002241"</f>
        <v>002241</v>
      </c>
      <c r="B4155" s="1" t="s">
        <v>900</v>
      </c>
      <c r="C4155" s="1" t="s">
        <v>4850</v>
      </c>
    </row>
    <row r="4156" spans="1:3" x14ac:dyDescent="0.2">
      <c r="A4156" s="1" t="str">
        <f>"002240"</f>
        <v>002240</v>
      </c>
      <c r="B4156" s="1" t="s">
        <v>4626</v>
      </c>
      <c r="C4156" s="1" t="s">
        <v>4894</v>
      </c>
    </row>
    <row r="4157" spans="1:3" x14ac:dyDescent="0.2">
      <c r="A4157" s="1" t="str">
        <f>"002239"</f>
        <v>002239</v>
      </c>
      <c r="B4157" s="1" t="s">
        <v>1911</v>
      </c>
      <c r="C4157" s="1" t="s">
        <v>4856</v>
      </c>
    </row>
    <row r="4158" spans="1:3" x14ac:dyDescent="0.2">
      <c r="A4158" s="1" t="str">
        <f>"002238"</f>
        <v>002238</v>
      </c>
      <c r="B4158" s="1" t="s">
        <v>4627</v>
      </c>
      <c r="C4158" s="1" t="s">
        <v>4950</v>
      </c>
    </row>
    <row r="4159" spans="1:3" x14ac:dyDescent="0.2">
      <c r="A4159" s="1" t="str">
        <f>"002237"</f>
        <v>002237</v>
      </c>
      <c r="B4159" s="1" t="s">
        <v>2679</v>
      </c>
      <c r="C4159" s="1" t="s">
        <v>4958</v>
      </c>
    </row>
    <row r="4160" spans="1:3" x14ac:dyDescent="0.2">
      <c r="A4160" s="1" t="str">
        <f>"002236"</f>
        <v>002236</v>
      </c>
      <c r="B4160" s="1" t="s">
        <v>636</v>
      </c>
      <c r="C4160" s="1" t="s">
        <v>4873</v>
      </c>
    </row>
    <row r="4161" spans="1:3" x14ac:dyDescent="0.2">
      <c r="A4161" s="1" t="str">
        <f>"002235"</f>
        <v>002235</v>
      </c>
      <c r="B4161" s="1" t="s">
        <v>2297</v>
      </c>
      <c r="C4161" s="1" t="s">
        <v>4892</v>
      </c>
    </row>
    <row r="4162" spans="1:3" x14ac:dyDescent="0.2">
      <c r="A4162" s="1" t="str">
        <f>"002234"</f>
        <v>002234</v>
      </c>
      <c r="B4162" s="1" t="s">
        <v>4628</v>
      </c>
      <c r="C4162" s="1" t="s">
        <v>4900</v>
      </c>
    </row>
    <row r="4163" spans="1:3" x14ac:dyDescent="0.2">
      <c r="A4163" s="1" t="str">
        <f>"002233"</f>
        <v>002233</v>
      </c>
      <c r="B4163" s="1" t="s">
        <v>4629</v>
      </c>
      <c r="C4163" s="1" t="s">
        <v>4911</v>
      </c>
    </row>
    <row r="4164" spans="1:3" x14ac:dyDescent="0.2">
      <c r="A4164" s="1" t="str">
        <f>"002232"</f>
        <v>002232</v>
      </c>
      <c r="B4164" s="1" t="s">
        <v>4630</v>
      </c>
      <c r="C4164" s="1" t="s">
        <v>4847</v>
      </c>
    </row>
    <row r="4165" spans="1:3" x14ac:dyDescent="0.2">
      <c r="A4165" s="1" t="str">
        <f>"002230"</f>
        <v>002230</v>
      </c>
      <c r="B4165" s="1" t="s">
        <v>4631</v>
      </c>
      <c r="C4165" s="1" t="s">
        <v>4847</v>
      </c>
    </row>
    <row r="4166" spans="1:3" x14ac:dyDescent="0.2">
      <c r="A4166" s="1" t="str">
        <f>"002229"</f>
        <v>002229</v>
      </c>
      <c r="B4166" s="1" t="s">
        <v>2284</v>
      </c>
      <c r="C4166" s="1" t="s">
        <v>4930</v>
      </c>
    </row>
    <row r="4167" spans="1:3" x14ac:dyDescent="0.2">
      <c r="A4167" s="1" t="str">
        <f>"002228"</f>
        <v>002228</v>
      </c>
      <c r="B4167" s="1" t="s">
        <v>2271</v>
      </c>
      <c r="C4167" s="1" t="s">
        <v>4930</v>
      </c>
    </row>
    <row r="4168" spans="1:3" x14ac:dyDescent="0.2">
      <c r="A4168" s="1" t="str">
        <f>"002226"</f>
        <v>002226</v>
      </c>
      <c r="B4168" s="1" t="s">
        <v>2978</v>
      </c>
      <c r="C4168" s="1" t="s">
        <v>4865</v>
      </c>
    </row>
    <row r="4169" spans="1:3" x14ac:dyDescent="0.2">
      <c r="A4169" s="1" t="str">
        <f>"002225"</f>
        <v>002225</v>
      </c>
      <c r="B4169" s="1" t="s">
        <v>2594</v>
      </c>
      <c r="C4169" s="1" t="s">
        <v>4886</v>
      </c>
    </row>
    <row r="4170" spans="1:3" x14ac:dyDescent="0.2">
      <c r="A4170" s="1" t="str">
        <f>"002224"</f>
        <v>002224</v>
      </c>
      <c r="B4170" s="1" t="s">
        <v>2829</v>
      </c>
      <c r="C4170" s="1" t="s">
        <v>4906</v>
      </c>
    </row>
    <row r="4171" spans="1:3" x14ac:dyDescent="0.2">
      <c r="A4171" s="1" t="str">
        <f>"002223"</f>
        <v>002223</v>
      </c>
      <c r="B4171" s="1" t="s">
        <v>1742</v>
      </c>
      <c r="C4171" s="1" t="s">
        <v>4867</v>
      </c>
    </row>
    <row r="4172" spans="1:3" x14ac:dyDescent="0.2">
      <c r="A4172" s="1" t="str">
        <f>"002222"</f>
        <v>002222</v>
      </c>
      <c r="B4172" s="1" t="s">
        <v>823</v>
      </c>
      <c r="C4172" s="1" t="s">
        <v>4878</v>
      </c>
    </row>
    <row r="4173" spans="1:3" x14ac:dyDescent="0.2">
      <c r="A4173" s="1" t="str">
        <f>"002221"</f>
        <v>002221</v>
      </c>
      <c r="B4173" s="1" t="s">
        <v>3085</v>
      </c>
      <c r="C4173" s="1" t="s">
        <v>4925</v>
      </c>
    </row>
    <row r="4174" spans="1:3" x14ac:dyDescent="0.2">
      <c r="A4174" s="1" t="str">
        <f>"002219"</f>
        <v>002219</v>
      </c>
      <c r="B4174" s="1" t="s">
        <v>1675</v>
      </c>
      <c r="C4174" s="1" t="s">
        <v>4861</v>
      </c>
    </row>
    <row r="4175" spans="1:3" x14ac:dyDescent="0.2">
      <c r="A4175" s="1" t="str">
        <f>"002218"</f>
        <v>002218</v>
      </c>
      <c r="B4175" s="1" t="s">
        <v>4632</v>
      </c>
      <c r="C4175" s="1" t="s">
        <v>4889</v>
      </c>
    </row>
    <row r="4176" spans="1:3" x14ac:dyDescent="0.2">
      <c r="A4176" s="1" t="str">
        <f>"002217"</f>
        <v>002217</v>
      </c>
      <c r="B4176" s="1" t="s">
        <v>4633</v>
      </c>
      <c r="C4176" s="1" t="s">
        <v>4850</v>
      </c>
    </row>
    <row r="4177" spans="1:3" x14ac:dyDescent="0.2">
      <c r="A4177" s="1" t="str">
        <f>"002216"</f>
        <v>002216</v>
      </c>
      <c r="B4177" s="1" t="s">
        <v>2407</v>
      </c>
      <c r="C4177" s="1" t="s">
        <v>4891</v>
      </c>
    </row>
    <row r="4178" spans="1:3" x14ac:dyDescent="0.2">
      <c r="A4178" s="1" t="str">
        <f>"002215"</f>
        <v>002215</v>
      </c>
      <c r="B4178" s="1" t="s">
        <v>2818</v>
      </c>
      <c r="C4178" s="1" t="s">
        <v>4915</v>
      </c>
    </row>
    <row r="4179" spans="1:3" x14ac:dyDescent="0.2">
      <c r="A4179" s="1" t="str">
        <f>"002213"</f>
        <v>002213</v>
      </c>
      <c r="B4179" s="1" t="s">
        <v>4634</v>
      </c>
      <c r="C4179" s="1" t="s">
        <v>4840</v>
      </c>
    </row>
    <row r="4180" spans="1:3" x14ac:dyDescent="0.2">
      <c r="A4180" s="1" t="str">
        <f>"002212"</f>
        <v>002212</v>
      </c>
      <c r="B4180" s="1" t="s">
        <v>4635</v>
      </c>
      <c r="C4180" s="1" t="s">
        <v>4847</v>
      </c>
    </row>
    <row r="4181" spans="1:3" x14ac:dyDescent="0.2">
      <c r="A4181" s="1" t="str">
        <f>"002210"</f>
        <v>002210</v>
      </c>
      <c r="B4181" s="1" t="s">
        <v>4636</v>
      </c>
      <c r="C4181" s="1" t="s">
        <v>4863</v>
      </c>
    </row>
    <row r="4182" spans="1:3" x14ac:dyDescent="0.2">
      <c r="A4182" s="1" t="str">
        <f>"002209"</f>
        <v>002209</v>
      </c>
      <c r="B4182" s="1" t="s">
        <v>1104</v>
      </c>
      <c r="C4182" s="1" t="s">
        <v>4845</v>
      </c>
    </row>
    <row r="4183" spans="1:3" x14ac:dyDescent="0.2">
      <c r="A4183" s="1" t="str">
        <f>"002208"</f>
        <v>002208</v>
      </c>
      <c r="B4183" s="1" t="s">
        <v>4637</v>
      </c>
      <c r="C4183" s="1" t="s">
        <v>4957</v>
      </c>
    </row>
    <row r="4184" spans="1:3" x14ac:dyDescent="0.2">
      <c r="A4184" s="1" t="str">
        <f>"002206"</f>
        <v>002206</v>
      </c>
      <c r="B4184" s="1" t="s">
        <v>3060</v>
      </c>
      <c r="C4184" s="1" t="s">
        <v>4858</v>
      </c>
    </row>
    <row r="4185" spans="1:3" x14ac:dyDescent="0.2">
      <c r="A4185" s="1" t="str">
        <f>"002204"</f>
        <v>002204</v>
      </c>
      <c r="B4185" s="1" t="s">
        <v>1137</v>
      </c>
      <c r="C4185" s="1" t="s">
        <v>4845</v>
      </c>
    </row>
    <row r="4186" spans="1:3" x14ac:dyDescent="0.2">
      <c r="A4186" s="1" t="str">
        <f>"002203"</f>
        <v>002203</v>
      </c>
      <c r="B4186" s="1" t="s">
        <v>2731</v>
      </c>
      <c r="C4186" s="1" t="s">
        <v>4879</v>
      </c>
    </row>
    <row r="4187" spans="1:3" x14ac:dyDescent="0.2">
      <c r="A4187" s="1" t="str">
        <f>"002202"</f>
        <v>002202</v>
      </c>
      <c r="B4187" s="1" t="s">
        <v>1400</v>
      </c>
      <c r="C4187" s="1" t="s">
        <v>4870</v>
      </c>
    </row>
    <row r="4188" spans="1:3" x14ac:dyDescent="0.2">
      <c r="A4188" s="1" t="str">
        <f>"002201"</f>
        <v>002201</v>
      </c>
      <c r="B4188" s="1" t="s">
        <v>2609</v>
      </c>
      <c r="C4188" s="1" t="s">
        <v>4916</v>
      </c>
    </row>
    <row r="4189" spans="1:3" x14ac:dyDescent="0.2">
      <c r="A4189" s="1" t="str">
        <f>"002198"</f>
        <v>002198</v>
      </c>
      <c r="B4189" s="1" t="s">
        <v>1632</v>
      </c>
      <c r="C4189" s="1" t="s">
        <v>4917</v>
      </c>
    </row>
    <row r="4190" spans="1:3" x14ac:dyDescent="0.2">
      <c r="A4190" s="1" t="str">
        <f>"002196"</f>
        <v>002196</v>
      </c>
      <c r="B4190" s="1" t="s">
        <v>4638</v>
      </c>
      <c r="C4190" s="1" t="s">
        <v>4919</v>
      </c>
    </row>
    <row r="4191" spans="1:3" x14ac:dyDescent="0.2">
      <c r="A4191" s="1" t="str">
        <f>"002195"</f>
        <v>002195</v>
      </c>
      <c r="B4191" s="1" t="s">
        <v>518</v>
      </c>
      <c r="C4191" s="1" t="s">
        <v>4883</v>
      </c>
    </row>
    <row r="4192" spans="1:3" x14ac:dyDescent="0.2">
      <c r="A4192" s="1" t="str">
        <f>"002194"</f>
        <v>002194</v>
      </c>
      <c r="B4192" s="1" t="s">
        <v>693</v>
      </c>
      <c r="C4192" s="1" t="s">
        <v>4869</v>
      </c>
    </row>
    <row r="4193" spans="1:3" x14ac:dyDescent="0.2">
      <c r="A4193" s="1" t="str">
        <f>"002193"</f>
        <v>002193</v>
      </c>
      <c r="B4193" s="1" t="s">
        <v>4639</v>
      </c>
      <c r="C4193" s="1" t="s">
        <v>4904</v>
      </c>
    </row>
    <row r="4194" spans="1:3" x14ac:dyDescent="0.2">
      <c r="A4194" s="1" t="str">
        <f>"002192"</f>
        <v>002192</v>
      </c>
      <c r="B4194" s="1" t="s">
        <v>2671</v>
      </c>
      <c r="C4194" s="1" t="s">
        <v>4894</v>
      </c>
    </row>
    <row r="4195" spans="1:3" x14ac:dyDescent="0.2">
      <c r="A4195" s="1" t="str">
        <f>"002191"</f>
        <v>002191</v>
      </c>
      <c r="B4195" s="1" t="s">
        <v>2272</v>
      </c>
      <c r="C4195" s="1" t="s">
        <v>4930</v>
      </c>
    </row>
    <row r="4196" spans="1:3" x14ac:dyDescent="0.2">
      <c r="A4196" s="1" t="str">
        <f>"002190"</f>
        <v>002190</v>
      </c>
      <c r="B4196" s="1" t="s">
        <v>1944</v>
      </c>
      <c r="C4196" s="1" t="s">
        <v>4856</v>
      </c>
    </row>
    <row r="4197" spans="1:3" x14ac:dyDescent="0.2">
      <c r="A4197" s="1" t="str">
        <f>"002189"</f>
        <v>002189</v>
      </c>
      <c r="B4197" s="1" t="s">
        <v>4640</v>
      </c>
      <c r="C4197" s="1" t="s">
        <v>4878</v>
      </c>
    </row>
    <row r="4198" spans="1:3" x14ac:dyDescent="0.2">
      <c r="A4198" s="1" t="str">
        <f>"002188"</f>
        <v>002188</v>
      </c>
      <c r="B4198" s="1" t="s">
        <v>301</v>
      </c>
      <c r="C4198" s="1" t="s">
        <v>4934</v>
      </c>
    </row>
    <row r="4199" spans="1:3" x14ac:dyDescent="0.2">
      <c r="A4199" s="1" t="str">
        <f>"002187"</f>
        <v>002187</v>
      </c>
      <c r="B4199" s="1" t="s">
        <v>4641</v>
      </c>
      <c r="C4199" s="1" t="s">
        <v>4905</v>
      </c>
    </row>
    <row r="4200" spans="1:3" x14ac:dyDescent="0.2">
      <c r="A4200" s="1" t="str">
        <f>"002186"</f>
        <v>002186</v>
      </c>
      <c r="B4200" s="1" t="s">
        <v>292</v>
      </c>
      <c r="C4200" s="1" t="s">
        <v>4912</v>
      </c>
    </row>
    <row r="4201" spans="1:3" x14ac:dyDescent="0.2">
      <c r="A4201" s="1" t="str">
        <f>"002185"</f>
        <v>002185</v>
      </c>
      <c r="B4201" s="1" t="s">
        <v>4642</v>
      </c>
      <c r="C4201" s="1" t="s">
        <v>4840</v>
      </c>
    </row>
    <row r="4202" spans="1:3" x14ac:dyDescent="0.2">
      <c r="A4202" s="1" t="str">
        <f>"002184"</f>
        <v>002184</v>
      </c>
      <c r="B4202" s="1" t="s">
        <v>4643</v>
      </c>
      <c r="C4202" s="1" t="s">
        <v>4849</v>
      </c>
    </row>
    <row r="4203" spans="1:3" x14ac:dyDescent="0.2">
      <c r="A4203" s="1" t="str">
        <f>"002183"</f>
        <v>002183</v>
      </c>
      <c r="B4203" s="1" t="s">
        <v>192</v>
      </c>
      <c r="C4203" s="1" t="s">
        <v>4914</v>
      </c>
    </row>
    <row r="4204" spans="1:3" x14ac:dyDescent="0.2">
      <c r="A4204" s="1" t="str">
        <f>"002182"</f>
        <v>002182</v>
      </c>
      <c r="B4204" s="1" t="s">
        <v>2645</v>
      </c>
      <c r="C4204" s="1" t="s">
        <v>4855</v>
      </c>
    </row>
    <row r="4205" spans="1:3" x14ac:dyDescent="0.2">
      <c r="A4205" s="1" t="str">
        <f>"002181"</f>
        <v>002181</v>
      </c>
      <c r="B4205" s="1" t="s">
        <v>450</v>
      </c>
      <c r="C4205" s="1" t="s">
        <v>4890</v>
      </c>
    </row>
    <row r="4206" spans="1:3" x14ac:dyDescent="0.2">
      <c r="A4206" s="1" t="str">
        <f>"002180"</f>
        <v>002180</v>
      </c>
      <c r="B4206" s="1" t="s">
        <v>623</v>
      </c>
      <c r="C4206" s="1" t="s">
        <v>4873</v>
      </c>
    </row>
    <row r="4207" spans="1:3" x14ac:dyDescent="0.2">
      <c r="A4207" s="1" t="str">
        <f>"002179"</f>
        <v>002179</v>
      </c>
      <c r="B4207" s="1" t="s">
        <v>1321</v>
      </c>
      <c r="C4207" s="1" t="s">
        <v>4846</v>
      </c>
    </row>
    <row r="4208" spans="1:3" x14ac:dyDescent="0.2">
      <c r="A4208" s="1" t="str">
        <f>"002178"</f>
        <v>002178</v>
      </c>
      <c r="B4208" s="1" t="s">
        <v>4644</v>
      </c>
      <c r="C4208" s="1" t="s">
        <v>4847</v>
      </c>
    </row>
    <row r="4209" spans="1:3" x14ac:dyDescent="0.2">
      <c r="A4209" s="1" t="str">
        <f>"002177"</f>
        <v>002177</v>
      </c>
      <c r="B4209" s="1" t="s">
        <v>4645</v>
      </c>
      <c r="C4209" s="1" t="s">
        <v>4931</v>
      </c>
    </row>
    <row r="4210" spans="1:3" x14ac:dyDescent="0.2">
      <c r="A4210" s="1" t="str">
        <f>"002176"</f>
        <v>002176</v>
      </c>
      <c r="B4210" s="1" t="s">
        <v>4646</v>
      </c>
      <c r="C4210" s="1" t="s">
        <v>4894</v>
      </c>
    </row>
    <row r="4211" spans="1:3" x14ac:dyDescent="0.2">
      <c r="A4211" s="1" t="str">
        <f>"002175"</f>
        <v>002175</v>
      </c>
      <c r="B4211" s="1" t="s">
        <v>1289</v>
      </c>
      <c r="C4211" s="1" t="s">
        <v>4851</v>
      </c>
    </row>
    <row r="4212" spans="1:3" x14ac:dyDescent="0.2">
      <c r="A4212" s="1" t="str">
        <f>"002174"</f>
        <v>002174</v>
      </c>
      <c r="B4212" s="1" t="s">
        <v>517</v>
      </c>
      <c r="C4212" s="1" t="s">
        <v>4935</v>
      </c>
    </row>
    <row r="4213" spans="1:3" x14ac:dyDescent="0.2">
      <c r="A4213" s="1" t="str">
        <f>"002173"</f>
        <v>002173</v>
      </c>
      <c r="B4213" s="1" t="s">
        <v>4647</v>
      </c>
      <c r="C4213" s="1" t="s">
        <v>4861</v>
      </c>
    </row>
    <row r="4214" spans="1:3" x14ac:dyDescent="0.2">
      <c r="A4214" s="1" t="str">
        <f>"002172"</f>
        <v>002172</v>
      </c>
      <c r="B4214" s="1" t="s">
        <v>1676</v>
      </c>
      <c r="C4214" s="1" t="s">
        <v>4861</v>
      </c>
    </row>
    <row r="4215" spans="1:3" x14ac:dyDescent="0.2">
      <c r="A4215" s="1" t="str">
        <f>"002171"</f>
        <v>002171</v>
      </c>
      <c r="B4215" s="1" t="s">
        <v>2732</v>
      </c>
      <c r="C4215" s="1" t="s">
        <v>4879</v>
      </c>
    </row>
    <row r="4216" spans="1:3" x14ac:dyDescent="0.2">
      <c r="A4216" s="1" t="str">
        <f>"002170"</f>
        <v>002170</v>
      </c>
      <c r="B4216" s="1" t="s">
        <v>2783</v>
      </c>
      <c r="C4216" s="1" t="s">
        <v>4915</v>
      </c>
    </row>
    <row r="4217" spans="1:3" x14ac:dyDescent="0.2">
      <c r="A4217" s="1" t="str">
        <f>"002169"</f>
        <v>002169</v>
      </c>
      <c r="B4217" s="1" t="s">
        <v>4648</v>
      </c>
      <c r="C4217" s="1" t="s">
        <v>4866</v>
      </c>
    </row>
    <row r="4218" spans="1:3" x14ac:dyDescent="0.2">
      <c r="A4218" s="1" t="str">
        <f>"002167"</f>
        <v>002167</v>
      </c>
      <c r="B4218" s="1" t="s">
        <v>2646</v>
      </c>
      <c r="C4218" s="1" t="s">
        <v>4855</v>
      </c>
    </row>
    <row r="4219" spans="1:3" x14ac:dyDescent="0.2">
      <c r="A4219" s="1" t="str">
        <f>"002166"</f>
        <v>002166</v>
      </c>
      <c r="B4219" s="1" t="s">
        <v>1633</v>
      </c>
      <c r="C4219" s="1" t="s">
        <v>4917</v>
      </c>
    </row>
    <row r="4220" spans="1:3" x14ac:dyDescent="0.2">
      <c r="A4220" s="1" t="str">
        <f>"002165"</f>
        <v>002165</v>
      </c>
      <c r="B4220" s="1" t="s">
        <v>2993</v>
      </c>
      <c r="C4220" s="1" t="s">
        <v>4865</v>
      </c>
    </row>
    <row r="4221" spans="1:3" x14ac:dyDescent="0.2">
      <c r="A4221" s="1" t="str">
        <f>"002164"</f>
        <v>002164</v>
      </c>
      <c r="B4221" s="1" t="s">
        <v>1247</v>
      </c>
      <c r="C4221" s="1" t="s">
        <v>4851</v>
      </c>
    </row>
    <row r="4222" spans="1:3" x14ac:dyDescent="0.2">
      <c r="A4222" s="1" t="str">
        <f>"002163"</f>
        <v>002163</v>
      </c>
      <c r="B4222" s="1" t="s">
        <v>4649</v>
      </c>
      <c r="C4222" s="1" t="s">
        <v>4901</v>
      </c>
    </row>
    <row r="4223" spans="1:3" x14ac:dyDescent="0.2">
      <c r="A4223" s="1" t="str">
        <f>"002162"</f>
        <v>002162</v>
      </c>
      <c r="B4223" s="1" t="s">
        <v>4650</v>
      </c>
      <c r="C4223" s="1" t="s">
        <v>4886</v>
      </c>
    </row>
    <row r="4224" spans="1:3" x14ac:dyDescent="0.2">
      <c r="A4224" s="1" t="str">
        <f>"002161"</f>
        <v>002161</v>
      </c>
      <c r="B4224" s="1" t="s">
        <v>4651</v>
      </c>
      <c r="C4224" s="1" t="s">
        <v>4869</v>
      </c>
    </row>
    <row r="4225" spans="1:3" x14ac:dyDescent="0.2">
      <c r="A4225" s="1" t="str">
        <f>"002160"</f>
        <v>002160</v>
      </c>
      <c r="B4225" s="1" t="s">
        <v>2716</v>
      </c>
      <c r="C4225" s="1" t="s">
        <v>4879</v>
      </c>
    </row>
    <row r="4226" spans="1:3" x14ac:dyDescent="0.2">
      <c r="A4226" s="1" t="str">
        <f>"002159"</f>
        <v>002159</v>
      </c>
      <c r="B4226" s="1" t="s">
        <v>279</v>
      </c>
      <c r="C4226" s="1" t="s">
        <v>4940</v>
      </c>
    </row>
    <row r="4227" spans="1:3" x14ac:dyDescent="0.2">
      <c r="A4227" s="1" t="str">
        <f>"002158"</f>
        <v>002158</v>
      </c>
      <c r="B4227" s="1" t="s">
        <v>1182</v>
      </c>
      <c r="C4227" s="1" t="s">
        <v>4851</v>
      </c>
    </row>
    <row r="4228" spans="1:3" x14ac:dyDescent="0.2">
      <c r="A4228" s="1" t="str">
        <f>"002157"</f>
        <v>002157</v>
      </c>
      <c r="B4228" s="1" t="s">
        <v>2562</v>
      </c>
      <c r="C4228" s="1" t="s">
        <v>4900</v>
      </c>
    </row>
    <row r="4229" spans="1:3" x14ac:dyDescent="0.2">
      <c r="A4229" s="1" t="str">
        <f>"002156"</f>
        <v>002156</v>
      </c>
      <c r="B4229" s="1" t="s">
        <v>907</v>
      </c>
      <c r="C4229" s="1" t="s">
        <v>4840</v>
      </c>
    </row>
    <row r="4230" spans="1:3" x14ac:dyDescent="0.2">
      <c r="A4230" s="1" t="str">
        <f>"002155"</f>
        <v>002155</v>
      </c>
      <c r="B4230" s="1" t="s">
        <v>2680</v>
      </c>
      <c r="C4230" s="1" t="s">
        <v>4958</v>
      </c>
    </row>
    <row r="4231" spans="1:3" x14ac:dyDescent="0.2">
      <c r="A4231" s="1" t="str">
        <f>"002154"</f>
        <v>002154</v>
      </c>
      <c r="B4231" s="1" t="s">
        <v>2346</v>
      </c>
      <c r="C4231" s="1" t="s">
        <v>4909</v>
      </c>
    </row>
    <row r="4232" spans="1:3" x14ac:dyDescent="0.2">
      <c r="A4232" s="1" t="str">
        <f>"002153"</f>
        <v>002153</v>
      </c>
      <c r="B4232" s="1" t="s">
        <v>533</v>
      </c>
      <c r="C4232" s="1" t="s">
        <v>4874</v>
      </c>
    </row>
    <row r="4233" spans="1:3" x14ac:dyDescent="0.2">
      <c r="A4233" s="1" t="str">
        <f>"002152"</f>
        <v>002152</v>
      </c>
      <c r="B4233" s="1" t="s">
        <v>624</v>
      </c>
      <c r="C4233" s="1" t="s">
        <v>4873</v>
      </c>
    </row>
    <row r="4234" spans="1:3" x14ac:dyDescent="0.2">
      <c r="A4234" s="1" t="str">
        <f>"002151"</f>
        <v>002151</v>
      </c>
      <c r="B4234" s="1" t="s">
        <v>4652</v>
      </c>
      <c r="C4234" s="1" t="s">
        <v>4846</v>
      </c>
    </row>
    <row r="4235" spans="1:3" x14ac:dyDescent="0.2">
      <c r="A4235" s="1" t="str">
        <f>"002150"</f>
        <v>002150</v>
      </c>
      <c r="B4235" s="1" t="s">
        <v>1207</v>
      </c>
      <c r="C4235" s="1" t="s">
        <v>4851</v>
      </c>
    </row>
    <row r="4236" spans="1:3" x14ac:dyDescent="0.2">
      <c r="A4236" s="1" t="str">
        <f>"002149"</f>
        <v>002149</v>
      </c>
      <c r="B4236" s="1" t="s">
        <v>2651</v>
      </c>
      <c r="C4236" s="1" t="s">
        <v>4855</v>
      </c>
    </row>
    <row r="4237" spans="1:3" x14ac:dyDescent="0.2">
      <c r="A4237" s="1" t="str">
        <f>"002148"</f>
        <v>002148</v>
      </c>
      <c r="B4237" s="1" t="s">
        <v>4653</v>
      </c>
      <c r="C4237" s="1" t="s">
        <v>4954</v>
      </c>
    </row>
    <row r="4238" spans="1:3" x14ac:dyDescent="0.2">
      <c r="A4238" s="1" t="str">
        <f>"002146"</f>
        <v>002146</v>
      </c>
      <c r="B4238" s="1" t="s">
        <v>4654</v>
      </c>
      <c r="C4238" s="1" t="s">
        <v>4957</v>
      </c>
    </row>
    <row r="4239" spans="1:3" x14ac:dyDescent="0.2">
      <c r="A4239" s="1" t="str">
        <f>"002145"</f>
        <v>002145</v>
      </c>
      <c r="B4239" s="1" t="s">
        <v>3043</v>
      </c>
      <c r="C4239" s="1" t="s">
        <v>4853</v>
      </c>
    </row>
    <row r="4240" spans="1:3" x14ac:dyDescent="0.2">
      <c r="A4240" s="1" t="str">
        <f>"002144"</f>
        <v>002144</v>
      </c>
      <c r="B4240" s="1" t="s">
        <v>2383</v>
      </c>
      <c r="C4240" s="1" t="s">
        <v>4904</v>
      </c>
    </row>
    <row r="4241" spans="1:3" x14ac:dyDescent="0.2">
      <c r="A4241" s="1" t="str">
        <f>"002142"</f>
        <v>002142</v>
      </c>
      <c r="B4241" s="1" t="s">
        <v>4655</v>
      </c>
      <c r="C4241" s="1" t="s">
        <v>4937</v>
      </c>
    </row>
    <row r="4242" spans="1:3" x14ac:dyDescent="0.2">
      <c r="A4242" s="1" t="str">
        <f>"002141"</f>
        <v>002141</v>
      </c>
      <c r="B4242" s="1" t="s">
        <v>4656</v>
      </c>
      <c r="C4242" s="1" t="s">
        <v>4877</v>
      </c>
    </row>
    <row r="4243" spans="1:3" x14ac:dyDescent="0.2">
      <c r="A4243" s="1" t="str">
        <f>"002140"</f>
        <v>002140</v>
      </c>
      <c r="B4243" s="1" t="s">
        <v>335</v>
      </c>
      <c r="C4243" s="1" t="s">
        <v>4888</v>
      </c>
    </row>
    <row r="4244" spans="1:3" x14ac:dyDescent="0.2">
      <c r="A4244" s="1" t="str">
        <f>"002139"</f>
        <v>002139</v>
      </c>
      <c r="B4244" s="1" t="s">
        <v>731</v>
      </c>
      <c r="C4244" s="1" t="s">
        <v>4842</v>
      </c>
    </row>
    <row r="4245" spans="1:3" x14ac:dyDescent="0.2">
      <c r="A4245" s="1" t="str">
        <f>"002138"</f>
        <v>002138</v>
      </c>
      <c r="B4245" s="1" t="s">
        <v>746</v>
      </c>
      <c r="C4245" s="1" t="s">
        <v>4872</v>
      </c>
    </row>
    <row r="4246" spans="1:3" x14ac:dyDescent="0.2">
      <c r="A4246" s="1" t="str">
        <f>"002137"</f>
        <v>002137</v>
      </c>
      <c r="B4246" s="1" t="s">
        <v>804</v>
      </c>
      <c r="C4246" s="1" t="s">
        <v>4878</v>
      </c>
    </row>
    <row r="4247" spans="1:3" x14ac:dyDescent="0.2">
      <c r="A4247" s="1" t="str">
        <f>"002136"</f>
        <v>002136</v>
      </c>
      <c r="B4247" s="1" t="s">
        <v>4657</v>
      </c>
      <c r="C4247" s="1" t="s">
        <v>4853</v>
      </c>
    </row>
    <row r="4248" spans="1:3" x14ac:dyDescent="0.2">
      <c r="A4248" s="1" t="str">
        <f>"002135"</f>
        <v>002135</v>
      </c>
      <c r="B4248" s="1" t="s">
        <v>4658</v>
      </c>
      <c r="C4248" s="1" t="s">
        <v>4888</v>
      </c>
    </row>
    <row r="4249" spans="1:3" x14ac:dyDescent="0.2">
      <c r="A4249" s="1" t="str">
        <f>"002134"</f>
        <v>002134</v>
      </c>
      <c r="B4249" s="1" t="s">
        <v>4659</v>
      </c>
      <c r="C4249" s="1" t="s">
        <v>4872</v>
      </c>
    </row>
    <row r="4250" spans="1:3" x14ac:dyDescent="0.2">
      <c r="A4250" s="1" t="str">
        <f>"002133"</f>
        <v>002133</v>
      </c>
      <c r="B4250" s="1" t="s">
        <v>4660</v>
      </c>
      <c r="C4250" s="1" t="s">
        <v>4957</v>
      </c>
    </row>
    <row r="4251" spans="1:3" x14ac:dyDescent="0.2">
      <c r="A4251" s="1" t="str">
        <f>"002132"</f>
        <v>002132</v>
      </c>
      <c r="B4251" s="1" t="s">
        <v>1208</v>
      </c>
      <c r="C4251" s="1" t="s">
        <v>4851</v>
      </c>
    </row>
    <row r="4252" spans="1:3" x14ac:dyDescent="0.2">
      <c r="A4252" s="1" t="str">
        <f>"002131"</f>
        <v>002131</v>
      </c>
      <c r="B4252" s="1" t="s">
        <v>496</v>
      </c>
      <c r="C4252" s="1" t="s">
        <v>4907</v>
      </c>
    </row>
    <row r="4253" spans="1:3" x14ac:dyDescent="0.2">
      <c r="A4253" s="1" t="str">
        <f>"002130"</f>
        <v>002130</v>
      </c>
      <c r="B4253" s="1" t="s">
        <v>732</v>
      </c>
      <c r="C4253" s="1" t="s">
        <v>4842</v>
      </c>
    </row>
    <row r="4254" spans="1:3" x14ac:dyDescent="0.2">
      <c r="A4254" s="1" t="str">
        <f>"002128"</f>
        <v>002128</v>
      </c>
      <c r="B4254" s="1" t="s">
        <v>2717</v>
      </c>
      <c r="C4254" s="1" t="s">
        <v>4879</v>
      </c>
    </row>
    <row r="4255" spans="1:3" x14ac:dyDescent="0.2">
      <c r="A4255" s="1" t="str">
        <f>"002127"</f>
        <v>002127</v>
      </c>
      <c r="B4255" s="1" t="s">
        <v>4661</v>
      </c>
      <c r="C4255" s="1" t="s">
        <v>4910</v>
      </c>
    </row>
    <row r="4256" spans="1:3" x14ac:dyDescent="0.2">
      <c r="A4256" s="1" t="str">
        <f>"002126"</f>
        <v>002126</v>
      </c>
      <c r="B4256" s="1" t="s">
        <v>2030</v>
      </c>
      <c r="C4256" s="1" t="s">
        <v>4856</v>
      </c>
    </row>
    <row r="4257" spans="1:3" x14ac:dyDescent="0.2">
      <c r="A4257" s="1" t="str">
        <f>"002125"</f>
        <v>002125</v>
      </c>
      <c r="B4257" s="1" t="s">
        <v>3000</v>
      </c>
      <c r="C4257" s="1" t="s">
        <v>4853</v>
      </c>
    </row>
    <row r="4258" spans="1:3" x14ac:dyDescent="0.2">
      <c r="A4258" s="1" t="str">
        <f>"002124"</f>
        <v>002124</v>
      </c>
      <c r="B4258" s="1" t="s">
        <v>2563</v>
      </c>
      <c r="C4258" s="1" t="s">
        <v>4900</v>
      </c>
    </row>
    <row r="4259" spans="1:3" x14ac:dyDescent="0.2">
      <c r="A4259" s="1" t="str">
        <f>"002123"</f>
        <v>002123</v>
      </c>
      <c r="B4259" s="1" t="s">
        <v>652</v>
      </c>
      <c r="C4259" s="1" t="s">
        <v>4954</v>
      </c>
    </row>
    <row r="4260" spans="1:3" x14ac:dyDescent="0.2">
      <c r="A4260" s="1" t="str">
        <f>"002122"</f>
        <v>002122</v>
      </c>
      <c r="B4260" s="1" t="s">
        <v>1263</v>
      </c>
      <c r="C4260" s="1" t="s">
        <v>4851</v>
      </c>
    </row>
    <row r="4261" spans="1:3" x14ac:dyDescent="0.2">
      <c r="A4261" s="1" t="str">
        <f>"002121"</f>
        <v>002121</v>
      </c>
      <c r="B4261" s="1" t="s">
        <v>1519</v>
      </c>
      <c r="C4261" s="1" t="s">
        <v>4866</v>
      </c>
    </row>
    <row r="4262" spans="1:3" x14ac:dyDescent="0.2">
      <c r="A4262" s="1" t="str">
        <f>"002120"</f>
        <v>002120</v>
      </c>
      <c r="B4262" s="1" t="s">
        <v>178</v>
      </c>
      <c r="C4262" s="1" t="s">
        <v>4914</v>
      </c>
    </row>
    <row r="4263" spans="1:3" x14ac:dyDescent="0.2">
      <c r="A4263" s="1" t="str">
        <f>"002119"</f>
        <v>002119</v>
      </c>
      <c r="B4263" s="1" t="s">
        <v>956</v>
      </c>
      <c r="C4263" s="1" t="s">
        <v>4840</v>
      </c>
    </row>
    <row r="4264" spans="1:3" x14ac:dyDescent="0.2">
      <c r="A4264" s="1" t="str">
        <f>"002117"</f>
        <v>002117</v>
      </c>
      <c r="B4264" s="1" t="s">
        <v>2285</v>
      </c>
      <c r="C4264" s="1" t="s">
        <v>4930</v>
      </c>
    </row>
    <row r="4265" spans="1:3" x14ac:dyDescent="0.2">
      <c r="A4265" s="1" t="str">
        <f>"002116"</f>
        <v>002116</v>
      </c>
      <c r="B4265" s="1" t="s">
        <v>326</v>
      </c>
      <c r="C4265" s="1" t="s">
        <v>4888</v>
      </c>
    </row>
    <row r="4266" spans="1:3" x14ac:dyDescent="0.2">
      <c r="A4266" s="1" t="str">
        <f>"002115"</f>
        <v>002115</v>
      </c>
      <c r="B4266" s="1" t="s">
        <v>497</v>
      </c>
      <c r="C4266" s="1" t="s">
        <v>4907</v>
      </c>
    </row>
    <row r="4267" spans="1:3" x14ac:dyDescent="0.2">
      <c r="A4267" s="1" t="str">
        <f>"002112"</f>
        <v>002112</v>
      </c>
      <c r="B4267" s="1" t="s">
        <v>1496</v>
      </c>
      <c r="C4267" s="1" t="s">
        <v>4866</v>
      </c>
    </row>
    <row r="4268" spans="1:3" x14ac:dyDescent="0.2">
      <c r="A4268" s="1" t="str">
        <f>"002111"</f>
        <v>002111</v>
      </c>
      <c r="B4268" s="1" t="s">
        <v>1355</v>
      </c>
      <c r="C4268" s="1" t="s">
        <v>4862</v>
      </c>
    </row>
    <row r="4269" spans="1:3" x14ac:dyDescent="0.2">
      <c r="A4269" s="1" t="str">
        <f>"002110"</f>
        <v>002110</v>
      </c>
      <c r="B4269" s="1" t="s">
        <v>2758</v>
      </c>
      <c r="C4269" s="1" t="s">
        <v>4908</v>
      </c>
    </row>
    <row r="4270" spans="1:3" x14ac:dyDescent="0.2">
      <c r="A4270" s="1" t="str">
        <f>"002108"</f>
        <v>002108</v>
      </c>
      <c r="B4270" s="1" t="s">
        <v>2601</v>
      </c>
      <c r="C4270" s="1" t="s">
        <v>4886</v>
      </c>
    </row>
    <row r="4271" spans="1:3" x14ac:dyDescent="0.2">
      <c r="A4271" s="1" t="str">
        <f>"002107"</f>
        <v>002107</v>
      </c>
      <c r="B4271" s="1" t="s">
        <v>1634</v>
      </c>
      <c r="C4271" s="1" t="s">
        <v>4917</v>
      </c>
    </row>
    <row r="4272" spans="1:3" x14ac:dyDescent="0.2">
      <c r="A4272" s="1" t="str">
        <f>"002106"</f>
        <v>002106</v>
      </c>
      <c r="B4272" s="1" t="s">
        <v>824</v>
      </c>
      <c r="C4272" s="1" t="s">
        <v>4878</v>
      </c>
    </row>
    <row r="4273" spans="1:3" x14ac:dyDescent="0.2">
      <c r="A4273" s="1" t="str">
        <f>"002105"</f>
        <v>002105</v>
      </c>
      <c r="B4273" s="1" t="s">
        <v>4662</v>
      </c>
      <c r="C4273" s="1" t="s">
        <v>4839</v>
      </c>
    </row>
    <row r="4274" spans="1:3" x14ac:dyDescent="0.2">
      <c r="A4274" s="1" t="str">
        <f>"002104"</f>
        <v>002104</v>
      </c>
      <c r="B4274" s="1" t="s">
        <v>676</v>
      </c>
      <c r="C4274" s="1" t="s">
        <v>4869</v>
      </c>
    </row>
    <row r="4275" spans="1:3" x14ac:dyDescent="0.2">
      <c r="A4275" s="1" t="str">
        <f>"002103"</f>
        <v>002103</v>
      </c>
      <c r="B4275" s="1" t="s">
        <v>2208</v>
      </c>
      <c r="C4275" s="1" t="s">
        <v>4899</v>
      </c>
    </row>
    <row r="4276" spans="1:3" x14ac:dyDescent="0.2">
      <c r="A4276" s="1" t="str">
        <f>"002102"</f>
        <v>002102</v>
      </c>
      <c r="B4276" s="1" t="s">
        <v>1804</v>
      </c>
      <c r="C4276" s="1" t="s">
        <v>4843</v>
      </c>
    </row>
    <row r="4277" spans="1:3" x14ac:dyDescent="0.2">
      <c r="A4277" s="1" t="str">
        <f>"002101"</f>
        <v>002101</v>
      </c>
      <c r="B4277" s="1" t="s">
        <v>2069</v>
      </c>
      <c r="C4277" s="1" t="s">
        <v>4856</v>
      </c>
    </row>
    <row r="4278" spans="1:3" x14ac:dyDescent="0.2">
      <c r="A4278" s="1" t="str">
        <f>"002100"</f>
        <v>002100</v>
      </c>
      <c r="B4278" s="1" t="s">
        <v>2544</v>
      </c>
      <c r="C4278" s="1" t="s">
        <v>4885</v>
      </c>
    </row>
    <row r="4279" spans="1:3" x14ac:dyDescent="0.2">
      <c r="A4279" s="1" t="str">
        <f>"002099"</f>
        <v>002099</v>
      </c>
      <c r="B4279" s="1" t="s">
        <v>1805</v>
      </c>
      <c r="C4279" s="1" t="s">
        <v>4843</v>
      </c>
    </row>
    <row r="4280" spans="1:3" x14ac:dyDescent="0.2">
      <c r="A4280" s="1" t="str">
        <f>"002098"</f>
        <v>002098</v>
      </c>
      <c r="B4280" s="1" t="s">
        <v>2386</v>
      </c>
      <c r="C4280" s="1" t="s">
        <v>4904</v>
      </c>
    </row>
    <row r="4281" spans="1:3" x14ac:dyDescent="0.2">
      <c r="A4281" s="1" t="str">
        <f>"002097"</f>
        <v>002097</v>
      </c>
      <c r="B4281" s="1" t="s">
        <v>1008</v>
      </c>
      <c r="C4281" s="1" t="s">
        <v>4880</v>
      </c>
    </row>
    <row r="4282" spans="1:3" x14ac:dyDescent="0.2">
      <c r="A4282" s="1" t="str">
        <f>"002096"</f>
        <v>002096</v>
      </c>
      <c r="B4282" s="1" t="s">
        <v>2979</v>
      </c>
      <c r="C4282" s="1" t="s">
        <v>4865</v>
      </c>
    </row>
    <row r="4283" spans="1:3" x14ac:dyDescent="0.2">
      <c r="A4283" s="1" t="str">
        <f>"002095"</f>
        <v>002095</v>
      </c>
      <c r="B4283" s="1" t="s">
        <v>521</v>
      </c>
      <c r="C4283" s="1" t="s">
        <v>4883</v>
      </c>
    </row>
    <row r="4284" spans="1:3" x14ac:dyDescent="0.2">
      <c r="A4284" s="1" t="str">
        <f>"002094"</f>
        <v>002094</v>
      </c>
      <c r="B4284" s="1" t="s">
        <v>3073</v>
      </c>
      <c r="C4284" s="1" t="s">
        <v>4920</v>
      </c>
    </row>
    <row r="4285" spans="1:3" x14ac:dyDescent="0.2">
      <c r="A4285" s="1" t="str">
        <f>"002093"</f>
        <v>002093</v>
      </c>
      <c r="B4285" s="1" t="s">
        <v>4663</v>
      </c>
      <c r="C4285" s="1" t="s">
        <v>4913</v>
      </c>
    </row>
    <row r="4286" spans="1:3" x14ac:dyDescent="0.2">
      <c r="A4286" s="1" t="str">
        <f>"002092"</f>
        <v>002092</v>
      </c>
      <c r="B4286" s="1" t="s">
        <v>4664</v>
      </c>
      <c r="C4286" s="1" t="s">
        <v>4853</v>
      </c>
    </row>
    <row r="4287" spans="1:3" x14ac:dyDescent="0.2">
      <c r="A4287" s="1" t="str">
        <f>"002091"</f>
        <v>002091</v>
      </c>
      <c r="B4287" s="1" t="s">
        <v>2109</v>
      </c>
      <c r="C4287" s="1" t="s">
        <v>4942</v>
      </c>
    </row>
    <row r="4288" spans="1:3" x14ac:dyDescent="0.2">
      <c r="A4288" s="1" t="str">
        <f>"002090"</f>
        <v>002090</v>
      </c>
      <c r="B4288" s="1" t="s">
        <v>1508</v>
      </c>
      <c r="C4288" s="1" t="s">
        <v>4866</v>
      </c>
    </row>
    <row r="4289" spans="1:3" x14ac:dyDescent="0.2">
      <c r="A4289" s="1" t="str">
        <f>"002088"</f>
        <v>002088</v>
      </c>
      <c r="B4289" s="1" t="s">
        <v>2595</v>
      </c>
      <c r="C4289" s="1" t="s">
        <v>4886</v>
      </c>
    </row>
    <row r="4290" spans="1:3" x14ac:dyDescent="0.2">
      <c r="A4290" s="1" t="str">
        <f>"002086"</f>
        <v>002086</v>
      </c>
      <c r="B4290" s="1" t="s">
        <v>4665</v>
      </c>
      <c r="C4290" s="1" t="s">
        <v>4963</v>
      </c>
    </row>
    <row r="4291" spans="1:3" x14ac:dyDescent="0.2">
      <c r="A4291" s="1" t="str">
        <f>"002085"</f>
        <v>002085</v>
      </c>
      <c r="B4291" s="1" t="s">
        <v>1965</v>
      </c>
      <c r="C4291" s="1" t="s">
        <v>4856</v>
      </c>
    </row>
    <row r="4292" spans="1:3" x14ac:dyDescent="0.2">
      <c r="A4292" s="1" t="str">
        <f>"002084"</f>
        <v>002084</v>
      </c>
      <c r="B4292" s="1" t="s">
        <v>4666</v>
      </c>
      <c r="C4292" s="1" t="s">
        <v>4902</v>
      </c>
    </row>
    <row r="4293" spans="1:3" x14ac:dyDescent="0.2">
      <c r="A4293" s="1" t="str">
        <f>"002083"</f>
        <v>002083</v>
      </c>
      <c r="B4293" s="1" t="s">
        <v>2367</v>
      </c>
      <c r="C4293" s="1" t="s">
        <v>4909</v>
      </c>
    </row>
    <row r="4294" spans="1:3" x14ac:dyDescent="0.2">
      <c r="A4294" s="1" t="str">
        <f>"002082"</f>
        <v>002082</v>
      </c>
      <c r="B4294" s="1" t="s">
        <v>1635</v>
      </c>
      <c r="C4294" s="1" t="s">
        <v>4917</v>
      </c>
    </row>
    <row r="4295" spans="1:3" x14ac:dyDescent="0.2">
      <c r="A4295" s="1" t="str">
        <f>"002081"</f>
        <v>002081</v>
      </c>
      <c r="B4295" s="1" t="s">
        <v>4667</v>
      </c>
      <c r="C4295" s="1" t="s">
        <v>4901</v>
      </c>
    </row>
    <row r="4296" spans="1:3" x14ac:dyDescent="0.2">
      <c r="A4296" s="1" t="str">
        <f>"002080"</f>
        <v>002080</v>
      </c>
      <c r="B4296" s="1" t="s">
        <v>2610</v>
      </c>
      <c r="C4296" s="1" t="s">
        <v>4916</v>
      </c>
    </row>
    <row r="4297" spans="1:3" x14ac:dyDescent="0.2">
      <c r="A4297" s="1" t="str">
        <f>"002079"</f>
        <v>002079</v>
      </c>
      <c r="B4297" s="1" t="s">
        <v>1418</v>
      </c>
      <c r="C4297" s="1" t="s">
        <v>4857</v>
      </c>
    </row>
    <row r="4298" spans="1:3" x14ac:dyDescent="0.2">
      <c r="A4298" s="1" t="str">
        <f>"002078"</f>
        <v>002078</v>
      </c>
      <c r="B4298" s="1" t="s">
        <v>2310</v>
      </c>
      <c r="C4298" s="1" t="s">
        <v>4892</v>
      </c>
    </row>
    <row r="4299" spans="1:3" x14ac:dyDescent="0.2">
      <c r="A4299" s="1" t="str">
        <f>"002077"</f>
        <v>002077</v>
      </c>
      <c r="B4299" s="1" t="s">
        <v>908</v>
      </c>
      <c r="C4299" s="1" t="s">
        <v>4840</v>
      </c>
    </row>
    <row r="4300" spans="1:3" x14ac:dyDescent="0.2">
      <c r="A4300" s="1" t="str">
        <f>"002075"</f>
        <v>002075</v>
      </c>
      <c r="B4300" s="1" t="s">
        <v>2742</v>
      </c>
      <c r="C4300" s="1" t="s">
        <v>4918</v>
      </c>
    </row>
    <row r="4301" spans="1:3" x14ac:dyDescent="0.2">
      <c r="A4301" s="1" t="str">
        <f>"002074"</f>
        <v>002074</v>
      </c>
      <c r="B4301" s="1" t="s">
        <v>1559</v>
      </c>
      <c r="C4301" s="1" t="s">
        <v>4841</v>
      </c>
    </row>
    <row r="4302" spans="1:3" x14ac:dyDescent="0.2">
      <c r="A4302" s="1" t="str">
        <f>"002073"</f>
        <v>002073</v>
      </c>
      <c r="B4302" s="1" t="s">
        <v>1076</v>
      </c>
      <c r="C4302" s="1" t="s">
        <v>4845</v>
      </c>
    </row>
    <row r="4303" spans="1:3" x14ac:dyDescent="0.2">
      <c r="A4303" s="1" t="str">
        <f>"002072"</f>
        <v>002072</v>
      </c>
      <c r="B4303" s="1" t="s">
        <v>4668</v>
      </c>
      <c r="C4303" s="1" t="s">
        <v>4942</v>
      </c>
    </row>
    <row r="4304" spans="1:3" x14ac:dyDescent="0.2">
      <c r="A4304" s="1" t="str">
        <f>"002069"</f>
        <v>002069</v>
      </c>
      <c r="B4304" s="1" t="s">
        <v>4669</v>
      </c>
      <c r="C4304" s="1" t="s">
        <v>4963</v>
      </c>
    </row>
    <row r="4305" spans="1:3" x14ac:dyDescent="0.2">
      <c r="A4305" s="1" t="str">
        <f>"002068"</f>
        <v>002068</v>
      </c>
      <c r="B4305" s="1" t="s">
        <v>4670</v>
      </c>
      <c r="C4305" s="1" t="s">
        <v>4906</v>
      </c>
    </row>
    <row r="4306" spans="1:3" x14ac:dyDescent="0.2">
      <c r="A4306" s="1" t="str">
        <f>"002067"</f>
        <v>002067</v>
      </c>
      <c r="B4306" s="1" t="s">
        <v>4671</v>
      </c>
      <c r="C4306" s="1" t="s">
        <v>4892</v>
      </c>
    </row>
    <row r="4307" spans="1:3" x14ac:dyDescent="0.2">
      <c r="A4307" s="1" t="str">
        <f>"002066"</f>
        <v>002066</v>
      </c>
      <c r="B4307" s="1" t="s">
        <v>2596</v>
      </c>
      <c r="C4307" s="1" t="s">
        <v>4886</v>
      </c>
    </row>
    <row r="4308" spans="1:3" x14ac:dyDescent="0.2">
      <c r="A4308" s="1" t="str">
        <f>"002065"</f>
        <v>002065</v>
      </c>
      <c r="B4308" s="1" t="s">
        <v>601</v>
      </c>
      <c r="C4308" s="1" t="s">
        <v>4847</v>
      </c>
    </row>
    <row r="4309" spans="1:3" x14ac:dyDescent="0.2">
      <c r="A4309" s="1" t="str">
        <f>"002064"</f>
        <v>002064</v>
      </c>
      <c r="B4309" s="1" t="s">
        <v>3051</v>
      </c>
      <c r="C4309" s="1" t="s">
        <v>4858</v>
      </c>
    </row>
    <row r="4310" spans="1:3" x14ac:dyDescent="0.2">
      <c r="A4310" s="1" t="str">
        <f>"002063"</f>
        <v>002063</v>
      </c>
      <c r="B4310" s="1" t="s">
        <v>602</v>
      </c>
      <c r="C4310" s="1" t="s">
        <v>4847</v>
      </c>
    </row>
    <row r="4311" spans="1:3" x14ac:dyDescent="0.2">
      <c r="A4311" s="1" t="str">
        <f>"002062"</f>
        <v>002062</v>
      </c>
      <c r="B4311" s="1" t="s">
        <v>4672</v>
      </c>
      <c r="C4311" s="1" t="s">
        <v>4898</v>
      </c>
    </row>
    <row r="4312" spans="1:3" x14ac:dyDescent="0.2">
      <c r="A4312" s="1" t="str">
        <f>"002061"</f>
        <v>002061</v>
      </c>
      <c r="B4312" s="1" t="s">
        <v>4673</v>
      </c>
      <c r="C4312" s="1" t="s">
        <v>4898</v>
      </c>
    </row>
    <row r="4313" spans="1:3" x14ac:dyDescent="0.2">
      <c r="A4313" s="1" t="str">
        <f>"002060"</f>
        <v>002060</v>
      </c>
      <c r="B4313" s="1" t="s">
        <v>4674</v>
      </c>
      <c r="C4313" s="1" t="s">
        <v>4898</v>
      </c>
    </row>
    <row r="4314" spans="1:3" x14ac:dyDescent="0.2">
      <c r="A4314" s="1" t="str">
        <f>"002057"</f>
        <v>002057</v>
      </c>
      <c r="B4314" s="1" t="s">
        <v>2637</v>
      </c>
      <c r="C4314" s="1" t="s">
        <v>4848</v>
      </c>
    </row>
    <row r="4315" spans="1:3" x14ac:dyDescent="0.2">
      <c r="A4315" s="1" t="str">
        <f>"002056"</f>
        <v>002056</v>
      </c>
      <c r="B4315" s="1" t="s">
        <v>1424</v>
      </c>
      <c r="C4315" s="1" t="s">
        <v>4857</v>
      </c>
    </row>
    <row r="4316" spans="1:3" x14ac:dyDescent="0.2">
      <c r="A4316" s="1" t="str">
        <f>"002055"</f>
        <v>002055</v>
      </c>
      <c r="B4316" s="1" t="s">
        <v>901</v>
      </c>
      <c r="C4316" s="1" t="s">
        <v>4850</v>
      </c>
    </row>
    <row r="4317" spans="1:3" x14ac:dyDescent="0.2">
      <c r="A4317" s="1" t="str">
        <f>"002054"</f>
        <v>002054</v>
      </c>
      <c r="B4317" s="1" t="s">
        <v>2968</v>
      </c>
      <c r="C4317" s="1" t="s">
        <v>4865</v>
      </c>
    </row>
    <row r="4318" spans="1:3" x14ac:dyDescent="0.2">
      <c r="A4318" s="1" t="str">
        <f>"002053"</f>
        <v>002053</v>
      </c>
      <c r="B4318" s="1" t="s">
        <v>3029</v>
      </c>
      <c r="C4318" s="1" t="s">
        <v>4853</v>
      </c>
    </row>
    <row r="4319" spans="1:3" x14ac:dyDescent="0.2">
      <c r="A4319" s="1" t="str">
        <f>"002052"</f>
        <v>002052</v>
      </c>
      <c r="B4319" s="1" t="s">
        <v>4675</v>
      </c>
      <c r="C4319" s="1" t="s">
        <v>4864</v>
      </c>
    </row>
    <row r="4320" spans="1:3" x14ac:dyDescent="0.2">
      <c r="A4320" s="1" t="str">
        <f>"002051"</f>
        <v>002051</v>
      </c>
      <c r="B4320" s="1" t="s">
        <v>328</v>
      </c>
      <c r="C4320" s="1" t="s">
        <v>4888</v>
      </c>
    </row>
    <row r="4321" spans="1:3" x14ac:dyDescent="0.2">
      <c r="A4321" s="1" t="str">
        <f>"002050"</f>
        <v>002050</v>
      </c>
      <c r="B4321" s="1" t="s">
        <v>2150</v>
      </c>
      <c r="C4321" s="1" t="s">
        <v>4929</v>
      </c>
    </row>
    <row r="4322" spans="1:3" x14ac:dyDescent="0.2">
      <c r="A4322" s="1" t="str">
        <f>"002049"</f>
        <v>002049</v>
      </c>
      <c r="B4322" s="1" t="s">
        <v>931</v>
      </c>
      <c r="C4322" s="1" t="s">
        <v>4840</v>
      </c>
    </row>
    <row r="4323" spans="1:3" x14ac:dyDescent="0.2">
      <c r="A4323" s="1" t="str">
        <f>"002048"</f>
        <v>002048</v>
      </c>
      <c r="B4323" s="1" t="s">
        <v>2070</v>
      </c>
      <c r="C4323" s="1" t="s">
        <v>4856</v>
      </c>
    </row>
    <row r="4324" spans="1:3" x14ac:dyDescent="0.2">
      <c r="A4324" s="1" t="str">
        <f>"002046"</f>
        <v>002046</v>
      </c>
      <c r="B4324" s="1" t="s">
        <v>1248</v>
      </c>
      <c r="C4324" s="1" t="s">
        <v>4851</v>
      </c>
    </row>
    <row r="4325" spans="1:3" x14ac:dyDescent="0.2">
      <c r="A4325" s="1" t="str">
        <f>"002045"</f>
        <v>002045</v>
      </c>
      <c r="B4325" s="1" t="s">
        <v>902</v>
      </c>
      <c r="C4325" s="1" t="s">
        <v>4850</v>
      </c>
    </row>
    <row r="4326" spans="1:3" x14ac:dyDescent="0.2">
      <c r="A4326" s="1" t="str">
        <f>"002044"</f>
        <v>002044</v>
      </c>
      <c r="B4326" s="1" t="s">
        <v>4676</v>
      </c>
      <c r="C4326" s="1" t="s">
        <v>4861</v>
      </c>
    </row>
    <row r="4327" spans="1:3" x14ac:dyDescent="0.2">
      <c r="A4327" s="1" t="str">
        <f>"002043"</f>
        <v>002043</v>
      </c>
      <c r="B4327" s="1" t="s">
        <v>2586</v>
      </c>
      <c r="C4327" s="1" t="s">
        <v>4886</v>
      </c>
    </row>
    <row r="4328" spans="1:3" x14ac:dyDescent="0.2">
      <c r="A4328" s="1" t="str">
        <f>"002042"</f>
        <v>002042</v>
      </c>
      <c r="B4328" s="1" t="s">
        <v>2395</v>
      </c>
      <c r="C4328" s="1" t="s">
        <v>4904</v>
      </c>
    </row>
    <row r="4329" spans="1:3" x14ac:dyDescent="0.2">
      <c r="A4329" s="1" t="str">
        <f>"002041"</f>
        <v>002041</v>
      </c>
      <c r="B4329" s="1" t="s">
        <v>2571</v>
      </c>
      <c r="C4329" s="1" t="s">
        <v>4949</v>
      </c>
    </row>
    <row r="4330" spans="1:3" x14ac:dyDescent="0.2">
      <c r="A4330" s="1" t="str">
        <f>"002040"</f>
        <v>002040</v>
      </c>
      <c r="B4330" s="1" t="s">
        <v>224</v>
      </c>
      <c r="C4330" s="1" t="s">
        <v>4933</v>
      </c>
    </row>
    <row r="4331" spans="1:3" x14ac:dyDescent="0.2">
      <c r="A4331" s="1" t="str">
        <f>"002039"</f>
        <v>002039</v>
      </c>
      <c r="B4331" s="1" t="s">
        <v>152</v>
      </c>
      <c r="C4331" s="1" t="s">
        <v>4889</v>
      </c>
    </row>
    <row r="4332" spans="1:3" x14ac:dyDescent="0.2">
      <c r="A4332" s="1" t="str">
        <f>"002038"</f>
        <v>002038</v>
      </c>
      <c r="B4332" s="1" t="s">
        <v>1757</v>
      </c>
      <c r="C4332" s="1" t="s">
        <v>4852</v>
      </c>
    </row>
    <row r="4333" spans="1:3" x14ac:dyDescent="0.2">
      <c r="A4333" s="1" t="str">
        <f>"002037"</f>
        <v>002037</v>
      </c>
      <c r="B4333" s="1" t="s">
        <v>4677</v>
      </c>
      <c r="C4333" s="1" t="s">
        <v>4865</v>
      </c>
    </row>
    <row r="4334" spans="1:3" x14ac:dyDescent="0.2">
      <c r="A4334" s="1" t="str">
        <f>"002036"</f>
        <v>002036</v>
      </c>
      <c r="B4334" s="1" t="s">
        <v>4678</v>
      </c>
      <c r="C4334" s="1" t="s">
        <v>4878</v>
      </c>
    </row>
    <row r="4335" spans="1:3" x14ac:dyDescent="0.2">
      <c r="A4335" s="1" t="str">
        <f>"002035"</f>
        <v>002035</v>
      </c>
      <c r="B4335" s="1" t="s">
        <v>2157</v>
      </c>
      <c r="C4335" s="1" t="s">
        <v>4897</v>
      </c>
    </row>
    <row r="4336" spans="1:3" x14ac:dyDescent="0.2">
      <c r="A4336" s="1" t="str">
        <f>"002034"</f>
        <v>002034</v>
      </c>
      <c r="B4336" s="1" t="s">
        <v>36</v>
      </c>
      <c r="C4336" s="1" t="s">
        <v>4863</v>
      </c>
    </row>
    <row r="4337" spans="1:3" x14ac:dyDescent="0.2">
      <c r="A4337" s="1" t="str">
        <f>"002033"</f>
        <v>002033</v>
      </c>
      <c r="B4337" s="1" t="s">
        <v>288</v>
      </c>
      <c r="C4337" s="1" t="s">
        <v>4940</v>
      </c>
    </row>
    <row r="4338" spans="1:3" x14ac:dyDescent="0.2">
      <c r="A4338" s="1" t="str">
        <f>"002032"</f>
        <v>002032</v>
      </c>
      <c r="B4338" s="1" t="s">
        <v>2176</v>
      </c>
      <c r="C4338" s="1" t="s">
        <v>4844</v>
      </c>
    </row>
    <row r="4339" spans="1:3" x14ac:dyDescent="0.2">
      <c r="A4339" s="1" t="str">
        <f>"002031"</f>
        <v>002031</v>
      </c>
      <c r="B4339" s="1" t="s">
        <v>4679</v>
      </c>
      <c r="C4339" s="1" t="s">
        <v>4845</v>
      </c>
    </row>
    <row r="4340" spans="1:3" x14ac:dyDescent="0.2">
      <c r="A4340" s="1" t="str">
        <f>"002030"</f>
        <v>002030</v>
      </c>
      <c r="B4340" s="1" t="s">
        <v>1767</v>
      </c>
      <c r="C4340" s="1" t="s">
        <v>4852</v>
      </c>
    </row>
    <row r="4341" spans="1:3" x14ac:dyDescent="0.2">
      <c r="A4341" s="1" t="str">
        <f>"002029"</f>
        <v>002029</v>
      </c>
      <c r="B4341" s="1" t="s">
        <v>2347</v>
      </c>
      <c r="C4341" s="1" t="s">
        <v>4909</v>
      </c>
    </row>
    <row r="4342" spans="1:3" x14ac:dyDescent="0.2">
      <c r="A4342" s="1" t="str">
        <f>"002028"</f>
        <v>002028</v>
      </c>
      <c r="B4342" s="1" t="s">
        <v>1497</v>
      </c>
      <c r="C4342" s="1" t="s">
        <v>4866</v>
      </c>
    </row>
    <row r="4343" spans="1:3" x14ac:dyDescent="0.2">
      <c r="A4343" s="1" t="str">
        <f>"002027"</f>
        <v>002027</v>
      </c>
      <c r="B4343" s="1" t="s">
        <v>484</v>
      </c>
      <c r="C4343" s="1" t="s">
        <v>4907</v>
      </c>
    </row>
    <row r="4344" spans="1:3" x14ac:dyDescent="0.2">
      <c r="A4344" s="1" t="str">
        <f>"002026"</f>
        <v>002026</v>
      </c>
      <c r="B4344" s="1" t="s">
        <v>1249</v>
      </c>
      <c r="C4344" s="1" t="s">
        <v>4851</v>
      </c>
    </row>
    <row r="4345" spans="1:3" x14ac:dyDescent="0.2">
      <c r="A4345" s="1" t="str">
        <f>"002025"</f>
        <v>002025</v>
      </c>
      <c r="B4345" s="1" t="s">
        <v>1322</v>
      </c>
      <c r="C4345" s="1" t="s">
        <v>4846</v>
      </c>
    </row>
    <row r="4346" spans="1:3" x14ac:dyDescent="0.2">
      <c r="A4346" s="1" t="str">
        <f>"002023"</f>
        <v>002023</v>
      </c>
      <c r="B4346" s="1" t="s">
        <v>1356</v>
      </c>
      <c r="C4346" s="1" t="s">
        <v>4862</v>
      </c>
    </row>
    <row r="4347" spans="1:3" x14ac:dyDescent="0.2">
      <c r="A4347" s="1" t="str">
        <f>"002022"</f>
        <v>002022</v>
      </c>
      <c r="B4347" s="1" t="s">
        <v>4680</v>
      </c>
      <c r="C4347" s="1" t="s">
        <v>4852</v>
      </c>
    </row>
    <row r="4348" spans="1:3" x14ac:dyDescent="0.2">
      <c r="A4348" s="1" t="str">
        <f>"002021"</f>
        <v>002021</v>
      </c>
      <c r="B4348" s="1" t="s">
        <v>1094</v>
      </c>
      <c r="C4348" s="1" t="s">
        <v>4845</v>
      </c>
    </row>
    <row r="4349" spans="1:3" x14ac:dyDescent="0.2">
      <c r="A4349" s="1" t="str">
        <f>"002020"</f>
        <v>002020</v>
      </c>
      <c r="B4349" s="1" t="s">
        <v>1860</v>
      </c>
      <c r="C4349" s="1" t="s">
        <v>4843</v>
      </c>
    </row>
    <row r="4350" spans="1:3" x14ac:dyDescent="0.2">
      <c r="A4350" s="1" t="str">
        <f>"002019"</f>
        <v>002019</v>
      </c>
      <c r="B4350" s="1" t="s">
        <v>1861</v>
      </c>
      <c r="C4350" s="1" t="s">
        <v>4843</v>
      </c>
    </row>
    <row r="4351" spans="1:3" x14ac:dyDescent="0.2">
      <c r="A4351" s="1" t="str">
        <f>"002017"</f>
        <v>002017</v>
      </c>
      <c r="B4351" s="1" t="s">
        <v>677</v>
      </c>
      <c r="C4351" s="1" t="s">
        <v>4869</v>
      </c>
    </row>
    <row r="4352" spans="1:3" x14ac:dyDescent="0.2">
      <c r="A4352" s="1" t="str">
        <f>"002016"</f>
        <v>002016</v>
      </c>
      <c r="B4352" s="1" t="s">
        <v>4681</v>
      </c>
      <c r="C4352" s="1" t="s">
        <v>4957</v>
      </c>
    </row>
    <row r="4353" spans="1:3" x14ac:dyDescent="0.2">
      <c r="A4353" s="1" t="str">
        <f>"002015"</f>
        <v>002015</v>
      </c>
      <c r="B4353" s="1" t="s">
        <v>121</v>
      </c>
      <c r="C4353" s="1" t="s">
        <v>4889</v>
      </c>
    </row>
    <row r="4354" spans="1:3" x14ac:dyDescent="0.2">
      <c r="A4354" s="1" t="str">
        <f>"002014"</f>
        <v>002014</v>
      </c>
      <c r="B4354" s="1" t="s">
        <v>2277</v>
      </c>
      <c r="C4354" s="1" t="s">
        <v>4930</v>
      </c>
    </row>
    <row r="4355" spans="1:3" x14ac:dyDescent="0.2">
      <c r="A4355" s="1" t="str">
        <f>"002012"</f>
        <v>002012</v>
      </c>
      <c r="B4355" s="1" t="s">
        <v>2298</v>
      </c>
      <c r="C4355" s="1" t="s">
        <v>4892</v>
      </c>
    </row>
    <row r="4356" spans="1:3" x14ac:dyDescent="0.2">
      <c r="A4356" s="1" t="str">
        <f>"002011"</f>
        <v>002011</v>
      </c>
      <c r="B4356" s="1" t="s">
        <v>2151</v>
      </c>
      <c r="C4356" s="1" t="s">
        <v>4929</v>
      </c>
    </row>
    <row r="4357" spans="1:3" x14ac:dyDescent="0.2">
      <c r="A4357" s="1" t="str">
        <f>"002010"</f>
        <v>002010</v>
      </c>
      <c r="B4357" s="1" t="s">
        <v>193</v>
      </c>
      <c r="C4357" s="1" t="s">
        <v>4914</v>
      </c>
    </row>
    <row r="4358" spans="1:3" x14ac:dyDescent="0.2">
      <c r="A4358" s="1" t="str">
        <f>"002009"</f>
        <v>002009</v>
      </c>
      <c r="B4358" s="1" t="s">
        <v>1077</v>
      </c>
      <c r="C4358" s="1" t="s">
        <v>4845</v>
      </c>
    </row>
    <row r="4359" spans="1:3" x14ac:dyDescent="0.2">
      <c r="A4359" s="1" t="str">
        <f>"002008"</f>
        <v>002008</v>
      </c>
      <c r="B4359" s="1" t="s">
        <v>964</v>
      </c>
      <c r="C4359" s="1" t="s">
        <v>4849</v>
      </c>
    </row>
    <row r="4360" spans="1:3" x14ac:dyDescent="0.2">
      <c r="A4360" s="1" t="str">
        <f>"002007"</f>
        <v>002007</v>
      </c>
      <c r="B4360" s="1" t="s">
        <v>1777</v>
      </c>
      <c r="C4360" s="1" t="s">
        <v>4852</v>
      </c>
    </row>
    <row r="4361" spans="1:3" x14ac:dyDescent="0.2">
      <c r="A4361" s="1" t="str">
        <f>"002006"</f>
        <v>002006</v>
      </c>
      <c r="B4361" s="1" t="s">
        <v>1095</v>
      </c>
      <c r="C4361" s="1" t="s">
        <v>4845</v>
      </c>
    </row>
    <row r="4362" spans="1:3" x14ac:dyDescent="0.2">
      <c r="A4362" s="1" t="str">
        <f>"002004"</f>
        <v>002004</v>
      </c>
      <c r="B4362" s="1" t="s">
        <v>2819</v>
      </c>
      <c r="C4362" s="1" t="s">
        <v>4915</v>
      </c>
    </row>
    <row r="4363" spans="1:3" x14ac:dyDescent="0.2">
      <c r="A4363" s="1" t="str">
        <f>"002003"</f>
        <v>002003</v>
      </c>
      <c r="B4363" s="1" t="s">
        <v>2387</v>
      </c>
      <c r="C4363" s="1" t="s">
        <v>4904</v>
      </c>
    </row>
    <row r="4364" spans="1:3" x14ac:dyDescent="0.2">
      <c r="A4364" s="1" t="str">
        <f>"002001"</f>
        <v>002001</v>
      </c>
      <c r="B4364" s="1" t="s">
        <v>2948</v>
      </c>
      <c r="C4364" s="1" t="s">
        <v>4865</v>
      </c>
    </row>
    <row r="4365" spans="1:3" x14ac:dyDescent="0.2">
      <c r="A4365" s="1" t="str">
        <f>"001979"</f>
        <v>001979</v>
      </c>
      <c r="B4365" s="1" t="s">
        <v>4682</v>
      </c>
      <c r="C4365" s="1" t="s">
        <v>4957</v>
      </c>
    </row>
    <row r="4366" spans="1:3" x14ac:dyDescent="0.2">
      <c r="A4366" s="1" t="str">
        <f>"001965"</f>
        <v>001965</v>
      </c>
      <c r="B4366" s="1" t="s">
        <v>256</v>
      </c>
      <c r="C4366" s="1" t="s">
        <v>4943</v>
      </c>
    </row>
    <row r="4367" spans="1:3" x14ac:dyDescent="0.2">
      <c r="A4367" s="1" t="str">
        <f>"001914"</f>
        <v>001914</v>
      </c>
      <c r="B4367" s="1" t="s">
        <v>302</v>
      </c>
      <c r="C4367" s="1" t="s">
        <v>4934</v>
      </c>
    </row>
    <row r="4368" spans="1:3" x14ac:dyDescent="0.2">
      <c r="A4368" s="1" t="str">
        <f>"001896"</f>
        <v>001896</v>
      </c>
      <c r="B4368" s="1" t="s">
        <v>4683</v>
      </c>
      <c r="C4368" s="1" t="s">
        <v>4889</v>
      </c>
    </row>
    <row r="4369" spans="1:3" x14ac:dyDescent="0.2">
      <c r="A4369" s="1" t="str">
        <f>"001872"</f>
        <v>001872</v>
      </c>
      <c r="B4369" s="1" t="s">
        <v>225</v>
      </c>
      <c r="C4369" s="1" t="s">
        <v>4933</v>
      </c>
    </row>
    <row r="4370" spans="1:3" x14ac:dyDescent="0.2">
      <c r="A4370" s="1" t="str">
        <f>"001696"</f>
        <v>001696</v>
      </c>
      <c r="B4370" s="1" t="s">
        <v>1165</v>
      </c>
      <c r="C4370" s="1" t="s">
        <v>4851</v>
      </c>
    </row>
    <row r="4371" spans="1:3" x14ac:dyDescent="0.2">
      <c r="A4371" s="1" t="str">
        <f>"001400"</f>
        <v>001400</v>
      </c>
      <c r="B4371" s="1" t="s">
        <v>1166</v>
      </c>
      <c r="C4371" s="1" t="s">
        <v>4851</v>
      </c>
    </row>
    <row r="4372" spans="1:3" x14ac:dyDescent="0.2">
      <c r="A4372" s="1" t="str">
        <f>"001395"</f>
        <v>001395</v>
      </c>
      <c r="B4372" s="1" t="s">
        <v>1078</v>
      </c>
      <c r="C4372" s="1" t="s">
        <v>4845</v>
      </c>
    </row>
    <row r="4373" spans="1:3" x14ac:dyDescent="0.2">
      <c r="A4373" s="1" t="str">
        <f>"001391"</f>
        <v>001391</v>
      </c>
      <c r="B4373" s="1" t="s">
        <v>174</v>
      </c>
      <c r="C4373" s="1" t="s">
        <v>4914</v>
      </c>
    </row>
    <row r="4374" spans="1:3" x14ac:dyDescent="0.2">
      <c r="A4374" s="1" t="str">
        <f>"001390"</f>
        <v>001390</v>
      </c>
      <c r="B4374" s="1" t="s">
        <v>2384</v>
      </c>
      <c r="C4374" s="1" t="s">
        <v>4904</v>
      </c>
    </row>
    <row r="4375" spans="1:3" x14ac:dyDescent="0.2">
      <c r="A4375" s="1" t="str">
        <f>"001389"</f>
        <v>001389</v>
      </c>
      <c r="B4375" s="1" t="s">
        <v>776</v>
      </c>
      <c r="C4375" s="1" t="s">
        <v>4872</v>
      </c>
    </row>
    <row r="4376" spans="1:3" x14ac:dyDescent="0.2">
      <c r="A4376" s="1" t="str">
        <f>"001388"</f>
        <v>001388</v>
      </c>
      <c r="B4376" s="1" t="s">
        <v>4684</v>
      </c>
      <c r="C4376" s="1" t="s">
        <v>4866</v>
      </c>
    </row>
    <row r="4377" spans="1:3" x14ac:dyDescent="0.2">
      <c r="A4377" s="1" t="str">
        <f>"001387"</f>
        <v>001387</v>
      </c>
      <c r="B4377" s="1" t="s">
        <v>2187</v>
      </c>
      <c r="C4377" s="1" t="s">
        <v>4960</v>
      </c>
    </row>
    <row r="4378" spans="1:3" x14ac:dyDescent="0.2">
      <c r="A4378" s="1" t="str">
        <f>"001382"</f>
        <v>001382</v>
      </c>
      <c r="B4378" s="1" t="s">
        <v>1452</v>
      </c>
      <c r="C4378" s="1" t="s">
        <v>4866</v>
      </c>
    </row>
    <row r="4379" spans="1:3" x14ac:dyDescent="0.2">
      <c r="A4379" s="1" t="str">
        <f>"001380"</f>
        <v>001380</v>
      </c>
      <c r="B4379" s="1" t="s">
        <v>2031</v>
      </c>
      <c r="C4379" s="1" t="s">
        <v>4856</v>
      </c>
    </row>
    <row r="4380" spans="1:3" x14ac:dyDescent="0.2">
      <c r="A4380" s="1" t="str">
        <f>"001379"</f>
        <v>001379</v>
      </c>
      <c r="B4380" s="1" t="s">
        <v>1209</v>
      </c>
      <c r="C4380" s="1" t="s">
        <v>4851</v>
      </c>
    </row>
    <row r="4381" spans="1:3" x14ac:dyDescent="0.2">
      <c r="A4381" s="1" t="str">
        <f>"001378"</f>
        <v>001378</v>
      </c>
      <c r="B4381" s="1" t="s">
        <v>2879</v>
      </c>
      <c r="C4381" s="1" t="s">
        <v>4860</v>
      </c>
    </row>
    <row r="4382" spans="1:3" x14ac:dyDescent="0.2">
      <c r="A4382" s="1" t="str">
        <f>"001376"</f>
        <v>001376</v>
      </c>
      <c r="B4382" s="1" t="s">
        <v>4685</v>
      </c>
      <c r="C4382" s="1" t="s">
        <v>4889</v>
      </c>
    </row>
    <row r="4383" spans="1:3" x14ac:dyDescent="0.2">
      <c r="A4383" s="1" t="str">
        <f>"001373"</f>
        <v>001373</v>
      </c>
      <c r="B4383" s="1" t="s">
        <v>4686</v>
      </c>
      <c r="C4383" s="1" t="s">
        <v>4878</v>
      </c>
    </row>
    <row r="4384" spans="1:3" x14ac:dyDescent="0.2">
      <c r="A4384" s="1" t="str">
        <f>"001368"</f>
        <v>001368</v>
      </c>
      <c r="B4384" s="1" t="s">
        <v>2201</v>
      </c>
      <c r="C4384" s="1" t="s">
        <v>4899</v>
      </c>
    </row>
    <row r="4385" spans="1:3" x14ac:dyDescent="0.2">
      <c r="A4385" s="1" t="str">
        <f>"001367"</f>
        <v>001367</v>
      </c>
      <c r="B4385" s="1" t="s">
        <v>1806</v>
      </c>
      <c r="C4385" s="1" t="s">
        <v>4843</v>
      </c>
    </row>
    <row r="4386" spans="1:3" x14ac:dyDescent="0.2">
      <c r="A4386" s="1" t="str">
        <f>"001366"</f>
        <v>001366</v>
      </c>
      <c r="B4386" s="1" t="s">
        <v>4687</v>
      </c>
      <c r="C4386" s="1" t="s">
        <v>4885</v>
      </c>
    </row>
    <row r="4387" spans="1:3" x14ac:dyDescent="0.2">
      <c r="A4387" s="1" t="str">
        <f>"001360"</f>
        <v>001360</v>
      </c>
      <c r="B4387" s="1" t="s">
        <v>1138</v>
      </c>
      <c r="C4387" s="1" t="s">
        <v>4845</v>
      </c>
    </row>
    <row r="4388" spans="1:3" x14ac:dyDescent="0.2">
      <c r="A4388" s="1" t="str">
        <f>"001359"</f>
        <v>001359</v>
      </c>
      <c r="B4388" s="1" t="s">
        <v>2772</v>
      </c>
      <c r="C4388" s="1" t="s">
        <v>4881</v>
      </c>
    </row>
    <row r="4389" spans="1:3" x14ac:dyDescent="0.2">
      <c r="A4389" s="1" t="str">
        <f>"001358"</f>
        <v>001358</v>
      </c>
      <c r="B4389" s="1" t="s">
        <v>2922</v>
      </c>
      <c r="C4389" s="1" t="s">
        <v>4865</v>
      </c>
    </row>
    <row r="4390" spans="1:3" x14ac:dyDescent="0.2">
      <c r="A4390" s="1" t="str">
        <f>"001356"</f>
        <v>001356</v>
      </c>
      <c r="B4390" s="1" t="s">
        <v>2846</v>
      </c>
      <c r="C4390" s="1" t="s">
        <v>4860</v>
      </c>
    </row>
    <row r="4391" spans="1:3" x14ac:dyDescent="0.2">
      <c r="A4391" s="1" t="str">
        <f>"001339"</f>
        <v>001339</v>
      </c>
      <c r="B4391" s="1" t="s">
        <v>625</v>
      </c>
      <c r="C4391" s="1" t="s">
        <v>4873</v>
      </c>
    </row>
    <row r="4392" spans="1:3" x14ac:dyDescent="0.2">
      <c r="A4392" s="1" t="str">
        <f>"001338"</f>
        <v>001338</v>
      </c>
      <c r="B4392" s="1" t="s">
        <v>2510</v>
      </c>
      <c r="C4392" s="1" t="s">
        <v>4921</v>
      </c>
    </row>
    <row r="4393" spans="1:3" x14ac:dyDescent="0.2">
      <c r="A4393" s="1" t="str">
        <f>"001337"</f>
        <v>001337</v>
      </c>
      <c r="B4393" s="1" t="s">
        <v>2681</v>
      </c>
      <c r="C4393" s="1" t="s">
        <v>4958</v>
      </c>
    </row>
    <row r="4394" spans="1:3" x14ac:dyDescent="0.2">
      <c r="A4394" s="1" t="str">
        <f>"001336"</f>
        <v>001336</v>
      </c>
      <c r="B4394" s="1" t="s">
        <v>4688</v>
      </c>
      <c r="C4394" s="1" t="s">
        <v>4871</v>
      </c>
    </row>
    <row r="4395" spans="1:3" x14ac:dyDescent="0.2">
      <c r="A4395" s="1" t="str">
        <f>"001335"</f>
        <v>001335</v>
      </c>
      <c r="B4395" s="1" t="s">
        <v>3001</v>
      </c>
      <c r="C4395" s="1" t="s">
        <v>4853</v>
      </c>
    </row>
    <row r="4396" spans="1:3" x14ac:dyDescent="0.2">
      <c r="A4396" s="1" t="str">
        <f>"001333"</f>
        <v>001333</v>
      </c>
      <c r="B4396" s="1" t="s">
        <v>2923</v>
      </c>
      <c r="C4396" s="1" t="s">
        <v>4865</v>
      </c>
    </row>
    <row r="4397" spans="1:3" x14ac:dyDescent="0.2">
      <c r="A4397" s="1" t="str">
        <f>"001332"</f>
        <v>001332</v>
      </c>
      <c r="B4397" s="1" t="s">
        <v>1139</v>
      </c>
      <c r="C4397" s="1" t="s">
        <v>4845</v>
      </c>
    </row>
    <row r="4398" spans="1:3" x14ac:dyDescent="0.2">
      <c r="A4398" s="1" t="str">
        <f>"001331"</f>
        <v>001331</v>
      </c>
      <c r="B4398" s="1" t="s">
        <v>160</v>
      </c>
      <c r="C4398" s="1" t="s">
        <v>4895</v>
      </c>
    </row>
    <row r="4399" spans="1:3" x14ac:dyDescent="0.2">
      <c r="A4399" s="1" t="str">
        <f>"001328"</f>
        <v>001328</v>
      </c>
      <c r="B4399" s="1" t="s">
        <v>3080</v>
      </c>
      <c r="C4399" s="1" t="s">
        <v>4920</v>
      </c>
    </row>
    <row r="4400" spans="1:3" x14ac:dyDescent="0.2">
      <c r="A4400" s="1" t="str">
        <f>"001326"</f>
        <v>001326</v>
      </c>
      <c r="B4400" s="1" t="s">
        <v>805</v>
      </c>
      <c r="C4400" s="1" t="s">
        <v>4878</v>
      </c>
    </row>
    <row r="4401" spans="1:3" x14ac:dyDescent="0.2">
      <c r="A4401" s="1" t="str">
        <f>"001324"</f>
        <v>001324</v>
      </c>
      <c r="B4401" s="1" t="s">
        <v>1305</v>
      </c>
      <c r="C4401" s="1" t="s">
        <v>4875</v>
      </c>
    </row>
    <row r="4402" spans="1:3" x14ac:dyDescent="0.2">
      <c r="A4402" s="1" t="str">
        <f>"001323"</f>
        <v>001323</v>
      </c>
      <c r="B4402" s="1" t="s">
        <v>2253</v>
      </c>
      <c r="C4402" s="1" t="s">
        <v>4902</v>
      </c>
    </row>
    <row r="4403" spans="1:3" x14ac:dyDescent="0.2">
      <c r="A4403" s="1" t="str">
        <f>"001322"</f>
        <v>001322</v>
      </c>
      <c r="B4403" s="1" t="s">
        <v>4689</v>
      </c>
      <c r="C4403" s="1" t="s">
        <v>4902</v>
      </c>
    </row>
    <row r="4404" spans="1:3" x14ac:dyDescent="0.2">
      <c r="A4404" s="1" t="str">
        <f>"001319"</f>
        <v>001319</v>
      </c>
      <c r="B4404" s="1" t="s">
        <v>2071</v>
      </c>
      <c r="C4404" s="1" t="s">
        <v>4856</v>
      </c>
    </row>
    <row r="4405" spans="1:3" x14ac:dyDescent="0.2">
      <c r="A4405" s="1" t="str">
        <f>"001318"</f>
        <v>001318</v>
      </c>
      <c r="B4405" s="1" t="s">
        <v>2472</v>
      </c>
      <c r="C4405" s="1" t="s">
        <v>4893</v>
      </c>
    </row>
    <row r="4406" spans="1:3" x14ac:dyDescent="0.2">
      <c r="A4406" s="1" t="str">
        <f>"001317"</f>
        <v>001317</v>
      </c>
      <c r="B4406" s="1" t="s">
        <v>4690</v>
      </c>
      <c r="C4406" s="1" t="s">
        <v>4943</v>
      </c>
    </row>
    <row r="4407" spans="1:3" x14ac:dyDescent="0.2">
      <c r="A4407" s="1" t="str">
        <f>"001316"</f>
        <v>001316</v>
      </c>
      <c r="B4407" s="1" t="s">
        <v>2110</v>
      </c>
      <c r="C4407" s="1" t="s">
        <v>4942</v>
      </c>
    </row>
    <row r="4408" spans="1:3" x14ac:dyDescent="0.2">
      <c r="A4408" s="1" t="str">
        <f>"001314"</f>
        <v>001314</v>
      </c>
      <c r="B4408" s="1" t="s">
        <v>4691</v>
      </c>
      <c r="C4408" s="1" t="s">
        <v>4850</v>
      </c>
    </row>
    <row r="4409" spans="1:3" x14ac:dyDescent="0.2">
      <c r="A4409" s="1" t="str">
        <f>"001313"</f>
        <v>001313</v>
      </c>
      <c r="B4409" s="1" t="s">
        <v>4692</v>
      </c>
      <c r="C4409" s="1" t="s">
        <v>4885</v>
      </c>
    </row>
    <row r="4410" spans="1:3" x14ac:dyDescent="0.2">
      <c r="A4410" s="1" t="str">
        <f>"001311"</f>
        <v>001311</v>
      </c>
      <c r="B4410" s="1" t="s">
        <v>1945</v>
      </c>
      <c r="C4410" s="1" t="s">
        <v>4856</v>
      </c>
    </row>
    <row r="4411" spans="1:3" x14ac:dyDescent="0.2">
      <c r="A4411" s="1" t="str">
        <f>"001309"</f>
        <v>001309</v>
      </c>
      <c r="B4411" s="1" t="s">
        <v>4693</v>
      </c>
      <c r="C4411" s="1" t="s">
        <v>4840</v>
      </c>
    </row>
    <row r="4412" spans="1:3" x14ac:dyDescent="0.2">
      <c r="A4412" s="1" t="str">
        <f>"001308"</f>
        <v>001308</v>
      </c>
      <c r="B4412" s="1" t="s">
        <v>845</v>
      </c>
      <c r="C4412" s="1" t="s">
        <v>4850</v>
      </c>
    </row>
    <row r="4413" spans="1:3" x14ac:dyDescent="0.2">
      <c r="A4413" s="1" t="str">
        <f>"001306"</f>
        <v>001306</v>
      </c>
      <c r="B4413" s="1" t="s">
        <v>1250</v>
      </c>
      <c r="C4413" s="1" t="s">
        <v>4851</v>
      </c>
    </row>
    <row r="4414" spans="1:3" x14ac:dyDescent="0.2">
      <c r="A4414" s="1" t="str">
        <f>"001301"</f>
        <v>001301</v>
      </c>
      <c r="B4414" s="1" t="s">
        <v>1545</v>
      </c>
      <c r="C4414" s="1" t="s">
        <v>4841</v>
      </c>
    </row>
    <row r="4415" spans="1:3" x14ac:dyDescent="0.2">
      <c r="A4415" s="1" t="str">
        <f>"001300"</f>
        <v>001300</v>
      </c>
      <c r="B4415" s="1" t="s">
        <v>2202</v>
      </c>
      <c r="C4415" s="1" t="s">
        <v>4899</v>
      </c>
    </row>
    <row r="4416" spans="1:3" x14ac:dyDescent="0.2">
      <c r="A4416" s="1" t="str">
        <f>"001299"</f>
        <v>001299</v>
      </c>
      <c r="B4416" s="1" t="s">
        <v>114</v>
      </c>
      <c r="C4416" s="1" t="s">
        <v>4895</v>
      </c>
    </row>
    <row r="4417" spans="1:3" x14ac:dyDescent="0.2">
      <c r="A4417" s="1" t="str">
        <f>"001298"</f>
        <v>001298</v>
      </c>
      <c r="B4417" s="1" t="s">
        <v>733</v>
      </c>
      <c r="C4417" s="1" t="s">
        <v>4842</v>
      </c>
    </row>
    <row r="4418" spans="1:3" x14ac:dyDescent="0.2">
      <c r="A4418" s="1" t="str">
        <f>"001296"</f>
        <v>001296</v>
      </c>
      <c r="B4418" s="1" t="s">
        <v>2773</v>
      </c>
      <c r="C4418" s="1" t="s">
        <v>4881</v>
      </c>
    </row>
    <row r="4419" spans="1:3" x14ac:dyDescent="0.2">
      <c r="A4419" s="1" t="str">
        <f>"001289"</f>
        <v>001289</v>
      </c>
      <c r="B4419" s="1" t="s">
        <v>136</v>
      </c>
      <c r="C4419" s="1" t="s">
        <v>4889</v>
      </c>
    </row>
    <row r="4420" spans="1:3" x14ac:dyDescent="0.2">
      <c r="A4420" s="1" t="str">
        <f>"001288"</f>
        <v>001288</v>
      </c>
      <c r="B4420" s="1" t="s">
        <v>1079</v>
      </c>
      <c r="C4420" s="1" t="s">
        <v>4845</v>
      </c>
    </row>
    <row r="4421" spans="1:3" x14ac:dyDescent="0.2">
      <c r="A4421" s="1" t="str">
        <f>"001287"</f>
        <v>001287</v>
      </c>
      <c r="B4421" s="1" t="s">
        <v>734</v>
      </c>
      <c r="C4421" s="1" t="s">
        <v>4842</v>
      </c>
    </row>
    <row r="4422" spans="1:3" x14ac:dyDescent="0.2">
      <c r="A4422" s="1" t="str">
        <f>"001286"</f>
        <v>001286</v>
      </c>
      <c r="B4422" s="1" t="s">
        <v>4694</v>
      </c>
      <c r="C4422" s="1" t="s">
        <v>4889</v>
      </c>
    </row>
    <row r="4423" spans="1:3" x14ac:dyDescent="0.2">
      <c r="A4423" s="1" t="str">
        <f>"001283"</f>
        <v>001283</v>
      </c>
      <c r="B4423" s="1" t="s">
        <v>1560</v>
      </c>
      <c r="C4423" s="1" t="s">
        <v>4841</v>
      </c>
    </row>
    <row r="4424" spans="1:3" x14ac:dyDescent="0.2">
      <c r="A4424" s="1" t="str">
        <f>"001282"</f>
        <v>001282</v>
      </c>
      <c r="B4424" s="1" t="s">
        <v>1946</v>
      </c>
      <c r="C4424" s="1" t="s">
        <v>4856</v>
      </c>
    </row>
    <row r="4425" spans="1:3" x14ac:dyDescent="0.2">
      <c r="A4425" s="1" t="str">
        <f>"001279"</f>
        <v>001279</v>
      </c>
      <c r="B4425" s="1" t="s">
        <v>2286</v>
      </c>
      <c r="C4425" s="1" t="s">
        <v>4930</v>
      </c>
    </row>
    <row r="4426" spans="1:3" x14ac:dyDescent="0.2">
      <c r="A4426" s="1" t="str">
        <f>"001278"</f>
        <v>001278</v>
      </c>
      <c r="B4426" s="1" t="s">
        <v>4695</v>
      </c>
      <c r="C4426" s="1" t="s">
        <v>4856</v>
      </c>
    </row>
    <row r="4427" spans="1:3" x14ac:dyDescent="0.2">
      <c r="A4427" s="1" t="str">
        <f>"001277"</f>
        <v>001277</v>
      </c>
      <c r="B4427" s="1" t="s">
        <v>1140</v>
      </c>
      <c r="C4427" s="1" t="s">
        <v>4845</v>
      </c>
    </row>
    <row r="4428" spans="1:3" x14ac:dyDescent="0.2">
      <c r="A4428" s="1" t="str">
        <f>"001269"</f>
        <v>001269</v>
      </c>
      <c r="B4428" s="1" t="s">
        <v>4696</v>
      </c>
      <c r="C4428" s="1" t="s">
        <v>4857</v>
      </c>
    </row>
    <row r="4429" spans="1:3" x14ac:dyDescent="0.2">
      <c r="A4429" s="1" t="str">
        <f>"001268"</f>
        <v>001268</v>
      </c>
      <c r="B4429" s="1" t="s">
        <v>1251</v>
      </c>
      <c r="C4429" s="1" t="s">
        <v>4851</v>
      </c>
    </row>
    <row r="4430" spans="1:3" x14ac:dyDescent="0.2">
      <c r="A4430" s="1" t="str">
        <f>"001267"</f>
        <v>001267</v>
      </c>
      <c r="B4430" s="1" t="s">
        <v>339</v>
      </c>
      <c r="C4430" s="1" t="s">
        <v>4898</v>
      </c>
    </row>
    <row r="4431" spans="1:3" x14ac:dyDescent="0.2">
      <c r="A4431" s="1" t="str">
        <f>"001266"</f>
        <v>001266</v>
      </c>
      <c r="B4431" s="1" t="s">
        <v>986</v>
      </c>
      <c r="C4431" s="1" t="s">
        <v>4849</v>
      </c>
    </row>
    <row r="4432" spans="1:3" x14ac:dyDescent="0.2">
      <c r="A4432" s="1" t="str">
        <f>"001260"</f>
        <v>001260</v>
      </c>
      <c r="B4432" s="1" t="s">
        <v>2072</v>
      </c>
      <c r="C4432" s="1" t="s">
        <v>4856</v>
      </c>
    </row>
    <row r="4433" spans="1:3" x14ac:dyDescent="0.2">
      <c r="A4433" s="1" t="str">
        <f>"001259"</f>
        <v>001259</v>
      </c>
      <c r="B4433" s="1" t="s">
        <v>2177</v>
      </c>
      <c r="C4433" s="1" t="s">
        <v>4844</v>
      </c>
    </row>
    <row r="4434" spans="1:3" x14ac:dyDescent="0.2">
      <c r="A4434" s="1" t="str">
        <f>"001258"</f>
        <v>001258</v>
      </c>
      <c r="B4434" s="1" t="s">
        <v>4697</v>
      </c>
      <c r="C4434" s="1" t="s">
        <v>4889</v>
      </c>
    </row>
    <row r="4435" spans="1:3" x14ac:dyDescent="0.2">
      <c r="A4435" s="1" t="str">
        <f>"001256"</f>
        <v>001256</v>
      </c>
      <c r="B4435" s="1" t="s">
        <v>1105</v>
      </c>
      <c r="C4435" s="1" t="s">
        <v>4845</v>
      </c>
    </row>
    <row r="4436" spans="1:3" x14ac:dyDescent="0.2">
      <c r="A4436" s="1" t="str">
        <f>"001255"</f>
        <v>001255</v>
      </c>
      <c r="B4436" s="1" t="s">
        <v>137</v>
      </c>
      <c r="C4436" s="1" t="s">
        <v>4866</v>
      </c>
    </row>
    <row r="4437" spans="1:3" x14ac:dyDescent="0.2">
      <c r="A4437" s="1" t="str">
        <f>"001239"</f>
        <v>001239</v>
      </c>
      <c r="B4437" s="1" t="s">
        <v>998</v>
      </c>
      <c r="C4437" s="1" t="s">
        <v>4880</v>
      </c>
    </row>
    <row r="4438" spans="1:3" x14ac:dyDescent="0.2">
      <c r="A4438" s="1" t="str">
        <f>"001238"</f>
        <v>001238</v>
      </c>
      <c r="B4438" s="1" t="s">
        <v>2254</v>
      </c>
      <c r="C4438" s="1" t="s">
        <v>4902</v>
      </c>
    </row>
    <row r="4439" spans="1:3" x14ac:dyDescent="0.2">
      <c r="A4439" s="1" t="str">
        <f>"001236"</f>
        <v>001236</v>
      </c>
      <c r="B4439" s="1" t="s">
        <v>354</v>
      </c>
      <c r="C4439" s="1" t="s">
        <v>4938</v>
      </c>
    </row>
    <row r="4440" spans="1:3" x14ac:dyDescent="0.2">
      <c r="A4440" s="1" t="str">
        <f>"001234"</f>
        <v>001234</v>
      </c>
      <c r="B4440" s="1" t="s">
        <v>2352</v>
      </c>
      <c r="C4440" s="1" t="s">
        <v>4909</v>
      </c>
    </row>
    <row r="4441" spans="1:3" x14ac:dyDescent="0.2">
      <c r="A4441" s="1" t="str">
        <f>"001231"</f>
        <v>001231</v>
      </c>
      <c r="B4441" s="1" t="s">
        <v>2820</v>
      </c>
      <c r="C4441" s="1" t="s">
        <v>4915</v>
      </c>
    </row>
    <row r="4442" spans="1:3" x14ac:dyDescent="0.2">
      <c r="A4442" s="1" t="str">
        <f>"001230"</f>
        <v>001230</v>
      </c>
      <c r="B4442" s="1" t="s">
        <v>37</v>
      </c>
      <c r="C4442" s="1" t="s">
        <v>4863</v>
      </c>
    </row>
    <row r="4443" spans="1:3" x14ac:dyDescent="0.2">
      <c r="A4443" s="1" t="str">
        <f>"001229"</f>
        <v>001229</v>
      </c>
      <c r="B4443" s="1" t="s">
        <v>626</v>
      </c>
      <c r="C4443" s="1" t="s">
        <v>4873</v>
      </c>
    </row>
    <row r="4444" spans="1:3" x14ac:dyDescent="0.2">
      <c r="A4444" s="1" t="str">
        <f>"001228"</f>
        <v>001228</v>
      </c>
      <c r="B4444" s="1" t="s">
        <v>194</v>
      </c>
      <c r="C4444" s="1" t="s">
        <v>4914</v>
      </c>
    </row>
    <row r="4445" spans="1:3" x14ac:dyDescent="0.2">
      <c r="A4445" s="1" t="str">
        <f>"001227"</f>
        <v>001227</v>
      </c>
      <c r="B4445" s="1" t="s">
        <v>4698</v>
      </c>
      <c r="C4445" s="1" t="s">
        <v>4937</v>
      </c>
    </row>
    <row r="4446" spans="1:3" x14ac:dyDescent="0.2">
      <c r="A4446" s="1" t="str">
        <f>"001226"</f>
        <v>001226</v>
      </c>
      <c r="B4446" s="1" t="s">
        <v>999</v>
      </c>
      <c r="C4446" s="1" t="s">
        <v>4880</v>
      </c>
    </row>
    <row r="4447" spans="1:3" x14ac:dyDescent="0.2">
      <c r="A4447" s="1" t="str">
        <f>"001225"</f>
        <v>001225</v>
      </c>
      <c r="B4447" s="1" t="s">
        <v>1080</v>
      </c>
      <c r="C4447" s="1" t="s">
        <v>4845</v>
      </c>
    </row>
    <row r="4448" spans="1:3" x14ac:dyDescent="0.2">
      <c r="A4448" s="1" t="str">
        <f>"001223"</f>
        <v>001223</v>
      </c>
      <c r="B4448" s="1" t="s">
        <v>1081</v>
      </c>
      <c r="C4448" s="1" t="s">
        <v>4845</v>
      </c>
    </row>
    <row r="4449" spans="1:3" x14ac:dyDescent="0.2">
      <c r="A4449" s="1" t="str">
        <f>"001222"</f>
        <v>001222</v>
      </c>
      <c r="B4449" s="1" t="s">
        <v>2203</v>
      </c>
      <c r="C4449" s="1" t="s">
        <v>4899</v>
      </c>
    </row>
    <row r="4450" spans="1:3" x14ac:dyDescent="0.2">
      <c r="A4450" s="1" t="str">
        <f>"001221"</f>
        <v>001221</v>
      </c>
      <c r="B4450" s="1" t="s">
        <v>4699</v>
      </c>
      <c r="C4450" s="1" t="s">
        <v>4902</v>
      </c>
    </row>
    <row r="4451" spans="1:3" x14ac:dyDescent="0.2">
      <c r="A4451" s="1" t="str">
        <f>"001219"</f>
        <v>001219</v>
      </c>
      <c r="B4451" s="1" t="s">
        <v>2432</v>
      </c>
      <c r="C4451" s="1" t="s">
        <v>4896</v>
      </c>
    </row>
    <row r="4452" spans="1:3" x14ac:dyDescent="0.2">
      <c r="A4452" s="1" t="str">
        <f>"001218"</f>
        <v>001218</v>
      </c>
      <c r="B4452" s="1" t="s">
        <v>2924</v>
      </c>
      <c r="C4452" s="1" t="s">
        <v>4865</v>
      </c>
    </row>
    <row r="4453" spans="1:3" x14ac:dyDescent="0.2">
      <c r="A4453" s="1" t="str">
        <f>"001217"</f>
        <v>001217</v>
      </c>
      <c r="B4453" s="1" t="s">
        <v>3002</v>
      </c>
      <c r="C4453" s="1" t="s">
        <v>4853</v>
      </c>
    </row>
    <row r="4454" spans="1:3" x14ac:dyDescent="0.2">
      <c r="A4454" s="1" t="str">
        <f>"001216"</f>
        <v>001216</v>
      </c>
      <c r="B4454" s="1" t="s">
        <v>2226</v>
      </c>
      <c r="C4454" s="1" t="s">
        <v>4902</v>
      </c>
    </row>
    <row r="4455" spans="1:3" x14ac:dyDescent="0.2">
      <c r="A4455" s="1" t="str">
        <f>"001215"</f>
        <v>001215</v>
      </c>
      <c r="B4455" s="1" t="s">
        <v>2408</v>
      </c>
      <c r="C4455" s="1" t="s">
        <v>4891</v>
      </c>
    </row>
    <row r="4456" spans="1:3" x14ac:dyDescent="0.2">
      <c r="A4456" s="1" t="str">
        <f>"001213"</f>
        <v>001213</v>
      </c>
      <c r="B4456" s="1" t="s">
        <v>266</v>
      </c>
      <c r="C4456" s="1" t="s">
        <v>4943</v>
      </c>
    </row>
    <row r="4457" spans="1:3" x14ac:dyDescent="0.2">
      <c r="A4457" s="1" t="str">
        <f>"001212"</f>
        <v>001212</v>
      </c>
      <c r="B4457" s="1" t="s">
        <v>4700</v>
      </c>
      <c r="C4457" s="1" t="s">
        <v>4886</v>
      </c>
    </row>
    <row r="4458" spans="1:3" x14ac:dyDescent="0.2">
      <c r="A4458" s="1" t="str">
        <f>"001211"</f>
        <v>001211</v>
      </c>
      <c r="B4458" s="1" t="s">
        <v>2227</v>
      </c>
      <c r="C4458" s="1" t="s">
        <v>4902</v>
      </c>
    </row>
    <row r="4459" spans="1:3" x14ac:dyDescent="0.2">
      <c r="A4459" s="1" t="str">
        <f>"001210"</f>
        <v>001210</v>
      </c>
      <c r="B4459" s="1" t="s">
        <v>4701</v>
      </c>
      <c r="C4459" s="1" t="s">
        <v>4889</v>
      </c>
    </row>
    <row r="4460" spans="1:3" x14ac:dyDescent="0.2">
      <c r="A4460" s="1" t="str">
        <f>"001209"</f>
        <v>001209</v>
      </c>
      <c r="B4460" s="1" t="s">
        <v>2348</v>
      </c>
      <c r="C4460" s="1" t="s">
        <v>4909</v>
      </c>
    </row>
    <row r="4461" spans="1:3" x14ac:dyDescent="0.2">
      <c r="A4461" s="1" t="str">
        <f>"001208"</f>
        <v>001208</v>
      </c>
      <c r="B4461" s="1" t="s">
        <v>1453</v>
      </c>
      <c r="C4461" s="1" t="s">
        <v>4866</v>
      </c>
    </row>
    <row r="4462" spans="1:3" x14ac:dyDescent="0.2">
      <c r="A4462" s="1" t="str">
        <f>"001207"</f>
        <v>001207</v>
      </c>
      <c r="B4462" s="1" t="s">
        <v>2833</v>
      </c>
      <c r="C4462" s="1" t="s">
        <v>4906</v>
      </c>
    </row>
    <row r="4463" spans="1:3" x14ac:dyDescent="0.2">
      <c r="A4463" s="1" t="str">
        <f>"001206"</f>
        <v>001206</v>
      </c>
      <c r="B4463" s="1" t="s">
        <v>2303</v>
      </c>
      <c r="C4463" s="1" t="s">
        <v>4892</v>
      </c>
    </row>
    <row r="4464" spans="1:3" x14ac:dyDescent="0.2">
      <c r="A4464" s="1" t="str">
        <f>"001205"</f>
        <v>001205</v>
      </c>
      <c r="B4464" s="1" t="s">
        <v>213</v>
      </c>
      <c r="C4464" s="1" t="s">
        <v>4933</v>
      </c>
    </row>
    <row r="4465" spans="1:3" x14ac:dyDescent="0.2">
      <c r="A4465" s="1" t="str">
        <f>"001203"</f>
        <v>001203</v>
      </c>
      <c r="B4465" s="1" t="s">
        <v>2764</v>
      </c>
      <c r="C4465" s="1" t="s">
        <v>4947</v>
      </c>
    </row>
    <row r="4466" spans="1:3" x14ac:dyDescent="0.2">
      <c r="A4466" s="1" t="str">
        <f>"001202"</f>
        <v>001202</v>
      </c>
      <c r="B4466" s="1" t="s">
        <v>195</v>
      </c>
      <c r="C4466" s="1" t="s">
        <v>4914</v>
      </c>
    </row>
    <row r="4467" spans="1:3" x14ac:dyDescent="0.2">
      <c r="A4467" s="1" t="str">
        <f>"001201"</f>
        <v>001201</v>
      </c>
      <c r="B4467" s="1" t="s">
        <v>4702</v>
      </c>
      <c r="C4467" s="1" t="s">
        <v>4900</v>
      </c>
    </row>
    <row r="4468" spans="1:3" x14ac:dyDescent="0.2">
      <c r="A4468" s="1" t="str">
        <f>"000999"</f>
        <v>000999</v>
      </c>
      <c r="B4468" s="1" t="s">
        <v>1636</v>
      </c>
      <c r="C4468" s="1" t="s">
        <v>4917</v>
      </c>
    </row>
    <row r="4469" spans="1:3" x14ac:dyDescent="0.2">
      <c r="A4469" s="1" t="str">
        <f>"000998"</f>
        <v>000998</v>
      </c>
      <c r="B4469" s="1" t="s">
        <v>4703</v>
      </c>
      <c r="C4469" s="1" t="s">
        <v>4949</v>
      </c>
    </row>
    <row r="4470" spans="1:3" x14ac:dyDescent="0.2">
      <c r="A4470" s="1" t="str">
        <f>"000997"</f>
        <v>000997</v>
      </c>
      <c r="B4470" s="1" t="s">
        <v>627</v>
      </c>
      <c r="C4470" s="1" t="s">
        <v>4873</v>
      </c>
    </row>
    <row r="4471" spans="1:3" x14ac:dyDescent="0.2">
      <c r="A4471" s="1" t="str">
        <f>"000995"</f>
        <v>000995</v>
      </c>
      <c r="B4471" s="1" t="s">
        <v>2493</v>
      </c>
      <c r="C4471" s="1" t="s">
        <v>4921</v>
      </c>
    </row>
    <row r="4472" spans="1:3" x14ac:dyDescent="0.2">
      <c r="A4472" s="1" t="str">
        <f>"000993"</f>
        <v>000993</v>
      </c>
      <c r="B4472" s="1" t="s">
        <v>153</v>
      </c>
      <c r="C4472" s="1" t="s">
        <v>4889</v>
      </c>
    </row>
    <row r="4473" spans="1:3" x14ac:dyDescent="0.2">
      <c r="A4473" s="1" t="str">
        <f>"000990"</f>
        <v>000990</v>
      </c>
      <c r="B4473" s="1" t="s">
        <v>4704</v>
      </c>
      <c r="C4473" s="1" t="s">
        <v>4853</v>
      </c>
    </row>
    <row r="4474" spans="1:3" x14ac:dyDescent="0.2">
      <c r="A4474" s="1" t="str">
        <f>"000989"</f>
        <v>000989</v>
      </c>
      <c r="B4474" s="1" t="s">
        <v>1637</v>
      </c>
      <c r="C4474" s="1" t="s">
        <v>4917</v>
      </c>
    </row>
    <row r="4475" spans="1:3" x14ac:dyDescent="0.2">
      <c r="A4475" s="1" t="str">
        <f>"000988"</f>
        <v>000988</v>
      </c>
      <c r="B4475" s="1" t="s">
        <v>965</v>
      </c>
      <c r="C4475" s="1" t="s">
        <v>4849</v>
      </c>
    </row>
    <row r="4476" spans="1:3" x14ac:dyDescent="0.2">
      <c r="A4476" s="1" t="str">
        <f>"000987"</f>
        <v>000987</v>
      </c>
      <c r="B4476" s="1" t="s">
        <v>346</v>
      </c>
      <c r="C4476" s="1" t="s">
        <v>4938</v>
      </c>
    </row>
    <row r="4477" spans="1:3" x14ac:dyDescent="0.2">
      <c r="A4477" s="1" t="str">
        <f>"000985"</f>
        <v>000985</v>
      </c>
      <c r="B4477" s="1" t="s">
        <v>2892</v>
      </c>
      <c r="C4477" s="1" t="s">
        <v>4860</v>
      </c>
    </row>
    <row r="4478" spans="1:3" x14ac:dyDescent="0.2">
      <c r="A4478" s="1" t="str">
        <f>"000983"</f>
        <v>000983</v>
      </c>
      <c r="B4478" s="1" t="s">
        <v>4705</v>
      </c>
      <c r="C4478" s="1" t="s">
        <v>4951</v>
      </c>
    </row>
    <row r="4479" spans="1:3" x14ac:dyDescent="0.2">
      <c r="A4479" s="1" t="str">
        <f>"000981"</f>
        <v>000981</v>
      </c>
      <c r="B4479" s="1" t="s">
        <v>2032</v>
      </c>
      <c r="C4479" s="1" t="s">
        <v>4856</v>
      </c>
    </row>
    <row r="4480" spans="1:3" x14ac:dyDescent="0.2">
      <c r="A4480" s="1" t="str">
        <f>"000978"</f>
        <v>000978</v>
      </c>
      <c r="B4480" s="1" t="s">
        <v>4706</v>
      </c>
      <c r="C4480" s="1" t="s">
        <v>4940</v>
      </c>
    </row>
    <row r="4481" spans="1:3" x14ac:dyDescent="0.2">
      <c r="A4481" s="1" t="str">
        <f>"000977"</f>
        <v>000977</v>
      </c>
      <c r="B4481" s="1" t="s">
        <v>628</v>
      </c>
      <c r="C4481" s="1" t="s">
        <v>4873</v>
      </c>
    </row>
    <row r="4482" spans="1:3" x14ac:dyDescent="0.2">
      <c r="A4482" s="1" t="str">
        <f>"000975"</f>
        <v>000975</v>
      </c>
      <c r="B4482" s="1" t="s">
        <v>2682</v>
      </c>
      <c r="C4482" s="1" t="s">
        <v>4958</v>
      </c>
    </row>
    <row r="4483" spans="1:3" x14ac:dyDescent="0.2">
      <c r="A4483" s="1" t="str">
        <f>"000973"</f>
        <v>000973</v>
      </c>
      <c r="B4483" s="1" t="s">
        <v>2880</v>
      </c>
      <c r="C4483" s="1" t="s">
        <v>4860</v>
      </c>
    </row>
    <row r="4484" spans="1:3" x14ac:dyDescent="0.2">
      <c r="A4484" s="1" t="str">
        <f>"000970"</f>
        <v>000970</v>
      </c>
      <c r="B4484" s="1" t="s">
        <v>2638</v>
      </c>
      <c r="C4484" s="1" t="s">
        <v>4848</v>
      </c>
    </row>
    <row r="4485" spans="1:3" x14ac:dyDescent="0.2">
      <c r="A4485" s="1" t="str">
        <f>"000969"</f>
        <v>000969</v>
      </c>
      <c r="B4485" s="1" t="s">
        <v>2626</v>
      </c>
      <c r="C4485" s="1" t="s">
        <v>4848</v>
      </c>
    </row>
    <row r="4486" spans="1:3" x14ac:dyDescent="0.2">
      <c r="A4486" s="1" t="str">
        <f>"000968"</f>
        <v>000968</v>
      </c>
      <c r="B4486" s="1" t="s">
        <v>4707</v>
      </c>
      <c r="C4486" s="1" t="s">
        <v>4952</v>
      </c>
    </row>
    <row r="4487" spans="1:3" x14ac:dyDescent="0.2">
      <c r="A4487" s="1" t="str">
        <f>"000967"</f>
        <v>000967</v>
      </c>
      <c r="B4487" s="1" t="s">
        <v>80</v>
      </c>
      <c r="C4487" s="1" t="s">
        <v>4871</v>
      </c>
    </row>
    <row r="4488" spans="1:3" x14ac:dyDescent="0.2">
      <c r="A4488" s="1" t="str">
        <f>"000966"</f>
        <v>000966</v>
      </c>
      <c r="B4488" s="1" t="s">
        <v>4708</v>
      </c>
      <c r="C4488" s="1" t="s">
        <v>4889</v>
      </c>
    </row>
    <row r="4489" spans="1:3" x14ac:dyDescent="0.2">
      <c r="A4489" s="1" t="str">
        <f>"000963"</f>
        <v>000963</v>
      </c>
      <c r="B4489" s="1" t="s">
        <v>1862</v>
      </c>
      <c r="C4489" s="1" t="s">
        <v>4843</v>
      </c>
    </row>
    <row r="4490" spans="1:3" x14ac:dyDescent="0.2">
      <c r="A4490" s="1" t="str">
        <f>"000962"</f>
        <v>000962</v>
      </c>
      <c r="B4490" s="1" t="s">
        <v>2647</v>
      </c>
      <c r="C4490" s="1" t="s">
        <v>4855</v>
      </c>
    </row>
    <row r="4491" spans="1:3" x14ac:dyDescent="0.2">
      <c r="A4491" s="1" t="str">
        <f>"000960"</f>
        <v>000960</v>
      </c>
      <c r="B4491" s="1" t="s">
        <v>2648</v>
      </c>
      <c r="C4491" s="1" t="s">
        <v>4855</v>
      </c>
    </row>
    <row r="4492" spans="1:3" x14ac:dyDescent="0.2">
      <c r="A4492" s="1" t="str">
        <f>"000959"</f>
        <v>000959</v>
      </c>
      <c r="B4492" s="1" t="s">
        <v>2755</v>
      </c>
      <c r="C4492" s="1" t="s">
        <v>4908</v>
      </c>
    </row>
    <row r="4493" spans="1:3" x14ac:dyDescent="0.2">
      <c r="A4493" s="1" t="str">
        <f>"000958"</f>
        <v>000958</v>
      </c>
      <c r="B4493" s="1" t="s">
        <v>347</v>
      </c>
      <c r="C4493" s="1" t="s">
        <v>4938</v>
      </c>
    </row>
    <row r="4494" spans="1:3" x14ac:dyDescent="0.2">
      <c r="A4494" s="1" t="str">
        <f>"000957"</f>
        <v>000957</v>
      </c>
      <c r="B4494" s="1" t="s">
        <v>2076</v>
      </c>
      <c r="C4494" s="1" t="s">
        <v>4962</v>
      </c>
    </row>
    <row r="4495" spans="1:3" x14ac:dyDescent="0.2">
      <c r="A4495" s="1" t="str">
        <f>"000955"</f>
        <v>000955</v>
      </c>
      <c r="B4495" s="1" t="s">
        <v>4709</v>
      </c>
      <c r="C4495" s="1" t="s">
        <v>4904</v>
      </c>
    </row>
    <row r="4496" spans="1:3" x14ac:dyDescent="0.2">
      <c r="A4496" s="1" t="str">
        <f>"000953"</f>
        <v>000953</v>
      </c>
      <c r="B4496" s="1" t="s">
        <v>1807</v>
      </c>
      <c r="C4496" s="1" t="s">
        <v>4843</v>
      </c>
    </row>
    <row r="4497" spans="1:3" x14ac:dyDescent="0.2">
      <c r="A4497" s="1" t="str">
        <f>"000952"</f>
        <v>000952</v>
      </c>
      <c r="B4497" s="1" t="s">
        <v>4710</v>
      </c>
      <c r="C4497" s="1" t="s">
        <v>4843</v>
      </c>
    </row>
    <row r="4498" spans="1:3" x14ac:dyDescent="0.2">
      <c r="A4498" s="1" t="str">
        <f>"000951"</f>
        <v>000951</v>
      </c>
      <c r="B4498" s="1" t="s">
        <v>2082</v>
      </c>
      <c r="C4498" s="1" t="s">
        <v>4962</v>
      </c>
    </row>
    <row r="4499" spans="1:3" x14ac:dyDescent="0.2">
      <c r="A4499" s="1" t="str">
        <f>"000950"</f>
        <v>000950</v>
      </c>
      <c r="B4499" s="1" t="s">
        <v>1660</v>
      </c>
      <c r="C4499" s="1" t="s">
        <v>4903</v>
      </c>
    </row>
    <row r="4500" spans="1:3" x14ac:dyDescent="0.2">
      <c r="A4500" s="1" t="str">
        <f>"000949"</f>
        <v>000949</v>
      </c>
      <c r="B4500" s="1" t="s">
        <v>3052</v>
      </c>
      <c r="C4500" s="1" t="s">
        <v>4858</v>
      </c>
    </row>
    <row r="4501" spans="1:3" x14ac:dyDescent="0.2">
      <c r="A4501" s="1" t="str">
        <f>"000948"</f>
        <v>000948</v>
      </c>
      <c r="B4501" s="1" t="s">
        <v>4711</v>
      </c>
      <c r="C4501" s="1" t="s">
        <v>4847</v>
      </c>
    </row>
    <row r="4502" spans="1:3" x14ac:dyDescent="0.2">
      <c r="A4502" s="1" t="str">
        <f>"000938"</f>
        <v>000938</v>
      </c>
      <c r="B4502" s="1" t="s">
        <v>629</v>
      </c>
      <c r="C4502" s="1" t="s">
        <v>4873</v>
      </c>
    </row>
    <row r="4503" spans="1:3" x14ac:dyDescent="0.2">
      <c r="A4503" s="1" t="str">
        <f>"000937"</f>
        <v>000937</v>
      </c>
      <c r="B4503" s="1" t="s">
        <v>4712</v>
      </c>
      <c r="C4503" s="1" t="s">
        <v>4951</v>
      </c>
    </row>
    <row r="4504" spans="1:3" x14ac:dyDescent="0.2">
      <c r="A4504" s="1" t="str">
        <f>"000936"</f>
        <v>000936</v>
      </c>
      <c r="B4504" s="1" t="s">
        <v>3061</v>
      </c>
      <c r="C4504" s="1" t="s">
        <v>4858</v>
      </c>
    </row>
    <row r="4505" spans="1:3" x14ac:dyDescent="0.2">
      <c r="A4505" s="1" t="str">
        <f>"000935"</f>
        <v>000935</v>
      </c>
      <c r="B4505" s="1" t="s">
        <v>4713</v>
      </c>
      <c r="C4505" s="1" t="s">
        <v>4911</v>
      </c>
    </row>
    <row r="4506" spans="1:3" x14ac:dyDescent="0.2">
      <c r="A4506" s="1" t="str">
        <f>"000933"</f>
        <v>000933</v>
      </c>
      <c r="B4506" s="1" t="s">
        <v>2718</v>
      </c>
      <c r="C4506" s="1" t="s">
        <v>4879</v>
      </c>
    </row>
    <row r="4507" spans="1:3" x14ac:dyDescent="0.2">
      <c r="A4507" s="1" t="str">
        <f>"000932"</f>
        <v>000932</v>
      </c>
      <c r="B4507" s="1" t="s">
        <v>2756</v>
      </c>
      <c r="C4507" s="1" t="s">
        <v>4908</v>
      </c>
    </row>
    <row r="4508" spans="1:3" x14ac:dyDescent="0.2">
      <c r="A4508" s="1" t="str">
        <f>"000931"</f>
        <v>000931</v>
      </c>
      <c r="B4508" s="1" t="s">
        <v>1863</v>
      </c>
      <c r="C4508" s="1" t="s">
        <v>4843</v>
      </c>
    </row>
    <row r="4509" spans="1:3" x14ac:dyDescent="0.2">
      <c r="A4509" s="1" t="str">
        <f>"000930"</f>
        <v>000930</v>
      </c>
      <c r="B4509" s="1" t="s">
        <v>2524</v>
      </c>
      <c r="C4509" s="1" t="s">
        <v>4936</v>
      </c>
    </row>
    <row r="4510" spans="1:3" x14ac:dyDescent="0.2">
      <c r="A4510" s="1" t="str">
        <f>"000928"</f>
        <v>000928</v>
      </c>
      <c r="B4510" s="1" t="s">
        <v>329</v>
      </c>
      <c r="C4510" s="1" t="s">
        <v>4888</v>
      </c>
    </row>
    <row r="4511" spans="1:3" x14ac:dyDescent="0.2">
      <c r="A4511" s="1" t="str">
        <f>"000927"</f>
        <v>000927</v>
      </c>
      <c r="B4511" s="1" t="s">
        <v>196</v>
      </c>
      <c r="C4511" s="1" t="s">
        <v>4914</v>
      </c>
    </row>
    <row r="4512" spans="1:3" x14ac:dyDescent="0.2">
      <c r="A4512" s="1" t="str">
        <f>"000926"</f>
        <v>000926</v>
      </c>
      <c r="B4512" s="1" t="s">
        <v>4714</v>
      </c>
      <c r="C4512" s="1" t="s">
        <v>4957</v>
      </c>
    </row>
    <row r="4513" spans="1:3" x14ac:dyDescent="0.2">
      <c r="A4513" s="1" t="str">
        <f>"000925"</f>
        <v>000925</v>
      </c>
      <c r="B4513" s="1" t="s">
        <v>4715</v>
      </c>
      <c r="C4513" s="1" t="s">
        <v>4875</v>
      </c>
    </row>
    <row r="4514" spans="1:3" x14ac:dyDescent="0.2">
      <c r="A4514" s="1" t="str">
        <f>"000923"</f>
        <v>000923</v>
      </c>
      <c r="B4514" s="1" t="s">
        <v>2765</v>
      </c>
      <c r="C4514" s="1" t="s">
        <v>4947</v>
      </c>
    </row>
    <row r="4515" spans="1:3" x14ac:dyDescent="0.2">
      <c r="A4515" s="1" t="str">
        <f>"000922"</f>
        <v>000922</v>
      </c>
      <c r="B4515" s="1" t="s">
        <v>1583</v>
      </c>
      <c r="C4515" s="1" t="s">
        <v>4919</v>
      </c>
    </row>
    <row r="4516" spans="1:3" x14ac:dyDescent="0.2">
      <c r="A4516" s="1" t="str">
        <f>"000921"</f>
        <v>000921</v>
      </c>
      <c r="B4516" s="1" t="s">
        <v>2190</v>
      </c>
      <c r="C4516" s="1" t="s">
        <v>4960</v>
      </c>
    </row>
    <row r="4517" spans="1:3" x14ac:dyDescent="0.2">
      <c r="A4517" s="1" t="str">
        <f>"000920"</f>
        <v>000920</v>
      </c>
      <c r="B4517" s="1" t="s">
        <v>2847</v>
      </c>
      <c r="C4517" s="1" t="s">
        <v>4860</v>
      </c>
    </row>
    <row r="4518" spans="1:3" x14ac:dyDescent="0.2">
      <c r="A4518" s="1" t="str">
        <f>"000919"</f>
        <v>000919</v>
      </c>
      <c r="B4518" s="1" t="s">
        <v>1864</v>
      </c>
      <c r="C4518" s="1" t="s">
        <v>4843</v>
      </c>
    </row>
    <row r="4519" spans="1:3" x14ac:dyDescent="0.2">
      <c r="A4519" s="1" t="str">
        <f>"000917"</f>
        <v>000917</v>
      </c>
      <c r="B4519" s="1" t="s">
        <v>485</v>
      </c>
      <c r="C4519" s="1" t="s">
        <v>4907</v>
      </c>
    </row>
    <row r="4520" spans="1:3" x14ac:dyDescent="0.2">
      <c r="A4520" s="1" t="str">
        <f>"000915"</f>
        <v>000915</v>
      </c>
      <c r="B4520" s="1" t="s">
        <v>1865</v>
      </c>
      <c r="C4520" s="1" t="s">
        <v>4843</v>
      </c>
    </row>
    <row r="4521" spans="1:3" x14ac:dyDescent="0.2">
      <c r="A4521" s="1" t="str">
        <f>"000913"</f>
        <v>000913</v>
      </c>
      <c r="B4521" s="1" t="s">
        <v>1881</v>
      </c>
      <c r="C4521" s="1" t="s">
        <v>4839</v>
      </c>
    </row>
    <row r="4522" spans="1:3" x14ac:dyDescent="0.2">
      <c r="A4522" s="1" t="str">
        <f>"000912"</f>
        <v>000912</v>
      </c>
      <c r="B4522" s="1" t="s">
        <v>2795</v>
      </c>
      <c r="C4522" s="1" t="s">
        <v>4915</v>
      </c>
    </row>
    <row r="4523" spans="1:3" x14ac:dyDescent="0.2">
      <c r="A4523" s="1" t="str">
        <f>"000911"</f>
        <v>000911</v>
      </c>
      <c r="B4523" s="1" t="s">
        <v>2414</v>
      </c>
      <c r="C4523" s="1" t="s">
        <v>4891</v>
      </c>
    </row>
    <row r="4524" spans="1:3" x14ac:dyDescent="0.2">
      <c r="A4524" s="1" t="str">
        <f>"000910"</f>
        <v>000910</v>
      </c>
      <c r="B4524" s="1" t="s">
        <v>4716</v>
      </c>
      <c r="C4524" s="1" t="s">
        <v>4902</v>
      </c>
    </row>
    <row r="4525" spans="1:3" x14ac:dyDescent="0.2">
      <c r="A4525" s="1" t="str">
        <f>"000906"</f>
        <v>000906</v>
      </c>
      <c r="B4525" s="1" t="s">
        <v>197</v>
      </c>
      <c r="C4525" s="1" t="s">
        <v>4914</v>
      </c>
    </row>
    <row r="4526" spans="1:3" x14ac:dyDescent="0.2">
      <c r="A4526" s="1" t="str">
        <f>"000905"</f>
        <v>000905</v>
      </c>
      <c r="B4526" s="1" t="s">
        <v>226</v>
      </c>
      <c r="C4526" s="1" t="s">
        <v>4933</v>
      </c>
    </row>
    <row r="4527" spans="1:3" x14ac:dyDescent="0.2">
      <c r="A4527" s="1" t="str">
        <f>"000902"</f>
        <v>000902</v>
      </c>
      <c r="B4527" s="1" t="s">
        <v>2784</v>
      </c>
      <c r="C4527" s="1" t="s">
        <v>4915</v>
      </c>
    </row>
    <row r="4528" spans="1:3" x14ac:dyDescent="0.2">
      <c r="A4528" s="1" t="str">
        <f>"000901"</f>
        <v>000901</v>
      </c>
      <c r="B4528" s="1" t="s">
        <v>4717</v>
      </c>
      <c r="C4528" s="1" t="s">
        <v>4856</v>
      </c>
    </row>
    <row r="4529" spans="1:3" x14ac:dyDescent="0.2">
      <c r="A4529" s="1" t="str">
        <f>"000900"</f>
        <v>000900</v>
      </c>
      <c r="B4529" s="1" t="s">
        <v>257</v>
      </c>
      <c r="C4529" s="1" t="s">
        <v>4943</v>
      </c>
    </row>
    <row r="4530" spans="1:3" x14ac:dyDescent="0.2">
      <c r="A4530" s="1" t="str">
        <f>"000899"</f>
        <v>000899</v>
      </c>
      <c r="B4530" s="1" t="s">
        <v>4718</v>
      </c>
      <c r="C4530" s="1" t="s">
        <v>4889</v>
      </c>
    </row>
    <row r="4531" spans="1:3" x14ac:dyDescent="0.2">
      <c r="A4531" s="1" t="str">
        <f>"000898"</f>
        <v>000898</v>
      </c>
      <c r="B4531" s="1" t="s">
        <v>4719</v>
      </c>
      <c r="C4531" s="1" t="s">
        <v>4908</v>
      </c>
    </row>
    <row r="4532" spans="1:3" x14ac:dyDescent="0.2">
      <c r="A4532" s="1" t="str">
        <f>"000897"</f>
        <v>000897</v>
      </c>
      <c r="B4532" s="1" t="s">
        <v>4720</v>
      </c>
      <c r="C4532" s="1" t="s">
        <v>4957</v>
      </c>
    </row>
    <row r="4533" spans="1:3" x14ac:dyDescent="0.2">
      <c r="A4533" s="1" t="str">
        <f>"000895"</f>
        <v>000895</v>
      </c>
      <c r="B4533" s="1" t="s">
        <v>2422</v>
      </c>
      <c r="C4533" s="1" t="s">
        <v>4891</v>
      </c>
    </row>
    <row r="4534" spans="1:3" x14ac:dyDescent="0.2">
      <c r="A4534" s="1" t="str">
        <f>"000893"</f>
        <v>000893</v>
      </c>
      <c r="B4534" s="1" t="s">
        <v>2786</v>
      </c>
      <c r="C4534" s="1" t="s">
        <v>4915</v>
      </c>
    </row>
    <row r="4535" spans="1:3" x14ac:dyDescent="0.2">
      <c r="A4535" s="1" t="str">
        <f>"000892"</f>
        <v>000892</v>
      </c>
      <c r="B4535" s="1" t="s">
        <v>4721</v>
      </c>
      <c r="C4535" s="1" t="s">
        <v>4941</v>
      </c>
    </row>
    <row r="4536" spans="1:3" x14ac:dyDescent="0.2">
      <c r="A4536" s="1" t="str">
        <f>"000889"</f>
        <v>000889</v>
      </c>
      <c r="B4536" s="1" t="s">
        <v>4722</v>
      </c>
      <c r="C4536" s="1" t="s">
        <v>4932</v>
      </c>
    </row>
    <row r="4537" spans="1:3" x14ac:dyDescent="0.2">
      <c r="A4537" s="1" t="str">
        <f>"000888"</f>
        <v>000888</v>
      </c>
      <c r="B4537" s="1" t="s">
        <v>289</v>
      </c>
      <c r="C4537" s="1" t="s">
        <v>4940</v>
      </c>
    </row>
    <row r="4538" spans="1:3" x14ac:dyDescent="0.2">
      <c r="A4538" s="1" t="str">
        <f>"000887"</f>
        <v>000887</v>
      </c>
      <c r="B4538" s="1" t="s">
        <v>1947</v>
      </c>
      <c r="C4538" s="1" t="s">
        <v>4856</v>
      </c>
    </row>
    <row r="4539" spans="1:3" x14ac:dyDescent="0.2">
      <c r="A4539" s="1" t="str">
        <f>"000886"</f>
        <v>000886</v>
      </c>
      <c r="B4539" s="1" t="s">
        <v>4723</v>
      </c>
      <c r="C4539" s="1" t="s">
        <v>4957</v>
      </c>
    </row>
    <row r="4540" spans="1:3" x14ac:dyDescent="0.2">
      <c r="A4540" s="1" t="str">
        <f>"000885"</f>
        <v>000885</v>
      </c>
      <c r="B4540" s="1" t="s">
        <v>38</v>
      </c>
      <c r="C4540" s="1" t="s">
        <v>4863</v>
      </c>
    </row>
    <row r="4541" spans="1:3" x14ac:dyDescent="0.2">
      <c r="A4541" s="1" t="str">
        <f>"000883"</f>
        <v>000883</v>
      </c>
      <c r="B4541" s="1" t="s">
        <v>154</v>
      </c>
      <c r="C4541" s="1" t="s">
        <v>4889</v>
      </c>
    </row>
    <row r="4542" spans="1:3" x14ac:dyDescent="0.2">
      <c r="A4542" s="1" t="str">
        <f>"000882"</f>
        <v>000882</v>
      </c>
      <c r="B4542" s="1" t="s">
        <v>4724</v>
      </c>
      <c r="C4542" s="1" t="s">
        <v>4905</v>
      </c>
    </row>
    <row r="4543" spans="1:3" x14ac:dyDescent="0.2">
      <c r="A4543" s="1" t="str">
        <f>"000881"</f>
        <v>000881</v>
      </c>
      <c r="B4543" s="1" t="s">
        <v>4725</v>
      </c>
      <c r="C4543" s="1" t="s">
        <v>4865</v>
      </c>
    </row>
    <row r="4544" spans="1:3" x14ac:dyDescent="0.2">
      <c r="A4544" s="1" t="str">
        <f>"000880"</f>
        <v>000880</v>
      </c>
      <c r="B4544" s="1" t="s">
        <v>4726</v>
      </c>
      <c r="C4544" s="1" t="s">
        <v>4851</v>
      </c>
    </row>
    <row r="4545" spans="1:3" x14ac:dyDescent="0.2">
      <c r="A4545" s="1" t="str">
        <f>"000878"</f>
        <v>000878</v>
      </c>
      <c r="B4545" s="1" t="s">
        <v>2733</v>
      </c>
      <c r="C4545" s="1" t="s">
        <v>4879</v>
      </c>
    </row>
    <row r="4546" spans="1:3" x14ac:dyDescent="0.2">
      <c r="A4546" s="1" t="str">
        <f>"000877"</f>
        <v>000877</v>
      </c>
      <c r="B4546" s="1" t="s">
        <v>4727</v>
      </c>
      <c r="C4546" s="1" t="s">
        <v>4911</v>
      </c>
    </row>
    <row r="4547" spans="1:3" x14ac:dyDescent="0.2">
      <c r="A4547" s="1" t="str">
        <f>"000876"</f>
        <v>000876</v>
      </c>
      <c r="B4547" s="1" t="s">
        <v>2545</v>
      </c>
      <c r="C4547" s="1" t="s">
        <v>4885</v>
      </c>
    </row>
    <row r="4548" spans="1:3" x14ac:dyDescent="0.2">
      <c r="A4548" s="1" t="str">
        <f>"000875"</f>
        <v>000875</v>
      </c>
      <c r="B4548" s="1" t="s">
        <v>4728</v>
      </c>
      <c r="C4548" s="1" t="s">
        <v>4889</v>
      </c>
    </row>
    <row r="4549" spans="1:3" x14ac:dyDescent="0.2">
      <c r="A4549" s="1" t="str">
        <f>"000869"</f>
        <v>000869</v>
      </c>
      <c r="B4549" s="1" t="s">
        <v>2505</v>
      </c>
      <c r="C4549" s="1" t="s">
        <v>4921</v>
      </c>
    </row>
    <row r="4550" spans="1:3" x14ac:dyDescent="0.2">
      <c r="A4550" s="1" t="str">
        <f>"000868"</f>
        <v>000868</v>
      </c>
      <c r="B4550" s="1" t="s">
        <v>2077</v>
      </c>
      <c r="C4550" s="1" t="s">
        <v>4962</v>
      </c>
    </row>
    <row r="4551" spans="1:3" x14ac:dyDescent="0.2">
      <c r="A4551" s="1" t="str">
        <f>"000863"</f>
        <v>000863</v>
      </c>
      <c r="B4551" s="1" t="s">
        <v>4729</v>
      </c>
      <c r="C4551" s="1" t="s">
        <v>4957</v>
      </c>
    </row>
    <row r="4552" spans="1:3" x14ac:dyDescent="0.2">
      <c r="A4552" s="1" t="str">
        <f>"000862"</f>
        <v>000862</v>
      </c>
      <c r="B4552" s="1" t="s">
        <v>138</v>
      </c>
      <c r="C4552" s="1" t="s">
        <v>4889</v>
      </c>
    </row>
    <row r="4553" spans="1:3" x14ac:dyDescent="0.2">
      <c r="A4553" s="1" t="str">
        <f>"000860"</f>
        <v>000860</v>
      </c>
      <c r="B4553" s="1" t="s">
        <v>2494</v>
      </c>
      <c r="C4553" s="1" t="s">
        <v>4921</v>
      </c>
    </row>
    <row r="4554" spans="1:3" x14ac:dyDescent="0.2">
      <c r="A4554" s="1" t="str">
        <f>"000859"</f>
        <v>000859</v>
      </c>
      <c r="B4554" s="1" t="s">
        <v>4730</v>
      </c>
      <c r="C4554" s="1" t="s">
        <v>4860</v>
      </c>
    </row>
    <row r="4555" spans="1:3" x14ac:dyDescent="0.2">
      <c r="A4555" s="1" t="str">
        <f>"000858"</f>
        <v>000858</v>
      </c>
      <c r="B4555" s="1" t="s">
        <v>2495</v>
      </c>
      <c r="C4555" s="1" t="s">
        <v>4921</v>
      </c>
    </row>
    <row r="4556" spans="1:3" x14ac:dyDescent="0.2">
      <c r="A4556" s="1" t="str">
        <f>"000856"</f>
        <v>000856</v>
      </c>
      <c r="B4556" s="1" t="s">
        <v>4731</v>
      </c>
      <c r="C4556" s="1" t="s">
        <v>4845</v>
      </c>
    </row>
    <row r="4557" spans="1:3" x14ac:dyDescent="0.2">
      <c r="A4557" s="1" t="str">
        <f>"000852"</f>
        <v>000852</v>
      </c>
      <c r="B4557" s="1" t="s">
        <v>1141</v>
      </c>
      <c r="C4557" s="1" t="s">
        <v>4845</v>
      </c>
    </row>
    <row r="4558" spans="1:3" x14ac:dyDescent="0.2">
      <c r="A4558" s="1" t="str">
        <f>"000850"</f>
        <v>000850</v>
      </c>
      <c r="B4558" s="1" t="s">
        <v>4732</v>
      </c>
      <c r="C4558" s="1" t="s">
        <v>4904</v>
      </c>
    </row>
    <row r="4559" spans="1:3" x14ac:dyDescent="0.2">
      <c r="A4559" s="1" t="str">
        <f>"000848"</f>
        <v>000848</v>
      </c>
      <c r="B4559" s="1" t="s">
        <v>2480</v>
      </c>
      <c r="C4559" s="1" t="s">
        <v>4893</v>
      </c>
    </row>
    <row r="4560" spans="1:3" x14ac:dyDescent="0.2">
      <c r="A4560" s="1" t="str">
        <f>"000839"</f>
        <v>000839</v>
      </c>
      <c r="B4560" s="1" t="s">
        <v>4733</v>
      </c>
      <c r="C4560" s="1" t="s">
        <v>4954</v>
      </c>
    </row>
    <row r="4561" spans="1:3" x14ac:dyDescent="0.2">
      <c r="A4561" s="1" t="str">
        <f>"000838"</f>
        <v>000838</v>
      </c>
      <c r="B4561" s="1" t="s">
        <v>4734</v>
      </c>
      <c r="C4561" s="1" t="s">
        <v>4957</v>
      </c>
    </row>
    <row r="4562" spans="1:3" x14ac:dyDescent="0.2">
      <c r="A4562" s="1" t="str">
        <f>"000837"</f>
        <v>000837</v>
      </c>
      <c r="B4562" s="1" t="s">
        <v>1264</v>
      </c>
      <c r="C4562" s="1" t="s">
        <v>4851</v>
      </c>
    </row>
    <row r="4563" spans="1:3" x14ac:dyDescent="0.2">
      <c r="A4563" s="1" t="str">
        <f>"000833"</f>
        <v>000833</v>
      </c>
      <c r="B4563" s="1" t="s">
        <v>7</v>
      </c>
      <c r="C4563" s="1" t="s">
        <v>4961</v>
      </c>
    </row>
    <row r="4564" spans="1:3" x14ac:dyDescent="0.2">
      <c r="A4564" s="1" t="str">
        <f>"000831"</f>
        <v>000831</v>
      </c>
      <c r="B4564" s="1" t="s">
        <v>2661</v>
      </c>
      <c r="C4564" s="1" t="s">
        <v>4855</v>
      </c>
    </row>
    <row r="4565" spans="1:3" x14ac:dyDescent="0.2">
      <c r="A4565" s="1" t="str">
        <f>"000830"</f>
        <v>000830</v>
      </c>
      <c r="B4565" s="1" t="s">
        <v>4735</v>
      </c>
      <c r="C4565" s="1" t="s">
        <v>4853</v>
      </c>
    </row>
    <row r="4566" spans="1:3" x14ac:dyDescent="0.2">
      <c r="A4566" s="1" t="str">
        <f>"000829"</f>
        <v>000829</v>
      </c>
      <c r="B4566" s="1" t="s">
        <v>4736</v>
      </c>
      <c r="C4566" s="1" t="s">
        <v>4939</v>
      </c>
    </row>
    <row r="4567" spans="1:3" x14ac:dyDescent="0.2">
      <c r="A4567" s="1" t="str">
        <f>"000828"</f>
        <v>000828</v>
      </c>
      <c r="B4567" s="1" t="s">
        <v>258</v>
      </c>
      <c r="C4567" s="1" t="s">
        <v>4943</v>
      </c>
    </row>
    <row r="4568" spans="1:3" x14ac:dyDescent="0.2">
      <c r="A4568" s="1" t="str">
        <f>"000826"</f>
        <v>000826</v>
      </c>
      <c r="B4568" s="1" t="s">
        <v>4737</v>
      </c>
      <c r="C4568" s="1" t="s">
        <v>4863</v>
      </c>
    </row>
    <row r="4569" spans="1:3" x14ac:dyDescent="0.2">
      <c r="A4569" s="1" t="str">
        <f>"000825"</f>
        <v>000825</v>
      </c>
      <c r="B4569" s="1" t="s">
        <v>2743</v>
      </c>
      <c r="C4569" s="1" t="s">
        <v>4918</v>
      </c>
    </row>
    <row r="4570" spans="1:3" x14ac:dyDescent="0.2">
      <c r="A4570" s="1" t="str">
        <f>"000823"</f>
        <v>000823</v>
      </c>
      <c r="B4570" s="1" t="s">
        <v>777</v>
      </c>
      <c r="C4570" s="1" t="s">
        <v>4872</v>
      </c>
    </row>
    <row r="4571" spans="1:3" x14ac:dyDescent="0.2">
      <c r="A4571" s="1" t="str">
        <f>"000822"</f>
        <v>000822</v>
      </c>
      <c r="B4571" s="1" t="s">
        <v>4738</v>
      </c>
      <c r="C4571" s="1" t="s">
        <v>4853</v>
      </c>
    </row>
    <row r="4572" spans="1:3" x14ac:dyDescent="0.2">
      <c r="A4572" s="1" t="str">
        <f>"000821"</f>
        <v>000821</v>
      </c>
      <c r="B4572" s="1" t="s">
        <v>1406</v>
      </c>
      <c r="C4572" s="1" t="s">
        <v>4857</v>
      </c>
    </row>
    <row r="4573" spans="1:3" x14ac:dyDescent="0.2">
      <c r="A4573" s="1" t="str">
        <f>"000819"</f>
        <v>000819</v>
      </c>
      <c r="B4573" s="1" t="s">
        <v>3086</v>
      </c>
      <c r="C4573" s="1" t="s">
        <v>4925</v>
      </c>
    </row>
    <row r="4574" spans="1:3" x14ac:dyDescent="0.2">
      <c r="A4574" s="1" t="str">
        <f>"000818"</f>
        <v>000818</v>
      </c>
      <c r="B4574" s="1" t="s">
        <v>3039</v>
      </c>
      <c r="C4574" s="1" t="s">
        <v>4853</v>
      </c>
    </row>
    <row r="4575" spans="1:3" x14ac:dyDescent="0.2">
      <c r="A4575" s="1" t="str">
        <f>"000816"</f>
        <v>000816</v>
      </c>
      <c r="B4575" s="1" t="s">
        <v>4739</v>
      </c>
      <c r="C4575" s="1" t="s">
        <v>4851</v>
      </c>
    </row>
    <row r="4576" spans="1:3" x14ac:dyDescent="0.2">
      <c r="A4576" s="1" t="str">
        <f>"000815"</f>
        <v>000815</v>
      </c>
      <c r="B4576" s="1" t="s">
        <v>2311</v>
      </c>
      <c r="C4576" s="1" t="s">
        <v>4874</v>
      </c>
    </row>
    <row r="4577" spans="1:3" x14ac:dyDescent="0.2">
      <c r="A4577" s="1" t="str">
        <f>"000813"</f>
        <v>000813</v>
      </c>
      <c r="B4577" s="1" t="s">
        <v>4740</v>
      </c>
      <c r="C4577" s="1" t="s">
        <v>4843</v>
      </c>
    </row>
    <row r="4578" spans="1:3" x14ac:dyDescent="0.2">
      <c r="A4578" s="1" t="str">
        <f>"000812"</f>
        <v>000812</v>
      </c>
      <c r="B4578" s="1" t="s">
        <v>2273</v>
      </c>
      <c r="C4578" s="1" t="s">
        <v>4930</v>
      </c>
    </row>
    <row r="4579" spans="1:3" x14ac:dyDescent="0.2">
      <c r="A4579" s="1" t="str">
        <f>"000811"</f>
        <v>000811</v>
      </c>
      <c r="B4579" s="1" t="s">
        <v>1183</v>
      </c>
      <c r="C4579" s="1" t="s">
        <v>4851</v>
      </c>
    </row>
    <row r="4580" spans="1:3" x14ac:dyDescent="0.2">
      <c r="A4580" s="1" t="str">
        <f>"000810"</f>
        <v>000810</v>
      </c>
      <c r="B4580" s="1" t="s">
        <v>4741</v>
      </c>
      <c r="C4580" s="1" t="s">
        <v>4864</v>
      </c>
    </row>
    <row r="4581" spans="1:3" x14ac:dyDescent="0.2">
      <c r="A4581" s="1" t="str">
        <f>"000807"</f>
        <v>000807</v>
      </c>
      <c r="B4581" s="1" t="s">
        <v>2719</v>
      </c>
      <c r="C4581" s="1" t="s">
        <v>4879</v>
      </c>
    </row>
    <row r="4582" spans="1:3" x14ac:dyDescent="0.2">
      <c r="A4582" s="1" t="str">
        <f>"000803"</f>
        <v>000803</v>
      </c>
      <c r="B4582" s="1" t="s">
        <v>39</v>
      </c>
      <c r="C4582" s="1" t="s">
        <v>4863</v>
      </c>
    </row>
    <row r="4583" spans="1:3" x14ac:dyDescent="0.2">
      <c r="A4583" s="1" t="str">
        <f>"000801"</f>
        <v>000801</v>
      </c>
      <c r="B4583" s="1" t="s">
        <v>2178</v>
      </c>
      <c r="C4583" s="1" t="s">
        <v>4864</v>
      </c>
    </row>
    <row r="4584" spans="1:3" x14ac:dyDescent="0.2">
      <c r="A4584" s="1" t="str">
        <f>"000800"</f>
        <v>000800</v>
      </c>
      <c r="B4584" s="1" t="s">
        <v>4742</v>
      </c>
      <c r="C4584" s="1" t="s">
        <v>4962</v>
      </c>
    </row>
    <row r="4585" spans="1:3" x14ac:dyDescent="0.2">
      <c r="A4585" s="1" t="str">
        <f>"000799"</f>
        <v>000799</v>
      </c>
      <c r="B4585" s="1" t="s">
        <v>2496</v>
      </c>
      <c r="C4585" s="1" t="s">
        <v>4921</v>
      </c>
    </row>
    <row r="4586" spans="1:3" x14ac:dyDescent="0.2">
      <c r="A4586" s="1" t="str">
        <f>"000798"</f>
        <v>000798</v>
      </c>
      <c r="B4586" s="1" t="s">
        <v>4743</v>
      </c>
      <c r="C4586" s="1" t="s">
        <v>4963</v>
      </c>
    </row>
    <row r="4587" spans="1:3" x14ac:dyDescent="0.2">
      <c r="A4587" s="1" t="str">
        <f>"000797"</f>
        <v>000797</v>
      </c>
      <c r="B4587" s="1" t="s">
        <v>4744</v>
      </c>
      <c r="C4587" s="1" t="s">
        <v>4957</v>
      </c>
    </row>
    <row r="4588" spans="1:3" x14ac:dyDescent="0.2">
      <c r="A4588" s="1" t="str">
        <f>"000796"</f>
        <v>000796</v>
      </c>
      <c r="B4588" s="1" t="s">
        <v>4745</v>
      </c>
      <c r="C4588" s="1" t="s">
        <v>4940</v>
      </c>
    </row>
    <row r="4589" spans="1:3" x14ac:dyDescent="0.2">
      <c r="A4589" s="1" t="str">
        <f>"000795"</f>
        <v>000795</v>
      </c>
      <c r="B4589" s="1" t="s">
        <v>2639</v>
      </c>
      <c r="C4589" s="1" t="s">
        <v>4848</v>
      </c>
    </row>
    <row r="4590" spans="1:3" x14ac:dyDescent="0.2">
      <c r="A4590" s="1" t="str">
        <f>"000792"</f>
        <v>000792</v>
      </c>
      <c r="B4590" s="1" t="s">
        <v>2787</v>
      </c>
      <c r="C4590" s="1" t="s">
        <v>4915</v>
      </c>
    </row>
    <row r="4591" spans="1:3" x14ac:dyDescent="0.2">
      <c r="A4591" s="1" t="str">
        <f>"000791"</f>
        <v>000791</v>
      </c>
      <c r="B4591" s="1" t="s">
        <v>155</v>
      </c>
      <c r="C4591" s="1" t="s">
        <v>4889</v>
      </c>
    </row>
    <row r="4592" spans="1:3" x14ac:dyDescent="0.2">
      <c r="A4592" s="1" t="str">
        <f>"000790"</f>
        <v>000790</v>
      </c>
      <c r="B4592" s="1" t="s">
        <v>4746</v>
      </c>
      <c r="C4592" s="1" t="s">
        <v>4917</v>
      </c>
    </row>
    <row r="4593" spans="1:3" x14ac:dyDescent="0.2">
      <c r="A4593" s="1" t="str">
        <f>"000789"</f>
        <v>000789</v>
      </c>
      <c r="B4593" s="1" t="s">
        <v>4747</v>
      </c>
      <c r="C4593" s="1" t="s">
        <v>4911</v>
      </c>
    </row>
    <row r="4594" spans="1:3" x14ac:dyDescent="0.2">
      <c r="A4594" s="1" t="str">
        <f>"000788"</f>
        <v>000788</v>
      </c>
      <c r="B4594" s="1" t="s">
        <v>1866</v>
      </c>
      <c r="C4594" s="1" t="s">
        <v>4843</v>
      </c>
    </row>
    <row r="4595" spans="1:3" x14ac:dyDescent="0.2">
      <c r="A4595" s="1" t="str">
        <f>"000786"</f>
        <v>000786</v>
      </c>
      <c r="B4595" s="1" t="s">
        <v>2587</v>
      </c>
      <c r="C4595" s="1" t="s">
        <v>4886</v>
      </c>
    </row>
    <row r="4596" spans="1:3" x14ac:dyDescent="0.2">
      <c r="A4596" s="1" t="str">
        <f>"000785"</f>
        <v>000785</v>
      </c>
      <c r="B4596" s="1" t="s">
        <v>4748</v>
      </c>
      <c r="C4596" s="1" t="s">
        <v>4931</v>
      </c>
    </row>
    <row r="4597" spans="1:3" x14ac:dyDescent="0.2">
      <c r="A4597" s="1" t="str">
        <f>"000783"</f>
        <v>000783</v>
      </c>
      <c r="B4597" s="1" t="s">
        <v>408</v>
      </c>
      <c r="C4597" s="1" t="s">
        <v>4945</v>
      </c>
    </row>
    <row r="4598" spans="1:3" x14ac:dyDescent="0.2">
      <c r="A4598" s="1" t="str">
        <f>"000782"</f>
        <v>000782</v>
      </c>
      <c r="B4598" s="1" t="s">
        <v>3048</v>
      </c>
      <c r="C4598" s="1" t="s">
        <v>4858</v>
      </c>
    </row>
    <row r="4599" spans="1:3" x14ac:dyDescent="0.2">
      <c r="A4599" s="1" t="str">
        <f>"000779"</f>
        <v>000779</v>
      </c>
      <c r="B4599" s="1" t="s">
        <v>4749</v>
      </c>
      <c r="C4599" s="1" t="s">
        <v>4922</v>
      </c>
    </row>
    <row r="4600" spans="1:3" x14ac:dyDescent="0.2">
      <c r="A4600" s="1" t="str">
        <f>"000778"</f>
        <v>000778</v>
      </c>
      <c r="B4600" s="1" t="s">
        <v>2747</v>
      </c>
      <c r="C4600" s="1" t="s">
        <v>4908</v>
      </c>
    </row>
    <row r="4601" spans="1:3" x14ac:dyDescent="0.2">
      <c r="A4601" s="1" t="str">
        <f>"000777"</f>
        <v>000777</v>
      </c>
      <c r="B4601" s="1" t="s">
        <v>1252</v>
      </c>
      <c r="C4601" s="1" t="s">
        <v>4851</v>
      </c>
    </row>
    <row r="4602" spans="1:3" x14ac:dyDescent="0.2">
      <c r="A4602" s="1" t="str">
        <f>"000776"</f>
        <v>000776</v>
      </c>
      <c r="B4602" s="1" t="s">
        <v>409</v>
      </c>
      <c r="C4602" s="1" t="s">
        <v>4945</v>
      </c>
    </row>
    <row r="4603" spans="1:3" x14ac:dyDescent="0.2">
      <c r="A4603" s="1" t="str">
        <f>"000768"</f>
        <v>000768</v>
      </c>
      <c r="B4603" s="1" t="s">
        <v>1357</v>
      </c>
      <c r="C4603" s="1" t="s">
        <v>4862</v>
      </c>
    </row>
    <row r="4604" spans="1:3" x14ac:dyDescent="0.2">
      <c r="A4604" s="1" t="str">
        <f>"000767"</f>
        <v>000767</v>
      </c>
      <c r="B4604" s="1" t="s">
        <v>4750</v>
      </c>
      <c r="C4604" s="1" t="s">
        <v>4889</v>
      </c>
    </row>
    <row r="4605" spans="1:3" x14ac:dyDescent="0.2">
      <c r="A4605" s="1" t="str">
        <f>"000766"</f>
        <v>000766</v>
      </c>
      <c r="B4605" s="1" t="s">
        <v>1867</v>
      </c>
      <c r="C4605" s="1" t="s">
        <v>4843</v>
      </c>
    </row>
    <row r="4606" spans="1:3" x14ac:dyDescent="0.2">
      <c r="A4606" s="1" t="str">
        <f>"000762"</f>
        <v>000762</v>
      </c>
      <c r="B4606" s="1" t="s">
        <v>4751</v>
      </c>
      <c r="C4606" s="1" t="s">
        <v>4894</v>
      </c>
    </row>
    <row r="4607" spans="1:3" x14ac:dyDescent="0.2">
      <c r="A4607" s="1" t="str">
        <f>"000759"</f>
        <v>000759</v>
      </c>
      <c r="B4607" s="1" t="s">
        <v>4752</v>
      </c>
      <c r="C4607" s="1" t="s">
        <v>4905</v>
      </c>
    </row>
    <row r="4608" spans="1:3" x14ac:dyDescent="0.2">
      <c r="A4608" s="1" t="str">
        <f>"000758"</f>
        <v>000758</v>
      </c>
      <c r="B4608" s="1" t="s">
        <v>2689</v>
      </c>
      <c r="C4608" s="1" t="s">
        <v>4879</v>
      </c>
    </row>
    <row r="4609" spans="1:3" x14ac:dyDescent="0.2">
      <c r="A4609" s="1" t="str">
        <f>"000757"</f>
        <v>000757</v>
      </c>
      <c r="B4609" s="1" t="s">
        <v>1885</v>
      </c>
      <c r="C4609" s="1" t="s">
        <v>4948</v>
      </c>
    </row>
    <row r="4610" spans="1:3" x14ac:dyDescent="0.2">
      <c r="A4610" s="1" t="str">
        <f>"000756"</f>
        <v>000756</v>
      </c>
      <c r="B4610" s="1" t="s">
        <v>1808</v>
      </c>
      <c r="C4610" s="1" t="s">
        <v>4843</v>
      </c>
    </row>
    <row r="4611" spans="1:3" x14ac:dyDescent="0.2">
      <c r="A4611" s="1" t="str">
        <f>"000755"</f>
        <v>000755</v>
      </c>
      <c r="B4611" s="1" t="s">
        <v>259</v>
      </c>
      <c r="C4611" s="1" t="s">
        <v>4943</v>
      </c>
    </row>
    <row r="4612" spans="1:3" x14ac:dyDescent="0.2">
      <c r="A4612" s="1" t="str">
        <f>"000753"</f>
        <v>000753</v>
      </c>
      <c r="B4612" s="1" t="s">
        <v>8</v>
      </c>
      <c r="C4612" s="1" t="s">
        <v>4961</v>
      </c>
    </row>
    <row r="4613" spans="1:3" x14ac:dyDescent="0.2">
      <c r="A4613" s="1" t="str">
        <f>"000751"</f>
        <v>000751</v>
      </c>
      <c r="B4613" s="1" t="s">
        <v>2690</v>
      </c>
      <c r="C4613" s="1" t="s">
        <v>4879</v>
      </c>
    </row>
    <row r="4614" spans="1:3" x14ac:dyDescent="0.2">
      <c r="A4614" s="1" t="str">
        <f>"000750"</f>
        <v>000750</v>
      </c>
      <c r="B4614" s="1" t="s">
        <v>410</v>
      </c>
      <c r="C4614" s="1" t="s">
        <v>4945</v>
      </c>
    </row>
    <row r="4615" spans="1:3" x14ac:dyDescent="0.2">
      <c r="A4615" s="1" t="str">
        <f>"000739"</f>
        <v>000739</v>
      </c>
      <c r="B4615" s="1" t="s">
        <v>1809</v>
      </c>
      <c r="C4615" s="1" t="s">
        <v>4843</v>
      </c>
    </row>
    <row r="4616" spans="1:3" x14ac:dyDescent="0.2">
      <c r="A4616" s="1" t="str">
        <f>"000738"</f>
        <v>000738</v>
      </c>
      <c r="B4616" s="1" t="s">
        <v>1358</v>
      </c>
      <c r="C4616" s="1" t="s">
        <v>4862</v>
      </c>
    </row>
    <row r="4617" spans="1:3" x14ac:dyDescent="0.2">
      <c r="A4617" s="1" t="str">
        <f>"000737"</f>
        <v>000737</v>
      </c>
      <c r="B4617" s="1" t="s">
        <v>2734</v>
      </c>
      <c r="C4617" s="1" t="s">
        <v>4879</v>
      </c>
    </row>
    <row r="4618" spans="1:3" x14ac:dyDescent="0.2">
      <c r="A4618" s="1" t="str">
        <f>"000735"</f>
        <v>000735</v>
      </c>
      <c r="B4618" s="1" t="s">
        <v>2564</v>
      </c>
      <c r="C4618" s="1" t="s">
        <v>4900</v>
      </c>
    </row>
    <row r="4619" spans="1:3" x14ac:dyDescent="0.2">
      <c r="A4619" s="1" t="str">
        <f>"000733"</f>
        <v>000733</v>
      </c>
      <c r="B4619" s="1" t="s">
        <v>1323</v>
      </c>
      <c r="C4619" s="1" t="s">
        <v>4846</v>
      </c>
    </row>
    <row r="4620" spans="1:3" x14ac:dyDescent="0.2">
      <c r="A4620" s="1" t="str">
        <f>"000731"</f>
        <v>000731</v>
      </c>
      <c r="B4620" s="1" t="s">
        <v>4753</v>
      </c>
      <c r="C4620" s="1" t="s">
        <v>4915</v>
      </c>
    </row>
    <row r="4621" spans="1:3" x14ac:dyDescent="0.2">
      <c r="A4621" s="1" t="str">
        <f>"000729"</f>
        <v>000729</v>
      </c>
      <c r="B4621" s="1" t="s">
        <v>2511</v>
      </c>
      <c r="C4621" s="1" t="s">
        <v>4921</v>
      </c>
    </row>
    <row r="4622" spans="1:3" x14ac:dyDescent="0.2">
      <c r="A4622" s="1" t="str">
        <f>"000728"</f>
        <v>000728</v>
      </c>
      <c r="B4622" s="1" t="s">
        <v>411</v>
      </c>
      <c r="C4622" s="1" t="s">
        <v>4945</v>
      </c>
    </row>
    <row r="4623" spans="1:3" x14ac:dyDescent="0.2">
      <c r="A4623" s="1" t="str">
        <f>"000727"</f>
        <v>000727</v>
      </c>
      <c r="B4623" s="1" t="s">
        <v>4754</v>
      </c>
      <c r="C4623" s="1" t="s">
        <v>4878</v>
      </c>
    </row>
    <row r="4624" spans="1:3" x14ac:dyDescent="0.2">
      <c r="A4624" s="1" t="str">
        <f>"000726"</f>
        <v>000726</v>
      </c>
      <c r="B4624" s="1" t="s">
        <v>2396</v>
      </c>
      <c r="C4624" s="1" t="s">
        <v>4904</v>
      </c>
    </row>
    <row r="4625" spans="1:3" x14ac:dyDescent="0.2">
      <c r="A4625" s="1" t="str">
        <f>"000725"</f>
        <v>000725</v>
      </c>
      <c r="B4625" s="1" t="s">
        <v>836</v>
      </c>
      <c r="C4625" s="1" t="s">
        <v>4878</v>
      </c>
    </row>
    <row r="4626" spans="1:3" x14ac:dyDescent="0.2">
      <c r="A4626" s="1" t="str">
        <f>"000723"</f>
        <v>000723</v>
      </c>
      <c r="B4626" s="1" t="s">
        <v>4755</v>
      </c>
      <c r="C4626" s="1" t="s">
        <v>4959</v>
      </c>
    </row>
    <row r="4627" spans="1:3" x14ac:dyDescent="0.2">
      <c r="A4627" s="1" t="str">
        <f>"000722"</f>
        <v>000722</v>
      </c>
      <c r="B4627" s="1" t="s">
        <v>156</v>
      </c>
      <c r="C4627" s="1" t="s">
        <v>4889</v>
      </c>
    </row>
    <row r="4628" spans="1:3" x14ac:dyDescent="0.2">
      <c r="A4628" s="1" t="str">
        <f>"000721"</f>
        <v>000721</v>
      </c>
      <c r="B4628" s="1" t="s">
        <v>4756</v>
      </c>
      <c r="C4628" s="1" t="s">
        <v>4912</v>
      </c>
    </row>
    <row r="4629" spans="1:3" x14ac:dyDescent="0.2">
      <c r="A4629" s="1" t="str">
        <f>"000720"</f>
        <v>000720</v>
      </c>
      <c r="B4629" s="1" t="s">
        <v>1454</v>
      </c>
      <c r="C4629" s="1" t="s">
        <v>4866</v>
      </c>
    </row>
    <row r="4630" spans="1:3" x14ac:dyDescent="0.2">
      <c r="A4630" s="1" t="str">
        <f>"000719"</f>
        <v>000719</v>
      </c>
      <c r="B4630" s="1" t="s">
        <v>451</v>
      </c>
      <c r="C4630" s="1" t="s">
        <v>4890</v>
      </c>
    </row>
    <row r="4631" spans="1:3" x14ac:dyDescent="0.2">
      <c r="A4631" s="1" t="str">
        <f>"000718"</f>
        <v>000718</v>
      </c>
      <c r="B4631" s="1" t="s">
        <v>4757</v>
      </c>
      <c r="C4631" s="1" t="s">
        <v>4957</v>
      </c>
    </row>
    <row r="4632" spans="1:3" x14ac:dyDescent="0.2">
      <c r="A4632" s="1" t="str">
        <f>"000717"</f>
        <v>000717</v>
      </c>
      <c r="B4632" s="1" t="s">
        <v>4758</v>
      </c>
      <c r="C4632" s="1" t="s">
        <v>4908</v>
      </c>
    </row>
    <row r="4633" spans="1:3" x14ac:dyDescent="0.2">
      <c r="A4633" s="1" t="str">
        <f>"000716"</f>
        <v>000716</v>
      </c>
      <c r="B4633" s="1" t="s">
        <v>2398</v>
      </c>
      <c r="C4633" s="1" t="s">
        <v>4891</v>
      </c>
    </row>
    <row r="4634" spans="1:3" x14ac:dyDescent="0.2">
      <c r="A4634" s="1" t="str">
        <f>"000715"</f>
        <v>000715</v>
      </c>
      <c r="B4634" s="1" t="s">
        <v>4759</v>
      </c>
      <c r="C4634" s="1" t="s">
        <v>4905</v>
      </c>
    </row>
    <row r="4635" spans="1:3" x14ac:dyDescent="0.2">
      <c r="A4635" s="1" t="str">
        <f>"000713"</f>
        <v>000713</v>
      </c>
      <c r="B4635" s="1" t="s">
        <v>4760</v>
      </c>
      <c r="C4635" s="1" t="s">
        <v>4949</v>
      </c>
    </row>
    <row r="4636" spans="1:3" x14ac:dyDescent="0.2">
      <c r="A4636" s="1" t="str">
        <f>"000710"</f>
        <v>000710</v>
      </c>
      <c r="B4636" s="1" t="s">
        <v>4761</v>
      </c>
      <c r="C4636" s="1" t="s">
        <v>4861</v>
      </c>
    </row>
    <row r="4637" spans="1:3" x14ac:dyDescent="0.2">
      <c r="A4637" s="1" t="str">
        <f>"000709"</f>
        <v>000709</v>
      </c>
      <c r="B4637" s="1" t="s">
        <v>2757</v>
      </c>
      <c r="C4637" s="1" t="s">
        <v>4908</v>
      </c>
    </row>
    <row r="4638" spans="1:3" x14ac:dyDescent="0.2">
      <c r="A4638" s="1" t="str">
        <f>"000708"</f>
        <v>000708</v>
      </c>
      <c r="B4638" s="1" t="s">
        <v>2744</v>
      </c>
      <c r="C4638" s="1" t="s">
        <v>4918</v>
      </c>
    </row>
    <row r="4639" spans="1:3" x14ac:dyDescent="0.2">
      <c r="A4639" s="1" t="str">
        <f>"000707"</f>
        <v>000707</v>
      </c>
      <c r="B4639" s="1" t="s">
        <v>4762</v>
      </c>
      <c r="C4639" s="1" t="s">
        <v>4853</v>
      </c>
    </row>
    <row r="4640" spans="1:3" x14ac:dyDescent="0.2">
      <c r="A4640" s="1" t="str">
        <f>"000705"</f>
        <v>000705</v>
      </c>
      <c r="B4640" s="1" t="s">
        <v>1661</v>
      </c>
      <c r="C4640" s="1" t="s">
        <v>4903</v>
      </c>
    </row>
    <row r="4641" spans="1:3" x14ac:dyDescent="0.2">
      <c r="A4641" s="1" t="str">
        <f>"000703"</f>
        <v>000703</v>
      </c>
      <c r="B4641" s="1" t="s">
        <v>3062</v>
      </c>
      <c r="C4641" s="1" t="s">
        <v>4858</v>
      </c>
    </row>
    <row r="4642" spans="1:3" x14ac:dyDescent="0.2">
      <c r="A4642" s="1" t="str">
        <f>"000702"</f>
        <v>000702</v>
      </c>
      <c r="B4642" s="1" t="s">
        <v>4763</v>
      </c>
      <c r="C4642" s="1" t="s">
        <v>4885</v>
      </c>
    </row>
    <row r="4643" spans="1:3" x14ac:dyDescent="0.2">
      <c r="A4643" s="1" t="str">
        <f>"000701"</f>
        <v>000701</v>
      </c>
      <c r="B4643" s="1" t="s">
        <v>2111</v>
      </c>
      <c r="C4643" s="1" t="s">
        <v>4942</v>
      </c>
    </row>
    <row r="4644" spans="1:3" x14ac:dyDescent="0.2">
      <c r="A4644" s="1" t="str">
        <f>"000700"</f>
        <v>000700</v>
      </c>
      <c r="B4644" s="1" t="s">
        <v>2073</v>
      </c>
      <c r="C4644" s="1" t="s">
        <v>4856</v>
      </c>
    </row>
    <row r="4645" spans="1:3" x14ac:dyDescent="0.2">
      <c r="A4645" s="1" t="str">
        <f>"000698"</f>
        <v>000698</v>
      </c>
      <c r="B4645" s="1" t="s">
        <v>4764</v>
      </c>
      <c r="C4645" s="1" t="s">
        <v>4925</v>
      </c>
    </row>
    <row r="4646" spans="1:3" x14ac:dyDescent="0.2">
      <c r="A4646" s="1" t="str">
        <f>"000695"</f>
        <v>000695</v>
      </c>
      <c r="B4646" s="1" t="s">
        <v>4765</v>
      </c>
      <c r="C4646" s="1" t="s">
        <v>4841</v>
      </c>
    </row>
    <row r="4647" spans="1:3" x14ac:dyDescent="0.2">
      <c r="A4647" s="1" t="str">
        <f>"000692"</f>
        <v>000692</v>
      </c>
      <c r="B4647" s="1" t="s">
        <v>4766</v>
      </c>
      <c r="C4647" s="1" t="s">
        <v>4889</v>
      </c>
    </row>
    <row r="4648" spans="1:3" x14ac:dyDescent="0.2">
      <c r="A4648" s="1" t="str">
        <f>"000690"</f>
        <v>000690</v>
      </c>
      <c r="B4648" s="1" t="s">
        <v>4767</v>
      </c>
      <c r="C4648" s="1" t="s">
        <v>4889</v>
      </c>
    </row>
    <row r="4649" spans="1:3" x14ac:dyDescent="0.2">
      <c r="A4649" s="1" t="str">
        <f>"000688"</f>
        <v>000688</v>
      </c>
      <c r="B4649" s="1" t="s">
        <v>2691</v>
      </c>
      <c r="C4649" s="1" t="s">
        <v>4879</v>
      </c>
    </row>
    <row r="4650" spans="1:3" x14ac:dyDescent="0.2">
      <c r="A4650" s="1" t="str">
        <f>"000686"</f>
        <v>000686</v>
      </c>
      <c r="B4650" s="1" t="s">
        <v>412</v>
      </c>
      <c r="C4650" s="1" t="s">
        <v>4945</v>
      </c>
    </row>
    <row r="4651" spans="1:3" x14ac:dyDescent="0.2">
      <c r="A4651" s="1" t="str">
        <f>"000685"</f>
        <v>000685</v>
      </c>
      <c r="B4651" s="1" t="s">
        <v>92</v>
      </c>
      <c r="C4651" s="1" t="s">
        <v>4926</v>
      </c>
    </row>
    <row r="4652" spans="1:3" x14ac:dyDescent="0.2">
      <c r="A4652" s="1" t="str">
        <f>"000683"</f>
        <v>000683</v>
      </c>
      <c r="B4652" s="1" t="s">
        <v>3031</v>
      </c>
      <c r="C4652" s="1" t="s">
        <v>4853</v>
      </c>
    </row>
    <row r="4653" spans="1:3" x14ac:dyDescent="0.2">
      <c r="A4653" s="1" t="str">
        <f>"000682"</f>
        <v>000682</v>
      </c>
      <c r="B4653" s="1" t="s">
        <v>1509</v>
      </c>
      <c r="C4653" s="1" t="s">
        <v>4866</v>
      </c>
    </row>
    <row r="4654" spans="1:3" x14ac:dyDescent="0.2">
      <c r="A4654" s="1" t="str">
        <f>"000681"</f>
        <v>000681</v>
      </c>
      <c r="B4654" s="1" t="s">
        <v>465</v>
      </c>
      <c r="C4654" s="1" t="s">
        <v>4923</v>
      </c>
    </row>
    <row r="4655" spans="1:3" x14ac:dyDescent="0.2">
      <c r="A4655" s="1" t="str">
        <f>"000680"</f>
        <v>000680</v>
      </c>
      <c r="B4655" s="1" t="s">
        <v>1009</v>
      </c>
      <c r="C4655" s="1" t="s">
        <v>4880</v>
      </c>
    </row>
    <row r="4656" spans="1:3" x14ac:dyDescent="0.2">
      <c r="A4656" s="1" t="str">
        <f>"000679"</f>
        <v>000679</v>
      </c>
      <c r="B4656" s="1" t="s">
        <v>4768</v>
      </c>
      <c r="C4656" s="1" t="s">
        <v>4905</v>
      </c>
    </row>
    <row r="4657" spans="1:3" x14ac:dyDescent="0.2">
      <c r="A4657" s="1" t="str">
        <f>"000678"</f>
        <v>000678</v>
      </c>
      <c r="B4657" s="1" t="s">
        <v>4769</v>
      </c>
      <c r="C4657" s="1" t="s">
        <v>4856</v>
      </c>
    </row>
    <row r="4658" spans="1:3" x14ac:dyDescent="0.2">
      <c r="A4658" s="1" t="str">
        <f>"000677"</f>
        <v>000677</v>
      </c>
      <c r="B4658" s="1" t="s">
        <v>3063</v>
      </c>
      <c r="C4658" s="1" t="s">
        <v>4858</v>
      </c>
    </row>
    <row r="4659" spans="1:3" x14ac:dyDescent="0.2">
      <c r="A4659" s="1" t="str">
        <f>"000676"</f>
        <v>000676</v>
      </c>
      <c r="B4659" s="1" t="s">
        <v>498</v>
      </c>
      <c r="C4659" s="1" t="s">
        <v>4907</v>
      </c>
    </row>
    <row r="4660" spans="1:3" x14ac:dyDescent="0.2">
      <c r="A4660" s="1" t="str">
        <f>"000672"</f>
        <v>000672</v>
      </c>
      <c r="B4660" s="1" t="s">
        <v>4770</v>
      </c>
      <c r="C4660" s="1" t="s">
        <v>4911</v>
      </c>
    </row>
    <row r="4661" spans="1:3" x14ac:dyDescent="0.2">
      <c r="A4661" s="1" t="str">
        <f>"000670"</f>
        <v>000670</v>
      </c>
      <c r="B4661" s="1" t="s">
        <v>4771</v>
      </c>
      <c r="C4661" s="1" t="s">
        <v>4842</v>
      </c>
    </row>
    <row r="4662" spans="1:3" x14ac:dyDescent="0.2">
      <c r="A4662" s="1" t="str">
        <f>"000665"</f>
        <v>000665</v>
      </c>
      <c r="B4662" s="1" t="s">
        <v>4772</v>
      </c>
      <c r="C4662" s="1" t="s">
        <v>4950</v>
      </c>
    </row>
    <row r="4663" spans="1:3" x14ac:dyDescent="0.2">
      <c r="A4663" s="1" t="str">
        <f>"000661"</f>
        <v>000661</v>
      </c>
      <c r="B4663" s="1" t="s">
        <v>1758</v>
      </c>
      <c r="C4663" s="1" t="s">
        <v>4852</v>
      </c>
    </row>
    <row r="4664" spans="1:3" x14ac:dyDescent="0.2">
      <c r="A4664" s="1" t="str">
        <f>"000659"</f>
        <v>000659</v>
      </c>
      <c r="B4664" s="1" t="s">
        <v>4773</v>
      </c>
      <c r="C4664" s="1" t="s">
        <v>4930</v>
      </c>
    </row>
    <row r="4665" spans="1:3" x14ac:dyDescent="0.2">
      <c r="A4665" s="1" t="str">
        <f>"000657"</f>
        <v>000657</v>
      </c>
      <c r="B4665" s="1" t="s">
        <v>2657</v>
      </c>
      <c r="C4665" s="1" t="s">
        <v>4855</v>
      </c>
    </row>
    <row r="4666" spans="1:3" x14ac:dyDescent="0.2">
      <c r="A4666" s="1" t="str">
        <f>"000655"</f>
        <v>000655</v>
      </c>
      <c r="B4666" s="1" t="s">
        <v>2766</v>
      </c>
      <c r="C4666" s="1" t="s">
        <v>4947</v>
      </c>
    </row>
    <row r="4667" spans="1:3" x14ac:dyDescent="0.2">
      <c r="A4667" s="1" t="str">
        <f>"000652"</f>
        <v>000652</v>
      </c>
      <c r="B4667" s="1" t="s">
        <v>4774</v>
      </c>
      <c r="C4667" s="1" t="s">
        <v>4942</v>
      </c>
    </row>
    <row r="4668" spans="1:3" x14ac:dyDescent="0.2">
      <c r="A4668" s="1" t="str">
        <f>"000651"</f>
        <v>000651</v>
      </c>
      <c r="B4668" s="1" t="s">
        <v>2191</v>
      </c>
      <c r="C4668" s="1" t="s">
        <v>4960</v>
      </c>
    </row>
    <row r="4669" spans="1:3" x14ac:dyDescent="0.2">
      <c r="A4669" s="1" t="str">
        <f>"000650"</f>
        <v>000650</v>
      </c>
      <c r="B4669" s="1" t="s">
        <v>1638</v>
      </c>
      <c r="C4669" s="1" t="s">
        <v>4917</v>
      </c>
    </row>
    <row r="4670" spans="1:3" x14ac:dyDescent="0.2">
      <c r="A4670" s="1" t="str">
        <f>"000639"</f>
        <v>000639</v>
      </c>
      <c r="B4670" s="1" t="s">
        <v>4775</v>
      </c>
      <c r="C4670" s="1" t="s">
        <v>4936</v>
      </c>
    </row>
    <row r="4671" spans="1:3" x14ac:dyDescent="0.2">
      <c r="A4671" s="1" t="str">
        <f>"000637"</f>
        <v>000637</v>
      </c>
      <c r="B4671" s="1" t="s">
        <v>4776</v>
      </c>
      <c r="C4671" s="1" t="s">
        <v>4925</v>
      </c>
    </row>
    <row r="4672" spans="1:3" x14ac:dyDescent="0.2">
      <c r="A4672" s="1" t="str">
        <f>"000636"</f>
        <v>000636</v>
      </c>
      <c r="B4672" s="1" t="s">
        <v>747</v>
      </c>
      <c r="C4672" s="1" t="s">
        <v>4872</v>
      </c>
    </row>
    <row r="4673" spans="1:3" x14ac:dyDescent="0.2">
      <c r="A4673" s="1" t="str">
        <f>"000633"</f>
        <v>000633</v>
      </c>
      <c r="B4673" s="1" t="s">
        <v>2627</v>
      </c>
      <c r="C4673" s="1" t="s">
        <v>4848</v>
      </c>
    </row>
    <row r="4674" spans="1:3" x14ac:dyDescent="0.2">
      <c r="A4674" s="1" t="str">
        <f>"000632"</f>
        <v>000632</v>
      </c>
      <c r="B4674" s="1" t="s">
        <v>4777</v>
      </c>
      <c r="C4674" s="1" t="s">
        <v>4942</v>
      </c>
    </row>
    <row r="4675" spans="1:3" x14ac:dyDescent="0.2">
      <c r="A4675" s="1" t="str">
        <f>"000631"</f>
        <v>000631</v>
      </c>
      <c r="B4675" s="1" t="s">
        <v>9</v>
      </c>
      <c r="C4675" s="1" t="s">
        <v>4961</v>
      </c>
    </row>
    <row r="4676" spans="1:3" x14ac:dyDescent="0.2">
      <c r="A4676" s="1" t="str">
        <f>"000630"</f>
        <v>000630</v>
      </c>
      <c r="B4676" s="1" t="s">
        <v>2735</v>
      </c>
      <c r="C4676" s="1" t="s">
        <v>4879</v>
      </c>
    </row>
    <row r="4677" spans="1:3" x14ac:dyDescent="0.2">
      <c r="A4677" s="1" t="str">
        <f>"000629"</f>
        <v>000629</v>
      </c>
      <c r="B4677" s="1" t="s">
        <v>4778</v>
      </c>
      <c r="C4677" s="1" t="s">
        <v>4855</v>
      </c>
    </row>
    <row r="4678" spans="1:3" x14ac:dyDescent="0.2">
      <c r="A4678" s="1" t="str">
        <f>"000628"</f>
        <v>000628</v>
      </c>
      <c r="B4678" s="1" t="s">
        <v>4779</v>
      </c>
      <c r="C4678" s="1" t="s">
        <v>4953</v>
      </c>
    </row>
    <row r="4679" spans="1:3" x14ac:dyDescent="0.2">
      <c r="A4679" s="1" t="str">
        <f>"000626"</f>
        <v>000626</v>
      </c>
      <c r="B4679" s="1" t="s">
        <v>2112</v>
      </c>
      <c r="C4679" s="1" t="s">
        <v>4942</v>
      </c>
    </row>
    <row r="4680" spans="1:3" x14ac:dyDescent="0.2">
      <c r="A4680" s="1" t="str">
        <f>"000625"</f>
        <v>000625</v>
      </c>
      <c r="B4680" s="1" t="s">
        <v>2087</v>
      </c>
      <c r="C4680" s="1" t="s">
        <v>4955</v>
      </c>
    </row>
    <row r="4681" spans="1:3" x14ac:dyDescent="0.2">
      <c r="A4681" s="1" t="str">
        <f>"000623"</f>
        <v>000623</v>
      </c>
      <c r="B4681" s="1" t="s">
        <v>1639</v>
      </c>
      <c r="C4681" s="1" t="s">
        <v>4917</v>
      </c>
    </row>
    <row r="4682" spans="1:3" x14ac:dyDescent="0.2">
      <c r="A4682" s="1" t="str">
        <f>"000619"</f>
        <v>000619</v>
      </c>
      <c r="B4682" s="1" t="s">
        <v>4780</v>
      </c>
      <c r="C4682" s="1" t="s">
        <v>4886</v>
      </c>
    </row>
    <row r="4683" spans="1:3" x14ac:dyDescent="0.2">
      <c r="A4683" s="1" t="str">
        <f>"000617"</f>
        <v>000617</v>
      </c>
      <c r="B4683" s="1" t="s">
        <v>348</v>
      </c>
      <c r="C4683" s="1" t="s">
        <v>4938</v>
      </c>
    </row>
    <row r="4684" spans="1:3" x14ac:dyDescent="0.2">
      <c r="A4684" s="1" t="str">
        <f>"000612"</f>
        <v>000612</v>
      </c>
      <c r="B4684" s="1" t="s">
        <v>2720</v>
      </c>
      <c r="C4684" s="1" t="s">
        <v>4879</v>
      </c>
    </row>
    <row r="4685" spans="1:3" x14ac:dyDescent="0.2">
      <c r="A4685" s="1" t="str">
        <f>"000610"</f>
        <v>000610</v>
      </c>
      <c r="B4685" s="1" t="s">
        <v>4781</v>
      </c>
      <c r="C4685" s="1" t="s">
        <v>4940</v>
      </c>
    </row>
    <row r="4686" spans="1:3" x14ac:dyDescent="0.2">
      <c r="A4686" s="1" t="str">
        <f>"000607"</f>
        <v>000607</v>
      </c>
      <c r="B4686" s="1" t="s">
        <v>4782</v>
      </c>
      <c r="C4686" s="1" t="s">
        <v>4907</v>
      </c>
    </row>
    <row r="4687" spans="1:3" x14ac:dyDescent="0.2">
      <c r="A4687" s="1" t="str">
        <f>"000605"</f>
        <v>000605</v>
      </c>
      <c r="B4687" s="1" t="s">
        <v>93</v>
      </c>
      <c r="C4687" s="1" t="s">
        <v>4926</v>
      </c>
    </row>
    <row r="4688" spans="1:3" x14ac:dyDescent="0.2">
      <c r="A4688" s="1" t="str">
        <f>"000603"</f>
        <v>000603</v>
      </c>
      <c r="B4688" s="1" t="s">
        <v>2673</v>
      </c>
      <c r="C4688" s="1" t="s">
        <v>4958</v>
      </c>
    </row>
    <row r="4689" spans="1:3" x14ac:dyDescent="0.2">
      <c r="A4689" s="1" t="str">
        <f>"000601"</f>
        <v>000601</v>
      </c>
      <c r="B4689" s="1" t="s">
        <v>157</v>
      </c>
      <c r="C4689" s="1" t="s">
        <v>4889</v>
      </c>
    </row>
    <row r="4690" spans="1:3" x14ac:dyDescent="0.2">
      <c r="A4690" s="1" t="str">
        <f>"000600"</f>
        <v>000600</v>
      </c>
      <c r="B4690" s="1" t="s">
        <v>4783</v>
      </c>
      <c r="C4690" s="1" t="s">
        <v>4889</v>
      </c>
    </row>
    <row r="4691" spans="1:3" x14ac:dyDescent="0.2">
      <c r="A4691" s="1" t="str">
        <f>"000599"</f>
        <v>000599</v>
      </c>
      <c r="B4691" s="1" t="s">
        <v>4784</v>
      </c>
      <c r="C4691" s="1" t="s">
        <v>4856</v>
      </c>
    </row>
    <row r="4692" spans="1:3" x14ac:dyDescent="0.2">
      <c r="A4692" s="1" t="str">
        <f>"000598"</f>
        <v>000598</v>
      </c>
      <c r="B4692" s="1" t="s">
        <v>94</v>
      </c>
      <c r="C4692" s="1" t="s">
        <v>4926</v>
      </c>
    </row>
    <row r="4693" spans="1:3" x14ac:dyDescent="0.2">
      <c r="A4693" s="1" t="str">
        <f>"000597"</f>
        <v>000597</v>
      </c>
      <c r="B4693" s="1" t="s">
        <v>1868</v>
      </c>
      <c r="C4693" s="1" t="s">
        <v>4843</v>
      </c>
    </row>
    <row r="4694" spans="1:3" x14ac:dyDescent="0.2">
      <c r="A4694" s="1" t="str">
        <f>"000596"</f>
        <v>000596</v>
      </c>
      <c r="B4694" s="1" t="s">
        <v>2497</v>
      </c>
      <c r="C4694" s="1" t="s">
        <v>4921</v>
      </c>
    </row>
    <row r="4695" spans="1:3" x14ac:dyDescent="0.2">
      <c r="A4695" s="1" t="str">
        <f>"000593"</f>
        <v>000593</v>
      </c>
      <c r="B4695" s="1" t="s">
        <v>115</v>
      </c>
      <c r="C4695" s="1" t="s">
        <v>4895</v>
      </c>
    </row>
    <row r="4696" spans="1:3" x14ac:dyDescent="0.2">
      <c r="A4696" s="1" t="str">
        <f>"000592"</f>
        <v>000592</v>
      </c>
      <c r="B4696" s="1" t="s">
        <v>2549</v>
      </c>
      <c r="C4696" s="1" t="s">
        <v>4965</v>
      </c>
    </row>
    <row r="4697" spans="1:3" x14ac:dyDescent="0.2">
      <c r="A4697" s="1" t="str">
        <f>"000591"</f>
        <v>000591</v>
      </c>
      <c r="B4697" s="1" t="s">
        <v>130</v>
      </c>
      <c r="C4697" s="1" t="s">
        <v>4889</v>
      </c>
    </row>
    <row r="4698" spans="1:3" x14ac:dyDescent="0.2">
      <c r="A4698" s="1" t="str">
        <f>"000590"</f>
        <v>000590</v>
      </c>
      <c r="B4698" s="1" t="s">
        <v>4785</v>
      </c>
      <c r="C4698" s="1" t="s">
        <v>4917</v>
      </c>
    </row>
    <row r="4699" spans="1:3" x14ac:dyDescent="0.2">
      <c r="A4699" s="1" t="str">
        <f>"000589"</f>
        <v>000589</v>
      </c>
      <c r="B4699" s="1" t="s">
        <v>1966</v>
      </c>
      <c r="C4699" s="1" t="s">
        <v>4856</v>
      </c>
    </row>
    <row r="4700" spans="1:3" x14ac:dyDescent="0.2">
      <c r="A4700" s="1" t="str">
        <f>"000586"</f>
        <v>000586</v>
      </c>
      <c r="B4700" s="1" t="s">
        <v>701</v>
      </c>
      <c r="C4700" s="1" t="s">
        <v>4869</v>
      </c>
    </row>
    <row r="4701" spans="1:3" x14ac:dyDescent="0.2">
      <c r="A4701" s="1" t="str">
        <f>"000582"</f>
        <v>000582</v>
      </c>
      <c r="B4701" s="1" t="s">
        <v>227</v>
      </c>
      <c r="C4701" s="1" t="s">
        <v>4933</v>
      </c>
    </row>
    <row r="4702" spans="1:3" x14ac:dyDescent="0.2">
      <c r="A4702" s="1" t="str">
        <f>"000581"</f>
        <v>000581</v>
      </c>
      <c r="B4702" s="1" t="s">
        <v>2033</v>
      </c>
      <c r="C4702" s="1" t="s">
        <v>4856</v>
      </c>
    </row>
    <row r="4703" spans="1:3" x14ac:dyDescent="0.2">
      <c r="A4703" s="1" t="str">
        <f>"000576"</f>
        <v>000576</v>
      </c>
      <c r="B4703" s="1" t="s">
        <v>1363</v>
      </c>
      <c r="C4703" s="1" t="s">
        <v>4876</v>
      </c>
    </row>
    <row r="4704" spans="1:3" x14ac:dyDescent="0.2">
      <c r="A4704" s="1" t="str">
        <f>"000573"</f>
        <v>000573</v>
      </c>
      <c r="B4704" s="1" t="s">
        <v>4786</v>
      </c>
      <c r="C4704" s="1" t="s">
        <v>4957</v>
      </c>
    </row>
    <row r="4705" spans="1:3" x14ac:dyDescent="0.2">
      <c r="A4705" s="1" t="str">
        <f>"000572"</f>
        <v>000572</v>
      </c>
      <c r="B4705" s="1" t="s">
        <v>4787</v>
      </c>
      <c r="C4705" s="1" t="s">
        <v>4955</v>
      </c>
    </row>
    <row r="4706" spans="1:3" x14ac:dyDescent="0.2">
      <c r="A4706" s="1" t="str">
        <f>"000570"</f>
        <v>000570</v>
      </c>
      <c r="B4706" s="1" t="s">
        <v>4788</v>
      </c>
      <c r="C4706" s="1" t="s">
        <v>4851</v>
      </c>
    </row>
    <row r="4707" spans="1:3" x14ac:dyDescent="0.2">
      <c r="A4707" s="1" t="str">
        <f>"000568"</f>
        <v>000568</v>
      </c>
      <c r="B4707" s="1" t="s">
        <v>2498</v>
      </c>
      <c r="C4707" s="1" t="s">
        <v>4921</v>
      </c>
    </row>
    <row r="4708" spans="1:3" x14ac:dyDescent="0.2">
      <c r="A4708" s="1" t="str">
        <f>"000567"</f>
        <v>000567</v>
      </c>
      <c r="B4708" s="1" t="s">
        <v>341</v>
      </c>
      <c r="C4708" s="1" t="s">
        <v>4938</v>
      </c>
    </row>
    <row r="4709" spans="1:3" x14ac:dyDescent="0.2">
      <c r="A4709" s="1" t="str">
        <f>"000565"</f>
        <v>000565</v>
      </c>
      <c r="B4709" s="1" t="s">
        <v>2987</v>
      </c>
      <c r="C4709" s="1" t="s">
        <v>4865</v>
      </c>
    </row>
    <row r="4710" spans="1:3" x14ac:dyDescent="0.2">
      <c r="A4710" s="1" t="str">
        <f>"000564"</f>
        <v>000564</v>
      </c>
      <c r="B4710" s="1" t="s">
        <v>4789</v>
      </c>
      <c r="C4710" s="1" t="s">
        <v>4905</v>
      </c>
    </row>
    <row r="4711" spans="1:3" x14ac:dyDescent="0.2">
      <c r="A4711" s="1" t="str">
        <f>"000563"</f>
        <v>000563</v>
      </c>
      <c r="B4711" s="1" t="s">
        <v>358</v>
      </c>
      <c r="C4711" s="1" t="s">
        <v>4938</v>
      </c>
    </row>
    <row r="4712" spans="1:3" x14ac:dyDescent="0.2">
      <c r="A4712" s="1" t="str">
        <f>"000561"</f>
        <v>000561</v>
      </c>
      <c r="B4712" s="1" t="s">
        <v>4790</v>
      </c>
      <c r="C4712" s="1" t="s">
        <v>4884</v>
      </c>
    </row>
    <row r="4713" spans="1:3" x14ac:dyDescent="0.2">
      <c r="A4713" s="1" t="str">
        <f>"000560"</f>
        <v>000560</v>
      </c>
      <c r="B4713" s="1" t="s">
        <v>4791</v>
      </c>
      <c r="C4713" s="1" t="s">
        <v>4934</v>
      </c>
    </row>
    <row r="4714" spans="1:3" x14ac:dyDescent="0.2">
      <c r="A4714" s="1" t="str">
        <f>"000559"</f>
        <v>000559</v>
      </c>
      <c r="B4714" s="1" t="s">
        <v>2034</v>
      </c>
      <c r="C4714" s="1" t="s">
        <v>4856</v>
      </c>
    </row>
    <row r="4715" spans="1:3" x14ac:dyDescent="0.2">
      <c r="A4715" s="1" t="str">
        <f>"000558"</f>
        <v>000558</v>
      </c>
      <c r="B4715" s="1" t="s">
        <v>290</v>
      </c>
      <c r="C4715" s="1" t="s">
        <v>4940</v>
      </c>
    </row>
    <row r="4716" spans="1:3" x14ac:dyDescent="0.2">
      <c r="A4716" s="1" t="str">
        <f>"000557"</f>
        <v>000557</v>
      </c>
      <c r="B4716" s="1" t="s">
        <v>267</v>
      </c>
      <c r="C4716" s="1" t="s">
        <v>4943</v>
      </c>
    </row>
    <row r="4717" spans="1:3" x14ac:dyDescent="0.2">
      <c r="A4717" s="1" t="str">
        <f>"000555"</f>
        <v>000555</v>
      </c>
      <c r="B4717" s="1" t="s">
        <v>4792</v>
      </c>
      <c r="C4717" s="1" t="s">
        <v>4847</v>
      </c>
    </row>
    <row r="4718" spans="1:3" x14ac:dyDescent="0.2">
      <c r="A4718" s="1" t="str">
        <f>"000554"</f>
        <v>000554</v>
      </c>
      <c r="B4718" s="1" t="s">
        <v>4793</v>
      </c>
      <c r="C4718" s="1" t="s">
        <v>4925</v>
      </c>
    </row>
    <row r="4719" spans="1:3" x14ac:dyDescent="0.2">
      <c r="A4719" s="1" t="str">
        <f>"000553"</f>
        <v>000553</v>
      </c>
      <c r="B4719" s="1" t="s">
        <v>2821</v>
      </c>
      <c r="C4719" s="1" t="s">
        <v>4915</v>
      </c>
    </row>
    <row r="4720" spans="1:3" x14ac:dyDescent="0.2">
      <c r="A4720" s="1" t="str">
        <f>"000552"</f>
        <v>000552</v>
      </c>
      <c r="B4720" s="1" t="s">
        <v>4794</v>
      </c>
      <c r="C4720" s="1" t="s">
        <v>4951</v>
      </c>
    </row>
    <row r="4721" spans="1:3" x14ac:dyDescent="0.2">
      <c r="A4721" s="1" t="str">
        <f>"000551"</f>
        <v>000551</v>
      </c>
      <c r="B4721" s="1" t="s">
        <v>81</v>
      </c>
      <c r="C4721" s="1" t="s">
        <v>4871</v>
      </c>
    </row>
    <row r="4722" spans="1:3" x14ac:dyDescent="0.2">
      <c r="A4722" s="1" t="str">
        <f>"000550"</f>
        <v>000550</v>
      </c>
      <c r="B4722" s="1" t="s">
        <v>2083</v>
      </c>
      <c r="C4722" s="1" t="s">
        <v>4962</v>
      </c>
    </row>
    <row r="4723" spans="1:3" x14ac:dyDescent="0.2">
      <c r="A4723" s="1" t="str">
        <f>"000548"</f>
        <v>000548</v>
      </c>
      <c r="B4723" s="1" t="s">
        <v>260</v>
      </c>
      <c r="C4723" s="1" t="s">
        <v>4943</v>
      </c>
    </row>
    <row r="4724" spans="1:3" x14ac:dyDescent="0.2">
      <c r="A4724" s="1" t="str">
        <f>"000545"</f>
        <v>000545</v>
      </c>
      <c r="B4724" s="1" t="s">
        <v>4795</v>
      </c>
      <c r="C4724" s="1" t="s">
        <v>4853</v>
      </c>
    </row>
    <row r="4725" spans="1:3" x14ac:dyDescent="0.2">
      <c r="A4725" s="1" t="str">
        <f>"000544"</f>
        <v>000544</v>
      </c>
      <c r="B4725" s="1" t="s">
        <v>62</v>
      </c>
      <c r="C4725" s="1" t="s">
        <v>4863</v>
      </c>
    </row>
    <row r="4726" spans="1:3" x14ac:dyDescent="0.2">
      <c r="A4726" s="1" t="str">
        <f>"000543"</f>
        <v>000543</v>
      </c>
      <c r="B4726" s="1" t="s">
        <v>4796</v>
      </c>
      <c r="C4726" s="1" t="s">
        <v>4889</v>
      </c>
    </row>
    <row r="4727" spans="1:3" x14ac:dyDescent="0.2">
      <c r="A4727" s="1" t="str">
        <f>"000541"</f>
        <v>000541</v>
      </c>
      <c r="B4727" s="1" t="s">
        <v>806</v>
      </c>
      <c r="C4727" s="1" t="s">
        <v>4878</v>
      </c>
    </row>
    <row r="4728" spans="1:3" x14ac:dyDescent="0.2">
      <c r="A4728" s="1" t="str">
        <f>"000539"</f>
        <v>000539</v>
      </c>
      <c r="B4728" s="1" t="s">
        <v>4797</v>
      </c>
      <c r="C4728" s="1" t="s">
        <v>4889</v>
      </c>
    </row>
    <row r="4729" spans="1:3" x14ac:dyDescent="0.2">
      <c r="A4729" s="1" t="str">
        <f>"000538"</f>
        <v>000538</v>
      </c>
      <c r="B4729" s="1" t="s">
        <v>1640</v>
      </c>
      <c r="C4729" s="1" t="s">
        <v>4917</v>
      </c>
    </row>
    <row r="4730" spans="1:3" x14ac:dyDescent="0.2">
      <c r="A4730" s="1" t="str">
        <f>"000537"</f>
        <v>000537</v>
      </c>
      <c r="B4730" s="1" t="s">
        <v>139</v>
      </c>
      <c r="C4730" s="1" t="s">
        <v>4889</v>
      </c>
    </row>
    <row r="4731" spans="1:3" x14ac:dyDescent="0.2">
      <c r="A4731" s="1" t="str">
        <f>"000534"</f>
        <v>000534</v>
      </c>
      <c r="B4731" s="1" t="s">
        <v>1753</v>
      </c>
      <c r="C4731" s="1" t="s">
        <v>4852</v>
      </c>
    </row>
    <row r="4732" spans="1:3" x14ac:dyDescent="0.2">
      <c r="A4732" s="1" t="str">
        <f>"000533"</f>
        <v>000533</v>
      </c>
      <c r="B4732" s="1" t="s">
        <v>1498</v>
      </c>
      <c r="C4732" s="1" t="s">
        <v>4866</v>
      </c>
    </row>
    <row r="4733" spans="1:3" x14ac:dyDescent="0.2">
      <c r="A4733" s="1" t="str">
        <f>"000532"</f>
        <v>000532</v>
      </c>
      <c r="B4733" s="1" t="s">
        <v>355</v>
      </c>
      <c r="C4733" s="1" t="s">
        <v>4938</v>
      </c>
    </row>
    <row r="4734" spans="1:3" x14ac:dyDescent="0.2">
      <c r="A4734" s="1" t="str">
        <f>"000531"</f>
        <v>000531</v>
      </c>
      <c r="B4734" s="1" t="s">
        <v>4798</v>
      </c>
      <c r="C4734" s="1" t="s">
        <v>4889</v>
      </c>
    </row>
    <row r="4735" spans="1:3" x14ac:dyDescent="0.2">
      <c r="A4735" s="1" t="str">
        <f>"000530"</f>
        <v>000530</v>
      </c>
      <c r="B4735" s="1" t="s">
        <v>1184</v>
      </c>
      <c r="C4735" s="1" t="s">
        <v>4851</v>
      </c>
    </row>
    <row r="4736" spans="1:3" x14ac:dyDescent="0.2">
      <c r="A4736" s="1" t="str">
        <f>"000529"</f>
        <v>000529</v>
      </c>
      <c r="B4736" s="1" t="s">
        <v>2423</v>
      </c>
      <c r="C4736" s="1" t="s">
        <v>4891</v>
      </c>
    </row>
    <row r="4737" spans="1:3" x14ac:dyDescent="0.2">
      <c r="A4737" s="1" t="str">
        <f>"000528"</f>
        <v>000528</v>
      </c>
      <c r="B4737" s="1" t="s">
        <v>1010</v>
      </c>
      <c r="C4737" s="1" t="s">
        <v>4880</v>
      </c>
    </row>
    <row r="4738" spans="1:3" x14ac:dyDescent="0.2">
      <c r="A4738" s="1" t="str">
        <f>"000526"</f>
        <v>000526</v>
      </c>
      <c r="B4738" s="1" t="s">
        <v>4799</v>
      </c>
      <c r="C4738" s="1" t="s">
        <v>4913</v>
      </c>
    </row>
    <row r="4739" spans="1:3" x14ac:dyDescent="0.2">
      <c r="A4739" s="1" t="str">
        <f>"000525"</f>
        <v>000525</v>
      </c>
      <c r="B4739" s="1" t="s">
        <v>4800</v>
      </c>
      <c r="C4739" s="1" t="s">
        <v>4915</v>
      </c>
    </row>
    <row r="4740" spans="1:3" x14ac:dyDescent="0.2">
      <c r="A4740" s="1" t="str">
        <f>"000524"</f>
        <v>000524</v>
      </c>
      <c r="B4740" s="1" t="s">
        <v>280</v>
      </c>
      <c r="C4740" s="1" t="s">
        <v>4940</v>
      </c>
    </row>
    <row r="4741" spans="1:3" x14ac:dyDescent="0.2">
      <c r="A4741" s="1" t="str">
        <f>"000523"</f>
        <v>000523</v>
      </c>
      <c r="B4741" s="1" t="s">
        <v>2415</v>
      </c>
      <c r="C4741" s="1" t="s">
        <v>4891</v>
      </c>
    </row>
    <row r="4742" spans="1:3" x14ac:dyDescent="0.2">
      <c r="A4742" s="1" t="str">
        <f>"000521"</f>
        <v>000521</v>
      </c>
      <c r="B4742" s="1" t="s">
        <v>2188</v>
      </c>
      <c r="C4742" s="1" t="s">
        <v>4960</v>
      </c>
    </row>
    <row r="4743" spans="1:3" x14ac:dyDescent="0.2">
      <c r="A4743" s="1" t="str">
        <f>"000520"</f>
        <v>000520</v>
      </c>
      <c r="B4743" s="1" t="s">
        <v>4801</v>
      </c>
      <c r="C4743" s="1" t="s">
        <v>4933</v>
      </c>
    </row>
    <row r="4744" spans="1:3" x14ac:dyDescent="0.2">
      <c r="A4744" s="1" t="str">
        <f>"000519"</f>
        <v>000519</v>
      </c>
      <c r="B4744" s="1" t="s">
        <v>4802</v>
      </c>
      <c r="C4744" s="1" t="s">
        <v>4876</v>
      </c>
    </row>
    <row r="4745" spans="1:3" x14ac:dyDescent="0.2">
      <c r="A4745" s="1" t="str">
        <f>"000517"</f>
        <v>000517</v>
      </c>
      <c r="B4745" s="1" t="s">
        <v>4803</v>
      </c>
      <c r="C4745" s="1" t="s">
        <v>4957</v>
      </c>
    </row>
    <row r="4746" spans="1:3" x14ac:dyDescent="0.2">
      <c r="A4746" s="1" t="str">
        <f>"000516"</f>
        <v>000516</v>
      </c>
      <c r="B4746" s="1" t="s">
        <v>4804</v>
      </c>
      <c r="C4746" s="1" t="s">
        <v>4861</v>
      </c>
    </row>
    <row r="4747" spans="1:3" x14ac:dyDescent="0.2">
      <c r="A4747" s="1" t="str">
        <f>"000514"</f>
        <v>000514</v>
      </c>
      <c r="B4747" s="1" t="s">
        <v>4805</v>
      </c>
      <c r="C4747" s="1" t="s">
        <v>4957</v>
      </c>
    </row>
    <row r="4748" spans="1:3" x14ac:dyDescent="0.2">
      <c r="A4748" s="1" t="str">
        <f>"000513"</f>
        <v>000513</v>
      </c>
      <c r="B4748" s="1" t="s">
        <v>1869</v>
      </c>
      <c r="C4748" s="1" t="s">
        <v>4843</v>
      </c>
    </row>
    <row r="4749" spans="1:3" x14ac:dyDescent="0.2">
      <c r="A4749" s="1" t="str">
        <f>"000510"</f>
        <v>000510</v>
      </c>
      <c r="B4749" s="1" t="s">
        <v>4806</v>
      </c>
      <c r="C4749" s="1" t="s">
        <v>4853</v>
      </c>
    </row>
    <row r="4750" spans="1:3" x14ac:dyDescent="0.2">
      <c r="A4750" s="1" t="str">
        <f>"000509"</f>
        <v>000509</v>
      </c>
      <c r="B4750" s="1" t="s">
        <v>837</v>
      </c>
      <c r="C4750" s="1" t="s">
        <v>4878</v>
      </c>
    </row>
    <row r="4751" spans="1:3" x14ac:dyDescent="0.2">
      <c r="A4751" s="1" t="str">
        <f>"000507"</f>
        <v>000507</v>
      </c>
      <c r="B4751" s="1" t="s">
        <v>228</v>
      </c>
      <c r="C4751" s="1" t="s">
        <v>4889</v>
      </c>
    </row>
    <row r="4752" spans="1:3" x14ac:dyDescent="0.2">
      <c r="A4752" s="1" t="str">
        <f>"000506"</f>
        <v>000506</v>
      </c>
      <c r="B4752" s="1" t="s">
        <v>4807</v>
      </c>
      <c r="C4752" s="1" t="s">
        <v>4958</v>
      </c>
    </row>
    <row r="4753" spans="1:3" x14ac:dyDescent="0.2">
      <c r="A4753" s="1" t="str">
        <f>"000505"</f>
        <v>000505</v>
      </c>
      <c r="B4753" s="1" t="s">
        <v>2531</v>
      </c>
      <c r="C4753" s="1" t="s">
        <v>4936</v>
      </c>
    </row>
    <row r="4754" spans="1:3" x14ac:dyDescent="0.2">
      <c r="A4754" s="1" t="str">
        <f>"000501"</f>
        <v>000501</v>
      </c>
      <c r="B4754" s="1" t="s">
        <v>4808</v>
      </c>
      <c r="C4754" s="1" t="s">
        <v>4905</v>
      </c>
    </row>
    <row r="4755" spans="1:3" x14ac:dyDescent="0.2">
      <c r="A4755" s="1" t="str">
        <f>"000498"</f>
        <v>000498</v>
      </c>
      <c r="B4755" s="1" t="s">
        <v>4809</v>
      </c>
      <c r="C4755" s="1" t="s">
        <v>4898</v>
      </c>
    </row>
    <row r="4756" spans="1:3" x14ac:dyDescent="0.2">
      <c r="A4756" s="1" t="str">
        <f>"000429"</f>
        <v>000429</v>
      </c>
      <c r="B4756" s="1" t="s">
        <v>261</v>
      </c>
      <c r="C4756" s="1" t="s">
        <v>4943</v>
      </c>
    </row>
    <row r="4757" spans="1:3" x14ac:dyDescent="0.2">
      <c r="A4757" s="1" t="str">
        <f>"000426"</f>
        <v>000426</v>
      </c>
      <c r="B4757" s="1" t="s">
        <v>2692</v>
      </c>
      <c r="C4757" s="1" t="s">
        <v>4879</v>
      </c>
    </row>
    <row r="4758" spans="1:3" x14ac:dyDescent="0.2">
      <c r="A4758" s="1" t="str">
        <f>"000425"</f>
        <v>000425</v>
      </c>
      <c r="B4758" s="1" t="s">
        <v>1011</v>
      </c>
      <c r="C4758" s="1" t="s">
        <v>4880</v>
      </c>
    </row>
    <row r="4759" spans="1:3" x14ac:dyDescent="0.2">
      <c r="A4759" s="1" t="str">
        <f>"000423"</f>
        <v>000423</v>
      </c>
      <c r="B4759" s="1" t="s">
        <v>1641</v>
      </c>
      <c r="C4759" s="1" t="s">
        <v>4917</v>
      </c>
    </row>
    <row r="4760" spans="1:3" x14ac:dyDescent="0.2">
      <c r="A4760" s="1" t="str">
        <f>"000422"</f>
        <v>000422</v>
      </c>
      <c r="B4760" s="1" t="s">
        <v>2794</v>
      </c>
      <c r="C4760" s="1" t="s">
        <v>4915</v>
      </c>
    </row>
    <row r="4761" spans="1:3" x14ac:dyDescent="0.2">
      <c r="A4761" s="1" t="str">
        <f>"000421"</f>
        <v>000421</v>
      </c>
      <c r="B4761" s="1" t="s">
        <v>116</v>
      </c>
      <c r="C4761" s="1" t="s">
        <v>4895</v>
      </c>
    </row>
    <row r="4762" spans="1:3" x14ac:dyDescent="0.2">
      <c r="A4762" s="1" t="str">
        <f>"000420"</f>
        <v>000420</v>
      </c>
      <c r="B4762" s="1" t="s">
        <v>3049</v>
      </c>
      <c r="C4762" s="1" t="s">
        <v>4858</v>
      </c>
    </row>
    <row r="4763" spans="1:3" x14ac:dyDescent="0.2">
      <c r="A4763" s="1" t="str">
        <f>"000419"</f>
        <v>000419</v>
      </c>
      <c r="B4763" s="1" t="s">
        <v>2129</v>
      </c>
      <c r="C4763" s="1" t="s">
        <v>4905</v>
      </c>
    </row>
    <row r="4764" spans="1:3" x14ac:dyDescent="0.2">
      <c r="A4764" s="1" t="str">
        <f>"000417"</f>
        <v>000417</v>
      </c>
      <c r="B4764" s="1" t="s">
        <v>4810</v>
      </c>
      <c r="C4764" s="1" t="s">
        <v>4905</v>
      </c>
    </row>
    <row r="4765" spans="1:3" x14ac:dyDescent="0.2">
      <c r="A4765" s="1" t="str">
        <f>"000415"</f>
        <v>000415</v>
      </c>
      <c r="B4765" s="1" t="s">
        <v>351</v>
      </c>
      <c r="C4765" s="1" t="s">
        <v>4938</v>
      </c>
    </row>
    <row r="4766" spans="1:3" x14ac:dyDescent="0.2">
      <c r="A4766" s="1" t="str">
        <f>"000411"</f>
        <v>000411</v>
      </c>
      <c r="B4766" s="1" t="s">
        <v>1662</v>
      </c>
      <c r="C4766" s="1" t="s">
        <v>4903</v>
      </c>
    </row>
    <row r="4767" spans="1:3" x14ac:dyDescent="0.2">
      <c r="A4767" s="1" t="str">
        <f>"000410"</f>
        <v>000410</v>
      </c>
      <c r="B4767" s="1" t="s">
        <v>4811</v>
      </c>
      <c r="C4767" s="1" t="s">
        <v>4851</v>
      </c>
    </row>
    <row r="4768" spans="1:3" x14ac:dyDescent="0.2">
      <c r="A4768" s="1" t="str">
        <f>"000409"</f>
        <v>000409</v>
      </c>
      <c r="B4768" s="1" t="s">
        <v>603</v>
      </c>
      <c r="C4768" s="1" t="s">
        <v>4847</v>
      </c>
    </row>
    <row r="4769" spans="1:3" x14ac:dyDescent="0.2">
      <c r="A4769" s="1" t="str">
        <f>"000408"</f>
        <v>000408</v>
      </c>
      <c r="B4769" s="1" t="s">
        <v>2788</v>
      </c>
      <c r="C4769" s="1" t="s">
        <v>4915</v>
      </c>
    </row>
    <row r="4770" spans="1:3" x14ac:dyDescent="0.2">
      <c r="A4770" s="1" t="str">
        <f>"000407"</f>
        <v>000407</v>
      </c>
      <c r="B4770" s="1" t="s">
        <v>117</v>
      </c>
      <c r="C4770" s="1" t="s">
        <v>4895</v>
      </c>
    </row>
    <row r="4771" spans="1:3" x14ac:dyDescent="0.2">
      <c r="A4771" s="1" t="str">
        <f>"000404"</f>
        <v>000404</v>
      </c>
      <c r="B4771" s="1" t="s">
        <v>2152</v>
      </c>
      <c r="C4771" s="1" t="s">
        <v>4929</v>
      </c>
    </row>
    <row r="4772" spans="1:3" x14ac:dyDescent="0.2">
      <c r="A4772" s="1" t="str">
        <f>"000403"</f>
        <v>000403</v>
      </c>
      <c r="B4772" s="1" t="s">
        <v>1778</v>
      </c>
      <c r="C4772" s="1" t="s">
        <v>4852</v>
      </c>
    </row>
    <row r="4773" spans="1:3" x14ac:dyDescent="0.2">
      <c r="A4773" s="1" t="str">
        <f>"000402"</f>
        <v>000402</v>
      </c>
      <c r="B4773" s="1" t="s">
        <v>4812</v>
      </c>
      <c r="C4773" s="1" t="s">
        <v>4957</v>
      </c>
    </row>
    <row r="4774" spans="1:3" x14ac:dyDescent="0.2">
      <c r="A4774" s="1" t="str">
        <f>"000401"</f>
        <v>000401</v>
      </c>
      <c r="B4774" s="1" t="s">
        <v>4813</v>
      </c>
      <c r="C4774" s="1" t="s">
        <v>4911</v>
      </c>
    </row>
    <row r="4775" spans="1:3" x14ac:dyDescent="0.2">
      <c r="A4775" s="1" t="str">
        <f>"000400"</f>
        <v>000400</v>
      </c>
      <c r="B4775" s="1" t="s">
        <v>1510</v>
      </c>
      <c r="C4775" s="1" t="s">
        <v>4866</v>
      </c>
    </row>
    <row r="4776" spans="1:3" x14ac:dyDescent="0.2">
      <c r="A4776" s="1" t="str">
        <f>"000338"</f>
        <v>000338</v>
      </c>
      <c r="B4776" s="1" t="s">
        <v>2035</v>
      </c>
      <c r="C4776" s="1" t="s">
        <v>4856</v>
      </c>
    </row>
    <row r="4777" spans="1:3" x14ac:dyDescent="0.2">
      <c r="A4777" s="1" t="str">
        <f>"000333"</f>
        <v>000333</v>
      </c>
      <c r="B4777" s="1" t="s">
        <v>2192</v>
      </c>
      <c r="C4777" s="1" t="s">
        <v>4960</v>
      </c>
    </row>
    <row r="4778" spans="1:3" x14ac:dyDescent="0.2">
      <c r="A4778" s="1" t="str">
        <f>"000301"</f>
        <v>000301</v>
      </c>
      <c r="B4778" s="1" t="s">
        <v>3064</v>
      </c>
      <c r="C4778" s="1" t="s">
        <v>4858</v>
      </c>
    </row>
    <row r="4779" spans="1:3" x14ac:dyDescent="0.2">
      <c r="A4779" s="1" t="str">
        <f>"000166"</f>
        <v>000166</v>
      </c>
      <c r="B4779" s="1" t="s">
        <v>413</v>
      </c>
      <c r="C4779" s="1" t="s">
        <v>4945</v>
      </c>
    </row>
    <row r="4780" spans="1:3" x14ac:dyDescent="0.2">
      <c r="A4780" s="1" t="str">
        <f>"000159"</f>
        <v>000159</v>
      </c>
      <c r="B4780" s="1" t="s">
        <v>4814</v>
      </c>
      <c r="C4780" s="1" t="s">
        <v>4925</v>
      </c>
    </row>
    <row r="4781" spans="1:3" x14ac:dyDescent="0.2">
      <c r="A4781" s="1" t="str">
        <f>"000158"</f>
        <v>000158</v>
      </c>
      <c r="B4781" s="1" t="s">
        <v>4815</v>
      </c>
      <c r="C4781" s="1" t="s">
        <v>4847</v>
      </c>
    </row>
    <row r="4782" spans="1:3" x14ac:dyDescent="0.2">
      <c r="A4782" s="1" t="str">
        <f>"000157"</f>
        <v>000157</v>
      </c>
      <c r="B4782" s="1" t="s">
        <v>1012</v>
      </c>
      <c r="C4782" s="1" t="s">
        <v>4880</v>
      </c>
    </row>
    <row r="4783" spans="1:3" x14ac:dyDescent="0.2">
      <c r="A4783" s="1" t="str">
        <f>"000156"</f>
        <v>000156</v>
      </c>
      <c r="B4783" s="1" t="s">
        <v>435</v>
      </c>
      <c r="C4783" s="1" t="s">
        <v>4950</v>
      </c>
    </row>
    <row r="4784" spans="1:3" x14ac:dyDescent="0.2">
      <c r="A4784" s="1" t="str">
        <f>"000155"</f>
        <v>000155</v>
      </c>
      <c r="B4784" s="1" t="s">
        <v>140</v>
      </c>
      <c r="C4784" s="1" t="s">
        <v>4889</v>
      </c>
    </row>
    <row r="4785" spans="1:3" x14ac:dyDescent="0.2">
      <c r="A4785" s="1" t="str">
        <f>"000153"</f>
        <v>000153</v>
      </c>
      <c r="B4785" s="1" t="s">
        <v>1870</v>
      </c>
      <c r="C4785" s="1" t="s">
        <v>4843</v>
      </c>
    </row>
    <row r="4786" spans="1:3" x14ac:dyDescent="0.2">
      <c r="A4786" s="1" t="str">
        <f>"000151"</f>
        <v>000151</v>
      </c>
      <c r="B4786" s="1" t="s">
        <v>4816</v>
      </c>
      <c r="C4786" s="1" t="s">
        <v>4942</v>
      </c>
    </row>
    <row r="4787" spans="1:3" x14ac:dyDescent="0.2">
      <c r="A4787" s="1" t="str">
        <f>"000100"</f>
        <v>000100</v>
      </c>
      <c r="B4787" s="1" t="s">
        <v>838</v>
      </c>
      <c r="C4787" s="1" t="s">
        <v>4878</v>
      </c>
    </row>
    <row r="4788" spans="1:3" x14ac:dyDescent="0.2">
      <c r="A4788" s="1" t="str">
        <f>"000099"</f>
        <v>000099</v>
      </c>
      <c r="B4788" s="1" t="s">
        <v>239</v>
      </c>
      <c r="C4788" s="1" t="s">
        <v>4924</v>
      </c>
    </row>
    <row r="4789" spans="1:3" x14ac:dyDescent="0.2">
      <c r="A4789" s="1" t="str">
        <f>"000096"</f>
        <v>000096</v>
      </c>
      <c r="B4789" s="1" t="s">
        <v>4817</v>
      </c>
      <c r="C4789" s="1" t="s">
        <v>4925</v>
      </c>
    </row>
    <row r="4790" spans="1:3" x14ac:dyDescent="0.2">
      <c r="A4790" s="1" t="str">
        <f>"000090"</f>
        <v>000090</v>
      </c>
      <c r="B4790" s="1" t="s">
        <v>4818</v>
      </c>
      <c r="C4790" s="1" t="s">
        <v>4898</v>
      </c>
    </row>
    <row r="4791" spans="1:3" x14ac:dyDescent="0.2">
      <c r="A4791" s="1" t="str">
        <f>"000089"</f>
        <v>000089</v>
      </c>
      <c r="B4791" s="1" t="s">
        <v>234</v>
      </c>
      <c r="C4791" s="1" t="s">
        <v>4924</v>
      </c>
    </row>
    <row r="4792" spans="1:3" x14ac:dyDescent="0.2">
      <c r="A4792" s="1" t="str">
        <f>"000088"</f>
        <v>000088</v>
      </c>
      <c r="B4792" s="1" t="s">
        <v>229</v>
      </c>
      <c r="C4792" s="1" t="s">
        <v>4933</v>
      </c>
    </row>
    <row r="4793" spans="1:3" x14ac:dyDescent="0.2">
      <c r="A4793" s="1" t="str">
        <f>"000078"</f>
        <v>000078</v>
      </c>
      <c r="B4793" s="1" t="s">
        <v>1663</v>
      </c>
      <c r="C4793" s="1" t="s">
        <v>4903</v>
      </c>
    </row>
    <row r="4794" spans="1:3" x14ac:dyDescent="0.2">
      <c r="A4794" s="1" t="str">
        <f>"000070"</f>
        <v>000070</v>
      </c>
      <c r="B4794" s="1" t="s">
        <v>4819</v>
      </c>
      <c r="C4794" s="1" t="s">
        <v>4869</v>
      </c>
    </row>
    <row r="4795" spans="1:3" x14ac:dyDescent="0.2">
      <c r="A4795" s="1" t="str">
        <f>"000069"</f>
        <v>000069</v>
      </c>
      <c r="B4795" s="1" t="s">
        <v>4820</v>
      </c>
      <c r="C4795" s="1" t="s">
        <v>4957</v>
      </c>
    </row>
    <row r="4796" spans="1:3" x14ac:dyDescent="0.2">
      <c r="A4796" s="1" t="str">
        <f>"000068"</f>
        <v>000068</v>
      </c>
      <c r="B4796" s="1" t="s">
        <v>4821</v>
      </c>
      <c r="C4796" s="1" t="s">
        <v>4863</v>
      </c>
    </row>
    <row r="4797" spans="1:3" x14ac:dyDescent="0.2">
      <c r="A4797" s="1" t="str">
        <f>"000066"</f>
        <v>000066</v>
      </c>
      <c r="B4797" s="1" t="s">
        <v>4822</v>
      </c>
      <c r="C4797" s="1" t="s">
        <v>4873</v>
      </c>
    </row>
    <row r="4798" spans="1:3" x14ac:dyDescent="0.2">
      <c r="A4798" s="1" t="str">
        <f>"000065"</f>
        <v>000065</v>
      </c>
      <c r="B4798" s="1" t="s">
        <v>330</v>
      </c>
      <c r="C4798" s="1" t="s">
        <v>4888</v>
      </c>
    </row>
    <row r="4799" spans="1:3" x14ac:dyDescent="0.2">
      <c r="A4799" s="1" t="str">
        <f>"000063"</f>
        <v>000063</v>
      </c>
      <c r="B4799" s="1" t="s">
        <v>680</v>
      </c>
      <c r="C4799" s="1" t="s">
        <v>4869</v>
      </c>
    </row>
    <row r="4800" spans="1:3" x14ac:dyDescent="0.2">
      <c r="A4800" s="1" t="str">
        <f>"000062"</f>
        <v>000062</v>
      </c>
      <c r="B4800" s="1" t="s">
        <v>735</v>
      </c>
      <c r="C4800" s="1" t="s">
        <v>4842</v>
      </c>
    </row>
    <row r="4801" spans="1:3" x14ac:dyDescent="0.2">
      <c r="A4801" s="1" t="str">
        <f>"000061"</f>
        <v>000061</v>
      </c>
      <c r="B4801" s="1" t="s">
        <v>4823</v>
      </c>
      <c r="C4801" s="1" t="s">
        <v>4931</v>
      </c>
    </row>
    <row r="4802" spans="1:3" x14ac:dyDescent="0.2">
      <c r="A4802" s="1" t="str">
        <f>"000060"</f>
        <v>000060</v>
      </c>
      <c r="B4802" s="1" t="s">
        <v>2693</v>
      </c>
      <c r="C4802" s="1" t="s">
        <v>4879</v>
      </c>
    </row>
    <row r="4803" spans="1:3" x14ac:dyDescent="0.2">
      <c r="A4803" s="1" t="str">
        <f>"000059"</f>
        <v>000059</v>
      </c>
      <c r="B4803" s="1" t="s">
        <v>4824</v>
      </c>
      <c r="C4803" s="1" t="s">
        <v>4925</v>
      </c>
    </row>
    <row r="4804" spans="1:3" x14ac:dyDescent="0.2">
      <c r="A4804" s="1" t="str">
        <f>"000058"</f>
        <v>000058</v>
      </c>
      <c r="B4804" s="1" t="s">
        <v>4825</v>
      </c>
      <c r="C4804" s="1" t="s">
        <v>4931</v>
      </c>
    </row>
    <row r="4805" spans="1:3" x14ac:dyDescent="0.2">
      <c r="A4805" s="1" t="str">
        <f>"000055"</f>
        <v>000055</v>
      </c>
      <c r="B4805" s="1" t="s">
        <v>2588</v>
      </c>
      <c r="C4805" s="1" t="s">
        <v>4886</v>
      </c>
    </row>
    <row r="4806" spans="1:3" x14ac:dyDescent="0.2">
      <c r="A4806" s="1" t="str">
        <f>"000050"</f>
        <v>000050</v>
      </c>
      <c r="B4806" s="1" t="s">
        <v>839</v>
      </c>
      <c r="C4806" s="1" t="s">
        <v>4878</v>
      </c>
    </row>
    <row r="4807" spans="1:3" x14ac:dyDescent="0.2">
      <c r="A4807" s="1" t="str">
        <f>"000049"</f>
        <v>000049</v>
      </c>
      <c r="B4807" s="1" t="s">
        <v>1561</v>
      </c>
      <c r="C4807" s="1" t="s">
        <v>4841</v>
      </c>
    </row>
    <row r="4808" spans="1:3" x14ac:dyDescent="0.2">
      <c r="A4808" s="1" t="str">
        <f>"000048"</f>
        <v>000048</v>
      </c>
      <c r="B4808" s="1" t="s">
        <v>4826</v>
      </c>
      <c r="C4808" s="1" t="s">
        <v>4957</v>
      </c>
    </row>
    <row r="4809" spans="1:3" x14ac:dyDescent="0.2">
      <c r="A4809" s="1" t="str">
        <f>"000045"</f>
        <v>000045</v>
      </c>
      <c r="B4809" s="1" t="s">
        <v>825</v>
      </c>
      <c r="C4809" s="1" t="s">
        <v>4878</v>
      </c>
    </row>
    <row r="4810" spans="1:3" x14ac:dyDescent="0.2">
      <c r="A4810" s="1" t="str">
        <f>"000042"</f>
        <v>000042</v>
      </c>
      <c r="B4810" s="1" t="s">
        <v>4827</v>
      </c>
      <c r="C4810" s="1" t="s">
        <v>4957</v>
      </c>
    </row>
    <row r="4811" spans="1:3" x14ac:dyDescent="0.2">
      <c r="A4811" s="1" t="str">
        <f>"000039"</f>
        <v>000039</v>
      </c>
      <c r="B4811" s="1" t="s">
        <v>1210</v>
      </c>
      <c r="C4811" s="1" t="s">
        <v>4851</v>
      </c>
    </row>
    <row r="4812" spans="1:3" x14ac:dyDescent="0.2">
      <c r="A4812" s="1" t="str">
        <f>"000037"</f>
        <v>000037</v>
      </c>
      <c r="B4812" s="1" t="s">
        <v>4828</v>
      </c>
      <c r="C4812" s="1" t="s">
        <v>4889</v>
      </c>
    </row>
    <row r="4813" spans="1:3" x14ac:dyDescent="0.2">
      <c r="A4813" s="1" t="str">
        <f>"000036"</f>
        <v>000036</v>
      </c>
      <c r="B4813" s="1" t="s">
        <v>4829</v>
      </c>
      <c r="C4813" s="1" t="s">
        <v>4957</v>
      </c>
    </row>
    <row r="4814" spans="1:3" x14ac:dyDescent="0.2">
      <c r="A4814" s="1" t="str">
        <f>"000035"</f>
        <v>000035</v>
      </c>
      <c r="B4814" s="1" t="s">
        <v>40</v>
      </c>
      <c r="C4814" s="1" t="s">
        <v>4863</v>
      </c>
    </row>
    <row r="4815" spans="1:3" x14ac:dyDescent="0.2">
      <c r="A4815" s="1" t="str">
        <f>"000034"</f>
        <v>000034</v>
      </c>
      <c r="B4815" s="1" t="s">
        <v>529</v>
      </c>
      <c r="C4815" s="1" t="s">
        <v>4874</v>
      </c>
    </row>
    <row r="4816" spans="1:3" x14ac:dyDescent="0.2">
      <c r="A4816" s="1" t="str">
        <f>"000032"</f>
        <v>000032</v>
      </c>
      <c r="B4816" s="1" t="s">
        <v>4830</v>
      </c>
      <c r="C4816" s="1" t="s">
        <v>4888</v>
      </c>
    </row>
    <row r="4817" spans="1:3" x14ac:dyDescent="0.2">
      <c r="A4817" s="1" t="str">
        <f>"000031"</f>
        <v>000031</v>
      </c>
      <c r="B4817" s="1" t="s">
        <v>4831</v>
      </c>
      <c r="C4817" s="1" t="s">
        <v>4957</v>
      </c>
    </row>
    <row r="4818" spans="1:3" x14ac:dyDescent="0.2">
      <c r="A4818" s="1" t="str">
        <f>"000030"</f>
        <v>000030</v>
      </c>
      <c r="B4818" s="1" t="s">
        <v>2036</v>
      </c>
      <c r="C4818" s="1" t="s">
        <v>4856</v>
      </c>
    </row>
    <row r="4819" spans="1:3" x14ac:dyDescent="0.2">
      <c r="A4819" s="1" t="str">
        <f>"000029"</f>
        <v>000029</v>
      </c>
      <c r="B4819" s="1" t="s">
        <v>4832</v>
      </c>
      <c r="C4819" s="1" t="s">
        <v>4957</v>
      </c>
    </row>
    <row r="4820" spans="1:3" x14ac:dyDescent="0.2">
      <c r="A4820" s="1" t="str">
        <f>"000028"</f>
        <v>000028</v>
      </c>
      <c r="B4820" s="1" t="s">
        <v>1664</v>
      </c>
      <c r="C4820" s="1" t="s">
        <v>4903</v>
      </c>
    </row>
    <row r="4821" spans="1:3" x14ac:dyDescent="0.2">
      <c r="A4821" s="1" t="str">
        <f>"000027"</f>
        <v>000027</v>
      </c>
      <c r="B4821" s="1" t="s">
        <v>4833</v>
      </c>
      <c r="C4821" s="1" t="s">
        <v>4889</v>
      </c>
    </row>
    <row r="4822" spans="1:3" x14ac:dyDescent="0.2">
      <c r="A4822" s="1" t="str">
        <f>"000026"</f>
        <v>000026</v>
      </c>
      <c r="B4822" s="1" t="s">
        <v>2322</v>
      </c>
      <c r="C4822" s="1" t="s">
        <v>4887</v>
      </c>
    </row>
    <row r="4823" spans="1:3" x14ac:dyDescent="0.2">
      <c r="A4823" s="1" t="str">
        <f>"000025"</f>
        <v>000025</v>
      </c>
      <c r="B4823" s="1" t="s">
        <v>10</v>
      </c>
      <c r="C4823" s="1" t="s">
        <v>4961</v>
      </c>
    </row>
    <row r="4824" spans="1:3" x14ac:dyDescent="0.2">
      <c r="A4824" s="1" t="str">
        <f>"000021"</f>
        <v>000021</v>
      </c>
      <c r="B4824" s="1" t="s">
        <v>903</v>
      </c>
      <c r="C4824" s="1" t="s">
        <v>4850</v>
      </c>
    </row>
    <row r="4825" spans="1:3" x14ac:dyDescent="0.2">
      <c r="A4825" s="1" t="str">
        <f>"000020"</f>
        <v>000020</v>
      </c>
      <c r="B4825" s="1" t="s">
        <v>840</v>
      </c>
      <c r="C4825" s="1" t="s">
        <v>4878</v>
      </c>
    </row>
    <row r="4826" spans="1:3" x14ac:dyDescent="0.2">
      <c r="A4826" s="1" t="str">
        <f>"000019"</f>
        <v>000019</v>
      </c>
      <c r="B4826" s="1" t="s">
        <v>2532</v>
      </c>
      <c r="C4826" s="1" t="s">
        <v>4936</v>
      </c>
    </row>
    <row r="4827" spans="1:3" x14ac:dyDescent="0.2">
      <c r="A4827" s="1" t="str">
        <f>"000017"</f>
        <v>000017</v>
      </c>
      <c r="B4827" s="1" t="s">
        <v>2323</v>
      </c>
      <c r="C4827" s="1" t="s">
        <v>4887</v>
      </c>
    </row>
    <row r="4828" spans="1:3" x14ac:dyDescent="0.2">
      <c r="A4828" s="1" t="str">
        <f>"000016"</f>
        <v>000016</v>
      </c>
      <c r="B4828" s="1" t="s">
        <v>2182</v>
      </c>
      <c r="C4828" s="1" t="s">
        <v>4864</v>
      </c>
    </row>
    <row r="4829" spans="1:3" x14ac:dyDescent="0.2">
      <c r="A4829" s="1" t="str">
        <f>"000012"</f>
        <v>000012</v>
      </c>
      <c r="B4829" s="1" t="s">
        <v>2617</v>
      </c>
      <c r="C4829" s="1" t="s">
        <v>4916</v>
      </c>
    </row>
    <row r="4830" spans="1:3" x14ac:dyDescent="0.2">
      <c r="A4830" s="1" t="str">
        <f>"000011"</f>
        <v>000011</v>
      </c>
      <c r="B4830" s="1" t="s">
        <v>303</v>
      </c>
      <c r="C4830" s="1" t="s">
        <v>4934</v>
      </c>
    </row>
    <row r="4831" spans="1:3" x14ac:dyDescent="0.2">
      <c r="A4831" s="1" t="str">
        <f>"000010"</f>
        <v>000010</v>
      </c>
      <c r="B4831" s="1" t="s">
        <v>4834</v>
      </c>
      <c r="C4831" s="1" t="s">
        <v>4898</v>
      </c>
    </row>
    <row r="4832" spans="1:3" x14ac:dyDescent="0.2">
      <c r="A4832" s="1" t="str">
        <f>"000009"</f>
        <v>000009</v>
      </c>
      <c r="B4832" s="1" t="s">
        <v>1546</v>
      </c>
      <c r="C4832" s="1" t="s">
        <v>4841</v>
      </c>
    </row>
    <row r="4833" spans="1:3" x14ac:dyDescent="0.2">
      <c r="A4833" s="1" t="str">
        <f>"000008"</f>
        <v>000008</v>
      </c>
      <c r="B4833" s="1" t="s">
        <v>4835</v>
      </c>
      <c r="C4833" s="1" t="s">
        <v>4875</v>
      </c>
    </row>
    <row r="4834" spans="1:3" x14ac:dyDescent="0.2">
      <c r="A4834" s="1" t="str">
        <f>"000007"</f>
        <v>000007</v>
      </c>
      <c r="B4834" s="1" t="s">
        <v>4836</v>
      </c>
      <c r="C4834" s="1" t="s">
        <v>4931</v>
      </c>
    </row>
    <row r="4835" spans="1:3" x14ac:dyDescent="0.2">
      <c r="A4835" s="1" t="str">
        <f>"000006"</f>
        <v>000006</v>
      </c>
      <c r="B4835" s="1" t="s">
        <v>4837</v>
      </c>
      <c r="C4835" s="1" t="s">
        <v>4957</v>
      </c>
    </row>
    <row r="4836" spans="1:3" x14ac:dyDescent="0.2">
      <c r="A4836" s="1" t="str">
        <f>"000002"</f>
        <v>000002</v>
      </c>
      <c r="B4836" s="1" t="s">
        <v>4838</v>
      </c>
      <c r="C4836" s="1" t="s">
        <v>4957</v>
      </c>
    </row>
    <row r="4837" spans="1:3" x14ac:dyDescent="0.2">
      <c r="A4837" s="1" t="str">
        <f>"000001"</f>
        <v>000001</v>
      </c>
      <c r="B4837" s="1" t="s">
        <v>422</v>
      </c>
      <c r="C4837" s="1" t="s">
        <v>4944</v>
      </c>
    </row>
  </sheetData>
  <sortState xmlns:xlrd2="http://schemas.microsoft.com/office/spreadsheetml/2017/richdata2" ref="A2:C3115">
    <sortCondition descending="1" ref="A1:A311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Kerwin Liu</dc:creator>
  <cp:lastModifiedBy>Kerwin Liu</cp:lastModifiedBy>
  <dcterms:created xsi:type="dcterms:W3CDTF">2015-06-05T18:19:34Z</dcterms:created>
  <dcterms:modified xsi:type="dcterms:W3CDTF">2025-08-18T07:35:26Z</dcterms:modified>
</cp:coreProperties>
</file>