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6734C16E-8910-482B-8D25-788D452B16F9}" xr6:coauthVersionLast="47" xr6:coauthVersionMax="47" xr10:uidLastSave="{00000000-0000-0000-0000-000000000000}"/>
  <bookViews>
    <workbookView xWindow="-96" yWindow="0" windowWidth="11232" windowHeight="12336" activeTab="3" xr2:uid="{00000000-000D-0000-FFFF-FFFF00000000}"/>
  </bookViews>
  <sheets>
    <sheet name="Simple" sheetId="1" r:id="rId1"/>
    <sheet name="Europe" sheetId="2" r:id="rId2"/>
    <sheet name="Sheet1" sheetId="4" r:id="rId3"/>
    <sheet name="Sheet2" sheetId="5" r:id="rId4"/>
    <sheet name="Autos" sheetId="3" r:id="rId5"/>
  </sheets>
  <externalReferences>
    <externalReference r:id="rId6"/>
  </externalReferences>
  <calcPr calcId="191028"/>
</workbook>
</file>

<file path=xl/calcChain.xml><?xml version="1.0" encoding="utf-8"?>
<calcChain xmlns="http://schemas.openxmlformats.org/spreadsheetml/2006/main">
  <c r="AK9" i="5" l="1"/>
  <c r="AL9" i="5"/>
  <c r="AM9" i="5"/>
  <c r="AN9" i="5" s="1"/>
  <c r="AO9" i="5"/>
  <c r="AK10" i="5"/>
  <c r="AL10" i="5"/>
  <c r="AM10" i="5"/>
  <c r="AP10" i="5" s="1"/>
  <c r="AN10" i="5"/>
  <c r="AO10" i="5"/>
  <c r="AK11" i="5"/>
  <c r="AL11" i="5"/>
  <c r="AM11" i="5"/>
  <c r="AP11" i="5" s="1"/>
  <c r="AN11" i="5"/>
  <c r="AQ11" i="5" s="1"/>
  <c r="AO11" i="5"/>
  <c r="AK12" i="5"/>
  <c r="AL12" i="5"/>
  <c r="AM12" i="5" s="1"/>
  <c r="AO12" i="5"/>
  <c r="AK13" i="5"/>
  <c r="AL13" i="5"/>
  <c r="AM13" i="5" s="1"/>
  <c r="AO13" i="5"/>
  <c r="AK14" i="5"/>
  <c r="AL14" i="5"/>
  <c r="AM14" i="5"/>
  <c r="AP14" i="5" s="1"/>
  <c r="AN14" i="5"/>
  <c r="AO14" i="5"/>
  <c r="AK15" i="5"/>
  <c r="AL15" i="5"/>
  <c r="AM15" i="5"/>
  <c r="AP15" i="5" s="1"/>
  <c r="AN15" i="5"/>
  <c r="AQ15" i="5" s="1"/>
  <c r="AO15" i="5"/>
  <c r="AK16" i="5"/>
  <c r="AL16" i="5"/>
  <c r="AM16" i="5" s="1"/>
  <c r="AO16" i="5"/>
  <c r="AK17" i="5"/>
  <c r="AL17" i="5"/>
  <c r="AM17" i="5"/>
  <c r="AN17" i="5" s="1"/>
  <c r="AO17" i="5"/>
  <c r="AK18" i="5"/>
  <c r="AL18" i="5"/>
  <c r="AM18" i="5"/>
  <c r="AP18" i="5" s="1"/>
  <c r="AN18" i="5"/>
  <c r="AO18" i="5"/>
  <c r="AK19" i="5"/>
  <c r="AL19" i="5"/>
  <c r="AM19" i="5"/>
  <c r="AP19" i="5" s="1"/>
  <c r="AN19" i="5"/>
  <c r="AO19" i="5"/>
  <c r="AK20" i="5"/>
  <c r="AL20" i="5"/>
  <c r="AM20" i="5" s="1"/>
  <c r="AO20" i="5"/>
  <c r="AK21" i="5"/>
  <c r="AL21" i="5"/>
  <c r="AM21" i="5"/>
  <c r="AP21" i="5" s="1"/>
  <c r="AO21" i="5"/>
  <c r="AK22" i="5"/>
  <c r="AL22" i="5"/>
  <c r="AM22" i="5"/>
  <c r="AP22" i="5" s="1"/>
  <c r="AN22" i="5"/>
  <c r="AO22" i="5"/>
  <c r="AK23" i="5"/>
  <c r="AL23" i="5"/>
  <c r="AM23" i="5"/>
  <c r="AP23" i="5" s="1"/>
  <c r="AN23" i="5"/>
  <c r="AQ23" i="5" s="1"/>
  <c r="AO23" i="5"/>
  <c r="AK24" i="5"/>
  <c r="AL24" i="5"/>
  <c r="AM24" i="5" s="1"/>
  <c r="AO24" i="5"/>
  <c r="AK25" i="5"/>
  <c r="AL25" i="5"/>
  <c r="AM25" i="5"/>
  <c r="AN25" i="5" s="1"/>
  <c r="AO25" i="5"/>
  <c r="AK26" i="5"/>
  <c r="AL26" i="5"/>
  <c r="AM26" i="5"/>
  <c r="AP26" i="5" s="1"/>
  <c r="AN26" i="5"/>
  <c r="AQ26" i="5" s="1"/>
  <c r="AO26" i="5"/>
  <c r="AK27" i="5"/>
  <c r="AL27" i="5"/>
  <c r="AM27" i="5"/>
  <c r="AP27" i="5" s="1"/>
  <c r="AN27" i="5"/>
  <c r="AO27" i="5"/>
  <c r="AQ8" i="5"/>
  <c r="AP8" i="5"/>
  <c r="AO8" i="5"/>
  <c r="AN8" i="5"/>
  <c r="AM8" i="5"/>
  <c r="AL8" i="5"/>
  <c r="AK8" i="5"/>
  <c r="AS11" i="5"/>
  <c r="AS9" i="5"/>
  <c r="AS10" i="5" s="1"/>
  <c r="AS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8" i="5"/>
  <c r="AH8" i="5" a="1"/>
  <c r="AH8" i="5" s="1"/>
  <c r="AH15" i="5"/>
  <c r="AH23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E8" i="5"/>
  <c r="AF8" i="5"/>
  <c r="AE9" i="5"/>
  <c r="AF9" i="5"/>
  <c r="AE10" i="5"/>
  <c r="AF10" i="5"/>
  <c r="AE11" i="5"/>
  <c r="AF11" i="5"/>
  <c r="AE12" i="5"/>
  <c r="AF12" i="5"/>
  <c r="AE13" i="5"/>
  <c r="AF13" i="5"/>
  <c r="AE14" i="5"/>
  <c r="AF14" i="5"/>
  <c r="AE15" i="5"/>
  <c r="AF15" i="5"/>
  <c r="AE16" i="5"/>
  <c r="AF16" i="5"/>
  <c r="AE17" i="5"/>
  <c r="AF17" i="5"/>
  <c r="AE18" i="5"/>
  <c r="AF18" i="5"/>
  <c r="AE19" i="5"/>
  <c r="AF19" i="5"/>
  <c r="AE20" i="5"/>
  <c r="AF20" i="5"/>
  <c r="AE21" i="5"/>
  <c r="AF21" i="5"/>
  <c r="AE22" i="5"/>
  <c r="AF22" i="5"/>
  <c r="AE23" i="5"/>
  <c r="AF23" i="5"/>
  <c r="AE24" i="5"/>
  <c r="AF24" i="5"/>
  <c r="AE25" i="5"/>
  <c r="AF25" i="5"/>
  <c r="AE26" i="5"/>
  <c r="AF26" i="5"/>
  <c r="AE27" i="5"/>
  <c r="AF27" i="5"/>
  <c r="AF7" i="5"/>
  <c r="AE7" i="5"/>
  <c r="AD10" i="5"/>
  <c r="AD11" i="5"/>
  <c r="AD12" i="5" s="1"/>
  <c r="AD13" i="5" s="1"/>
  <c r="AD14" i="5" s="1"/>
  <c r="AD15" i="5" s="1"/>
  <c r="AD16" i="5" s="1"/>
  <c r="AD17" i="5" s="1"/>
  <c r="AD18" i="5" s="1"/>
  <c r="AD19" i="5" s="1"/>
  <c r="AD20" i="5" s="1"/>
  <c r="AD21" i="5" s="1"/>
  <c r="AD22" i="5" s="1"/>
  <c r="AD23" i="5" s="1"/>
  <c r="AD24" i="5" s="1"/>
  <c r="AD25" i="5" s="1"/>
  <c r="AD26" i="5" s="1"/>
  <c r="AD27" i="5" s="1"/>
  <c r="AD9" i="5"/>
  <c r="AB19" i="5"/>
  <c r="AB18" i="5"/>
  <c r="AB14" i="5"/>
  <c r="Y19" i="5"/>
  <c r="Y18" i="5"/>
  <c r="Y17" i="5"/>
  <c r="Y14" i="5"/>
  <c r="Y13" i="5"/>
  <c r="Y8" i="5"/>
  <c r="Y7" i="5"/>
  <c r="S17" i="5"/>
  <c r="S10" i="5"/>
  <c r="L22" i="5"/>
  <c r="M22" i="5"/>
  <c r="N22" i="5"/>
  <c r="O22" i="5"/>
  <c r="L23" i="5"/>
  <c r="M23" i="5" s="1"/>
  <c r="N23" i="5"/>
  <c r="O23" i="5"/>
  <c r="O21" i="5"/>
  <c r="N21" i="5"/>
  <c r="M21" i="5"/>
  <c r="L21" i="5"/>
  <c r="I22" i="5" a="1"/>
  <c r="I22" i="5"/>
  <c r="I23" i="5"/>
  <c r="K18" i="5"/>
  <c r="J18" i="5"/>
  <c r="J17" i="5"/>
  <c r="J16" i="5"/>
  <c r="J1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AL8" i="4"/>
  <c r="AM8" i="4"/>
  <c r="AN8" i="4"/>
  <c r="AO8" i="4" s="1"/>
  <c r="AP8" i="4"/>
  <c r="AL9" i="4"/>
  <c r="AM9" i="4"/>
  <c r="AN9" i="4" s="1"/>
  <c r="AP9" i="4"/>
  <c r="AL10" i="4"/>
  <c r="AM10" i="4"/>
  <c r="AN10" i="4" s="1"/>
  <c r="AP10" i="4"/>
  <c r="AL11" i="4"/>
  <c r="AM11" i="4"/>
  <c r="AN11" i="4" s="1"/>
  <c r="AP11" i="4"/>
  <c r="AL12" i="4"/>
  <c r="AM12" i="4"/>
  <c r="AN12" i="4"/>
  <c r="AQ12" i="4" s="1"/>
  <c r="AP12" i="4"/>
  <c r="AL13" i="4"/>
  <c r="AM13" i="4"/>
  <c r="AN13" i="4" s="1"/>
  <c r="AP13" i="4"/>
  <c r="AL14" i="4"/>
  <c r="AM14" i="4"/>
  <c r="AN14" i="4"/>
  <c r="AO14" i="4" s="1"/>
  <c r="AR14" i="4" s="1"/>
  <c r="AP14" i="4"/>
  <c r="AQ14" i="4"/>
  <c r="AL15" i="4"/>
  <c r="AM15" i="4"/>
  <c r="AN15" i="4" s="1"/>
  <c r="AP15" i="4"/>
  <c r="AL16" i="4"/>
  <c r="AM16" i="4"/>
  <c r="AN16" i="4"/>
  <c r="AO16" i="4" s="1"/>
  <c r="AP16" i="4"/>
  <c r="AL17" i="4"/>
  <c r="AM17" i="4"/>
  <c r="AN17" i="4"/>
  <c r="AO17" i="4"/>
  <c r="AR17" i="4" s="1"/>
  <c r="AP17" i="4"/>
  <c r="AQ17" i="4"/>
  <c r="AL18" i="4"/>
  <c r="AM18" i="4"/>
  <c r="AN18" i="4" s="1"/>
  <c r="AP18" i="4"/>
  <c r="AL19" i="4"/>
  <c r="AM19" i="4"/>
  <c r="AN19" i="4"/>
  <c r="AO19" i="4" s="1"/>
  <c r="AR19" i="4" s="1"/>
  <c r="AP19" i="4"/>
  <c r="AQ19" i="4"/>
  <c r="AL20" i="4"/>
  <c r="AM20" i="4"/>
  <c r="AN20" i="4"/>
  <c r="AQ20" i="4" s="1"/>
  <c r="AR20" i="4" s="1"/>
  <c r="AO20" i="4"/>
  <c r="AP20" i="4"/>
  <c r="AL21" i="4"/>
  <c r="AM21" i="4"/>
  <c r="AN21" i="4" s="1"/>
  <c r="AP21" i="4"/>
  <c r="AL22" i="4"/>
  <c r="AM22" i="4"/>
  <c r="AN22" i="4"/>
  <c r="AO22" i="4" s="1"/>
  <c r="AR22" i="4" s="1"/>
  <c r="AP22" i="4"/>
  <c r="AQ22" i="4"/>
  <c r="AL23" i="4"/>
  <c r="AM23" i="4"/>
  <c r="AN23" i="4" s="1"/>
  <c r="AP23" i="4"/>
  <c r="AL24" i="4"/>
  <c r="AM24" i="4"/>
  <c r="AN24" i="4"/>
  <c r="AO24" i="4" s="1"/>
  <c r="AP24" i="4"/>
  <c r="AL25" i="4"/>
  <c r="AM25" i="4"/>
  <c r="AN25" i="4"/>
  <c r="AO25" i="4"/>
  <c r="AR25" i="4" s="1"/>
  <c r="AP25" i="4"/>
  <c r="AQ25" i="4"/>
  <c r="AL26" i="4"/>
  <c r="AM26" i="4"/>
  <c r="AN26" i="4" s="1"/>
  <c r="AP26" i="4"/>
  <c r="AR7" i="4"/>
  <c r="AQ7" i="4"/>
  <c r="AP7" i="4"/>
  <c r="AO7" i="4"/>
  <c r="AN7" i="4"/>
  <c r="AM7" i="4"/>
  <c r="AL7" i="4"/>
  <c r="AT10" i="4"/>
  <c r="AT8" i="4"/>
  <c r="AT9" i="4" s="1"/>
  <c r="AT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7" i="4"/>
  <c r="AI7" i="4" a="1"/>
  <c r="AI7" i="4" s="1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E7" i="4"/>
  <c r="AF7" i="4"/>
  <c r="AG7" i="4"/>
  <c r="AE8" i="4"/>
  <c r="AF8" i="4"/>
  <c r="AG8" i="4"/>
  <c r="AE9" i="4"/>
  <c r="AF9" i="4"/>
  <c r="AG9" i="4"/>
  <c r="AE10" i="4"/>
  <c r="AF10" i="4"/>
  <c r="AG10" i="4"/>
  <c r="AE11" i="4"/>
  <c r="AF11" i="4"/>
  <c r="AG11" i="4"/>
  <c r="AE12" i="4"/>
  <c r="AF12" i="4"/>
  <c r="AG12" i="4"/>
  <c r="AE13" i="4"/>
  <c r="AF13" i="4"/>
  <c r="AG13" i="4"/>
  <c r="AE14" i="4"/>
  <c r="AF14" i="4"/>
  <c r="AG14" i="4"/>
  <c r="AE15" i="4"/>
  <c r="AF15" i="4"/>
  <c r="AG15" i="4"/>
  <c r="AE16" i="4"/>
  <c r="AF16" i="4"/>
  <c r="AG16" i="4"/>
  <c r="AE17" i="4"/>
  <c r="AF17" i="4"/>
  <c r="AG17" i="4"/>
  <c r="AE18" i="4"/>
  <c r="AF18" i="4"/>
  <c r="AG18" i="4"/>
  <c r="AE19" i="4"/>
  <c r="AF19" i="4"/>
  <c r="AG19" i="4"/>
  <c r="AE20" i="4"/>
  <c r="AF20" i="4"/>
  <c r="AG20" i="4"/>
  <c r="AE21" i="4"/>
  <c r="AF21" i="4"/>
  <c r="AG21" i="4"/>
  <c r="AE22" i="4"/>
  <c r="AF22" i="4"/>
  <c r="AG22" i="4"/>
  <c r="AE23" i="4"/>
  <c r="AF23" i="4"/>
  <c r="AG23" i="4"/>
  <c r="AE24" i="4"/>
  <c r="AF24" i="4"/>
  <c r="AG24" i="4"/>
  <c r="AE25" i="4"/>
  <c r="AF25" i="4"/>
  <c r="AG25" i="4"/>
  <c r="AE26" i="4"/>
  <c r="AF26" i="4"/>
  <c r="AG26" i="4"/>
  <c r="AF6" i="4"/>
  <c r="AG6" i="4"/>
  <c r="AE6" i="4"/>
  <c r="AD9" i="4"/>
  <c r="AD10" i="4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D8" i="4"/>
  <c r="AB18" i="4"/>
  <c r="AB17" i="4"/>
  <c r="AB13" i="4"/>
  <c r="Y18" i="4"/>
  <c r="Y17" i="4"/>
  <c r="Y16" i="4"/>
  <c r="Y13" i="4"/>
  <c r="Y12" i="4"/>
  <c r="Y7" i="4"/>
  <c r="Y6" i="4"/>
  <c r="S16" i="4"/>
  <c r="S9" i="4"/>
  <c r="L21" i="4"/>
  <c r="M21" i="4" s="1"/>
  <c r="N21" i="4"/>
  <c r="O21" i="4"/>
  <c r="L22" i="4"/>
  <c r="M22" i="4" s="1"/>
  <c r="N22" i="4"/>
  <c r="O22" i="4"/>
  <c r="L23" i="4"/>
  <c r="M23" i="4" s="1"/>
  <c r="N23" i="4"/>
  <c r="O23" i="4"/>
  <c r="O20" i="4"/>
  <c r="N20" i="4"/>
  <c r="M20" i="4"/>
  <c r="L20" i="4"/>
  <c r="I21" i="4" a="1"/>
  <c r="I23" i="4" s="1"/>
  <c r="I21" i="4"/>
  <c r="I22" i="4"/>
  <c r="K17" i="4"/>
  <c r="J17" i="4"/>
  <c r="J16" i="4" s="1"/>
  <c r="J15" i="4"/>
  <c r="J11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M7" i="2"/>
  <c r="AN7" i="2"/>
  <c r="AO7" i="2" s="1"/>
  <c r="AQ7" i="2"/>
  <c r="AM8" i="2"/>
  <c r="AN8" i="2"/>
  <c r="AO8" i="2"/>
  <c r="AP8" i="2" s="1"/>
  <c r="AQ8" i="2"/>
  <c r="AM9" i="2"/>
  <c r="AN9" i="2"/>
  <c r="AO9" i="2"/>
  <c r="AR9" i="2" s="1"/>
  <c r="AP9" i="2"/>
  <c r="AQ9" i="2"/>
  <c r="AM10" i="2"/>
  <c r="AN10" i="2"/>
  <c r="AO10" i="2" s="1"/>
  <c r="AQ10" i="2"/>
  <c r="AM11" i="2"/>
  <c r="AN11" i="2"/>
  <c r="AO11" i="2"/>
  <c r="AP11" i="2" s="1"/>
  <c r="AQ11" i="2"/>
  <c r="AM12" i="2"/>
  <c r="AN12" i="2"/>
  <c r="AO12" i="2"/>
  <c r="AR12" i="2" s="1"/>
  <c r="AP12" i="2"/>
  <c r="AQ12" i="2"/>
  <c r="AM13" i="2"/>
  <c r="AN13" i="2"/>
  <c r="AO13" i="2"/>
  <c r="AR13" i="2" s="1"/>
  <c r="AP13" i="2"/>
  <c r="AQ13" i="2"/>
  <c r="AM14" i="2"/>
  <c r="AN14" i="2"/>
  <c r="AO14" i="2" s="1"/>
  <c r="AQ14" i="2"/>
  <c r="AM15" i="2"/>
  <c r="AN15" i="2"/>
  <c r="AO15" i="2"/>
  <c r="AP15" i="2" s="1"/>
  <c r="AQ15" i="2"/>
  <c r="AM16" i="2"/>
  <c r="AN16" i="2"/>
  <c r="AO16" i="2"/>
  <c r="AR16" i="2" s="1"/>
  <c r="AP16" i="2"/>
  <c r="AQ16" i="2"/>
  <c r="AM17" i="2"/>
  <c r="AN17" i="2"/>
  <c r="AO17" i="2"/>
  <c r="AR17" i="2" s="1"/>
  <c r="AP17" i="2"/>
  <c r="AQ17" i="2"/>
  <c r="AM18" i="2"/>
  <c r="AN18" i="2"/>
  <c r="AO18" i="2" s="1"/>
  <c r="AQ18" i="2"/>
  <c r="AM19" i="2"/>
  <c r="AN19" i="2"/>
  <c r="AO19" i="2"/>
  <c r="AP19" i="2" s="1"/>
  <c r="AQ19" i="2"/>
  <c r="AM20" i="2"/>
  <c r="AN20" i="2"/>
  <c r="AO20" i="2"/>
  <c r="AR20" i="2" s="1"/>
  <c r="AP20" i="2"/>
  <c r="AQ20" i="2"/>
  <c r="AM21" i="2"/>
  <c r="AN21" i="2"/>
  <c r="AO21" i="2"/>
  <c r="AR21" i="2" s="1"/>
  <c r="AP21" i="2"/>
  <c r="AS21" i="2" s="1"/>
  <c r="AQ21" i="2"/>
  <c r="AM22" i="2"/>
  <c r="AN22" i="2"/>
  <c r="AO22" i="2" s="1"/>
  <c r="AQ22" i="2"/>
  <c r="AM23" i="2"/>
  <c r="AN23" i="2"/>
  <c r="AO23" i="2"/>
  <c r="AP23" i="2" s="1"/>
  <c r="AQ23" i="2"/>
  <c r="AM24" i="2"/>
  <c r="AN24" i="2"/>
  <c r="AO24" i="2"/>
  <c r="AR24" i="2" s="1"/>
  <c r="AP24" i="2"/>
  <c r="AS24" i="2" s="1"/>
  <c r="AQ24" i="2"/>
  <c r="AM25" i="2"/>
  <c r="AN25" i="2"/>
  <c r="AO25" i="2"/>
  <c r="AR25" i="2" s="1"/>
  <c r="AP25" i="2"/>
  <c r="AQ25" i="2"/>
  <c r="AM26" i="2"/>
  <c r="AN26" i="2"/>
  <c r="AO26" i="2" s="1"/>
  <c r="AQ26" i="2"/>
  <c r="AS6" i="2"/>
  <c r="AR6" i="2"/>
  <c r="AQ6" i="2"/>
  <c r="AP6" i="2"/>
  <c r="AO6" i="2"/>
  <c r="AN6" i="2"/>
  <c r="AM6" i="2"/>
  <c r="AU9" i="2"/>
  <c r="AU7" i="2"/>
  <c r="AU8" i="2" s="1"/>
  <c r="AU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6" i="2"/>
  <c r="AJ6" i="2" a="1"/>
  <c r="AJ6" i="2" s="1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F6" i="2"/>
  <c r="AG6" i="2"/>
  <c r="AH6" i="2"/>
  <c r="AF7" i="2"/>
  <c r="AG7" i="2"/>
  <c r="AH7" i="2"/>
  <c r="AF8" i="2"/>
  <c r="AG8" i="2"/>
  <c r="AH8" i="2"/>
  <c r="AF9" i="2"/>
  <c r="AG9" i="2"/>
  <c r="AH9" i="2"/>
  <c r="AF10" i="2"/>
  <c r="AG10" i="2"/>
  <c r="AH10" i="2"/>
  <c r="AF11" i="2"/>
  <c r="AG11" i="2"/>
  <c r="AH11" i="2"/>
  <c r="AF12" i="2"/>
  <c r="AG12" i="2"/>
  <c r="AH12" i="2"/>
  <c r="AF13" i="2"/>
  <c r="AG13" i="2"/>
  <c r="AH13" i="2"/>
  <c r="AF14" i="2"/>
  <c r="AG14" i="2"/>
  <c r="AH14" i="2"/>
  <c r="AF15" i="2"/>
  <c r="AG15" i="2"/>
  <c r="AH15" i="2"/>
  <c r="AF16" i="2"/>
  <c r="AG16" i="2"/>
  <c r="AH16" i="2"/>
  <c r="AF17" i="2"/>
  <c r="AG17" i="2"/>
  <c r="AH17" i="2"/>
  <c r="AF18" i="2"/>
  <c r="AG18" i="2"/>
  <c r="AH18" i="2"/>
  <c r="AF19" i="2"/>
  <c r="AG19" i="2"/>
  <c r="AH19" i="2"/>
  <c r="AF20" i="2"/>
  <c r="AG20" i="2"/>
  <c r="AH20" i="2"/>
  <c r="AF21" i="2"/>
  <c r="AG21" i="2"/>
  <c r="AH21" i="2"/>
  <c r="AF22" i="2"/>
  <c r="AG22" i="2"/>
  <c r="AH22" i="2"/>
  <c r="AF23" i="2"/>
  <c r="AG23" i="2"/>
  <c r="AH23" i="2"/>
  <c r="AF24" i="2"/>
  <c r="AG24" i="2"/>
  <c r="AH24" i="2"/>
  <c r="AF25" i="2"/>
  <c r="AG25" i="2"/>
  <c r="AH25" i="2"/>
  <c r="AF26" i="2"/>
  <c r="AG26" i="2"/>
  <c r="AH26" i="2"/>
  <c r="AG5" i="2"/>
  <c r="AH5" i="2"/>
  <c r="AF5" i="2"/>
  <c r="AE8" i="2"/>
  <c r="AE9" i="2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7" i="2"/>
  <c r="AC17" i="2"/>
  <c r="AC16" i="2"/>
  <c r="AC12" i="2"/>
  <c r="Z17" i="2"/>
  <c r="Z16" i="2"/>
  <c r="Z15" i="2"/>
  <c r="Z12" i="2"/>
  <c r="Z11" i="2"/>
  <c r="Z6" i="2"/>
  <c r="Z5" i="2"/>
  <c r="T15" i="2"/>
  <c r="T8" i="2"/>
  <c r="M20" i="2"/>
  <c r="N20" i="2"/>
  <c r="O20" i="2"/>
  <c r="P20" i="2"/>
  <c r="M21" i="2"/>
  <c r="N21" i="2"/>
  <c r="O21" i="2"/>
  <c r="P21" i="2"/>
  <c r="M22" i="2"/>
  <c r="N22" i="2"/>
  <c r="O22" i="2"/>
  <c r="P22" i="2"/>
  <c r="P19" i="2"/>
  <c r="O19" i="2"/>
  <c r="N19" i="2"/>
  <c r="M19" i="2"/>
  <c r="J20" i="2" a="1"/>
  <c r="J20" i="2" s="1"/>
  <c r="L16" i="2"/>
  <c r="K16" i="2"/>
  <c r="K15" i="2"/>
  <c r="K14" i="2"/>
  <c r="K10" i="2"/>
  <c r="L9" i="3"/>
  <c r="AS7" i="3"/>
  <c r="AT7" i="3"/>
  <c r="AU7" i="3" s="1"/>
  <c r="AW7" i="3"/>
  <c r="AS8" i="3"/>
  <c r="AT8" i="3"/>
  <c r="AU8" i="3"/>
  <c r="AV8" i="3" s="1"/>
  <c r="AW8" i="3"/>
  <c r="AS9" i="3"/>
  <c r="AT9" i="3"/>
  <c r="AU9" i="3"/>
  <c r="AX9" i="3" s="1"/>
  <c r="AV9" i="3"/>
  <c r="AW9" i="3"/>
  <c r="AS10" i="3"/>
  <c r="AT10" i="3"/>
  <c r="AU10" i="3" s="1"/>
  <c r="AW10" i="3"/>
  <c r="AS11" i="3"/>
  <c r="AT11" i="3"/>
  <c r="AU11" i="3"/>
  <c r="AV11" i="3" s="1"/>
  <c r="AY11" i="3" s="1"/>
  <c r="AW11" i="3"/>
  <c r="AX11" i="3"/>
  <c r="AS12" i="3"/>
  <c r="AT12" i="3"/>
  <c r="AU12" i="3"/>
  <c r="AX12" i="3" s="1"/>
  <c r="AV12" i="3"/>
  <c r="AW12" i="3"/>
  <c r="AS13" i="3"/>
  <c r="AT13" i="3"/>
  <c r="AU13" i="3"/>
  <c r="AX13" i="3" s="1"/>
  <c r="AV13" i="3"/>
  <c r="AY13" i="3" s="1"/>
  <c r="AW13" i="3"/>
  <c r="AS14" i="3"/>
  <c r="AT14" i="3"/>
  <c r="AU14" i="3" s="1"/>
  <c r="AW14" i="3"/>
  <c r="AS15" i="3"/>
  <c r="AT15" i="3"/>
  <c r="AU15" i="3" s="1"/>
  <c r="AW15" i="3"/>
  <c r="AS16" i="3"/>
  <c r="AT16" i="3"/>
  <c r="AU16" i="3"/>
  <c r="AV16" i="3" s="1"/>
  <c r="AW16" i="3"/>
  <c r="AS17" i="3"/>
  <c r="AT17" i="3"/>
  <c r="AU17" i="3"/>
  <c r="AX17" i="3" s="1"/>
  <c r="AV17" i="3"/>
  <c r="AW17" i="3"/>
  <c r="AS18" i="3"/>
  <c r="AT18" i="3"/>
  <c r="AU18" i="3" s="1"/>
  <c r="AW18" i="3"/>
  <c r="AS19" i="3"/>
  <c r="AT19" i="3"/>
  <c r="AU19" i="3"/>
  <c r="AX19" i="3" s="1"/>
  <c r="AW19" i="3"/>
  <c r="AS20" i="3"/>
  <c r="AT20" i="3"/>
  <c r="AU20" i="3"/>
  <c r="AX20" i="3" s="1"/>
  <c r="AV20" i="3"/>
  <c r="AW20" i="3"/>
  <c r="AS21" i="3"/>
  <c r="AT21" i="3"/>
  <c r="AU21" i="3"/>
  <c r="AX21" i="3" s="1"/>
  <c r="AV21" i="3"/>
  <c r="AY21" i="3" s="1"/>
  <c r="AW21" i="3"/>
  <c r="AS22" i="3"/>
  <c r="AT22" i="3"/>
  <c r="AU22" i="3" s="1"/>
  <c r="AW22" i="3"/>
  <c r="AS23" i="3"/>
  <c r="AT23" i="3"/>
  <c r="AU23" i="3" s="1"/>
  <c r="AW23" i="3"/>
  <c r="AS24" i="3"/>
  <c r="AT24" i="3"/>
  <c r="AU24" i="3"/>
  <c r="AV24" i="3" s="1"/>
  <c r="AW24" i="3"/>
  <c r="AS25" i="3"/>
  <c r="AT25" i="3"/>
  <c r="AU25" i="3"/>
  <c r="AX25" i="3" s="1"/>
  <c r="AV25" i="3"/>
  <c r="AW25" i="3"/>
  <c r="AS26" i="3"/>
  <c r="AT26" i="3"/>
  <c r="AU26" i="3" s="1"/>
  <c r="AW26" i="3"/>
  <c r="AS27" i="3"/>
  <c r="AT27" i="3"/>
  <c r="AU27" i="3"/>
  <c r="AX27" i="3" s="1"/>
  <c r="AW27" i="3"/>
  <c r="AS28" i="3"/>
  <c r="AT28" i="3"/>
  <c r="AU28" i="3"/>
  <c r="AX28" i="3" s="1"/>
  <c r="AV28" i="3"/>
  <c r="AW28" i="3"/>
  <c r="AS29" i="3"/>
  <c r="AT29" i="3"/>
  <c r="AU29" i="3"/>
  <c r="AX29" i="3" s="1"/>
  <c r="AV29" i="3"/>
  <c r="AY29" i="3" s="1"/>
  <c r="AW29" i="3"/>
  <c r="AS30" i="3"/>
  <c r="AT30" i="3"/>
  <c r="AU30" i="3" s="1"/>
  <c r="AW30" i="3"/>
  <c r="AS31" i="3"/>
  <c r="AT31" i="3"/>
  <c r="AU31" i="3" s="1"/>
  <c r="AW31" i="3"/>
  <c r="AS32" i="3"/>
  <c r="AT32" i="3"/>
  <c r="AU32" i="3"/>
  <c r="AV32" i="3" s="1"/>
  <c r="AW32" i="3"/>
  <c r="AS33" i="3"/>
  <c r="AT33" i="3"/>
  <c r="AU33" i="3"/>
  <c r="AX33" i="3" s="1"/>
  <c r="AV33" i="3"/>
  <c r="AW33" i="3"/>
  <c r="AS34" i="3"/>
  <c r="AT34" i="3"/>
  <c r="AU34" i="3" s="1"/>
  <c r="AW34" i="3"/>
  <c r="AS35" i="3"/>
  <c r="AT35" i="3"/>
  <c r="AU35" i="3"/>
  <c r="AX35" i="3" s="1"/>
  <c r="AW35" i="3"/>
  <c r="AS36" i="3"/>
  <c r="AT36" i="3"/>
  <c r="AU36" i="3"/>
  <c r="AX36" i="3" s="1"/>
  <c r="AV36" i="3"/>
  <c r="AW36" i="3"/>
  <c r="AY6" i="3"/>
  <c r="AX6" i="3"/>
  <c r="AW6" i="3"/>
  <c r="AV6" i="3"/>
  <c r="AU6" i="3"/>
  <c r="AT6" i="3"/>
  <c r="AS6" i="3"/>
  <c r="BA9" i="3"/>
  <c r="BA7" i="3"/>
  <c r="BA8" i="3" s="1"/>
  <c r="BA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6" i="3"/>
  <c r="AP6" i="3" a="1"/>
  <c r="AP6" i="3" s="1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I6" i="3"/>
  <c r="AJ6" i="3"/>
  <c r="AK6" i="3"/>
  <c r="AL6" i="3"/>
  <c r="AM6" i="3"/>
  <c r="AN6" i="3"/>
  <c r="AI7" i="3"/>
  <c r="AJ7" i="3"/>
  <c r="AK7" i="3"/>
  <c r="AL7" i="3"/>
  <c r="AM7" i="3"/>
  <c r="AN7" i="3"/>
  <c r="AI8" i="3"/>
  <c r="AJ8" i="3"/>
  <c r="AK8" i="3"/>
  <c r="AL8" i="3"/>
  <c r="AM8" i="3"/>
  <c r="AN8" i="3"/>
  <c r="AI9" i="3"/>
  <c r="AJ9" i="3"/>
  <c r="AK9" i="3"/>
  <c r="AL9" i="3"/>
  <c r="AM9" i="3"/>
  <c r="AN9" i="3"/>
  <c r="AI10" i="3"/>
  <c r="AJ10" i="3"/>
  <c r="AK10" i="3"/>
  <c r="AL10" i="3"/>
  <c r="AM10" i="3"/>
  <c r="AN10" i="3"/>
  <c r="AI11" i="3"/>
  <c r="AJ11" i="3"/>
  <c r="AK11" i="3"/>
  <c r="AL11" i="3"/>
  <c r="AM11" i="3"/>
  <c r="AN11" i="3"/>
  <c r="AI12" i="3"/>
  <c r="AJ12" i="3"/>
  <c r="AK12" i="3"/>
  <c r="AL12" i="3"/>
  <c r="AM12" i="3"/>
  <c r="AN12" i="3"/>
  <c r="AI13" i="3"/>
  <c r="AJ13" i="3"/>
  <c r="AK13" i="3"/>
  <c r="AL13" i="3"/>
  <c r="AM13" i="3"/>
  <c r="AN13" i="3"/>
  <c r="AI14" i="3"/>
  <c r="AJ14" i="3"/>
  <c r="AK14" i="3"/>
  <c r="AL14" i="3"/>
  <c r="AM14" i="3"/>
  <c r="AN14" i="3"/>
  <c r="AI15" i="3"/>
  <c r="AJ15" i="3"/>
  <c r="AK15" i="3"/>
  <c r="AL15" i="3"/>
  <c r="AM15" i="3"/>
  <c r="AN15" i="3"/>
  <c r="AI16" i="3"/>
  <c r="AJ16" i="3"/>
  <c r="AK16" i="3"/>
  <c r="AL16" i="3"/>
  <c r="AM16" i="3"/>
  <c r="AN16" i="3"/>
  <c r="AI17" i="3"/>
  <c r="AJ17" i="3"/>
  <c r="AK17" i="3"/>
  <c r="AL17" i="3"/>
  <c r="AM17" i="3"/>
  <c r="AN17" i="3"/>
  <c r="AI18" i="3"/>
  <c r="AJ18" i="3"/>
  <c r="AK18" i="3"/>
  <c r="AL18" i="3"/>
  <c r="AM18" i="3"/>
  <c r="AN18" i="3"/>
  <c r="AI19" i="3"/>
  <c r="AJ19" i="3"/>
  <c r="AK19" i="3"/>
  <c r="AL19" i="3"/>
  <c r="AM19" i="3"/>
  <c r="AN19" i="3"/>
  <c r="AI20" i="3"/>
  <c r="AJ20" i="3"/>
  <c r="AK20" i="3"/>
  <c r="AL20" i="3"/>
  <c r="AM20" i="3"/>
  <c r="AN20" i="3"/>
  <c r="AI21" i="3"/>
  <c r="AJ21" i="3"/>
  <c r="AK21" i="3"/>
  <c r="AL21" i="3"/>
  <c r="AM21" i="3"/>
  <c r="AN21" i="3"/>
  <c r="AI22" i="3"/>
  <c r="AJ22" i="3"/>
  <c r="AK22" i="3"/>
  <c r="AL22" i="3"/>
  <c r="AM22" i="3"/>
  <c r="AN22" i="3"/>
  <c r="AI23" i="3"/>
  <c r="AJ23" i="3"/>
  <c r="AK23" i="3"/>
  <c r="AL23" i="3"/>
  <c r="AM23" i="3"/>
  <c r="AN23" i="3"/>
  <c r="AI24" i="3"/>
  <c r="AJ24" i="3"/>
  <c r="AK24" i="3"/>
  <c r="AL24" i="3"/>
  <c r="AM24" i="3"/>
  <c r="AN24" i="3"/>
  <c r="AI25" i="3"/>
  <c r="AJ25" i="3"/>
  <c r="AK25" i="3"/>
  <c r="AL25" i="3"/>
  <c r="AM25" i="3"/>
  <c r="AN25" i="3"/>
  <c r="AI26" i="3"/>
  <c r="AJ26" i="3"/>
  <c r="AK26" i="3"/>
  <c r="AL26" i="3"/>
  <c r="AM26" i="3"/>
  <c r="AN26" i="3"/>
  <c r="AI27" i="3"/>
  <c r="AJ27" i="3"/>
  <c r="AK27" i="3"/>
  <c r="AL27" i="3"/>
  <c r="AM27" i="3"/>
  <c r="AN27" i="3"/>
  <c r="AI28" i="3"/>
  <c r="AJ28" i="3"/>
  <c r="AK28" i="3"/>
  <c r="AL28" i="3"/>
  <c r="AM28" i="3"/>
  <c r="AN28" i="3"/>
  <c r="AI29" i="3"/>
  <c r="AJ29" i="3"/>
  <c r="AK29" i="3"/>
  <c r="AL29" i="3"/>
  <c r="AM29" i="3"/>
  <c r="AN29" i="3"/>
  <c r="AI30" i="3"/>
  <c r="AJ30" i="3"/>
  <c r="AK30" i="3"/>
  <c r="AL30" i="3"/>
  <c r="AM30" i="3"/>
  <c r="AN30" i="3"/>
  <c r="AI31" i="3"/>
  <c r="AJ31" i="3"/>
  <c r="AK31" i="3"/>
  <c r="AL31" i="3"/>
  <c r="AM31" i="3"/>
  <c r="AN31" i="3"/>
  <c r="AI32" i="3"/>
  <c r="AJ32" i="3"/>
  <c r="AK32" i="3"/>
  <c r="AL32" i="3"/>
  <c r="AM32" i="3"/>
  <c r="AN32" i="3"/>
  <c r="AI33" i="3"/>
  <c r="AJ33" i="3"/>
  <c r="AK33" i="3"/>
  <c r="AL33" i="3"/>
  <c r="AM33" i="3"/>
  <c r="AN33" i="3"/>
  <c r="AI34" i="3"/>
  <c r="AJ34" i="3"/>
  <c r="AK34" i="3"/>
  <c r="AL34" i="3"/>
  <c r="AM34" i="3"/>
  <c r="AN34" i="3"/>
  <c r="AI35" i="3"/>
  <c r="AJ35" i="3"/>
  <c r="AK35" i="3"/>
  <c r="AL35" i="3"/>
  <c r="AM35" i="3"/>
  <c r="AN35" i="3"/>
  <c r="AI36" i="3"/>
  <c r="AJ36" i="3"/>
  <c r="AK36" i="3"/>
  <c r="AL36" i="3"/>
  <c r="AM36" i="3"/>
  <c r="AN36" i="3"/>
  <c r="AJ5" i="3"/>
  <c r="AK5" i="3"/>
  <c r="AL5" i="3"/>
  <c r="AM5" i="3"/>
  <c r="AN5" i="3"/>
  <c r="AI5" i="3"/>
  <c r="AH8" i="3"/>
  <c r="AH9" i="3" s="1"/>
  <c r="AH10" i="3" s="1"/>
  <c r="AH11" i="3" s="1"/>
  <c r="AH12" i="3" s="1"/>
  <c r="AH13" i="3" s="1"/>
  <c r="AH14" i="3" s="1"/>
  <c r="AH15" i="3" s="1"/>
  <c r="AH16" i="3" s="1"/>
  <c r="AH17" i="3" s="1"/>
  <c r="AH18" i="3" s="1"/>
  <c r="AH19" i="3" s="1"/>
  <c r="AH20" i="3" s="1"/>
  <c r="AH21" i="3" s="1"/>
  <c r="AH22" i="3" s="1"/>
  <c r="AH23" i="3" s="1"/>
  <c r="AH24" i="3" s="1"/>
  <c r="AH25" i="3" s="1"/>
  <c r="AH26" i="3" s="1"/>
  <c r="AH27" i="3" s="1"/>
  <c r="AH28" i="3" s="1"/>
  <c r="AH29" i="3" s="1"/>
  <c r="AH30" i="3" s="1"/>
  <c r="AH31" i="3" s="1"/>
  <c r="AH32" i="3" s="1"/>
  <c r="AH33" i="3" s="1"/>
  <c r="AH34" i="3" s="1"/>
  <c r="AH35" i="3" s="1"/>
  <c r="AH36" i="3" s="1"/>
  <c r="AH7" i="3"/>
  <c r="AF17" i="3"/>
  <c r="AF16" i="3"/>
  <c r="AF12" i="3"/>
  <c r="AC17" i="3"/>
  <c r="AC16" i="3"/>
  <c r="AC15" i="3"/>
  <c r="AC12" i="3"/>
  <c r="AC11" i="3"/>
  <c r="AC6" i="3"/>
  <c r="AC5" i="3"/>
  <c r="W15" i="3"/>
  <c r="W8" i="3"/>
  <c r="P20" i="3"/>
  <c r="Q20" i="3"/>
  <c r="R20" i="3"/>
  <c r="S20" i="3"/>
  <c r="P21" i="3"/>
  <c r="Q21" i="3"/>
  <c r="R21" i="3"/>
  <c r="S21" i="3"/>
  <c r="P22" i="3"/>
  <c r="Q22" i="3"/>
  <c r="R22" i="3"/>
  <c r="S22" i="3"/>
  <c r="P23" i="3"/>
  <c r="Q23" i="3"/>
  <c r="R23" i="3"/>
  <c r="S23" i="3"/>
  <c r="P24" i="3"/>
  <c r="Q24" i="3"/>
  <c r="R24" i="3"/>
  <c r="S24" i="3"/>
  <c r="P25" i="3"/>
  <c r="Q25" i="3"/>
  <c r="R25" i="3"/>
  <c r="S25" i="3"/>
  <c r="S19" i="3"/>
  <c r="R19" i="3"/>
  <c r="Q19" i="3"/>
  <c r="P19" i="3"/>
  <c r="M20" i="3" a="1"/>
  <c r="M20" i="3" s="1"/>
  <c r="O16" i="3"/>
  <c r="N16" i="3"/>
  <c r="N15" i="3"/>
  <c r="N14" i="3"/>
  <c r="N10" i="3"/>
  <c r="AJ8" i="5" a="1"/>
  <c r="AB16" i="5"/>
  <c r="AB12" i="5"/>
  <c r="Y16" i="5"/>
  <c r="Y12" i="5"/>
  <c r="U9" i="5" a="1"/>
  <c r="S15" i="5"/>
  <c r="S14" i="5"/>
  <c r="S8" i="5"/>
  <c r="S7" i="5"/>
  <c r="P23" i="5"/>
  <c r="P22" i="5"/>
  <c r="J21" i="5" a="1"/>
  <c r="AK7" i="4" a="1"/>
  <c r="AB15" i="4"/>
  <c r="AB11" i="4"/>
  <c r="Y15" i="4"/>
  <c r="Y11" i="4"/>
  <c r="U8" i="4" a="1"/>
  <c r="S14" i="4"/>
  <c r="S13" i="4"/>
  <c r="S7" i="4"/>
  <c r="S6" i="4"/>
  <c r="P23" i="4"/>
  <c r="P22" i="4"/>
  <c r="P21" i="4"/>
  <c r="J20" i="4" a="1"/>
  <c r="AL6" i="2" a="1"/>
  <c r="AC14" i="2"/>
  <c r="AC10" i="2"/>
  <c r="Z14" i="2"/>
  <c r="Z10" i="2"/>
  <c r="V7" i="2" a="1"/>
  <c r="T13" i="2"/>
  <c r="T12" i="2"/>
  <c r="T6" i="2"/>
  <c r="T5" i="2"/>
  <c r="Q22" i="2"/>
  <c r="Q21" i="2"/>
  <c r="Q20" i="2"/>
  <c r="K19" i="2" a="1"/>
  <c r="AR6" i="3" a="1"/>
  <c r="AF14" i="3"/>
  <c r="AF10" i="3"/>
  <c r="AC14" i="3"/>
  <c r="AC10" i="3"/>
  <c r="Y7" i="3" a="1"/>
  <c r="W13" i="3"/>
  <c r="W12" i="3"/>
  <c r="W6" i="3"/>
  <c r="W5" i="3"/>
  <c r="T25" i="3"/>
  <c r="T24" i="3"/>
  <c r="T23" i="3"/>
  <c r="T22" i="3"/>
  <c r="T21" i="3"/>
  <c r="T20" i="3"/>
  <c r="N19" i="3" a="1"/>
  <c r="AQ27" i="5" l="1"/>
  <c r="AN16" i="5"/>
  <c r="AQ16" i="5" s="1"/>
  <c r="AP16" i="5"/>
  <c r="AQ14" i="5"/>
  <c r="AN12" i="5"/>
  <c r="AQ12" i="5" s="1"/>
  <c r="AP12" i="5"/>
  <c r="AQ10" i="5"/>
  <c r="AQ19" i="5"/>
  <c r="AQ17" i="5"/>
  <c r="AN13" i="5"/>
  <c r="AP13" i="5"/>
  <c r="AN24" i="5"/>
  <c r="AP24" i="5"/>
  <c r="AQ22" i="5"/>
  <c r="AN20" i="5"/>
  <c r="AQ20" i="5" s="1"/>
  <c r="AP20" i="5"/>
  <c r="AQ18" i="5"/>
  <c r="AN21" i="5"/>
  <c r="AQ21" i="5" s="1"/>
  <c r="AP9" i="5"/>
  <c r="AQ9" i="5" s="1"/>
  <c r="AP25" i="5"/>
  <c r="AQ25" i="5" s="1"/>
  <c r="AP17" i="5"/>
  <c r="AJ8" i="5"/>
  <c r="AJ16" i="5"/>
  <c r="AJ24" i="5"/>
  <c r="AJ9" i="5"/>
  <c r="AJ17" i="5"/>
  <c r="AJ25" i="5"/>
  <c r="AJ10" i="5"/>
  <c r="AJ18" i="5"/>
  <c r="AJ26" i="5"/>
  <c r="AJ19" i="5"/>
  <c r="AJ20" i="5"/>
  <c r="AJ11" i="5"/>
  <c r="AJ27" i="5"/>
  <c r="AJ12" i="5"/>
  <c r="AJ13" i="5"/>
  <c r="AJ21" i="5"/>
  <c r="AJ14" i="5"/>
  <c r="AJ22" i="5"/>
  <c r="AJ15" i="5"/>
  <c r="AJ23" i="5"/>
  <c r="AH14" i="5"/>
  <c r="AH21" i="5"/>
  <c r="AH13" i="5"/>
  <c r="AH22" i="5"/>
  <c r="AH20" i="5"/>
  <c r="AH12" i="5"/>
  <c r="AH27" i="5"/>
  <c r="AH19" i="5"/>
  <c r="AH11" i="5"/>
  <c r="AH26" i="5"/>
  <c r="AH18" i="5"/>
  <c r="AH10" i="5"/>
  <c r="AH25" i="5"/>
  <c r="AH17" i="5"/>
  <c r="AH9" i="5"/>
  <c r="AH24" i="5"/>
  <c r="AH16" i="5"/>
  <c r="V12" i="5"/>
  <c r="U9" i="5"/>
  <c r="V9" i="5"/>
  <c r="U10" i="5"/>
  <c r="V10" i="5"/>
  <c r="U11" i="5"/>
  <c r="V11" i="5"/>
  <c r="U12" i="5"/>
  <c r="J21" i="5"/>
  <c r="K21" i="5"/>
  <c r="J22" i="5"/>
  <c r="K22" i="5"/>
  <c r="J23" i="5"/>
  <c r="K23" i="5"/>
  <c r="AO18" i="4"/>
  <c r="AR18" i="4" s="1"/>
  <c r="AQ18" i="4"/>
  <c r="AO9" i="4"/>
  <c r="AR9" i="4" s="1"/>
  <c r="AQ9" i="4"/>
  <c r="AO23" i="4"/>
  <c r="AR23" i="4" s="1"/>
  <c r="AQ23" i="4"/>
  <c r="AQ21" i="4"/>
  <c r="AO21" i="4"/>
  <c r="AR21" i="4" s="1"/>
  <c r="AO11" i="4"/>
  <c r="AR11" i="4" s="1"/>
  <c r="AQ11" i="4"/>
  <c r="AO15" i="4"/>
  <c r="AR15" i="4" s="1"/>
  <c r="AQ15" i="4"/>
  <c r="AQ13" i="4"/>
  <c r="AO13" i="4"/>
  <c r="AO26" i="4"/>
  <c r="AR26" i="4" s="1"/>
  <c r="AQ26" i="4"/>
  <c r="AO10" i="4"/>
  <c r="AR10" i="4" s="1"/>
  <c r="AQ10" i="4"/>
  <c r="AO12" i="4"/>
  <c r="AR12" i="4" s="1"/>
  <c r="AQ24" i="4"/>
  <c r="AR24" i="4" s="1"/>
  <c r="AQ16" i="4"/>
  <c r="AR16" i="4" s="1"/>
  <c r="AQ8" i="4"/>
  <c r="AR8" i="4" s="1"/>
  <c r="AK14" i="4"/>
  <c r="AK22" i="4"/>
  <c r="AK7" i="4"/>
  <c r="AK15" i="4"/>
  <c r="AK23" i="4"/>
  <c r="AK8" i="4"/>
  <c r="AK16" i="4"/>
  <c r="AK24" i="4"/>
  <c r="AK9" i="4"/>
  <c r="AK17" i="4"/>
  <c r="AK25" i="4"/>
  <c r="AK10" i="4"/>
  <c r="AK18" i="4"/>
  <c r="AK26" i="4"/>
  <c r="AK11" i="4"/>
  <c r="AK19" i="4"/>
  <c r="AK12" i="4"/>
  <c r="AK20" i="4"/>
  <c r="AK13" i="4"/>
  <c r="AK21" i="4"/>
  <c r="AI23" i="4"/>
  <c r="AI22" i="4"/>
  <c r="AI14" i="4"/>
  <c r="AI21" i="4"/>
  <c r="AI13" i="4"/>
  <c r="AI15" i="4"/>
  <c r="AI20" i="4"/>
  <c r="AI12" i="4"/>
  <c r="AI19" i="4"/>
  <c r="AI11" i="4"/>
  <c r="AI26" i="4"/>
  <c r="AI18" i="4"/>
  <c r="AI10" i="4"/>
  <c r="AI25" i="4"/>
  <c r="AI17" i="4"/>
  <c r="AI9" i="4"/>
  <c r="AI24" i="4"/>
  <c r="AI16" i="4"/>
  <c r="AI8" i="4"/>
  <c r="U8" i="4"/>
  <c r="V8" i="4"/>
  <c r="U9" i="4"/>
  <c r="V9" i="4"/>
  <c r="U10" i="4"/>
  <c r="V10" i="4"/>
  <c r="U11" i="4"/>
  <c r="V11" i="4"/>
  <c r="K23" i="4"/>
  <c r="J20" i="4"/>
  <c r="K20" i="4"/>
  <c r="J21" i="4"/>
  <c r="K21" i="4"/>
  <c r="J22" i="4"/>
  <c r="K22" i="4"/>
  <c r="J23" i="4"/>
  <c r="AR18" i="2"/>
  <c r="AP18" i="2"/>
  <c r="AS16" i="2"/>
  <c r="AS25" i="2"/>
  <c r="AP14" i="2"/>
  <c r="AS14" i="2" s="1"/>
  <c r="AR14" i="2"/>
  <c r="AS12" i="2"/>
  <c r="AR10" i="2"/>
  <c r="AP10" i="2"/>
  <c r="AS10" i="2" s="1"/>
  <c r="AS17" i="2"/>
  <c r="AS13" i="2"/>
  <c r="AS15" i="2"/>
  <c r="AS9" i="2"/>
  <c r="AS11" i="2"/>
  <c r="AP7" i="2"/>
  <c r="AS7" i="2" s="1"/>
  <c r="AR7" i="2"/>
  <c r="AR26" i="2"/>
  <c r="AP26" i="2"/>
  <c r="AS26" i="2" s="1"/>
  <c r="AP22" i="2"/>
  <c r="AR22" i="2"/>
  <c r="AS20" i="2"/>
  <c r="AR19" i="2"/>
  <c r="AS19" i="2" s="1"/>
  <c r="AR11" i="2"/>
  <c r="AR15" i="2"/>
  <c r="AR23" i="2"/>
  <c r="AS23" i="2" s="1"/>
  <c r="AR8" i="2"/>
  <c r="AS8" i="2" s="1"/>
  <c r="AL13" i="2"/>
  <c r="AL21" i="2"/>
  <c r="AL6" i="2"/>
  <c r="AL14" i="2"/>
  <c r="AL7" i="2"/>
  <c r="AL15" i="2"/>
  <c r="AL8" i="2"/>
  <c r="AL16" i="2"/>
  <c r="AL24" i="2"/>
  <c r="AL26" i="2"/>
  <c r="AL19" i="2"/>
  <c r="AL9" i="2"/>
  <c r="AL17" i="2"/>
  <c r="AL25" i="2"/>
  <c r="AL10" i="2"/>
  <c r="AL18" i="2"/>
  <c r="AL11" i="2"/>
  <c r="AL12" i="2"/>
  <c r="AL20" i="2"/>
  <c r="AL22" i="2"/>
  <c r="AL23" i="2"/>
  <c r="AJ21" i="2"/>
  <c r="AJ12" i="2"/>
  <c r="AJ19" i="2"/>
  <c r="AJ11" i="2"/>
  <c r="AJ20" i="2"/>
  <c r="AJ26" i="2"/>
  <c r="AJ18" i="2"/>
  <c r="AJ10" i="2"/>
  <c r="AJ25" i="2"/>
  <c r="AJ17" i="2"/>
  <c r="AJ9" i="2"/>
  <c r="AJ13" i="2"/>
  <c r="AJ24" i="2"/>
  <c r="AJ16" i="2"/>
  <c r="AJ8" i="2"/>
  <c r="AJ23" i="2"/>
  <c r="AJ15" i="2"/>
  <c r="AJ7" i="2"/>
  <c r="AJ22" i="2"/>
  <c r="AJ14" i="2"/>
  <c r="V8" i="2"/>
  <c r="V9" i="2"/>
  <c r="W9" i="2"/>
  <c r="W8" i="2"/>
  <c r="V10" i="2"/>
  <c r="W10" i="2"/>
  <c r="V7" i="2"/>
  <c r="W7" i="2"/>
  <c r="K19" i="2"/>
  <c r="L19" i="2"/>
  <c r="K20" i="2"/>
  <c r="K21" i="2"/>
  <c r="L20" i="2"/>
  <c r="L21" i="2"/>
  <c r="K22" i="2"/>
  <c r="L22" i="2"/>
  <c r="J22" i="2"/>
  <c r="J21" i="2"/>
  <c r="AY36" i="3"/>
  <c r="AV30" i="3"/>
  <c r="AY30" i="3" s="1"/>
  <c r="AX30" i="3"/>
  <c r="AY28" i="3"/>
  <c r="AV22" i="3"/>
  <c r="AY22" i="3" s="1"/>
  <c r="AX22" i="3"/>
  <c r="AY20" i="3"/>
  <c r="AV14" i="3"/>
  <c r="AX14" i="3"/>
  <c r="AY12" i="3"/>
  <c r="AV10" i="3"/>
  <c r="AX10" i="3"/>
  <c r="AX18" i="3"/>
  <c r="AV18" i="3"/>
  <c r="AY33" i="3"/>
  <c r="AY25" i="3"/>
  <c r="AY17" i="3"/>
  <c r="AV23" i="3"/>
  <c r="AY23" i="3" s="1"/>
  <c r="AX23" i="3"/>
  <c r="AV15" i="3"/>
  <c r="AY15" i="3" s="1"/>
  <c r="AX15" i="3"/>
  <c r="AY9" i="3"/>
  <c r="AV7" i="3"/>
  <c r="AY7" i="3" s="1"/>
  <c r="AX7" i="3"/>
  <c r="AX34" i="3"/>
  <c r="AV34" i="3"/>
  <c r="AY34" i="3" s="1"/>
  <c r="AX26" i="3"/>
  <c r="AV26" i="3"/>
  <c r="AY26" i="3" s="1"/>
  <c r="AV31" i="3"/>
  <c r="AY31" i="3" s="1"/>
  <c r="AX31" i="3"/>
  <c r="AV35" i="3"/>
  <c r="AY35" i="3" s="1"/>
  <c r="AV27" i="3"/>
  <c r="AY27" i="3" s="1"/>
  <c r="AV19" i="3"/>
  <c r="AY19" i="3" s="1"/>
  <c r="AX32" i="3"/>
  <c r="AY32" i="3" s="1"/>
  <c r="AX24" i="3"/>
  <c r="AY24" i="3" s="1"/>
  <c r="AX16" i="3"/>
  <c r="AY16" i="3" s="1"/>
  <c r="AX8" i="3"/>
  <c r="AY8" i="3" s="1"/>
  <c r="AR13" i="3"/>
  <c r="AR21" i="3"/>
  <c r="AR29" i="3"/>
  <c r="AR6" i="3"/>
  <c r="AR14" i="3"/>
  <c r="AR22" i="3"/>
  <c r="AR30" i="3"/>
  <c r="AR34" i="3"/>
  <c r="AR7" i="3"/>
  <c r="AR15" i="3"/>
  <c r="AR23" i="3"/>
  <c r="AR31" i="3"/>
  <c r="AR26" i="3"/>
  <c r="AR8" i="3"/>
  <c r="AR16" i="3"/>
  <c r="AR24" i="3"/>
  <c r="AR32" i="3"/>
  <c r="AR18" i="3"/>
  <c r="AR9" i="3"/>
  <c r="AR17" i="3"/>
  <c r="AR25" i="3"/>
  <c r="AR33" i="3"/>
  <c r="AR10" i="3"/>
  <c r="AR36" i="3"/>
  <c r="AR11" i="3"/>
  <c r="AR19" i="3"/>
  <c r="AR27" i="3"/>
  <c r="AR35" i="3"/>
  <c r="AR12" i="3"/>
  <c r="AR20" i="3"/>
  <c r="AR28" i="3"/>
  <c r="AP19" i="3"/>
  <c r="AP29" i="3"/>
  <c r="AP21" i="3"/>
  <c r="AP13" i="3"/>
  <c r="AP36" i="3"/>
  <c r="AP28" i="3"/>
  <c r="AP20" i="3"/>
  <c r="AP12" i="3"/>
  <c r="AP34" i="3"/>
  <c r="AP26" i="3"/>
  <c r="AP18" i="3"/>
  <c r="AP10" i="3"/>
  <c r="AP11" i="3"/>
  <c r="AP27" i="3"/>
  <c r="AP33" i="3"/>
  <c r="AP25" i="3"/>
  <c r="AP17" i="3"/>
  <c r="AP9" i="3"/>
  <c r="AP32" i="3"/>
  <c r="AP24" i="3"/>
  <c r="AP16" i="3"/>
  <c r="AP8" i="3"/>
  <c r="AP23" i="3"/>
  <c r="AP15" i="3"/>
  <c r="AP7" i="3"/>
  <c r="AP35" i="3"/>
  <c r="AP31" i="3"/>
  <c r="AP30" i="3"/>
  <c r="AP22" i="3"/>
  <c r="AP14" i="3"/>
  <c r="Y7" i="3"/>
  <c r="Z7" i="3"/>
  <c r="Y8" i="3"/>
  <c r="Z8" i="3"/>
  <c r="Y9" i="3"/>
  <c r="Z9" i="3"/>
  <c r="Y10" i="3"/>
  <c r="Z10" i="3"/>
  <c r="N20" i="3"/>
  <c r="N24" i="3"/>
  <c r="O20" i="3"/>
  <c r="O24" i="3"/>
  <c r="N21" i="3"/>
  <c r="N25" i="3"/>
  <c r="O21" i="3"/>
  <c r="O25" i="3"/>
  <c r="N22" i="3"/>
  <c r="O22" i="3"/>
  <c r="N19" i="3"/>
  <c r="N23" i="3"/>
  <c r="O19" i="3"/>
  <c r="O23" i="3"/>
  <c r="M24" i="3"/>
  <c r="M23" i="3"/>
  <c r="M25" i="3"/>
  <c r="M22" i="3"/>
  <c r="M21" i="3"/>
  <c r="AQ24" i="5" l="1"/>
  <c r="AQ13" i="5"/>
  <c r="AR13" i="4"/>
  <c r="AS22" i="2"/>
  <c r="AS18" i="2"/>
  <c r="AY10" i="3"/>
  <c r="AY18" i="3"/>
  <c r="AY14" i="3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I2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2" i="3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O14" i="3" l="1"/>
  <c r="P14" i="3"/>
  <c r="N7" i="3"/>
  <c r="N6" i="3"/>
  <c r="O15" i="3"/>
  <c r="Q8" i="3"/>
  <c r="P15" i="3"/>
  <c r="Q14" i="3"/>
  <c r="R14" i="3"/>
  <c r="S14" i="3"/>
  <c r="Q6" i="3"/>
  <c r="Q7" i="3"/>
  <c r="N9" i="3"/>
  <c r="N8" i="3"/>
  <c r="L14" i="2"/>
  <c r="M14" i="2"/>
  <c r="L15" i="2"/>
  <c r="M15" i="2"/>
  <c r="N14" i="2"/>
  <c r="O14" i="2"/>
  <c r="P14" i="2"/>
  <c r="K7" i="2"/>
  <c r="K6" i="2"/>
  <c r="K8" i="2"/>
  <c r="K9" i="2"/>
  <c r="N8" i="2"/>
  <c r="N6" i="2"/>
  <c r="N7" i="2"/>
  <c r="K15" i="4"/>
  <c r="L15" i="4"/>
  <c r="J8" i="4"/>
  <c r="J7" i="4"/>
  <c r="K16" i="4"/>
  <c r="M7" i="4"/>
  <c r="M8" i="4"/>
  <c r="L16" i="4"/>
  <c r="J10" i="4"/>
  <c r="M15" i="4"/>
  <c r="N15" i="4"/>
  <c r="O15" i="4"/>
  <c r="M9" i="4"/>
  <c r="J9" i="4"/>
  <c r="K16" i="5"/>
  <c r="L16" i="5"/>
  <c r="J9" i="5"/>
  <c r="J8" i="5"/>
  <c r="K17" i="5"/>
  <c r="M10" i="5"/>
  <c r="L17" i="5"/>
  <c r="M16" i="5"/>
  <c r="N16" i="5"/>
  <c r="O16" i="5"/>
  <c r="M8" i="5"/>
  <c r="M9" i="5"/>
  <c r="J11" i="5"/>
  <c r="J10" i="5"/>
</calcChain>
</file>

<file path=xl/sharedStrings.xml><?xml version="1.0" encoding="utf-8"?>
<sst xmlns="http://schemas.openxmlformats.org/spreadsheetml/2006/main" count="407" uniqueCount="111">
  <si>
    <t>Dealer</t>
  </si>
  <si>
    <t>Dealer Sales Volume (thousands)</t>
  </si>
  <si>
    <t>Building Permits</t>
  </si>
  <si>
    <t xml:space="preserve">Country </t>
  </si>
  <si>
    <t>Pop (millions)</t>
  </si>
  <si>
    <t>Computer Sales</t>
  </si>
  <si>
    <t>Sales/Capita</t>
  </si>
  <si>
    <t>GNP per head</t>
  </si>
  <si>
    <t>Unemployment rate</t>
  </si>
  <si>
    <t>%age spend on education</t>
  </si>
  <si>
    <t>Austria</t>
  </si>
  <si>
    <t>Belgium</t>
  </si>
  <si>
    <t>Bulgaria</t>
  </si>
  <si>
    <t>Czech Rep.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</si>
  <si>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</si>
  <si>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</si>
  <si>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</si>
  <si>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</si>
  <si>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</si>
  <si>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</si>
  <si>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</si>
  <si>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</si>
  <si>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</si>
  <si>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Poland</t>
  </si>
  <si>
    <t>Portugal</t>
  </si>
  <si>
    <t>Romania</t>
  </si>
  <si>
    <t>Spain</t>
  </si>
  <si>
    <t>Switzerland</t>
  </si>
  <si>
    <t>Sweden</t>
  </si>
  <si>
    <t>Turkey</t>
  </si>
  <si>
    <t>UK</t>
  </si>
  <si>
    <t>Year</t>
  </si>
  <si>
    <t>Quarter</t>
  </si>
  <si>
    <t>Sales</t>
  </si>
  <si>
    <t>GNP</t>
  </si>
  <si>
    <t>Unemp</t>
  </si>
  <si>
    <t>Int</t>
  </si>
  <si>
    <t>Q2</t>
  </si>
  <si>
    <t>Q3</t>
  </si>
  <si>
    <t>Q4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</si>
  <si>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</si>
  <si>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</si>
  <si>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</si>
  <si>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</si>
  <si>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</si>
  <si>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</si>
  <si>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</si>
  <si>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</si>
  <si>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</si>
  <si>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</si>
  <si>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</si>
  <si>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</si>
  <si>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</si>
  <si>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</si>
  <si>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</si>
  <si>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</si>
  <si>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</si>
  <si>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</si>
  <si>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</si>
  <si>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</si>
  <si>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Total</t>
  </si>
  <si>
    <t>coeff</t>
  </si>
  <si>
    <t>std err</t>
  </si>
  <si>
    <t>t stat</t>
  </si>
  <si>
    <t>lower</t>
  </si>
  <si>
    <t>upper</t>
  </si>
  <si>
    <t>vif</t>
  </si>
  <si>
    <t>Intercept</t>
  </si>
  <si>
    <t>Shapiro-Wilk Test</t>
  </si>
  <si>
    <t>W-stat</t>
  </si>
  <si>
    <t>alpha</t>
  </si>
  <si>
    <t>normal</t>
  </si>
  <si>
    <t>d'Agostino-Pearson</t>
  </si>
  <si>
    <t>DA-stat</t>
  </si>
  <si>
    <t>Durbin-Watson Test</t>
  </si>
  <si>
    <t>Heteroskedascity Testing</t>
  </si>
  <si>
    <t>Sample size</t>
  </si>
  <si>
    <t>Indep var</t>
  </si>
  <si>
    <t>Breusch-Pagan</t>
  </si>
  <si>
    <t>LM stat</t>
  </si>
  <si>
    <t>F stat</t>
  </si>
  <si>
    <t>df1</t>
  </si>
  <si>
    <t>df2</t>
  </si>
  <si>
    <t>White Test</t>
  </si>
  <si>
    <t>Cook's D</t>
  </si>
  <si>
    <t>Obs</t>
  </si>
  <si>
    <t>Pred Y</t>
  </si>
  <si>
    <t>Leverage</t>
  </si>
  <si>
    <t>SResidual</t>
  </si>
  <si>
    <t>Mod MSE</t>
  </si>
  <si>
    <t>RStudent</t>
  </si>
  <si>
    <t>T-Test</t>
  </si>
  <si>
    <t>DFFITS</t>
  </si>
  <si>
    <t>SSE</t>
  </si>
  <si>
    <t>dfE</t>
  </si>
  <si>
    <t>MSE</t>
  </si>
  <si>
    <t>k</t>
  </si>
  <si>
    <t>p value&gt;0.05</t>
  </si>
  <si>
    <t>for individualpvalue&lt;0.05</t>
  </si>
  <si>
    <t>For normal distribution in residual</t>
  </si>
  <si>
    <t>pvalue&lt;0.05 for significant</t>
  </si>
  <si>
    <t>Near to 1 is better</t>
  </si>
  <si>
    <t>r sqare less than0.5 is bad</t>
  </si>
  <si>
    <t>SQRT of std error</t>
  </si>
  <si>
    <t>lower is better for sqrt std err</t>
  </si>
  <si>
    <t>for undersatisfied, people with &lt;-2 and oversatisfied with &gt;+2</t>
  </si>
  <si>
    <t>&gt;3 or &lt;-3 is deleted</t>
  </si>
  <si>
    <t>if this is &lt;0.05, this is heteroscedastic and if not, it is homoscedastic</t>
  </si>
  <si>
    <t>if &gt;5, multicollinearity</t>
  </si>
  <si>
    <t>so vif should be less than 5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</si>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</sst>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9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3" xfId="0" applyFill="1" applyBorder="1"/>
    <xf numFmtId="0" fontId="3" fillId="2" borderId="4" xfId="0" applyFont="1" applyFill="1" applyBorder="1" applyAlignment="1">
      <alignment horizontal="center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Europe!$AM$5</c:f>
              <c:strCache>
                <c:ptCount val="1"/>
                <c:pt idx="0">
                  <c:v>SResidual</c:v>
                </c:pt>
              </c:strCache>
            </c:strRef>
          </c:tx>
          <c:spPr>
            <a:ln w="28575">
              <a:noFill/>
            </a:ln>
          </c:spPr>
          <c:xVal>
            <c:numRef>
              <c:f>Europe!$AJ$6:$AJ$26</c:f>
              <c:numCache>
                <c:formatCode>General</c:formatCode>
                <c:ptCount val="21"/>
                <c:pt idx="0">
                  <c:v>141.10501101131408</c:v>
                </c:pt>
                <c:pt idx="1">
                  <c:v>153.93616992638789</c:v>
                </c:pt>
                <c:pt idx="2">
                  <c:v>32.157888174081108</c:v>
                </c:pt>
                <c:pt idx="3">
                  <c:v>54.767288455875018</c:v>
                </c:pt>
                <c:pt idx="4">
                  <c:v>229.79090357336941</c:v>
                </c:pt>
                <c:pt idx="5">
                  <c:v>179.8197146177065</c:v>
                </c:pt>
                <c:pt idx="6">
                  <c:v>151.7406303741534</c:v>
                </c:pt>
                <c:pt idx="7">
                  <c:v>124.24022741288988</c:v>
                </c:pt>
                <c:pt idx="8">
                  <c:v>83.255200778100573</c:v>
                </c:pt>
                <c:pt idx="9">
                  <c:v>60.630880123272931</c:v>
                </c:pt>
                <c:pt idx="10">
                  <c:v>142.78511588245055</c:v>
                </c:pt>
                <c:pt idx="11">
                  <c:v>119.95884900546693</c:v>
                </c:pt>
                <c:pt idx="12">
                  <c:v>132.53106910883719</c:v>
                </c:pt>
                <c:pt idx="13">
                  <c:v>97.716423254509209</c:v>
                </c:pt>
                <c:pt idx="14">
                  <c:v>90.805330208743555</c:v>
                </c:pt>
                <c:pt idx="15">
                  <c:v>6.7651463829348586</c:v>
                </c:pt>
                <c:pt idx="16">
                  <c:v>120.26738267286999</c:v>
                </c:pt>
                <c:pt idx="17">
                  <c:v>168.36382338588066</c:v>
                </c:pt>
                <c:pt idx="18">
                  <c:v>193.92649241637196</c:v>
                </c:pt>
                <c:pt idx="19">
                  <c:v>23.556000607512772</c:v>
                </c:pt>
                <c:pt idx="20">
                  <c:v>112.93137065312462</c:v>
                </c:pt>
              </c:numCache>
            </c:numRef>
          </c:xVal>
          <c:yVal>
            <c:numRef>
              <c:f>Europe!$AM$6:$AM$26</c:f>
              <c:numCache>
                <c:formatCode>General</c:formatCode>
                <c:ptCount val="21"/>
                <c:pt idx="0">
                  <c:v>-0.49733447661797237</c:v>
                </c:pt>
                <c:pt idx="1">
                  <c:v>0.10688315102450774</c:v>
                </c:pt>
                <c:pt idx="2">
                  <c:v>-0.20358535498921548</c:v>
                </c:pt>
                <c:pt idx="3">
                  <c:v>0.78878324675634315</c:v>
                </c:pt>
                <c:pt idx="4">
                  <c:v>-1.0221119635295353</c:v>
                </c:pt>
                <c:pt idx="5">
                  <c:v>3.2873418147788858</c:v>
                </c:pt>
                <c:pt idx="6">
                  <c:v>-0.95776671162227067</c:v>
                </c:pt>
                <c:pt idx="7">
                  <c:v>-0.71066403429867497</c:v>
                </c:pt>
                <c:pt idx="8">
                  <c:v>-0.18255345464388906</c:v>
                </c:pt>
                <c:pt idx="9">
                  <c:v>-0.26924333204517736</c:v>
                </c:pt>
                <c:pt idx="10">
                  <c:v>-0.19976428597237103</c:v>
                </c:pt>
                <c:pt idx="11">
                  <c:v>-0.93202281449993984</c:v>
                </c:pt>
                <c:pt idx="12">
                  <c:v>-1.894399437421972E-2</c:v>
                </c:pt>
                <c:pt idx="13">
                  <c:v>-0.39015627184409185</c:v>
                </c:pt>
                <c:pt idx="14">
                  <c:v>-0.38872714798184183</c:v>
                </c:pt>
                <c:pt idx="15">
                  <c:v>0.43640934245576202</c:v>
                </c:pt>
                <c:pt idx="16">
                  <c:v>-0.24534083964641498</c:v>
                </c:pt>
                <c:pt idx="17">
                  <c:v>-0.30198448918335274</c:v>
                </c:pt>
                <c:pt idx="18">
                  <c:v>0.6125824364546566</c:v>
                </c:pt>
                <c:pt idx="19">
                  <c:v>0.2469014868885421</c:v>
                </c:pt>
                <c:pt idx="20">
                  <c:v>0.84129769289027989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A-456F-8416-4EE02A1A9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648176"/>
        <c:axId val="869649616"/>
      </c:scatterChart>
      <c:valAx>
        <c:axId val="86964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9649616"/>
        <c:crosses val="autoZero"/>
        <c:crossBetween val="midCat"/>
      </c:valAx>
      <c:valAx>
        <c:axId val="869649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Studentized 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96481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Europe!$AK$5</c:f>
              <c:strCache>
                <c:ptCount val="1"/>
                <c:pt idx="0">
                  <c:v>Residual</c:v>
                </c:pt>
              </c:strCache>
            </c:strRef>
          </c:tx>
          <c:spPr>
            <a:ln w="28575">
              <a:noFill/>
            </a:ln>
          </c:spPr>
          <c:xVal>
            <c:numRef>
              <c:f>Europe!$AJ$6:$AJ$26</c:f>
              <c:numCache>
                <c:formatCode>General</c:formatCode>
                <c:ptCount val="21"/>
                <c:pt idx="0">
                  <c:v>141.10501101131408</c:v>
                </c:pt>
                <c:pt idx="1">
                  <c:v>153.93616992638789</c:v>
                </c:pt>
                <c:pt idx="2">
                  <c:v>32.157888174081108</c:v>
                </c:pt>
                <c:pt idx="3">
                  <c:v>54.767288455875018</c:v>
                </c:pt>
                <c:pt idx="4">
                  <c:v>229.79090357336941</c:v>
                </c:pt>
                <c:pt idx="5">
                  <c:v>179.8197146177065</c:v>
                </c:pt>
                <c:pt idx="6">
                  <c:v>151.7406303741534</c:v>
                </c:pt>
                <c:pt idx="7">
                  <c:v>124.24022741288988</c:v>
                </c:pt>
                <c:pt idx="8">
                  <c:v>83.255200778100573</c:v>
                </c:pt>
                <c:pt idx="9">
                  <c:v>60.630880123272931</c:v>
                </c:pt>
                <c:pt idx="10">
                  <c:v>142.78511588245055</c:v>
                </c:pt>
                <c:pt idx="11">
                  <c:v>119.95884900546693</c:v>
                </c:pt>
                <c:pt idx="12">
                  <c:v>132.53106910883719</c:v>
                </c:pt>
                <c:pt idx="13">
                  <c:v>97.716423254509209</c:v>
                </c:pt>
                <c:pt idx="14">
                  <c:v>90.805330208743555</c:v>
                </c:pt>
                <c:pt idx="15">
                  <c:v>6.7651463829348586</c:v>
                </c:pt>
                <c:pt idx="16">
                  <c:v>120.26738267286999</c:v>
                </c:pt>
                <c:pt idx="17">
                  <c:v>168.36382338588066</c:v>
                </c:pt>
                <c:pt idx="18">
                  <c:v>193.92649241637196</c:v>
                </c:pt>
                <c:pt idx="19">
                  <c:v>23.556000607512772</c:v>
                </c:pt>
                <c:pt idx="20">
                  <c:v>112.93137065312462</c:v>
                </c:pt>
              </c:numCache>
            </c:numRef>
          </c:xVal>
          <c:yVal>
            <c:numRef>
              <c:f>Europe!$AK$6:$AK$26</c:f>
              <c:numCache>
                <c:formatCode>General</c:formatCode>
                <c:ptCount val="21"/>
                <c:pt idx="0">
                  <c:v>-29.057391963695025</c:v>
                </c:pt>
                <c:pt idx="1">
                  <c:v>6.2447824545645005</c:v>
                </c:pt>
                <c:pt idx="2">
                  <c:v>-11.894730279344266</c:v>
                </c:pt>
                <c:pt idx="3">
                  <c:v>46.085652720595576</c:v>
                </c:pt>
                <c:pt idx="4">
                  <c:v>-59.718176300642142</c:v>
                </c:pt>
                <c:pt idx="5">
                  <c:v>192.06707783512371</c:v>
                </c:pt>
                <c:pt idx="6">
                  <c:v>-55.958724073668748</c:v>
                </c:pt>
                <c:pt idx="7">
                  <c:v>-41.521439534102001</c:v>
                </c:pt>
                <c:pt idx="8">
                  <c:v>-10.66591506381485</c:v>
                </c:pt>
                <c:pt idx="9">
                  <c:v>-15.730880123272932</c:v>
                </c:pt>
                <c:pt idx="10">
                  <c:v>-11.671479518814209</c:v>
                </c:pt>
                <c:pt idx="11">
                  <c:v>-54.454604523293753</c:v>
                </c:pt>
                <c:pt idx="12">
                  <c:v>-1.1068266845947505</c:v>
                </c:pt>
                <c:pt idx="13">
                  <c:v>-22.795370622930264</c:v>
                </c:pt>
                <c:pt idx="14">
                  <c:v>-22.711872264818311</c:v>
                </c:pt>
                <c:pt idx="15">
                  <c:v>25.497764415187206</c:v>
                </c:pt>
                <c:pt idx="16">
                  <c:v>-14.334346958584263</c:v>
                </c:pt>
                <c:pt idx="17">
                  <c:v>-17.643823385880665</c:v>
                </c:pt>
                <c:pt idx="18">
                  <c:v>35.790898887975885</c:v>
                </c:pt>
                <c:pt idx="19">
                  <c:v>14.425529735495147</c:v>
                </c:pt>
                <c:pt idx="20">
                  <c:v>49.153875248514737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EE-40D1-AB4E-B05396699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643376"/>
        <c:axId val="869651536"/>
      </c:scatterChart>
      <c:valAx>
        <c:axId val="86964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9651536"/>
        <c:crosses val="autoZero"/>
        <c:crossBetween val="midCat"/>
      </c:valAx>
      <c:valAx>
        <c:axId val="869651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96433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Sheet1!$AL$6</c:f>
              <c:strCache>
                <c:ptCount val="1"/>
                <c:pt idx="0">
                  <c:v>SResidual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Sheet1!$AI$7:$AI$26</c:f>
              <c:numCache>
                <c:formatCode>General</c:formatCode>
                <c:ptCount val="20"/>
                <c:pt idx="0">
                  <c:v>137.14398960711219</c:v>
                </c:pt>
                <c:pt idx="1">
                  <c:v>132.39524700511649</c:v>
                </c:pt>
                <c:pt idx="2">
                  <c:v>24.955416019398783</c:v>
                </c:pt>
                <c:pt idx="3">
                  <c:v>66.001819208874466</c:v>
                </c:pt>
                <c:pt idx="4">
                  <c:v>197.22177191750606</c:v>
                </c:pt>
                <c:pt idx="5">
                  <c:v>124.01645616378497</c:v>
                </c:pt>
                <c:pt idx="6">
                  <c:v>107.64042254256785</c:v>
                </c:pt>
                <c:pt idx="7">
                  <c:v>75.108615855951015</c:v>
                </c:pt>
                <c:pt idx="8">
                  <c:v>67.463193104729541</c:v>
                </c:pt>
                <c:pt idx="9">
                  <c:v>131.42160392445683</c:v>
                </c:pt>
                <c:pt idx="10">
                  <c:v>103.62254514083546</c:v>
                </c:pt>
                <c:pt idx="11">
                  <c:v>130.49577963657592</c:v>
                </c:pt>
                <c:pt idx="12">
                  <c:v>68.710829070345824</c:v>
                </c:pt>
                <c:pt idx="13">
                  <c:v>92.778083190093355</c:v>
                </c:pt>
                <c:pt idx="14">
                  <c:v>29.956668678658019</c:v>
                </c:pt>
                <c:pt idx="15">
                  <c:v>86.410987695019088</c:v>
                </c:pt>
                <c:pt idx="16">
                  <c:v>159.30609636280153</c:v>
                </c:pt>
                <c:pt idx="17">
                  <c:v>167.38950746170448</c:v>
                </c:pt>
                <c:pt idx="18">
                  <c:v>36.277325591844189</c:v>
                </c:pt>
                <c:pt idx="19">
                  <c:v>110.84776739564714</c:v>
                </c:pt>
              </c:numCache>
            </c:numRef>
          </c:xVal>
          <c:yVal>
            <c:numRef>
              <c:f>Sheet1!$AL$7:$AL$26</c:f>
              <c:numCache>
                <c:formatCode>General</c:formatCode>
                <c:ptCount val="20"/>
                <c:pt idx="0">
                  <c:v>-0.83700376924009301</c:v>
                </c:pt>
                <c:pt idx="1">
                  <c:v>0.92669735153285338</c:v>
                </c:pt>
                <c:pt idx="2">
                  <c:v>-0.15649425191898406</c:v>
                </c:pt>
                <c:pt idx="3">
                  <c:v>1.1623402029378271</c:v>
                </c:pt>
                <c:pt idx="4">
                  <c:v>-0.90546370619921068</c:v>
                </c:pt>
                <c:pt idx="5">
                  <c:v>-0.94166702720447126</c:v>
                </c:pt>
                <c:pt idx="6">
                  <c:v>-0.83117604992957528</c:v>
                </c:pt>
                <c:pt idx="7">
                  <c:v>-8.402365670905268E-2</c:v>
                </c:pt>
                <c:pt idx="8">
                  <c:v>-0.75251828267282828</c:v>
                </c:pt>
                <c:pt idx="9">
                  <c:v>-1.027120669099775E-2</c:v>
                </c:pt>
                <c:pt idx="10">
                  <c:v>-1.2713057951026614</c:v>
                </c:pt>
                <c:pt idx="11">
                  <c:v>3.0965706815405555E-2</c:v>
                </c:pt>
                <c:pt idx="12">
                  <c:v>0.20712080722005158</c:v>
                </c:pt>
                <c:pt idx="13">
                  <c:v>-0.8232714098774907</c:v>
                </c:pt>
                <c:pt idx="14">
                  <c:v>7.6916833141096749E-2</c:v>
                </c:pt>
                <c:pt idx="15">
                  <c:v>0.65109126981835086</c:v>
                </c:pt>
                <c:pt idx="16">
                  <c:v>-0.28635993406644517</c:v>
                </c:pt>
                <c:pt idx="17">
                  <c:v>2.078733798633583</c:v>
                </c:pt>
                <c:pt idx="18">
                  <c:v>5.683793187941058E-2</c:v>
                </c:pt>
                <c:pt idx="19">
                  <c:v>1.7088511876332402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F1-42F1-AFE1-678FD0A84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634736"/>
        <c:axId val="569679600"/>
      </c:scatterChart>
      <c:valAx>
        <c:axId val="86963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679600"/>
        <c:crosses val="autoZero"/>
        <c:crossBetween val="midCat"/>
      </c:valAx>
      <c:valAx>
        <c:axId val="56967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Studentized 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96347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Sheet1!$AJ$6</c:f>
              <c:strCache>
                <c:ptCount val="1"/>
                <c:pt idx="0">
                  <c:v>Residual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Sheet1!$AI$7:$AI$26</c:f>
              <c:numCache>
                <c:formatCode>General</c:formatCode>
                <c:ptCount val="20"/>
                <c:pt idx="0">
                  <c:v>137.14398960711219</c:v>
                </c:pt>
                <c:pt idx="1">
                  <c:v>132.39524700511649</c:v>
                </c:pt>
                <c:pt idx="2">
                  <c:v>24.955416019398783</c:v>
                </c:pt>
                <c:pt idx="3">
                  <c:v>66.001819208874466</c:v>
                </c:pt>
                <c:pt idx="4">
                  <c:v>197.22177191750606</c:v>
                </c:pt>
                <c:pt idx="5">
                  <c:v>124.01645616378497</c:v>
                </c:pt>
                <c:pt idx="6">
                  <c:v>107.64042254256785</c:v>
                </c:pt>
                <c:pt idx="7">
                  <c:v>75.108615855951015</c:v>
                </c:pt>
                <c:pt idx="8">
                  <c:v>67.463193104729541</c:v>
                </c:pt>
                <c:pt idx="9">
                  <c:v>131.42160392445683</c:v>
                </c:pt>
                <c:pt idx="10">
                  <c:v>103.62254514083546</c:v>
                </c:pt>
                <c:pt idx="11">
                  <c:v>130.49577963657592</c:v>
                </c:pt>
                <c:pt idx="12">
                  <c:v>68.710829070345824</c:v>
                </c:pt>
                <c:pt idx="13">
                  <c:v>92.778083190093355</c:v>
                </c:pt>
                <c:pt idx="14">
                  <c:v>29.956668678658019</c:v>
                </c:pt>
                <c:pt idx="15">
                  <c:v>86.410987695019088</c:v>
                </c:pt>
                <c:pt idx="16">
                  <c:v>159.30609636280153</c:v>
                </c:pt>
                <c:pt idx="17">
                  <c:v>167.38950746170448</c:v>
                </c:pt>
                <c:pt idx="18">
                  <c:v>36.277325591844189</c:v>
                </c:pt>
                <c:pt idx="19">
                  <c:v>110.84776739564714</c:v>
                </c:pt>
              </c:numCache>
            </c:numRef>
          </c:xVal>
          <c:yVal>
            <c:numRef>
              <c:f>Sheet1!$AJ$7:$AJ$26</c:f>
              <c:numCache>
                <c:formatCode>General</c:formatCode>
                <c:ptCount val="20"/>
                <c:pt idx="0">
                  <c:v>-25.096370559493138</c:v>
                </c:pt>
                <c:pt idx="1">
                  <c:v>27.785705375835903</c:v>
                </c:pt>
                <c:pt idx="2">
                  <c:v>-4.6922581246619401</c:v>
                </c:pt>
                <c:pt idx="3">
                  <c:v>34.851121967596129</c:v>
                </c:pt>
                <c:pt idx="4">
                  <c:v>-27.149044644778797</c:v>
                </c:pt>
                <c:pt idx="5">
                  <c:v>-28.234549863300316</c:v>
                </c:pt>
                <c:pt idx="6">
                  <c:v>-24.921634663779969</c:v>
                </c:pt>
                <c:pt idx="7">
                  <c:v>-2.5193301416652929</c:v>
                </c:pt>
                <c:pt idx="8">
                  <c:v>-22.563193104729542</c:v>
                </c:pt>
                <c:pt idx="9">
                  <c:v>-0.3079675608204866</c:v>
                </c:pt>
                <c:pt idx="10">
                  <c:v>-38.118300658662278</c:v>
                </c:pt>
                <c:pt idx="11">
                  <c:v>0.92846278766651835</c:v>
                </c:pt>
                <c:pt idx="12">
                  <c:v>6.2102235612331214</c:v>
                </c:pt>
                <c:pt idx="13">
                  <c:v>-24.68462524616811</c:v>
                </c:pt>
                <c:pt idx="14">
                  <c:v>2.306242119464045</c:v>
                </c:pt>
                <c:pt idx="15">
                  <c:v>19.522048019266634</c:v>
                </c:pt>
                <c:pt idx="16">
                  <c:v>-8.586096362801527</c:v>
                </c:pt>
                <c:pt idx="17">
                  <c:v>62.327883842643359</c:v>
                </c:pt>
                <c:pt idx="18">
                  <c:v>1.7042047511637293</c:v>
                </c:pt>
                <c:pt idx="19">
                  <c:v>51.237478505992215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D-4418-A960-9673AD703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017856"/>
        <c:axId val="921022176"/>
      </c:scatterChart>
      <c:valAx>
        <c:axId val="92101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1022176"/>
        <c:crosses val="autoZero"/>
        <c:crossBetween val="midCat"/>
      </c:valAx>
      <c:valAx>
        <c:axId val="921022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10178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Sheet2!$AK$7</c:f>
              <c:strCache>
                <c:ptCount val="1"/>
                <c:pt idx="0">
                  <c:v>SResidual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Sheet2!$AH$8:$AH$27</c:f>
              <c:numCache>
                <c:formatCode>General</c:formatCode>
                <c:ptCount val="20"/>
                <c:pt idx="0">
                  <c:v>135.78537664329505</c:v>
                </c:pt>
                <c:pt idx="1">
                  <c:v>132.99119823811148</c:v>
                </c:pt>
                <c:pt idx="2">
                  <c:v>26.390580466016665</c:v>
                </c:pt>
                <c:pt idx="3">
                  <c:v>64.500482464894731</c:v>
                </c:pt>
                <c:pt idx="4">
                  <c:v>197.16476711068333</c:v>
                </c:pt>
                <c:pt idx="5">
                  <c:v>125.48347610252304</c:v>
                </c:pt>
                <c:pt idx="6">
                  <c:v>108.53937218656992</c:v>
                </c:pt>
                <c:pt idx="7">
                  <c:v>75.8004636531507</c:v>
                </c:pt>
                <c:pt idx="8">
                  <c:v>66.153435184492963</c:v>
                </c:pt>
                <c:pt idx="9">
                  <c:v>131.53437443655537</c:v>
                </c:pt>
                <c:pt idx="10">
                  <c:v>104.39318515787488</c:v>
                </c:pt>
                <c:pt idx="11">
                  <c:v>129.32743020366144</c:v>
                </c:pt>
                <c:pt idx="12">
                  <c:v>71.120162581739777</c:v>
                </c:pt>
                <c:pt idx="13">
                  <c:v>91.342220853407895</c:v>
                </c:pt>
                <c:pt idx="14">
                  <c:v>28.067345275420784</c:v>
                </c:pt>
                <c:pt idx="15">
                  <c:v>89.572580973270306</c:v>
                </c:pt>
                <c:pt idx="16">
                  <c:v>158.2780143036392</c:v>
                </c:pt>
                <c:pt idx="17">
                  <c:v>167.39235381068394</c:v>
                </c:pt>
                <c:pt idx="18">
                  <c:v>35.294068910318792</c:v>
                </c:pt>
                <c:pt idx="19">
                  <c:v>110.03323701671295</c:v>
                </c:pt>
              </c:numCache>
            </c:numRef>
          </c:xVal>
          <c:yVal>
            <c:numRef>
              <c:f>Sheet2!$AK$8:$AK$27</c:f>
              <c:numCache>
                <c:formatCode>General</c:formatCode>
                <c:ptCount val="20"/>
                <c:pt idx="0">
                  <c:v>-0.81498820849411646</c:v>
                </c:pt>
                <c:pt idx="1">
                  <c:v>0.93350557351322316</c:v>
                </c:pt>
                <c:pt idx="2">
                  <c:v>-0.2103727415669375</c:v>
                </c:pt>
                <c:pt idx="3">
                  <c:v>1.2480886233795008</c:v>
                </c:pt>
                <c:pt idx="4">
                  <c:v>-0.93015074920172813</c:v>
                </c:pt>
                <c:pt idx="5">
                  <c:v>-1.0197437169396146</c:v>
                </c:pt>
                <c:pt idx="6">
                  <c:v>-0.88649787843076622</c:v>
                </c:pt>
                <c:pt idx="7">
                  <c:v>-0.11024934200305911</c:v>
                </c:pt>
                <c:pt idx="8">
                  <c:v>-0.72969399049348027</c:v>
                </c:pt>
                <c:pt idx="9">
                  <c:v>-1.4445196304304736E-2</c:v>
                </c:pt>
                <c:pt idx="10">
                  <c:v>-1.3351736348212349</c:v>
                </c:pt>
                <c:pt idx="11">
                  <c:v>7.1989834267713798E-2</c:v>
                </c:pt>
                <c:pt idx="12">
                  <c:v>0.13049592236824428</c:v>
                </c:pt>
                <c:pt idx="13">
                  <c:v>-0.79819955852759827</c:v>
                </c:pt>
                <c:pt idx="14">
                  <c:v>0.14404631166967741</c:v>
                </c:pt>
                <c:pt idx="15">
                  <c:v>0.56170333890165058</c:v>
                </c:pt>
                <c:pt idx="16">
                  <c:v>-0.25948923407229701</c:v>
                </c:pt>
                <c:pt idx="17">
                  <c:v>2.1398049266684858</c:v>
                </c:pt>
                <c:pt idx="18">
                  <c:v>9.226858811732544E-2</c:v>
                </c:pt>
                <c:pt idx="19">
                  <c:v>1.7871011319693242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D-4A8C-BA70-AA3FAF283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025536"/>
        <c:axId val="921026496"/>
      </c:scatterChart>
      <c:valAx>
        <c:axId val="921025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1026496"/>
        <c:crosses val="autoZero"/>
        <c:crossBetween val="midCat"/>
      </c:valAx>
      <c:valAx>
        <c:axId val="921026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Studentized 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10255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 Plot</a:t>
            </a:r>
          </a:p>
        </c:rich>
      </c:tx>
      <c:layout>
        <c:manualLayout>
          <c:xMode val="edge"/>
          <c:yMode val="edge"/>
          <c:x val="0.12733333333333333"/>
          <c:y val="0.884259259259259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Sheet2!$AI$7</c:f>
              <c:strCache>
                <c:ptCount val="1"/>
                <c:pt idx="0">
                  <c:v>Residual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Sheet2!$AH$8:$AH$27</c:f>
              <c:numCache>
                <c:formatCode>General</c:formatCode>
                <c:ptCount val="20"/>
                <c:pt idx="0">
                  <c:v>135.78537664329505</c:v>
                </c:pt>
                <c:pt idx="1">
                  <c:v>132.99119823811148</c:v>
                </c:pt>
                <c:pt idx="2">
                  <c:v>26.390580466016665</c:v>
                </c:pt>
                <c:pt idx="3">
                  <c:v>64.500482464894731</c:v>
                </c:pt>
                <c:pt idx="4">
                  <c:v>197.16476711068333</c:v>
                </c:pt>
                <c:pt idx="5">
                  <c:v>125.48347610252304</c:v>
                </c:pt>
                <c:pt idx="6">
                  <c:v>108.53937218656992</c:v>
                </c:pt>
                <c:pt idx="7">
                  <c:v>75.8004636531507</c:v>
                </c:pt>
                <c:pt idx="8">
                  <c:v>66.153435184492963</c:v>
                </c:pt>
                <c:pt idx="9">
                  <c:v>131.53437443655537</c:v>
                </c:pt>
                <c:pt idx="10">
                  <c:v>104.39318515787488</c:v>
                </c:pt>
                <c:pt idx="11">
                  <c:v>129.32743020366144</c:v>
                </c:pt>
                <c:pt idx="12">
                  <c:v>71.120162581739777</c:v>
                </c:pt>
                <c:pt idx="13">
                  <c:v>91.342220853407895</c:v>
                </c:pt>
                <c:pt idx="14">
                  <c:v>28.067345275420784</c:v>
                </c:pt>
                <c:pt idx="15">
                  <c:v>89.572580973270306</c:v>
                </c:pt>
                <c:pt idx="16">
                  <c:v>158.2780143036392</c:v>
                </c:pt>
                <c:pt idx="17">
                  <c:v>167.39235381068394</c:v>
                </c:pt>
                <c:pt idx="18">
                  <c:v>35.294068910318792</c:v>
                </c:pt>
                <c:pt idx="19">
                  <c:v>110.03323701671295</c:v>
                </c:pt>
              </c:numCache>
            </c:numRef>
          </c:xVal>
          <c:yVal>
            <c:numRef>
              <c:f>Sheet2!$AI$8:$AI$27</c:f>
              <c:numCache>
                <c:formatCode>General</c:formatCode>
                <c:ptCount val="20"/>
                <c:pt idx="0">
                  <c:v>-23.737757595676001</c:v>
                </c:pt>
                <c:pt idx="1">
                  <c:v>27.189754142840911</c:v>
                </c:pt>
                <c:pt idx="2">
                  <c:v>-6.1274225712798227</c:v>
                </c:pt>
                <c:pt idx="3">
                  <c:v>36.352458711575864</c:v>
                </c:pt>
                <c:pt idx="4">
                  <c:v>-27.092039837956065</c:v>
                </c:pt>
                <c:pt idx="5">
                  <c:v>-29.701569802038392</c:v>
                </c:pt>
                <c:pt idx="6">
                  <c:v>-25.820584307782042</c:v>
                </c:pt>
                <c:pt idx="7">
                  <c:v>-3.2111779388649779</c:v>
                </c:pt>
                <c:pt idx="8">
                  <c:v>-21.253435184492965</c:v>
                </c:pt>
                <c:pt idx="9">
                  <c:v>-0.42073807291902199</c:v>
                </c:pt>
                <c:pt idx="10">
                  <c:v>-38.888940675701704</c:v>
                </c:pt>
                <c:pt idx="11">
                  <c:v>2.0968122205810005</c:v>
                </c:pt>
                <c:pt idx="12">
                  <c:v>3.8008900498391682</c:v>
                </c:pt>
                <c:pt idx="13">
                  <c:v>-23.24876290948265</c:v>
                </c:pt>
                <c:pt idx="14">
                  <c:v>4.1955655227012798</c:v>
                </c:pt>
                <c:pt idx="15">
                  <c:v>16.360454741015417</c:v>
                </c:pt>
                <c:pt idx="16">
                  <c:v>-7.5580143036391974</c:v>
                </c:pt>
                <c:pt idx="17">
                  <c:v>62.325037493663899</c:v>
                </c:pt>
                <c:pt idx="18">
                  <c:v>2.6874614326891262</c:v>
                </c:pt>
                <c:pt idx="19">
                  <c:v>52.052008884926408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F-4465-A228-D835B474A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015456"/>
        <c:axId val="921025536"/>
      </c:scatterChart>
      <c:valAx>
        <c:axId val="92101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1025536"/>
        <c:crosses val="autoZero"/>
        <c:crossBetween val="midCat"/>
      </c:valAx>
      <c:valAx>
        <c:axId val="921025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10154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Autos!$AS$5</c:f>
              <c:strCache>
                <c:ptCount val="1"/>
                <c:pt idx="0">
                  <c:v>SResidual</c:v>
                </c:pt>
              </c:strCache>
            </c:strRef>
          </c:tx>
          <c:spPr>
            <a:ln w="28575">
              <a:noFill/>
            </a:ln>
          </c:spPr>
          <c:xVal>
            <c:numRef>
              <c:f>Autos!$AP$6:$AP$36</c:f>
              <c:numCache>
                <c:formatCode>General</c:formatCode>
                <c:ptCount val="31"/>
                <c:pt idx="0">
                  <c:v>2754.5442240221132</c:v>
                </c:pt>
                <c:pt idx="1">
                  <c:v>2539.7891145770031</c:v>
                </c:pt>
                <c:pt idx="2">
                  <c:v>2276.856814866097</c:v>
                </c:pt>
                <c:pt idx="3">
                  <c:v>2376.7106302426482</c:v>
                </c:pt>
                <c:pt idx="4">
                  <c:v>2521.491982169814</c:v>
                </c:pt>
                <c:pt idx="5">
                  <c:v>2333.2078048111857</c:v>
                </c:pt>
                <c:pt idx="6">
                  <c:v>2023.5181735359763</c:v>
                </c:pt>
                <c:pt idx="7">
                  <c:v>2203.6099250851462</c:v>
                </c:pt>
                <c:pt idx="8">
                  <c:v>2329.3140929861129</c:v>
                </c:pt>
                <c:pt idx="9">
                  <c:v>2182.2072689763841</c:v>
                </c:pt>
                <c:pt idx="10">
                  <c:v>2004.7104730715228</c:v>
                </c:pt>
                <c:pt idx="11">
                  <c:v>2039.7194740992845</c:v>
                </c:pt>
                <c:pt idx="12">
                  <c:v>2161.7107885565129</c:v>
                </c:pt>
                <c:pt idx="13">
                  <c:v>2035.6846720825993</c:v>
                </c:pt>
                <c:pt idx="14">
                  <c:v>1834.8998715042219</c:v>
                </c:pt>
                <c:pt idx="15">
                  <c:v>2066.466067250949</c:v>
                </c:pt>
                <c:pt idx="16">
                  <c:v>2299.781287957821</c:v>
                </c:pt>
                <c:pt idx="17">
                  <c:v>2222.9302893018898</c:v>
                </c:pt>
                <c:pt idx="18">
                  <c:v>2214.7234073577083</c:v>
                </c:pt>
                <c:pt idx="19">
                  <c:v>2508.1374314696059</c:v>
                </c:pt>
                <c:pt idx="20">
                  <c:v>2740.8585188413967</c:v>
                </c:pt>
                <c:pt idx="21">
                  <c:v>2568.6688284809229</c:v>
                </c:pt>
                <c:pt idx="22">
                  <c:v>2504.7002817078019</c:v>
                </c:pt>
                <c:pt idx="23">
                  <c:v>2702.1801914809421</c:v>
                </c:pt>
                <c:pt idx="24">
                  <c:v>2936.199193633287</c:v>
                </c:pt>
                <c:pt idx="25">
                  <c:v>2844.0499499858952</c:v>
                </c:pt>
                <c:pt idx="26">
                  <c:v>2692.9400060506605</c:v>
                </c:pt>
                <c:pt idx="27">
                  <c:v>2813.1762803714246</c:v>
                </c:pt>
                <c:pt idx="28">
                  <c:v>3043.0999118329432</c:v>
                </c:pt>
                <c:pt idx="29">
                  <c:v>2938.4620717841199</c:v>
                </c:pt>
                <c:pt idx="30">
                  <c:v>2789.6509719060123</c:v>
                </c:pt>
              </c:numCache>
            </c:numRef>
          </c:xVal>
          <c:yVal>
            <c:numRef>
              <c:f>Autos!$AS$6:$AS$36</c:f>
              <c:numCache>
                <c:formatCode>General</c:formatCode>
                <c:ptCount val="31"/>
                <c:pt idx="0">
                  <c:v>0.86221366277504796</c:v>
                </c:pt>
                <c:pt idx="1">
                  <c:v>0.12318956149151482</c:v>
                </c:pt>
                <c:pt idx="2">
                  <c:v>0.59980101203654301</c:v>
                </c:pt>
                <c:pt idx="3">
                  <c:v>0.79473439669934554</c:v>
                </c:pt>
                <c:pt idx="4">
                  <c:v>-2.1047990650855097</c:v>
                </c:pt>
                <c:pt idx="5">
                  <c:v>-1.1270635947013796</c:v>
                </c:pt>
                <c:pt idx="6">
                  <c:v>0.92336810567556149</c:v>
                </c:pt>
                <c:pt idx="7">
                  <c:v>0.92285921857389275</c:v>
                </c:pt>
                <c:pt idx="8">
                  <c:v>-0.6728516055567344</c:v>
                </c:pt>
                <c:pt idx="9">
                  <c:v>7.6499448545640322E-2</c:v>
                </c:pt>
                <c:pt idx="10">
                  <c:v>-1.368345044073634</c:v>
                </c:pt>
                <c:pt idx="11">
                  <c:v>-0.53089464088992888</c:v>
                </c:pt>
                <c:pt idx="12">
                  <c:v>-0.37554839402687956</c:v>
                </c:pt>
                <c:pt idx="13">
                  <c:v>-0.69154604987810797</c:v>
                </c:pt>
                <c:pt idx="14">
                  <c:v>1.0876418646873156</c:v>
                </c:pt>
                <c:pt idx="15">
                  <c:v>-0.11351217216625838</c:v>
                </c:pt>
                <c:pt idx="16">
                  <c:v>1.1215777303529821</c:v>
                </c:pt>
                <c:pt idx="17">
                  <c:v>8.3582037246568125E-2</c:v>
                </c:pt>
                <c:pt idx="18">
                  <c:v>0.99433248214545866</c:v>
                </c:pt>
                <c:pt idx="19">
                  <c:v>0.43185381812518808</c:v>
                </c:pt>
                <c:pt idx="20">
                  <c:v>0.87156319018296602</c:v>
                </c:pt>
                <c:pt idx="21">
                  <c:v>-0.66927273646049878</c:v>
                </c:pt>
                <c:pt idx="22">
                  <c:v>-0.24792384442404203</c:v>
                </c:pt>
                <c:pt idx="23">
                  <c:v>-0.31159555421779245</c:v>
                </c:pt>
                <c:pt idx="24">
                  <c:v>0.28730590877818463</c:v>
                </c:pt>
                <c:pt idx="25">
                  <c:v>0.68192521181146859</c:v>
                </c:pt>
                <c:pt idx="26">
                  <c:v>-1.4084426349858046</c:v>
                </c:pt>
                <c:pt idx="27">
                  <c:v>-1.1934450661244491</c:v>
                </c:pt>
                <c:pt idx="28">
                  <c:v>1.053857257993799E-2</c:v>
                </c:pt>
                <c:pt idx="29">
                  <c:v>1.5226861219447947</c:v>
                </c:pt>
                <c:pt idx="30">
                  <c:v>-0.58043194106140317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7A-4A1B-B9FA-C8298FD6C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512336"/>
        <c:axId val="799513296"/>
      </c:scatterChart>
      <c:valAx>
        <c:axId val="79951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9513296"/>
        <c:crosses val="autoZero"/>
        <c:crossBetween val="midCat"/>
      </c:valAx>
      <c:valAx>
        <c:axId val="799513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Studentized 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95123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Autos!$AQ$5</c:f>
              <c:strCache>
                <c:ptCount val="1"/>
                <c:pt idx="0">
                  <c:v>Residual</c:v>
                </c:pt>
              </c:strCache>
            </c:strRef>
          </c:tx>
          <c:spPr>
            <a:ln w="28575">
              <a:noFill/>
            </a:ln>
          </c:spPr>
          <c:xVal>
            <c:numRef>
              <c:f>Autos!$AP$6:$AP$36</c:f>
              <c:numCache>
                <c:formatCode>General</c:formatCode>
                <c:ptCount val="31"/>
                <c:pt idx="0">
                  <c:v>2754.5442240221132</c:v>
                </c:pt>
                <c:pt idx="1">
                  <c:v>2539.7891145770031</c:v>
                </c:pt>
                <c:pt idx="2">
                  <c:v>2276.856814866097</c:v>
                </c:pt>
                <c:pt idx="3">
                  <c:v>2376.7106302426482</c:v>
                </c:pt>
                <c:pt idx="4">
                  <c:v>2521.491982169814</c:v>
                </c:pt>
                <c:pt idx="5">
                  <c:v>2333.2078048111857</c:v>
                </c:pt>
                <c:pt idx="6">
                  <c:v>2023.5181735359763</c:v>
                </c:pt>
                <c:pt idx="7">
                  <c:v>2203.6099250851462</c:v>
                </c:pt>
                <c:pt idx="8">
                  <c:v>2329.3140929861129</c:v>
                </c:pt>
                <c:pt idx="9">
                  <c:v>2182.2072689763841</c:v>
                </c:pt>
                <c:pt idx="10">
                  <c:v>2004.7104730715228</c:v>
                </c:pt>
                <c:pt idx="11">
                  <c:v>2039.7194740992845</c:v>
                </c:pt>
                <c:pt idx="12">
                  <c:v>2161.7107885565129</c:v>
                </c:pt>
                <c:pt idx="13">
                  <c:v>2035.6846720825993</c:v>
                </c:pt>
                <c:pt idx="14">
                  <c:v>1834.8998715042219</c:v>
                </c:pt>
                <c:pt idx="15">
                  <c:v>2066.466067250949</c:v>
                </c:pt>
                <c:pt idx="16">
                  <c:v>2299.781287957821</c:v>
                </c:pt>
                <c:pt idx="17">
                  <c:v>2222.9302893018898</c:v>
                </c:pt>
                <c:pt idx="18">
                  <c:v>2214.7234073577083</c:v>
                </c:pt>
                <c:pt idx="19">
                  <c:v>2508.1374314696059</c:v>
                </c:pt>
                <c:pt idx="20">
                  <c:v>2740.8585188413967</c:v>
                </c:pt>
                <c:pt idx="21">
                  <c:v>2568.6688284809229</c:v>
                </c:pt>
                <c:pt idx="22">
                  <c:v>2504.7002817078019</c:v>
                </c:pt>
                <c:pt idx="23">
                  <c:v>2702.1801914809421</c:v>
                </c:pt>
                <c:pt idx="24">
                  <c:v>2936.199193633287</c:v>
                </c:pt>
                <c:pt idx="25">
                  <c:v>2844.0499499858952</c:v>
                </c:pt>
                <c:pt idx="26">
                  <c:v>2692.9400060506605</c:v>
                </c:pt>
                <c:pt idx="27">
                  <c:v>2813.1762803714246</c:v>
                </c:pt>
                <c:pt idx="28">
                  <c:v>3043.0999118329432</c:v>
                </c:pt>
                <c:pt idx="29">
                  <c:v>2938.4620717841199</c:v>
                </c:pt>
                <c:pt idx="30">
                  <c:v>2789.6509719060123</c:v>
                </c:pt>
              </c:numCache>
            </c:numRef>
          </c:xVal>
          <c:yVal>
            <c:numRef>
              <c:f>Autos!$AQ$6:$AQ$36</c:f>
              <c:numCache>
                <c:formatCode>General</c:formatCode>
                <c:ptCount val="31"/>
                <c:pt idx="0">
                  <c:v>155.45577597788679</c:v>
                </c:pt>
                <c:pt idx="1">
                  <c:v>22.210885422996853</c:v>
                </c:pt>
                <c:pt idx="2">
                  <c:v>108.14318513390299</c:v>
                </c:pt>
                <c:pt idx="3">
                  <c:v>143.28936975735178</c:v>
                </c:pt>
                <c:pt idx="4">
                  <c:v>-379.49198216981404</c:v>
                </c:pt>
                <c:pt idx="5">
                  <c:v>-203.20780481118572</c:v>
                </c:pt>
                <c:pt idx="6">
                  <c:v>166.4818264640237</c:v>
                </c:pt>
                <c:pt idx="7">
                  <c:v>166.39007491485381</c:v>
                </c:pt>
                <c:pt idx="8">
                  <c:v>-121.31409298611288</c:v>
                </c:pt>
                <c:pt idx="9">
                  <c:v>13.792731023615943</c:v>
                </c:pt>
                <c:pt idx="10">
                  <c:v>-246.71047307152276</c:v>
                </c:pt>
                <c:pt idx="11">
                  <c:v>-95.719474099284525</c:v>
                </c:pt>
                <c:pt idx="12">
                  <c:v>-67.710788556512853</c:v>
                </c:pt>
                <c:pt idx="13">
                  <c:v>-124.68467208259926</c:v>
                </c:pt>
                <c:pt idx="14">
                  <c:v>196.10012849577811</c:v>
                </c:pt>
                <c:pt idx="15">
                  <c:v>-20.466067250948981</c:v>
                </c:pt>
                <c:pt idx="16">
                  <c:v>202.21871204217905</c:v>
                </c:pt>
                <c:pt idx="17">
                  <c:v>15.069710698110157</c:v>
                </c:pt>
                <c:pt idx="18">
                  <c:v>179.27659264229169</c:v>
                </c:pt>
                <c:pt idx="19">
                  <c:v>77.862568530394128</c:v>
                </c:pt>
                <c:pt idx="20">
                  <c:v>157.14148115860326</c:v>
                </c:pt>
                <c:pt idx="21">
                  <c:v>-120.66882848092291</c:v>
                </c:pt>
                <c:pt idx="22">
                  <c:v>-44.700281707801878</c:v>
                </c:pt>
                <c:pt idx="23">
                  <c:v>-56.180191480942085</c:v>
                </c:pt>
                <c:pt idx="24">
                  <c:v>51.800806366713005</c:v>
                </c:pt>
                <c:pt idx="25">
                  <c:v>122.95005001410482</c:v>
                </c:pt>
                <c:pt idx="26">
                  <c:v>-253.94000605066049</c:v>
                </c:pt>
                <c:pt idx="27">
                  <c:v>-215.17628037142458</c:v>
                </c:pt>
                <c:pt idx="28">
                  <c:v>1.9000881670567651</c:v>
                </c:pt>
                <c:pt idx="29">
                  <c:v>274.53792821588013</c:v>
                </c:pt>
                <c:pt idx="30">
                  <c:v>-104.65097190601227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82-4B50-BB66-3BC6BCDBE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639056"/>
        <c:axId val="869652976"/>
      </c:scatterChart>
      <c:valAx>
        <c:axId val="869639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9652976"/>
        <c:crosses val="autoZero"/>
        <c:crossBetween val="midCat"/>
      </c:valAx>
      <c:valAx>
        <c:axId val="869652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96390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373380</xdr:colOff>
      <xdr:row>3</xdr:row>
      <xdr:rowOff>152400</xdr:rowOff>
    </xdr:from>
    <xdr:to>
      <xdr:col>9</xdr:col>
      <xdr:colOff>68580</xdr:colOff>
      <xdr:row>18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1AD25-EDC8-B354-B7FE-6F2B199BE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373380</xdr:colOff>
      <xdr:row>3</xdr:row>
      <xdr:rowOff>152400</xdr:rowOff>
    </xdr:from>
    <xdr:to>
      <xdr:col>9</xdr:col>
      <xdr:colOff>68580</xdr:colOff>
      <xdr:row>18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89286B-9038-EF86-321F-D2EB33BAC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24</xdr:row>
      <xdr:rowOff>0</xdr:rowOff>
    </xdr:from>
    <xdr:to>
      <xdr:col>7</xdr:col>
      <xdr:colOff>579120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D5C744-F11C-AF1B-27BC-8C6ABEBD8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304800</xdr:colOff>
      <xdr:row>25</xdr:row>
      <xdr:rowOff>99060</xdr:rowOff>
    </xdr:from>
    <xdr:to>
      <xdr:col>9</xdr:col>
      <xdr:colOff>0</xdr:colOff>
      <xdr:row>40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E36724-2540-1BEE-265F-90D811B06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21</xdr:row>
      <xdr:rowOff>7620</xdr:rowOff>
    </xdr:from>
    <xdr:to>
      <xdr:col>7</xdr:col>
      <xdr:colOff>350520</xdr:colOff>
      <xdr:row>36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C76BD4-EED9-7474-471D-278B04CB4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60960</xdr:rowOff>
    </xdr:from>
    <xdr:to>
      <xdr:col>7</xdr:col>
      <xdr:colOff>304800</xdr:colOff>
      <xdr:row>36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1BF0BD-C1AC-9275-07F9-D028A708E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335280</xdr:colOff>
      <xdr:row>28</xdr:row>
      <xdr:rowOff>121920</xdr:rowOff>
    </xdr:from>
    <xdr:to>
      <xdr:col>23</xdr:col>
      <xdr:colOff>30480</xdr:colOff>
      <xdr:row>43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353C45-8B0B-6946-4657-5D096BFE1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541020</xdr:colOff>
      <xdr:row>29</xdr:row>
      <xdr:rowOff>53340</xdr:rowOff>
    </xdr:from>
    <xdr:to>
      <xdr:col>15</xdr:col>
      <xdr:colOff>236220</xdr:colOff>
      <xdr:row>44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E26652-0773-1F2E-304F-02C554497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sha\Desktop\NMIMS\SEM6\MA\XRealStats.xlam" TargetMode="External"/><Relationship Id="rId1" Type="http://schemas.openxmlformats.org/officeDocument/2006/relationships/externalLinkPath" Target="/Users/kesha/Desktop/NMIMS/SEM6/MA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BPagStat"/>
      <definedName name="DAGOSTINO"/>
      <definedName name="DEsign"/>
      <definedName name="DPTEST"/>
      <definedName name="DURBIN"/>
      <definedName name="LEVERAGE"/>
      <definedName name="RegCoeff"/>
      <definedName name="RegE"/>
      <definedName name="SHAPIRO"/>
      <definedName name="SWTEST"/>
      <definedName name="VIF"/>
      <definedName name="WhiteSta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F8" sqref="F8"/>
    </sheetView>
  </sheetViews>
  <sheetFormatPr defaultRowHeight="14.4" x14ac:dyDescent="0.3"/>
  <cols>
    <col min="2" max="2" width="16.109375" customWidth="1"/>
    <col min="8" max="8" width="13.109375" customWidth="1"/>
    <col min="9" max="9" width="14" bestFit="1" customWidth="1"/>
  </cols>
  <sheetData>
    <row r="1" spans="1:3" ht="43.2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77</v>
      </c>
      <c r="C2" s="1">
        <v>86</v>
      </c>
    </row>
    <row r="3" spans="1:3" x14ac:dyDescent="0.3">
      <c r="A3" s="1">
        <v>2</v>
      </c>
      <c r="B3" s="1">
        <v>79</v>
      </c>
      <c r="C3" s="1">
        <v>93</v>
      </c>
    </row>
    <row r="4" spans="1:3" x14ac:dyDescent="0.3">
      <c r="A4" s="1">
        <v>3</v>
      </c>
      <c r="B4" s="1">
        <v>80</v>
      </c>
      <c r="C4" s="1">
        <v>95</v>
      </c>
    </row>
    <row r="5" spans="1:3" x14ac:dyDescent="0.3">
      <c r="A5" s="1">
        <v>4</v>
      </c>
      <c r="B5" s="1">
        <v>83</v>
      </c>
      <c r="C5" s="1">
        <v>104</v>
      </c>
    </row>
    <row r="6" spans="1:3" x14ac:dyDescent="0.3">
      <c r="A6" s="1">
        <v>5</v>
      </c>
      <c r="B6" s="1">
        <v>101</v>
      </c>
      <c r="C6" s="1">
        <v>139</v>
      </c>
    </row>
    <row r="7" spans="1:3" x14ac:dyDescent="0.3">
      <c r="A7" s="1">
        <v>6</v>
      </c>
      <c r="B7" s="1">
        <v>117</v>
      </c>
      <c r="C7" s="1">
        <v>180</v>
      </c>
    </row>
    <row r="8" spans="1:3" x14ac:dyDescent="0.3">
      <c r="A8" s="1">
        <v>7</v>
      </c>
      <c r="B8" s="1">
        <v>129</v>
      </c>
      <c r="C8" s="1">
        <v>165</v>
      </c>
    </row>
    <row r="9" spans="1:3" x14ac:dyDescent="0.3">
      <c r="A9" s="1">
        <v>8</v>
      </c>
      <c r="B9" s="1">
        <v>120</v>
      </c>
      <c r="C9" s="1">
        <v>147</v>
      </c>
    </row>
    <row r="10" spans="1:3" x14ac:dyDescent="0.3">
      <c r="A10" s="1">
        <v>9</v>
      </c>
      <c r="B10" s="1">
        <v>97</v>
      </c>
      <c r="C10" s="1">
        <v>119</v>
      </c>
    </row>
    <row r="11" spans="1:3" x14ac:dyDescent="0.3">
      <c r="A11" s="1">
        <v>10</v>
      </c>
      <c r="B11" s="1">
        <v>106</v>
      </c>
      <c r="C11" s="1">
        <v>132</v>
      </c>
    </row>
    <row r="12" spans="1:3" x14ac:dyDescent="0.3">
      <c r="A12" s="1">
        <v>11</v>
      </c>
      <c r="B12" s="1">
        <v>99</v>
      </c>
      <c r="C12" s="1">
        <v>126</v>
      </c>
    </row>
    <row r="13" spans="1:3" x14ac:dyDescent="0.3">
      <c r="A13" s="1">
        <v>12</v>
      </c>
      <c r="B13" s="1">
        <v>121</v>
      </c>
      <c r="C13" s="1">
        <v>156</v>
      </c>
    </row>
    <row r="14" spans="1:3" x14ac:dyDescent="0.3">
      <c r="A14" s="1">
        <v>13</v>
      </c>
      <c r="B14" s="1">
        <v>103</v>
      </c>
      <c r="C14" s="1">
        <v>129</v>
      </c>
    </row>
    <row r="15" spans="1:3" x14ac:dyDescent="0.3">
      <c r="A15" s="1">
        <v>14</v>
      </c>
      <c r="B15" s="1">
        <v>86</v>
      </c>
      <c r="C15" s="1">
        <v>96</v>
      </c>
    </row>
    <row r="16" spans="1:3" x14ac:dyDescent="0.3">
      <c r="A16" s="1">
        <v>15</v>
      </c>
      <c r="B16" s="1">
        <v>99</v>
      </c>
      <c r="C16" s="1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6"/>
  <sheetViews>
    <sheetView topLeftCell="AC5" workbookViewId="0">
      <selection activeCell="AM11" sqref="AM11"/>
    </sheetView>
  </sheetViews>
  <sheetFormatPr defaultRowHeight="14.4" x14ac:dyDescent="0.3"/>
  <sheetData>
    <row r="1" spans="1:47" ht="57.6" x14ac:dyDescent="0.3">
      <c r="A1" s="3" t="s">
        <v>110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47" x14ac:dyDescent="0.3">
      <c r="A2" s="3">
        <v>1</v>
      </c>
      <c r="B2" s="3" t="s">
        <v>10</v>
      </c>
      <c r="C2" s="3">
        <v>8.4</v>
      </c>
      <c r="D2" s="3">
        <v>941.2</v>
      </c>
      <c r="E2" s="5">
        <f>D2/C2</f>
        <v>112.04761904761905</v>
      </c>
      <c r="F2" s="6">
        <v>49600</v>
      </c>
      <c r="G2" s="3">
        <v>4.2</v>
      </c>
      <c r="H2" s="3">
        <v>5.8</v>
      </c>
    </row>
    <row r="3" spans="1:47" x14ac:dyDescent="0.3">
      <c r="A3" s="3">
        <v>2</v>
      </c>
      <c r="B3" s="3" t="s">
        <v>11</v>
      </c>
      <c r="C3" s="3">
        <v>10.5</v>
      </c>
      <c r="D3" s="3">
        <v>1681.9</v>
      </c>
      <c r="E3" s="5">
        <f t="shared" ref="E3:E22" si="0">D3/C3</f>
        <v>160.18095238095239</v>
      </c>
      <c r="F3" s="6">
        <v>47090</v>
      </c>
      <c r="G3" s="3">
        <v>8.1</v>
      </c>
      <c r="H3" s="3">
        <v>5.9</v>
      </c>
      <c r="J3" t="s">
        <v>40</v>
      </c>
      <c r="S3" t="s">
        <v>68</v>
      </c>
      <c r="V3" t="s">
        <v>74</v>
      </c>
      <c r="Y3" t="s">
        <v>75</v>
      </c>
      <c r="AE3" t="s">
        <v>84</v>
      </c>
    </row>
    <row r="4" spans="1:47" ht="15" thickBot="1" x14ac:dyDescent="0.35">
      <c r="A4" s="3">
        <v>3</v>
      </c>
      <c r="B4" s="3" t="s">
        <v>12</v>
      </c>
      <c r="C4" s="3">
        <v>7.6</v>
      </c>
      <c r="D4" s="3">
        <v>154</v>
      </c>
      <c r="E4" s="5">
        <f t="shared" si="0"/>
        <v>20.263157894736842</v>
      </c>
      <c r="F4" s="6">
        <v>6550</v>
      </c>
      <c r="G4" s="3">
        <v>13.5</v>
      </c>
      <c r="H4" s="3">
        <v>3.5</v>
      </c>
    </row>
    <row r="5" spans="1:47" ht="15.6" thickTop="1" thickBot="1" x14ac:dyDescent="0.35">
      <c r="A5" s="3">
        <v>4</v>
      </c>
      <c r="B5" s="3" t="s">
        <v>13</v>
      </c>
      <c r="C5" s="3">
        <v>10.199999999999999</v>
      </c>
      <c r="D5" s="3">
        <v>1028.7</v>
      </c>
      <c r="E5" s="5">
        <f t="shared" si="0"/>
        <v>100.85294117647059</v>
      </c>
      <c r="F5" s="6">
        <v>20670</v>
      </c>
      <c r="G5" s="3">
        <v>6.6</v>
      </c>
      <c r="H5" s="3">
        <v>4.4000000000000004</v>
      </c>
      <c r="J5" s="9" t="s">
        <v>41</v>
      </c>
      <c r="K5" s="9"/>
      <c r="M5" s="9"/>
      <c r="N5" s="9"/>
      <c r="S5" s="13" t="s">
        <v>69</v>
      </c>
      <c r="T5" s="13">
        <f>[1]!SHAPIRO([1]!RegE(F2:H22,E2:E22))</f>
        <v>0.77729119183183393</v>
      </c>
      <c r="V5" t="s">
        <v>51</v>
      </c>
      <c r="W5" s="15">
        <v>0.05</v>
      </c>
      <c r="Y5" t="s">
        <v>76</v>
      </c>
      <c r="Z5" s="16">
        <f>COUNT(E2:E22)</f>
        <v>21</v>
      </c>
      <c r="AE5" s="12" t="s">
        <v>85</v>
      </c>
      <c r="AF5" s="12" t="str">
        <f>F1</f>
        <v>GNP per head</v>
      </c>
      <c r="AG5" s="12" t="str">
        <f t="shared" ref="AG5:AH5" si="1">G1</f>
        <v>Unemployment rate</v>
      </c>
      <c r="AH5" s="12" t="str">
        <f t="shared" si="1"/>
        <v>%age spend on education</v>
      </c>
      <c r="AI5" s="12" t="str">
        <f>E1</f>
        <v>Sales/Capita</v>
      </c>
      <c r="AJ5" s="12" t="s">
        <v>86</v>
      </c>
      <c r="AK5" s="12" t="s">
        <v>59</v>
      </c>
      <c r="AL5" s="12" t="s">
        <v>87</v>
      </c>
      <c r="AM5" s="12" t="s">
        <v>88</v>
      </c>
      <c r="AN5" s="12" t="s">
        <v>89</v>
      </c>
      <c r="AO5" s="12" t="s">
        <v>90</v>
      </c>
      <c r="AP5" s="12" t="s">
        <v>91</v>
      </c>
      <c r="AQ5" s="12" t="s">
        <v>84</v>
      </c>
      <c r="AR5" s="12" t="s">
        <v>92</v>
      </c>
    </row>
    <row r="6" spans="1:47" ht="15" thickTop="1" x14ac:dyDescent="0.3">
      <c r="A6" s="3">
        <v>5</v>
      </c>
      <c r="B6" s="3" t="s">
        <v>14</v>
      </c>
      <c r="C6" s="3">
        <v>5.5</v>
      </c>
      <c r="D6" s="3">
        <v>935.4</v>
      </c>
      <c r="E6" s="5">
        <f t="shared" si="0"/>
        <v>170.07272727272726</v>
      </c>
      <c r="F6" s="6">
        <v>62120</v>
      </c>
      <c r="G6" s="3">
        <v>5.2</v>
      </c>
      <c r="H6" s="3">
        <v>8.4</v>
      </c>
      <c r="J6" t="s">
        <v>42</v>
      </c>
      <c r="K6">
        <f>SQRT(K7)</f>
        <v>0.7311064653280146</v>
      </c>
      <c r="M6" t="s">
        <v>47</v>
      </c>
      <c r="N6">
        <f>K10*LN(L15/K10)+2*(K14+1)</f>
        <v>174.40865564694542</v>
      </c>
      <c r="S6" t="s">
        <v>56</v>
      </c>
      <c r="T6">
        <f>[1]!SWTEST([1]!RegE(F2:H22,E2:E22))</f>
        <v>3.009666896959251E-4</v>
      </c>
      <c r="Y6" t="s">
        <v>77</v>
      </c>
      <c r="Z6" s="19">
        <f>COLUMNS(F2:H22)</f>
        <v>3</v>
      </c>
      <c r="AE6">
        <v>1</v>
      </c>
      <c r="AF6">
        <f t="shared" ref="AF6:AF26" si="2">F2</f>
        <v>49600</v>
      </c>
      <c r="AG6">
        <f t="shared" ref="AG6:AG26" si="3">G2</f>
        <v>4.2</v>
      </c>
      <c r="AH6">
        <f t="shared" ref="AH6:AH26" si="4">H2</f>
        <v>5.8</v>
      </c>
      <c r="AI6">
        <f t="shared" ref="AI6:AI26" si="5">E2</f>
        <v>112.04761904761905</v>
      </c>
      <c r="AJ6">
        <f t="array" ref="AJ6:AJ26">TREND(E2:E22,F2:H22)</f>
        <v>141.10501101131408</v>
      </c>
      <c r="AK6">
        <f>AI6-AJ6</f>
        <v>-29.057391963695025</v>
      </c>
      <c r="AL6">
        <f t="array" ref="AL6:AL26">[1]!LEVERAGE(F2:H22)</f>
        <v>0.12609691523283628</v>
      </c>
      <c r="AM6">
        <f>AK6/SQRT($AU$8)</f>
        <v>-0.49733447661797237</v>
      </c>
      <c r="AN6">
        <f>($AU$8-AK6^2/((1-AL6)*$AU$7))*$AU$7/($AU$7-1)</f>
        <v>3566.5941002732761</v>
      </c>
      <c r="AO6">
        <f>AK6/SQRT(AN6*(1-AL6))</f>
        <v>-0.52047293665236449</v>
      </c>
      <c r="AP6">
        <f>_xlfn.T.DIST.2T(ABS(AO6),$AU$7)</f>
        <v>0.60944648513308497</v>
      </c>
      <c r="AQ6">
        <f>(AK6^2/$AU$8)*(AL6/(1-AL6)^2)/($AU$9+1)</f>
        <v>1.0209748871091299E-2</v>
      </c>
      <c r="AR6">
        <f>AO6*SQRT(AL6/(1-AL6))</f>
        <v>-0.19770549816677843</v>
      </c>
      <c r="AS6" t="str">
        <f>IF(OR(AP6&lt;0.05,AQ6&gt;=1,ABS(AR6)&gt;=1),"*","")</f>
        <v/>
      </c>
      <c r="AT6" t="s">
        <v>93</v>
      </c>
      <c r="AU6" s="16">
        <f>DEVSQ(AK6:AK26)</f>
        <v>58031.667690820213</v>
      </c>
    </row>
    <row r="7" spans="1:47" x14ac:dyDescent="0.3">
      <c r="A7" s="3">
        <v>6</v>
      </c>
      <c r="B7" s="3" t="s">
        <v>15</v>
      </c>
      <c r="C7" s="3">
        <v>5.3</v>
      </c>
      <c r="D7" s="3">
        <v>1971</v>
      </c>
      <c r="E7" s="5">
        <f t="shared" si="0"/>
        <v>371.88679245283021</v>
      </c>
      <c r="F7" s="6">
        <v>51320</v>
      </c>
      <c r="G7" s="3">
        <v>9.9</v>
      </c>
      <c r="H7" s="3">
        <v>6.3</v>
      </c>
      <c r="J7" t="s">
        <v>43</v>
      </c>
      <c r="K7">
        <f>L14/L16</f>
        <v>0.53451666364442341</v>
      </c>
      <c r="M7" t="s">
        <v>48</v>
      </c>
      <c r="N7">
        <f>N6+2*(K14+2)*(K14+3)/(K10-K14-3)</f>
        <v>178.40865564694542</v>
      </c>
      <c r="S7" t="s">
        <v>70</v>
      </c>
      <c r="T7">
        <v>0.05</v>
      </c>
      <c r="V7" t="str">
        <f t="array" ref="V7:W10">[1]!DURBIN(F2:H22,E2:E22,TRUE,W5)</f>
        <v>D-stat</v>
      </c>
      <c r="W7" s="16">
        <v>2.6853098817092986</v>
      </c>
      <c r="AE7">
        <f>AE6+1</f>
        <v>2</v>
      </c>
      <c r="AF7">
        <f t="shared" si="2"/>
        <v>47090</v>
      </c>
      <c r="AG7">
        <f t="shared" si="3"/>
        <v>8.1</v>
      </c>
      <c r="AH7">
        <f t="shared" si="4"/>
        <v>5.9</v>
      </c>
      <c r="AI7">
        <f t="shared" si="5"/>
        <v>160.18095238095239</v>
      </c>
      <c r="AJ7">
        <v>153.93616992638789</v>
      </c>
      <c r="AK7">
        <f t="shared" ref="AK7:AK26" si="6">AI7-AJ7</f>
        <v>6.2447824545645005</v>
      </c>
      <c r="AL7">
        <v>7.2209956473989104E-2</v>
      </c>
      <c r="AM7">
        <f t="shared" ref="AM7:AM26" si="7">AK7/SQRT($AU$8)</f>
        <v>0.10688315102450774</v>
      </c>
      <c r="AN7">
        <f t="shared" ref="AN7:AN26" si="8">($AU$8-AK7^2/((1-AL7)*$AU$7))*$AU$7/($AU$7-1)</f>
        <v>3624.352201251816</v>
      </c>
      <c r="AO7">
        <f t="shared" ref="AO7:AO26" si="9">AK7/SQRT(AN7*(1-AL7))</f>
        <v>0.10769046763008916</v>
      </c>
      <c r="AP7">
        <f t="shared" ref="AP7:AP26" si="10">_xlfn.T.DIST.2T(ABS(AO7),$AU$7)</f>
        <v>0.9155020051909657</v>
      </c>
      <c r="AQ7">
        <f t="shared" ref="AQ7:AQ26" si="11">(AK7^2/$AU$8)*(AL7/(1-AL7)^2)/($AU$9+1)</f>
        <v>2.3958309677481312E-4</v>
      </c>
      <c r="AR7">
        <f t="shared" ref="AR7:AR26" si="12">AO7*SQRT(AL7/(1-AL7))</f>
        <v>3.0043529401453443E-2</v>
      </c>
      <c r="AS7" t="str">
        <f t="shared" ref="AS7:AS26" si="13">IF(OR(AP7&lt;0.05,AQ7&gt;=1,ABS(AR7)&gt;=1),"*","")</f>
        <v/>
      </c>
      <c r="AT7" t="s">
        <v>94</v>
      </c>
      <c r="AU7" s="17">
        <f>COUNT(E2:E22)-AU9-1</f>
        <v>17</v>
      </c>
    </row>
    <row r="8" spans="1:47" x14ac:dyDescent="0.3">
      <c r="A8" s="3">
        <v>7</v>
      </c>
      <c r="B8" s="3" t="s">
        <v>16</v>
      </c>
      <c r="C8" s="3">
        <v>61.9</v>
      </c>
      <c r="D8" s="3">
        <v>5928.9</v>
      </c>
      <c r="E8" s="5">
        <f t="shared" si="0"/>
        <v>95.78190630048465</v>
      </c>
      <c r="F8" s="6">
        <v>44510</v>
      </c>
      <c r="G8" s="3">
        <v>10</v>
      </c>
      <c r="H8" s="3">
        <v>5.7</v>
      </c>
      <c r="J8" t="s">
        <v>44</v>
      </c>
      <c r="K8">
        <f>1-(1-K7)*(K10-1)/(K10-K14-1)</f>
        <v>0.4523725454640275</v>
      </c>
      <c r="M8" s="10" t="s">
        <v>49</v>
      </c>
      <c r="N8" s="10">
        <f>K10*LN(L15/K10)+(K14+1)*LN(K10)</f>
        <v>178.58674539783911</v>
      </c>
      <c r="S8" s="10" t="s">
        <v>71</v>
      </c>
      <c r="T8" s="14" t="str">
        <f>IF(T6&lt;T7,"no","yes")</f>
        <v>no</v>
      </c>
      <c r="V8" t="str">
        <v>D-lower</v>
      </c>
      <c r="W8" s="17">
        <v>1.02624</v>
      </c>
      <c r="Y8" t="s">
        <v>78</v>
      </c>
      <c r="AB8" t="s">
        <v>83</v>
      </c>
      <c r="AE8">
        <f t="shared" ref="AE8:AE26" si="14">AE7+1</f>
        <v>3</v>
      </c>
      <c r="AF8">
        <f t="shared" si="2"/>
        <v>6550</v>
      </c>
      <c r="AG8">
        <f t="shared" si="3"/>
        <v>13.5</v>
      </c>
      <c r="AH8">
        <f t="shared" si="4"/>
        <v>3.5</v>
      </c>
      <c r="AI8">
        <f t="shared" si="5"/>
        <v>20.263157894736842</v>
      </c>
      <c r="AJ8">
        <v>32.157888174081108</v>
      </c>
      <c r="AK8">
        <f t="shared" si="6"/>
        <v>-11.894730279344266</v>
      </c>
      <c r="AL8">
        <v>0.24485389770548285</v>
      </c>
      <c r="AM8">
        <f t="shared" si="7"/>
        <v>-0.20358535498921548</v>
      </c>
      <c r="AN8">
        <f t="shared" si="8"/>
        <v>3615.2691946987511</v>
      </c>
      <c r="AO8">
        <f t="shared" si="9"/>
        <v>-0.22765059288924053</v>
      </c>
      <c r="AP8">
        <f t="shared" si="10"/>
        <v>0.82263330925058131</v>
      </c>
      <c r="AQ8">
        <f t="shared" si="11"/>
        <v>4.4491610584342497E-3</v>
      </c>
      <c r="AR8">
        <f t="shared" si="12"/>
        <v>-0.12963038295213325</v>
      </c>
      <c r="AS8" t="str">
        <f t="shared" si="13"/>
        <v/>
      </c>
      <c r="AT8" t="s">
        <v>95</v>
      </c>
      <c r="AU8" s="17">
        <f>AU6/AU7</f>
        <v>3413.6275112247185</v>
      </c>
    </row>
    <row r="9" spans="1:47" x14ac:dyDescent="0.3">
      <c r="A9" s="3">
        <v>8</v>
      </c>
      <c r="B9" s="3" t="s">
        <v>17</v>
      </c>
      <c r="C9" s="3">
        <v>82.5</v>
      </c>
      <c r="D9" s="3">
        <v>6824.3</v>
      </c>
      <c r="E9" s="5">
        <f t="shared" si="0"/>
        <v>82.718787878787879</v>
      </c>
      <c r="F9" s="6">
        <v>44450</v>
      </c>
      <c r="G9" s="3">
        <v>9.1</v>
      </c>
      <c r="H9" s="3">
        <v>4.5999999999999996</v>
      </c>
      <c r="J9" t="s">
        <v>45</v>
      </c>
      <c r="K9">
        <f>SQRT(M15)</f>
        <v>58.426257035897144</v>
      </c>
      <c r="V9" t="str">
        <v>D-upper</v>
      </c>
      <c r="W9" s="17">
        <v>1.6694199999999999</v>
      </c>
      <c r="AE9">
        <f t="shared" si="14"/>
        <v>4</v>
      </c>
      <c r="AF9">
        <f t="shared" si="2"/>
        <v>20670</v>
      </c>
      <c r="AG9">
        <f t="shared" si="3"/>
        <v>6.6</v>
      </c>
      <c r="AH9">
        <f t="shared" si="4"/>
        <v>4.4000000000000004</v>
      </c>
      <c r="AI9">
        <f t="shared" si="5"/>
        <v>100.85294117647059</v>
      </c>
      <c r="AJ9">
        <v>54.767288455875018</v>
      </c>
      <c r="AK9">
        <f t="shared" si="6"/>
        <v>46.085652720595576</v>
      </c>
      <c r="AL9">
        <v>0.1435025254000348</v>
      </c>
      <c r="AM9">
        <f t="shared" si="7"/>
        <v>0.78878324675634315</v>
      </c>
      <c r="AN9">
        <f t="shared" si="8"/>
        <v>3471.9957478239558</v>
      </c>
      <c r="AO9">
        <f t="shared" si="9"/>
        <v>0.84510974026745644</v>
      </c>
      <c r="AP9">
        <f t="shared" si="10"/>
        <v>0.40978662363864904</v>
      </c>
      <c r="AQ9">
        <f t="shared" si="11"/>
        <v>3.0427252247995706E-2</v>
      </c>
      <c r="AR9">
        <f t="shared" si="12"/>
        <v>0.34592331628673423</v>
      </c>
      <c r="AS9" t="str">
        <f t="shared" si="13"/>
        <v/>
      </c>
      <c r="AT9" t="s">
        <v>96</v>
      </c>
      <c r="AU9" s="19">
        <f>COUNT(F2:H2)</f>
        <v>3</v>
      </c>
    </row>
    <row r="10" spans="1:47" x14ac:dyDescent="0.3">
      <c r="A10" s="3">
        <v>9</v>
      </c>
      <c r="B10" s="3" t="s">
        <v>18</v>
      </c>
      <c r="C10" s="3">
        <v>11.2</v>
      </c>
      <c r="D10" s="3">
        <v>813</v>
      </c>
      <c r="E10" s="5">
        <f t="shared" si="0"/>
        <v>72.589285714285722</v>
      </c>
      <c r="F10" s="6">
        <v>31670</v>
      </c>
      <c r="G10" s="3">
        <v>9.9</v>
      </c>
      <c r="H10" s="3">
        <v>3.9</v>
      </c>
      <c r="J10" s="10" t="s">
        <v>46</v>
      </c>
      <c r="K10" s="10">
        <f>COUNT(E2:E22)</f>
        <v>21</v>
      </c>
      <c r="S10" t="s">
        <v>72</v>
      </c>
      <c r="V10" t="str">
        <v>sig</v>
      </c>
      <c r="W10" s="18" t="str">
        <v>unclear</v>
      </c>
      <c r="Y10" t="s">
        <v>79</v>
      </c>
      <c r="Z10" s="16">
        <f>[1]!BPagStat(F2:H22,E2:E22)</f>
        <v>2.9473657712087671</v>
      </c>
      <c r="AB10" t="s">
        <v>79</v>
      </c>
      <c r="AC10" s="16">
        <f>[1]!WhiteStat(F2:H22,E2:E22)</f>
        <v>2.2591127424797217</v>
      </c>
      <c r="AE10">
        <f t="shared" si="14"/>
        <v>5</v>
      </c>
      <c r="AF10">
        <f t="shared" si="2"/>
        <v>62120</v>
      </c>
      <c r="AG10">
        <f t="shared" si="3"/>
        <v>5.2</v>
      </c>
      <c r="AH10">
        <f t="shared" si="4"/>
        <v>8.4</v>
      </c>
      <c r="AI10">
        <f t="shared" si="5"/>
        <v>170.07272727272726</v>
      </c>
      <c r="AJ10">
        <v>229.79090357336941</v>
      </c>
      <c r="AK10">
        <f t="shared" si="6"/>
        <v>-59.718176300642142</v>
      </c>
      <c r="AL10">
        <v>0.37326741108024863</v>
      </c>
      <c r="AM10">
        <f t="shared" si="7"/>
        <v>-1.0221119635295353</v>
      </c>
      <c r="AN10">
        <f t="shared" si="8"/>
        <v>3271.339057765611</v>
      </c>
      <c r="AO10">
        <f t="shared" si="9"/>
        <v>-1.3188719091346552</v>
      </c>
      <c r="AP10">
        <f t="shared" si="10"/>
        <v>0.20470312805823226</v>
      </c>
      <c r="AQ10">
        <f t="shared" si="11"/>
        <v>0.24819468150255811</v>
      </c>
      <c r="AR10">
        <f t="shared" si="12"/>
        <v>-1.01782125664079</v>
      </c>
      <c r="AS10" t="str">
        <f t="shared" si="13"/>
        <v>*</v>
      </c>
    </row>
    <row r="11" spans="1:47" x14ac:dyDescent="0.3">
      <c r="A11" s="3">
        <v>10</v>
      </c>
      <c r="B11" s="3" t="s">
        <v>19</v>
      </c>
      <c r="C11" s="3">
        <v>10</v>
      </c>
      <c r="D11" s="3">
        <v>449</v>
      </c>
      <c r="E11" s="5">
        <f t="shared" si="0"/>
        <v>44.9</v>
      </c>
      <c r="F11" s="6">
        <v>15410</v>
      </c>
      <c r="G11" s="3">
        <v>7.3</v>
      </c>
      <c r="H11" s="3">
        <v>5.0999999999999996</v>
      </c>
      <c r="Y11" t="s">
        <v>52</v>
      </c>
      <c r="Z11" s="17">
        <f>Z6</f>
        <v>3</v>
      </c>
      <c r="AB11" t="s">
        <v>52</v>
      </c>
      <c r="AC11" s="17">
        <v>2</v>
      </c>
      <c r="AE11">
        <f t="shared" si="14"/>
        <v>6</v>
      </c>
      <c r="AF11">
        <f t="shared" si="2"/>
        <v>51320</v>
      </c>
      <c r="AG11">
        <f t="shared" si="3"/>
        <v>9.9</v>
      </c>
      <c r="AH11">
        <f t="shared" si="4"/>
        <v>6.3</v>
      </c>
      <c r="AI11">
        <f t="shared" si="5"/>
        <v>371.88679245283021</v>
      </c>
      <c r="AJ11">
        <v>179.8197146177065</v>
      </c>
      <c r="AK11">
        <f t="shared" si="6"/>
        <v>192.06707783512371</v>
      </c>
      <c r="AL11">
        <v>0.15482386175776669</v>
      </c>
      <c r="AM11">
        <f t="shared" si="7"/>
        <v>3.2873418147788858</v>
      </c>
      <c r="AN11">
        <f t="shared" si="8"/>
        <v>899.01514729260214</v>
      </c>
      <c r="AO11">
        <f t="shared" si="9"/>
        <v>6.9678021559427608</v>
      </c>
      <c r="AP11">
        <f t="shared" si="10"/>
        <v>2.2686001964859475E-6</v>
      </c>
      <c r="AQ11">
        <f t="shared" si="11"/>
        <v>0.58556239457000536</v>
      </c>
      <c r="AR11">
        <f t="shared" si="12"/>
        <v>2.9822300714867374</v>
      </c>
      <c r="AS11" t="str">
        <f t="shared" si="13"/>
        <v>*</v>
      </c>
    </row>
    <row r="12" spans="1:47" ht="15" thickBot="1" x14ac:dyDescent="0.35">
      <c r="A12" s="3">
        <v>11</v>
      </c>
      <c r="B12" s="3" t="s">
        <v>20</v>
      </c>
      <c r="C12" s="3">
        <v>4.4000000000000004</v>
      </c>
      <c r="D12" s="3">
        <v>576.9</v>
      </c>
      <c r="E12" s="5">
        <f t="shared" si="0"/>
        <v>131.11363636363635</v>
      </c>
      <c r="F12" s="6">
        <v>60460</v>
      </c>
      <c r="G12" s="3">
        <v>6.3</v>
      </c>
      <c r="H12" s="3">
        <v>4.3</v>
      </c>
      <c r="J12" t="s">
        <v>50</v>
      </c>
      <c r="N12" s="11" t="s">
        <v>51</v>
      </c>
      <c r="O12" s="11">
        <v>0.05</v>
      </c>
      <c r="S12" s="13" t="s">
        <v>73</v>
      </c>
      <c r="T12" s="13">
        <f>[1]!DAGOSTINO([1]!RegE(F2:H22,E2:E22))</f>
        <v>26.47346686778614</v>
      </c>
      <c r="Y12" t="s">
        <v>56</v>
      </c>
      <c r="Z12" s="19">
        <f>_xlfn.CHISQ.DIST.RT(Z10,Z11)</f>
        <v>0.39981173362072731</v>
      </c>
      <c r="AB12" t="s">
        <v>56</v>
      </c>
      <c r="AC12" s="19">
        <f>_xlfn.CHISQ.DIST.RT(AC10,AC11)</f>
        <v>0.32317659505750296</v>
      </c>
      <c r="AE12">
        <f t="shared" si="14"/>
        <v>7</v>
      </c>
      <c r="AF12">
        <f t="shared" si="2"/>
        <v>44510</v>
      </c>
      <c r="AG12">
        <f t="shared" si="3"/>
        <v>10</v>
      </c>
      <c r="AH12">
        <f t="shared" si="4"/>
        <v>5.7</v>
      </c>
      <c r="AI12">
        <f t="shared" si="5"/>
        <v>95.78190630048465</v>
      </c>
      <c r="AJ12">
        <v>151.7406303741534</v>
      </c>
      <c r="AK12">
        <f t="shared" si="6"/>
        <v>-55.958724073668748</v>
      </c>
      <c r="AL12">
        <v>0.1025939472455405</v>
      </c>
      <c r="AM12">
        <f t="shared" si="7"/>
        <v>-0.95776671162227067</v>
      </c>
      <c r="AN12">
        <f t="shared" si="8"/>
        <v>3408.893811710841</v>
      </c>
      <c r="AO12">
        <f t="shared" si="9"/>
        <v>-1.0117345236796937</v>
      </c>
      <c r="AP12">
        <f t="shared" si="10"/>
        <v>0.32584928781919509</v>
      </c>
      <c r="AQ12">
        <f t="shared" si="11"/>
        <v>2.9214821441874938E-2</v>
      </c>
      <c r="AR12">
        <f t="shared" si="12"/>
        <v>-0.34208414217520877</v>
      </c>
      <c r="AS12" t="str">
        <f t="shared" si="13"/>
        <v/>
      </c>
    </row>
    <row r="13" spans="1:47" ht="15" thickTop="1" x14ac:dyDescent="0.3">
      <c r="A13" s="3">
        <v>12</v>
      </c>
      <c r="B13" s="3" t="s">
        <v>21</v>
      </c>
      <c r="C13" s="3">
        <v>58.9</v>
      </c>
      <c r="D13" s="3">
        <v>3858.2</v>
      </c>
      <c r="E13" s="5">
        <f t="shared" si="0"/>
        <v>65.504244482173178</v>
      </c>
      <c r="F13" s="6">
        <v>38490</v>
      </c>
      <c r="G13" s="3">
        <v>9.3000000000000007</v>
      </c>
      <c r="H13" s="3">
        <v>5</v>
      </c>
      <c r="J13" s="12"/>
      <c r="K13" s="12" t="s">
        <v>52</v>
      </c>
      <c r="L13" s="12" t="s">
        <v>53</v>
      </c>
      <c r="M13" s="12" t="s">
        <v>54</v>
      </c>
      <c r="N13" s="12" t="s">
        <v>55</v>
      </c>
      <c r="O13" s="12" t="s">
        <v>56</v>
      </c>
      <c r="P13" s="12" t="s">
        <v>57</v>
      </c>
      <c r="S13" t="s">
        <v>56</v>
      </c>
      <c r="T13">
        <f>[1]!DPTEST([1]!RegE(F2:H22,E2:E22))</f>
        <v>1.7838556622962187E-6</v>
      </c>
      <c r="AE13">
        <f t="shared" si="14"/>
        <v>8</v>
      </c>
      <c r="AF13">
        <f t="shared" si="2"/>
        <v>44450</v>
      </c>
      <c r="AG13">
        <f t="shared" si="3"/>
        <v>9.1</v>
      </c>
      <c r="AH13">
        <f t="shared" si="4"/>
        <v>4.5999999999999996</v>
      </c>
      <c r="AI13">
        <f t="shared" si="5"/>
        <v>82.718787878787879</v>
      </c>
      <c r="AJ13">
        <v>124.24022741288988</v>
      </c>
      <c r="AK13">
        <f t="shared" si="6"/>
        <v>-41.521439534102001</v>
      </c>
      <c r="AL13">
        <v>0.10935961507101269</v>
      </c>
      <c r="AM13">
        <f t="shared" si="7"/>
        <v>-0.71066403429867497</v>
      </c>
      <c r="AN13">
        <f t="shared" si="8"/>
        <v>3505.9967633024121</v>
      </c>
      <c r="AO13">
        <f t="shared" si="9"/>
        <v>-0.74304557918648495</v>
      </c>
      <c r="AP13">
        <f t="shared" si="10"/>
        <v>0.4675990197713461</v>
      </c>
      <c r="AQ13">
        <f t="shared" si="11"/>
        <v>1.7406878101189027E-2</v>
      </c>
      <c r="AR13">
        <f t="shared" si="12"/>
        <v>-0.26037108282720856</v>
      </c>
      <c r="AS13" t="str">
        <f t="shared" si="13"/>
        <v/>
      </c>
    </row>
    <row r="14" spans="1:47" x14ac:dyDescent="0.3">
      <c r="A14" s="3">
        <v>13</v>
      </c>
      <c r="B14" s="3" t="s">
        <v>22</v>
      </c>
      <c r="C14" s="3">
        <v>16.5</v>
      </c>
      <c r="D14" s="3">
        <v>2168.5</v>
      </c>
      <c r="E14" s="5">
        <f t="shared" si="0"/>
        <v>131.42424242424244</v>
      </c>
      <c r="F14" s="6">
        <v>52960</v>
      </c>
      <c r="G14" s="3">
        <v>4.4000000000000004</v>
      </c>
      <c r="H14" s="3">
        <v>5</v>
      </c>
      <c r="J14" t="s">
        <v>58</v>
      </c>
      <c r="K14">
        <f>COUNT(F2:H2)</f>
        <v>3</v>
      </c>
      <c r="L14">
        <f>DEVSQ(MMULT([1]!DEsign(F2:H22),K19:K22))</f>
        <v>66638.031863130323</v>
      </c>
      <c r="M14">
        <f>L14/K14</f>
        <v>22212.677287710107</v>
      </c>
      <c r="N14">
        <f>M14/M15</f>
        <v>6.5070594886730273</v>
      </c>
      <c r="O14">
        <f>_xlfn.F.DIST.RT(N14,K14,K15)</f>
        <v>3.940221866297295E-3</v>
      </c>
      <c r="P14" s="11" t="str">
        <f>IF(O14&lt;O12,"yes","no")</f>
        <v>yes</v>
      </c>
      <c r="S14" t="s">
        <v>70</v>
      </c>
      <c r="T14">
        <v>0.05</v>
      </c>
      <c r="Y14" t="s">
        <v>80</v>
      </c>
      <c r="Z14" s="16">
        <f>[1]!BPagStat(F2:H22,E2:E22,FALSE)</f>
        <v>0.92516910044885614</v>
      </c>
      <c r="AB14" t="s">
        <v>80</v>
      </c>
      <c r="AC14" s="16">
        <f>[1]!WhiteStat(F2:H22,E2:E22,FALSE)</f>
        <v>1.0849013924972379</v>
      </c>
      <c r="AE14">
        <f t="shared" si="14"/>
        <v>9</v>
      </c>
      <c r="AF14">
        <f t="shared" si="2"/>
        <v>31670</v>
      </c>
      <c r="AG14">
        <f t="shared" si="3"/>
        <v>9.9</v>
      </c>
      <c r="AH14">
        <f t="shared" si="4"/>
        <v>3.9</v>
      </c>
      <c r="AI14">
        <f t="shared" si="5"/>
        <v>72.589285714285722</v>
      </c>
      <c r="AJ14">
        <v>83.255200778100573</v>
      </c>
      <c r="AK14">
        <f t="shared" si="6"/>
        <v>-10.66591506381485</v>
      </c>
      <c r="AL14">
        <v>0.11709528169388692</v>
      </c>
      <c r="AM14">
        <f t="shared" si="7"/>
        <v>-0.18255345464388906</v>
      </c>
      <c r="AN14">
        <f t="shared" si="8"/>
        <v>3618.9261431098917</v>
      </c>
      <c r="AO14">
        <f t="shared" si="9"/>
        <v>-0.18869106778603906</v>
      </c>
      <c r="AP14">
        <f t="shared" si="10"/>
        <v>0.85256920203887088</v>
      </c>
      <c r="AQ14">
        <f t="shared" si="11"/>
        <v>1.2515028439341088E-3</v>
      </c>
      <c r="AR14">
        <f t="shared" si="12"/>
        <v>-6.8716988925178968E-2</v>
      </c>
      <c r="AS14" t="str">
        <f t="shared" si="13"/>
        <v/>
      </c>
    </row>
    <row r="15" spans="1:47" x14ac:dyDescent="0.3">
      <c r="A15" s="3">
        <v>14</v>
      </c>
      <c r="B15" s="3" t="s">
        <v>23</v>
      </c>
      <c r="C15" s="3">
        <v>38</v>
      </c>
      <c r="D15" s="3">
        <v>2847</v>
      </c>
      <c r="E15" s="5">
        <f t="shared" si="0"/>
        <v>74.921052631578945</v>
      </c>
      <c r="F15" s="6">
        <v>13850</v>
      </c>
      <c r="G15" s="3">
        <v>14.4</v>
      </c>
      <c r="H15" s="3">
        <v>5.6</v>
      </c>
      <c r="J15" t="s">
        <v>59</v>
      </c>
      <c r="K15">
        <f>K16-K14</f>
        <v>17</v>
      </c>
      <c r="L15">
        <f>L16-L14</f>
        <v>58031.66769082025</v>
      </c>
      <c r="M15">
        <f>L15/K15</f>
        <v>3413.6275112247204</v>
      </c>
      <c r="S15" s="10" t="s">
        <v>71</v>
      </c>
      <c r="T15" s="14" t="str">
        <f>IF(T13&lt;T14,"no","yes")</f>
        <v>no</v>
      </c>
      <c r="Y15" t="s">
        <v>81</v>
      </c>
      <c r="Z15" s="17">
        <f>Z6</f>
        <v>3</v>
      </c>
      <c r="AB15" t="s">
        <v>81</v>
      </c>
      <c r="AC15" s="17">
        <v>2</v>
      </c>
      <c r="AE15">
        <f t="shared" si="14"/>
        <v>10</v>
      </c>
      <c r="AF15">
        <f t="shared" si="2"/>
        <v>15410</v>
      </c>
      <c r="AG15">
        <f t="shared" si="3"/>
        <v>7.3</v>
      </c>
      <c r="AH15">
        <f t="shared" si="4"/>
        <v>5.0999999999999996</v>
      </c>
      <c r="AI15">
        <f t="shared" si="5"/>
        <v>44.9</v>
      </c>
      <c r="AJ15">
        <v>60.630880123272931</v>
      </c>
      <c r="AK15">
        <f t="shared" si="6"/>
        <v>-15.730880123272932</v>
      </c>
      <c r="AL15">
        <v>0.18856568190583028</v>
      </c>
      <c r="AM15">
        <f t="shared" si="7"/>
        <v>-0.26924333204517736</v>
      </c>
      <c r="AN15">
        <f t="shared" si="8"/>
        <v>3607.9188008966544</v>
      </c>
      <c r="AO15">
        <f t="shared" si="9"/>
        <v>-0.29073542921321305</v>
      </c>
      <c r="AP15">
        <f t="shared" si="10"/>
        <v>0.77477071877559878</v>
      </c>
      <c r="AQ15">
        <f t="shared" si="11"/>
        <v>5.1902208135267821E-3</v>
      </c>
      <c r="AR15">
        <f t="shared" si="12"/>
        <v>-0.14015306529750143</v>
      </c>
      <c r="AS15" t="str">
        <f t="shared" si="13"/>
        <v/>
      </c>
    </row>
    <row r="16" spans="1:47" x14ac:dyDescent="0.3">
      <c r="A16" s="3">
        <v>15</v>
      </c>
      <c r="B16" s="3" t="s">
        <v>24</v>
      </c>
      <c r="C16" s="3">
        <v>10.7</v>
      </c>
      <c r="D16" s="3">
        <v>728.6</v>
      </c>
      <c r="E16" s="5">
        <f t="shared" si="0"/>
        <v>68.093457943925245</v>
      </c>
      <c r="F16" s="6">
        <v>22920</v>
      </c>
      <c r="G16" s="3">
        <v>6.3</v>
      </c>
      <c r="H16" s="3">
        <v>5.9</v>
      </c>
      <c r="J16" s="10" t="s">
        <v>60</v>
      </c>
      <c r="K16" s="10">
        <f>K10-1</f>
        <v>20</v>
      </c>
      <c r="L16" s="10">
        <f>DEVSQ(E2:E22)</f>
        <v>124669.69955395057</v>
      </c>
      <c r="M16" s="10"/>
      <c r="N16" s="10"/>
      <c r="O16" s="10"/>
      <c r="P16" s="10"/>
      <c r="Y16" t="s">
        <v>82</v>
      </c>
      <c r="Z16" s="17">
        <f>Z5-Z6-1</f>
        <v>17</v>
      </c>
      <c r="AB16" t="s">
        <v>82</v>
      </c>
      <c r="AC16" s="17">
        <f>Z5-3</f>
        <v>18</v>
      </c>
      <c r="AE16">
        <f t="shared" si="14"/>
        <v>11</v>
      </c>
      <c r="AF16">
        <f t="shared" si="2"/>
        <v>60460</v>
      </c>
      <c r="AG16">
        <f t="shared" si="3"/>
        <v>6.3</v>
      </c>
      <c r="AH16">
        <f t="shared" si="4"/>
        <v>4.3</v>
      </c>
      <c r="AI16">
        <f t="shared" si="5"/>
        <v>131.11363636363635</v>
      </c>
      <c r="AJ16">
        <v>142.78511588245055</v>
      </c>
      <c r="AK16">
        <f t="shared" si="6"/>
        <v>-11.671479518814209</v>
      </c>
      <c r="AL16">
        <v>0.28466998086231515</v>
      </c>
      <c r="AM16">
        <f t="shared" si="7"/>
        <v>-0.19976428597237103</v>
      </c>
      <c r="AN16">
        <f t="shared" si="8"/>
        <v>3615.0770814484922</v>
      </c>
      <c r="AO16">
        <f t="shared" si="9"/>
        <v>-0.22951649651972716</v>
      </c>
      <c r="AP16">
        <f t="shared" si="10"/>
        <v>0.82120621989995746</v>
      </c>
      <c r="AQ16">
        <f t="shared" si="11"/>
        <v>5.5501468459607803E-3</v>
      </c>
      <c r="AR16">
        <f t="shared" si="12"/>
        <v>-0.14478764911899114</v>
      </c>
      <c r="AS16" t="str">
        <f t="shared" si="13"/>
        <v/>
      </c>
    </row>
    <row r="17" spans="1:45" ht="15" thickBot="1" x14ac:dyDescent="0.35">
      <c r="A17" s="3">
        <v>16</v>
      </c>
      <c r="B17" s="3" t="s">
        <v>25</v>
      </c>
      <c r="C17" s="3">
        <v>21.3</v>
      </c>
      <c r="D17" s="3">
        <v>687.2</v>
      </c>
      <c r="E17" s="5">
        <f t="shared" si="0"/>
        <v>32.262910798122064</v>
      </c>
      <c r="F17" s="6">
        <v>9300</v>
      </c>
      <c r="G17" s="3">
        <v>7</v>
      </c>
      <c r="H17" s="3">
        <v>3.3</v>
      </c>
      <c r="Y17" t="s">
        <v>56</v>
      </c>
      <c r="Z17" s="19">
        <f>_xlfn.F.DIST.RT(Z14,Z15,Z16)</f>
        <v>0.44986448776355581</v>
      </c>
      <c r="AB17" t="s">
        <v>56</v>
      </c>
      <c r="AC17" s="19">
        <f>_xlfn.F.DIST.RT(AC14,AC15,AC16)</f>
        <v>0.35903573773632386</v>
      </c>
      <c r="AE17">
        <f t="shared" si="14"/>
        <v>12</v>
      </c>
      <c r="AF17">
        <f t="shared" si="2"/>
        <v>38490</v>
      </c>
      <c r="AG17">
        <f t="shared" si="3"/>
        <v>9.3000000000000007</v>
      </c>
      <c r="AH17">
        <f t="shared" si="4"/>
        <v>5</v>
      </c>
      <c r="AI17">
        <f t="shared" si="5"/>
        <v>65.504244482173178</v>
      </c>
      <c r="AJ17">
        <v>119.95884900546693</v>
      </c>
      <c r="AK17">
        <f t="shared" si="6"/>
        <v>-54.454604523293753</v>
      </c>
      <c r="AL17">
        <v>6.2516312732929347E-2</v>
      </c>
      <c r="AM17">
        <f t="shared" si="7"/>
        <v>-0.93202281449993984</v>
      </c>
      <c r="AN17">
        <f t="shared" si="8"/>
        <v>3429.2888605621506</v>
      </c>
      <c r="AO17">
        <f t="shared" si="9"/>
        <v>-0.96039682181511687</v>
      </c>
      <c r="AP17">
        <f t="shared" si="10"/>
        <v>0.35031732843797625</v>
      </c>
      <c r="AQ17">
        <f t="shared" si="11"/>
        <v>1.544752872276358E-2</v>
      </c>
      <c r="AR17">
        <f t="shared" si="12"/>
        <v>-0.24800790969694947</v>
      </c>
      <c r="AS17" t="str">
        <f t="shared" si="13"/>
        <v/>
      </c>
    </row>
    <row r="18" spans="1:45" ht="15" thickTop="1" x14ac:dyDescent="0.3">
      <c r="A18" s="3">
        <v>17</v>
      </c>
      <c r="B18" s="3" t="s">
        <v>26</v>
      </c>
      <c r="C18" s="3">
        <v>44.8</v>
      </c>
      <c r="D18" s="3">
        <v>4745.8</v>
      </c>
      <c r="E18" s="5">
        <f t="shared" si="0"/>
        <v>105.93303571428572</v>
      </c>
      <c r="F18" s="6">
        <v>35220</v>
      </c>
      <c r="G18" s="3">
        <v>14.2</v>
      </c>
      <c r="H18" s="3">
        <v>4.4000000000000004</v>
      </c>
      <c r="J18" s="12"/>
      <c r="K18" s="12" t="s">
        <v>61</v>
      </c>
      <c r="L18" s="12" t="s">
        <v>62</v>
      </c>
      <c r="M18" s="12" t="s">
        <v>63</v>
      </c>
      <c r="N18" s="12" t="s">
        <v>56</v>
      </c>
      <c r="O18" s="12" t="s">
        <v>64</v>
      </c>
      <c r="P18" s="12" t="s">
        <v>65</v>
      </c>
      <c r="Q18" s="12" t="s">
        <v>66</v>
      </c>
      <c r="AE18">
        <f t="shared" si="14"/>
        <v>13</v>
      </c>
      <c r="AF18">
        <f t="shared" si="2"/>
        <v>52960</v>
      </c>
      <c r="AG18">
        <f t="shared" si="3"/>
        <v>4.4000000000000004</v>
      </c>
      <c r="AH18">
        <f t="shared" si="4"/>
        <v>5</v>
      </c>
      <c r="AI18">
        <f t="shared" si="5"/>
        <v>131.42424242424244</v>
      </c>
      <c r="AJ18">
        <v>132.53106910883719</v>
      </c>
      <c r="AK18">
        <f t="shared" si="6"/>
        <v>-1.1068266845947505</v>
      </c>
      <c r="AL18">
        <v>0.15635548560544335</v>
      </c>
      <c r="AM18">
        <f t="shared" si="7"/>
        <v>-1.894399437421972E-2</v>
      </c>
      <c r="AN18">
        <f t="shared" si="8"/>
        <v>3626.8884737513363</v>
      </c>
      <c r="AO18">
        <f t="shared" si="9"/>
        <v>-2.0009340602217176E-2</v>
      </c>
      <c r="AP18">
        <f t="shared" si="10"/>
        <v>0.9842688982804636</v>
      </c>
      <c r="AQ18">
        <f t="shared" si="11"/>
        <v>1.9709575452803759E-5</v>
      </c>
      <c r="AR18">
        <f t="shared" si="12"/>
        <v>-8.6140937653254937E-3</v>
      </c>
      <c r="AS18" t="str">
        <f t="shared" si="13"/>
        <v/>
      </c>
    </row>
    <row r="19" spans="1:45" x14ac:dyDescent="0.3">
      <c r="A19" s="3">
        <v>18</v>
      </c>
      <c r="B19" s="3" t="s">
        <v>27</v>
      </c>
      <c r="C19" s="3">
        <v>7.5</v>
      </c>
      <c r="D19" s="3">
        <v>1130.4000000000001</v>
      </c>
      <c r="E19" s="5">
        <f t="shared" si="0"/>
        <v>150.72</v>
      </c>
      <c r="F19" s="6">
        <v>64430</v>
      </c>
      <c r="G19" s="3">
        <v>3.6</v>
      </c>
      <c r="H19" s="3">
        <v>5.6</v>
      </c>
      <c r="J19" t="s">
        <v>67</v>
      </c>
      <c r="K19">
        <f t="array" ref="K19:L22">[1]!RegCoeff(F2:H22,E2:E22)</f>
        <v>-114.83515026466341</v>
      </c>
      <c r="L19">
        <v>78.289964490278209</v>
      </c>
      <c r="M19">
        <f>K19/L19</f>
        <v>-1.4667927238480645</v>
      </c>
      <c r="N19">
        <f>_xlfn.T.DIST.2T(ABS(M19),$K$15)</f>
        <v>0.16068774929898919</v>
      </c>
      <c r="O19">
        <f>K19-_xlfn.T.INV.2T(O$12,$K$15)*L19</f>
        <v>-280.01253693426963</v>
      </c>
      <c r="P19">
        <f>K19+_xlfn.T.INV.2T(O$12,$K$15)*L19</f>
        <v>50.342236404942781</v>
      </c>
      <c r="AE19">
        <f t="shared" si="14"/>
        <v>14</v>
      </c>
      <c r="AF19">
        <f t="shared" si="2"/>
        <v>13850</v>
      </c>
      <c r="AG19">
        <f t="shared" si="3"/>
        <v>14.4</v>
      </c>
      <c r="AH19">
        <f t="shared" si="4"/>
        <v>5.6</v>
      </c>
      <c r="AI19">
        <f t="shared" si="5"/>
        <v>74.921052631578945</v>
      </c>
      <c r="AJ19">
        <v>97.716423254509209</v>
      </c>
      <c r="AK19">
        <f t="shared" si="6"/>
        <v>-22.795370622930264</v>
      </c>
      <c r="AL19">
        <v>0.34629644870401688</v>
      </c>
      <c r="AM19">
        <f t="shared" si="7"/>
        <v>-0.39015627184409185</v>
      </c>
      <c r="AN19">
        <f t="shared" si="8"/>
        <v>3577.2979836485993</v>
      </c>
      <c r="AO19">
        <f t="shared" si="9"/>
        <v>-0.47138816717337201</v>
      </c>
      <c r="AP19">
        <f t="shared" si="10"/>
        <v>0.64335651092590684</v>
      </c>
      <c r="AQ19">
        <f t="shared" si="11"/>
        <v>3.0839231228559905E-2</v>
      </c>
      <c r="AR19">
        <f t="shared" si="12"/>
        <v>-0.34309332864079345</v>
      </c>
      <c r="AS19" t="str">
        <f t="shared" si="13"/>
        <v/>
      </c>
    </row>
    <row r="20" spans="1:45" x14ac:dyDescent="0.3">
      <c r="A20" s="3">
        <v>19</v>
      </c>
      <c r="B20" s="3" t="s">
        <v>28</v>
      </c>
      <c r="C20" s="3">
        <v>9.1999999999999993</v>
      </c>
      <c r="D20" s="3">
        <v>2113.4</v>
      </c>
      <c r="E20" s="5">
        <f t="shared" si="0"/>
        <v>229.71739130434784</v>
      </c>
      <c r="F20" s="6">
        <v>51950</v>
      </c>
      <c r="G20" s="3">
        <v>6.3</v>
      </c>
      <c r="H20" s="3">
        <v>7.6</v>
      </c>
      <c r="J20" t="str">
        <f t="array" ref="J20:J22">TRANSPOSE(F1:H1)</f>
        <v>GNP per head</v>
      </c>
      <c r="K20">
        <v>2.2977118529511121E-3</v>
      </c>
      <c r="L20">
        <v>9.5192960980377585E-4</v>
      </c>
      <c r="M20">
        <f t="shared" ref="M20:M22" si="15">K20/L20</f>
        <v>2.4137413410480493</v>
      </c>
      <c r="N20">
        <f t="shared" ref="N20:N22" si="16">_xlfn.T.DIST.2T(ABS(M20),$K$15)</f>
        <v>2.7354838307583666E-2</v>
      </c>
      <c r="O20">
        <f t="shared" ref="O20:O22" si="17">K20-_xlfn.T.INV.2T(O$12,$K$15)*L20</f>
        <v>2.8931593318631474E-4</v>
      </c>
      <c r="P20">
        <f t="shared" ref="P20:P22" si="18">K20+_xlfn.T.INV.2T(O$12,$K$15)*L20</f>
        <v>4.3061077727159095E-3</v>
      </c>
      <c r="Q20">
        <f>[1]!VIF(F2:H22,1)</f>
        <v>1.847526150646722</v>
      </c>
      <c r="AE20">
        <f t="shared" si="14"/>
        <v>15</v>
      </c>
      <c r="AF20">
        <f t="shared" si="2"/>
        <v>22920</v>
      </c>
      <c r="AG20">
        <f t="shared" si="3"/>
        <v>6.3</v>
      </c>
      <c r="AH20">
        <f t="shared" si="4"/>
        <v>5.9</v>
      </c>
      <c r="AI20">
        <f t="shared" si="5"/>
        <v>68.093457943925245</v>
      </c>
      <c r="AJ20">
        <v>90.805330208743555</v>
      </c>
      <c r="AK20">
        <f t="shared" si="6"/>
        <v>-22.711872264818311</v>
      </c>
      <c r="AL20">
        <v>0.21157550924623164</v>
      </c>
      <c r="AM20">
        <f t="shared" si="7"/>
        <v>-0.38872714798184183</v>
      </c>
      <c r="AN20">
        <f t="shared" si="8"/>
        <v>3586.0884139412119</v>
      </c>
      <c r="AO20">
        <f t="shared" si="9"/>
        <v>-0.42713227363655398</v>
      </c>
      <c r="AP20">
        <f t="shared" si="10"/>
        <v>0.67464374193711785</v>
      </c>
      <c r="AQ20">
        <f t="shared" si="11"/>
        <v>1.2858044812696737E-2</v>
      </c>
      <c r="AR20">
        <f t="shared" si="12"/>
        <v>-0.22126617675507596</v>
      </c>
      <c r="AS20" t="str">
        <f t="shared" si="13"/>
        <v/>
      </c>
    </row>
    <row r="21" spans="1:45" x14ac:dyDescent="0.3">
      <c r="A21" s="3">
        <v>20</v>
      </c>
      <c r="B21" s="3" t="s">
        <v>29</v>
      </c>
      <c r="C21" s="3">
        <v>75.8</v>
      </c>
      <c r="D21" s="3">
        <v>2879</v>
      </c>
      <c r="E21" s="5">
        <f t="shared" si="0"/>
        <v>37.981530343007918</v>
      </c>
      <c r="F21" s="6">
        <v>9940</v>
      </c>
      <c r="G21" s="3">
        <v>8.6</v>
      </c>
      <c r="H21" s="3">
        <v>3.7</v>
      </c>
      <c r="J21" t="str">
        <v>Unemployment rate</v>
      </c>
      <c r="K21">
        <v>4.2195245732310891</v>
      </c>
      <c r="L21">
        <v>4.840005896430104</v>
      </c>
      <c r="M21">
        <f t="shared" si="15"/>
        <v>0.87180153568476637</v>
      </c>
      <c r="N21">
        <f t="shared" si="16"/>
        <v>0.39546265697215832</v>
      </c>
      <c r="O21">
        <f t="shared" si="17"/>
        <v>-5.9919952638622522</v>
      </c>
      <c r="P21">
        <f t="shared" si="18"/>
        <v>14.43104441032443</v>
      </c>
      <c r="Q21">
        <f>[1]!VIF(F2:H22,2)</f>
        <v>1.3385785808521062</v>
      </c>
      <c r="AE21">
        <f t="shared" si="14"/>
        <v>16</v>
      </c>
      <c r="AF21">
        <f t="shared" si="2"/>
        <v>9300</v>
      </c>
      <c r="AG21">
        <f t="shared" si="3"/>
        <v>7</v>
      </c>
      <c r="AH21">
        <f t="shared" si="4"/>
        <v>3.3</v>
      </c>
      <c r="AI21">
        <f t="shared" si="5"/>
        <v>32.262910798122064</v>
      </c>
      <c r="AJ21">
        <v>6.7651463829348586</v>
      </c>
      <c r="AK21">
        <f t="shared" si="6"/>
        <v>25.497764415187206</v>
      </c>
      <c r="AL21">
        <v>0.26904360336744948</v>
      </c>
      <c r="AM21">
        <f t="shared" si="7"/>
        <v>0.43640934245576202</v>
      </c>
      <c r="AN21">
        <f t="shared" si="8"/>
        <v>3571.3897323519186</v>
      </c>
      <c r="AO21">
        <f t="shared" si="9"/>
        <v>0.49904274449018626</v>
      </c>
      <c r="AP21">
        <f t="shared" si="10"/>
        <v>0.62414533996645249</v>
      </c>
      <c r="AQ21">
        <f t="shared" si="11"/>
        <v>2.397550789842922E-2</v>
      </c>
      <c r="AR21">
        <f t="shared" si="12"/>
        <v>0.30276338057849739</v>
      </c>
      <c r="AS21" t="str">
        <f t="shared" si="13"/>
        <v/>
      </c>
    </row>
    <row r="22" spans="1:45" x14ac:dyDescent="0.3">
      <c r="A22" s="3">
        <v>21</v>
      </c>
      <c r="B22" s="3" t="s">
        <v>30</v>
      </c>
      <c r="C22" s="3">
        <v>61</v>
      </c>
      <c r="D22" s="3">
        <v>9887.2000000000007</v>
      </c>
      <c r="E22" s="5">
        <f t="shared" si="0"/>
        <v>162.08524590163935</v>
      </c>
      <c r="F22" s="6">
        <v>43540</v>
      </c>
      <c r="G22" s="3">
        <v>5.9</v>
      </c>
      <c r="H22" s="3">
        <v>4.8</v>
      </c>
      <c r="J22" s="10" t="str">
        <v>%age spend on education</v>
      </c>
      <c r="K22" s="10">
        <v>21.42269830379858</v>
      </c>
      <c r="L22" s="10">
        <v>12.736119574983839</v>
      </c>
      <c r="M22" s="10">
        <f t="shared" si="15"/>
        <v>1.6820428057127255</v>
      </c>
      <c r="N22" s="10">
        <f t="shared" si="16"/>
        <v>0.11083654309113829</v>
      </c>
      <c r="O22" s="10">
        <f t="shared" si="17"/>
        <v>-5.4481651766501678</v>
      </c>
      <c r="P22" s="10">
        <f t="shared" si="18"/>
        <v>48.293561784247331</v>
      </c>
      <c r="Q22" s="10">
        <f>[1]!VIF(F2:H22,3)</f>
        <v>1.5325685412511052</v>
      </c>
      <c r="AE22">
        <f t="shared" si="14"/>
        <v>17</v>
      </c>
      <c r="AF22">
        <f t="shared" si="2"/>
        <v>35220</v>
      </c>
      <c r="AG22">
        <f t="shared" si="3"/>
        <v>14.2</v>
      </c>
      <c r="AH22">
        <f t="shared" si="4"/>
        <v>4.4000000000000004</v>
      </c>
      <c r="AI22">
        <f t="shared" si="5"/>
        <v>105.93303571428572</v>
      </c>
      <c r="AJ22">
        <v>120.26738267286999</v>
      </c>
      <c r="AK22">
        <f t="shared" si="6"/>
        <v>-14.334346958584263</v>
      </c>
      <c r="AL22">
        <v>0.31119770567970312</v>
      </c>
      <c r="AM22">
        <f t="shared" si="7"/>
        <v>-0.24534083964641498</v>
      </c>
      <c r="AN22">
        <f t="shared" si="8"/>
        <v>3608.3351378408302</v>
      </c>
      <c r="AO22">
        <f t="shared" si="9"/>
        <v>-0.28752604196677178</v>
      </c>
      <c r="AP22">
        <f t="shared" si="10"/>
        <v>0.77718509818138815</v>
      </c>
      <c r="AQ22">
        <f t="shared" si="11"/>
        <v>9.8702219705735089E-3</v>
      </c>
      <c r="AR22">
        <f t="shared" si="12"/>
        <v>-0.19326271961404426</v>
      </c>
      <c r="AS22" t="str">
        <f t="shared" si="13"/>
        <v/>
      </c>
    </row>
    <row r="23" spans="1:45" x14ac:dyDescent="0.3">
      <c r="AE23">
        <f t="shared" si="14"/>
        <v>18</v>
      </c>
      <c r="AF23">
        <f t="shared" si="2"/>
        <v>64430</v>
      </c>
      <c r="AG23">
        <f t="shared" si="3"/>
        <v>3.6</v>
      </c>
      <c r="AH23">
        <f t="shared" si="4"/>
        <v>5.6</v>
      </c>
      <c r="AI23">
        <f t="shared" si="5"/>
        <v>150.72</v>
      </c>
      <c r="AJ23">
        <v>168.36382338588066</v>
      </c>
      <c r="AK23">
        <f t="shared" si="6"/>
        <v>-17.643823385880665</v>
      </c>
      <c r="AL23">
        <v>0.21238435829538996</v>
      </c>
      <c r="AM23">
        <f t="shared" si="7"/>
        <v>-0.30198448918335274</v>
      </c>
      <c r="AN23">
        <f t="shared" si="8"/>
        <v>3602.2761515990119</v>
      </c>
      <c r="AO23">
        <f t="shared" si="9"/>
        <v>-0.33124324778327496</v>
      </c>
      <c r="AP23">
        <f t="shared" si="10"/>
        <v>0.74450893206817026</v>
      </c>
      <c r="AQ23">
        <f t="shared" si="11"/>
        <v>7.8055434600552091E-3</v>
      </c>
      <c r="AR23">
        <f t="shared" si="12"/>
        <v>-0.17200898464678607</v>
      </c>
      <c r="AS23" t="str">
        <f t="shared" si="13"/>
        <v/>
      </c>
    </row>
    <row r="24" spans="1:45" x14ac:dyDescent="0.3">
      <c r="AE24">
        <f t="shared" si="14"/>
        <v>19</v>
      </c>
      <c r="AF24">
        <f t="shared" si="2"/>
        <v>51950</v>
      </c>
      <c r="AG24">
        <f t="shared" si="3"/>
        <v>6.3</v>
      </c>
      <c r="AH24">
        <f t="shared" si="4"/>
        <v>7.6</v>
      </c>
      <c r="AI24">
        <f t="shared" si="5"/>
        <v>229.71739130434784</v>
      </c>
      <c r="AJ24">
        <v>193.92649241637196</v>
      </c>
      <c r="AK24">
        <f t="shared" si="6"/>
        <v>35.790898887975885</v>
      </c>
      <c r="AL24">
        <v>0.23804897971950334</v>
      </c>
      <c r="AM24">
        <f t="shared" si="7"/>
        <v>0.6125824364546566</v>
      </c>
      <c r="AN24">
        <f t="shared" si="8"/>
        <v>3521.9045269622256</v>
      </c>
      <c r="AO24">
        <f t="shared" si="9"/>
        <v>0.690908107509002</v>
      </c>
      <c r="AP24">
        <f t="shared" si="10"/>
        <v>0.49894962043215096</v>
      </c>
      <c r="AQ24">
        <f t="shared" si="11"/>
        <v>3.8466378881334029E-2</v>
      </c>
      <c r="AR24">
        <f t="shared" si="12"/>
        <v>0.38618012939004071</v>
      </c>
      <c r="AS24" t="str">
        <f t="shared" si="13"/>
        <v/>
      </c>
    </row>
    <row r="25" spans="1:45" x14ac:dyDescent="0.3">
      <c r="AE25">
        <f t="shared" si="14"/>
        <v>20</v>
      </c>
      <c r="AF25">
        <f t="shared" si="2"/>
        <v>9940</v>
      </c>
      <c r="AG25">
        <f t="shared" si="3"/>
        <v>8.6</v>
      </c>
      <c r="AH25">
        <f t="shared" si="4"/>
        <v>3.7</v>
      </c>
      <c r="AI25">
        <f t="shared" si="5"/>
        <v>37.981530343007918</v>
      </c>
      <c r="AJ25">
        <v>23.556000607512772</v>
      </c>
      <c r="AK25">
        <f t="shared" si="6"/>
        <v>14.425529735495147</v>
      </c>
      <c r="AL25">
        <v>0.18236725372736057</v>
      </c>
      <c r="AM25">
        <f t="shared" si="7"/>
        <v>0.2469014868885421</v>
      </c>
      <c r="AN25">
        <f t="shared" si="8"/>
        <v>3611.0723405490708</v>
      </c>
      <c r="AO25">
        <f t="shared" si="9"/>
        <v>0.2654816680003857</v>
      </c>
      <c r="AP25">
        <f t="shared" si="10"/>
        <v>0.79383100076060109</v>
      </c>
      <c r="AQ25">
        <f t="shared" si="11"/>
        <v>4.1573608705039525E-3</v>
      </c>
      <c r="AR25">
        <f t="shared" si="12"/>
        <v>0.12538016248720257</v>
      </c>
      <c r="AS25" t="str">
        <f t="shared" si="13"/>
        <v/>
      </c>
    </row>
    <row r="26" spans="1:45" x14ac:dyDescent="0.3">
      <c r="AE26" s="10">
        <f t="shared" si="14"/>
        <v>21</v>
      </c>
      <c r="AF26" s="10">
        <f t="shared" si="2"/>
        <v>43540</v>
      </c>
      <c r="AG26" s="10">
        <f t="shared" si="3"/>
        <v>5.9</v>
      </c>
      <c r="AH26" s="10">
        <f t="shared" si="4"/>
        <v>4.8</v>
      </c>
      <c r="AI26" s="10">
        <f t="shared" si="5"/>
        <v>162.08524590163935</v>
      </c>
      <c r="AJ26" s="10">
        <v>112.93137065312462</v>
      </c>
      <c r="AK26" s="10">
        <f t="shared" si="6"/>
        <v>49.153875248514737</v>
      </c>
      <c r="AL26" s="10">
        <v>9.3175268493024987E-2</v>
      </c>
      <c r="AM26" s="10">
        <f t="shared" si="7"/>
        <v>0.84129769289027989</v>
      </c>
      <c r="AN26" s="10">
        <f t="shared" si="8"/>
        <v>3460.4570125451869</v>
      </c>
      <c r="AO26" s="10">
        <f t="shared" si="9"/>
        <v>0.87746409711586604</v>
      </c>
      <c r="AP26" s="10">
        <f t="shared" si="10"/>
        <v>0.39246675834949885</v>
      </c>
      <c r="AQ26" s="10">
        <f t="shared" si="11"/>
        <v>2.0049029067527646E-2</v>
      </c>
      <c r="AR26" s="10">
        <f t="shared" si="12"/>
        <v>0.28126649682930732</v>
      </c>
      <c r="AS26" t="str">
        <f t="shared" si="13"/>
        <v/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C629-D5E9-42FE-A002-121CE0DF9DC0}">
  <dimension ref="A1:AT26"/>
  <sheetViews>
    <sheetView workbookViewId="0">
      <selection sqref="A1:H21"/>
    </sheetView>
  </sheetViews>
  <sheetFormatPr defaultRowHeight="14.4" x14ac:dyDescent="0.3"/>
  <sheetData>
    <row r="1" spans="1:46" ht="57.6" x14ac:dyDescent="0.3">
      <c r="A1" s="3"/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46" x14ac:dyDescent="0.3">
      <c r="A2" s="3">
        <v>1</v>
      </c>
      <c r="B2" s="3" t="s">
        <v>10</v>
      </c>
      <c r="C2" s="3">
        <v>8.4</v>
      </c>
      <c r="D2" s="3">
        <v>941.2</v>
      </c>
      <c r="E2" s="5">
        <f>D2/C2</f>
        <v>112.04761904761905</v>
      </c>
      <c r="F2" s="6">
        <v>49600</v>
      </c>
      <c r="G2" s="3">
        <v>4.2</v>
      </c>
      <c r="H2" s="3">
        <v>5.8</v>
      </c>
    </row>
    <row r="3" spans="1:46" x14ac:dyDescent="0.3">
      <c r="A3" s="3">
        <v>2</v>
      </c>
      <c r="B3" s="3" t="s">
        <v>11</v>
      </c>
      <c r="C3" s="3">
        <v>10.5</v>
      </c>
      <c r="D3" s="3">
        <v>1681.9</v>
      </c>
      <c r="E3" s="5">
        <f t="shared" ref="E3:E21" si="0">D3/C3</f>
        <v>160.18095238095239</v>
      </c>
      <c r="F3" s="6">
        <v>47090</v>
      </c>
      <c r="G3" s="3">
        <v>8.1</v>
      </c>
      <c r="H3" s="3">
        <v>5.9</v>
      </c>
    </row>
    <row r="4" spans="1:46" x14ac:dyDescent="0.3">
      <c r="A4" s="3">
        <v>3</v>
      </c>
      <c r="B4" s="3" t="s">
        <v>12</v>
      </c>
      <c r="C4" s="3">
        <v>7.6</v>
      </c>
      <c r="D4" s="3">
        <v>154</v>
      </c>
      <c r="E4" s="5">
        <f t="shared" si="0"/>
        <v>20.263157894736842</v>
      </c>
      <c r="F4" s="6">
        <v>6550</v>
      </c>
      <c r="G4" s="3">
        <v>13.5</v>
      </c>
      <c r="H4" s="3">
        <v>3.5</v>
      </c>
      <c r="I4" t="s">
        <v>40</v>
      </c>
      <c r="R4" t="s">
        <v>68</v>
      </c>
      <c r="U4" t="s">
        <v>74</v>
      </c>
      <c r="X4" t="s">
        <v>75</v>
      </c>
      <c r="AD4" t="s">
        <v>84</v>
      </c>
    </row>
    <row r="5" spans="1:46" ht="15" thickBot="1" x14ac:dyDescent="0.35">
      <c r="A5" s="3">
        <v>4</v>
      </c>
      <c r="B5" s="3" t="s">
        <v>13</v>
      </c>
      <c r="C5" s="3">
        <v>10.199999999999999</v>
      </c>
      <c r="D5" s="3">
        <v>1028.7</v>
      </c>
      <c r="E5" s="5">
        <f t="shared" si="0"/>
        <v>100.85294117647059</v>
      </c>
      <c r="F5" s="6">
        <v>20670</v>
      </c>
      <c r="G5" s="3">
        <v>6.6</v>
      </c>
      <c r="H5" s="3">
        <v>4.4000000000000004</v>
      </c>
    </row>
    <row r="6" spans="1:46" ht="15.6" thickTop="1" thickBot="1" x14ac:dyDescent="0.35">
      <c r="A6" s="3">
        <v>5</v>
      </c>
      <c r="B6" s="3" t="s">
        <v>14</v>
      </c>
      <c r="C6" s="3">
        <v>5.5</v>
      </c>
      <c r="D6" s="3">
        <v>935.4</v>
      </c>
      <c r="E6" s="5">
        <f t="shared" si="0"/>
        <v>170.07272727272726</v>
      </c>
      <c r="F6" s="6">
        <v>62120</v>
      </c>
      <c r="G6" s="3">
        <v>5.2</v>
      </c>
      <c r="H6" s="3">
        <v>8.4</v>
      </c>
      <c r="I6" s="9" t="s">
        <v>41</v>
      </c>
      <c r="J6" s="9"/>
      <c r="L6" s="9"/>
      <c r="M6" s="9"/>
      <c r="R6" s="13" t="s">
        <v>69</v>
      </c>
      <c r="S6" s="13">
        <f>[1]!SHAPIRO([1]!RegE(F2:H21,E2:E21))</f>
        <v>0.92152369819124857</v>
      </c>
      <c r="U6" t="s">
        <v>51</v>
      </c>
      <c r="V6" s="15">
        <v>0.05</v>
      </c>
      <c r="X6" t="s">
        <v>76</v>
      </c>
      <c r="Y6" s="16">
        <f>COUNT(E2:E21)</f>
        <v>20</v>
      </c>
      <c r="AD6" s="12" t="s">
        <v>85</v>
      </c>
      <c r="AE6" s="12" t="str">
        <f>F1</f>
        <v>GNP per head</v>
      </c>
      <c r="AF6" s="12" t="str">
        <f t="shared" ref="AF6:AG6" si="1">G1</f>
        <v>Unemployment rate</v>
      </c>
      <c r="AG6" s="12" t="str">
        <f t="shared" si="1"/>
        <v>%age spend on education</v>
      </c>
      <c r="AH6" s="12" t="str">
        <f>E1</f>
        <v>Sales/Capita</v>
      </c>
      <c r="AI6" s="12" t="s">
        <v>86</v>
      </c>
      <c r="AJ6" s="12" t="s">
        <v>59</v>
      </c>
      <c r="AK6" s="12" t="s">
        <v>87</v>
      </c>
      <c r="AL6" s="12" t="s">
        <v>88</v>
      </c>
      <c r="AM6" s="12" t="s">
        <v>89</v>
      </c>
      <c r="AN6" s="12" t="s">
        <v>90</v>
      </c>
      <c r="AO6" s="12" t="s">
        <v>91</v>
      </c>
      <c r="AP6" s="12" t="s">
        <v>84</v>
      </c>
      <c r="AQ6" s="12" t="s">
        <v>92</v>
      </c>
    </row>
    <row r="7" spans="1:46" ht="15" thickTop="1" x14ac:dyDescent="0.3">
      <c r="A7" s="3">
        <v>7</v>
      </c>
      <c r="B7" s="3" t="s">
        <v>16</v>
      </c>
      <c r="C7" s="3">
        <v>61.9</v>
      </c>
      <c r="D7" s="3">
        <v>5928.9</v>
      </c>
      <c r="E7" s="5">
        <f t="shared" si="0"/>
        <v>95.78190630048465</v>
      </c>
      <c r="F7" s="6">
        <v>44510</v>
      </c>
      <c r="G7" s="3">
        <v>10</v>
      </c>
      <c r="H7" s="3">
        <v>5.7</v>
      </c>
      <c r="I7" t="s">
        <v>42</v>
      </c>
      <c r="J7">
        <f>SQRT(J8)</f>
        <v>0.86080563650469499</v>
      </c>
      <c r="L7" t="s">
        <v>47</v>
      </c>
      <c r="M7">
        <f>J11*LN(K16/J11)+2*(J15+1)</f>
        <v>139.56312664123487</v>
      </c>
      <c r="R7" t="s">
        <v>56</v>
      </c>
      <c r="S7">
        <f>[1]!SWTEST([1]!RegE(F2:H21,E2:E21))</f>
        <v>0.10601056007541487</v>
      </c>
      <c r="X7" t="s">
        <v>77</v>
      </c>
      <c r="Y7" s="19">
        <f>COLUMNS(F2:H21)</f>
        <v>3</v>
      </c>
      <c r="AD7">
        <v>1</v>
      </c>
      <c r="AE7">
        <f t="shared" ref="AE7:AE26" si="2">F2</f>
        <v>49600</v>
      </c>
      <c r="AF7">
        <f t="shared" ref="AF7:AF26" si="3">G2</f>
        <v>4.2</v>
      </c>
      <c r="AG7">
        <f t="shared" ref="AG7:AG26" si="4">H2</f>
        <v>5.8</v>
      </c>
      <c r="AH7">
        <f t="shared" ref="AH7:AH26" si="5">E2</f>
        <v>112.04761904761905</v>
      </c>
      <c r="AI7">
        <f t="array" ref="AI7:AI26">TREND(E2:E21,F2:H21)</f>
        <v>137.14398960711219</v>
      </c>
      <c r="AJ7">
        <f>AH7-AI7</f>
        <v>-25.096370559493138</v>
      </c>
      <c r="AK7">
        <f t="array" ref="AK7:AK26">[1]!LEVERAGE(F2:H21)</f>
        <v>0.12645637951840288</v>
      </c>
      <c r="AL7">
        <f>AJ7/SQRT($AT$9)</f>
        <v>-0.83700376924009301</v>
      </c>
      <c r="AM7">
        <f>($AT$9-AJ7^2/((1-AK7)*$AT$8))*$AT$8/($AT$8-1)</f>
        <v>910.88260513736225</v>
      </c>
      <c r="AN7">
        <f>AJ7/SQRT(AM7*(1-AK7))</f>
        <v>-0.88968735043672642</v>
      </c>
      <c r="AO7">
        <f>_xlfn.T.DIST.2T(ABS(AN7),$AT$8)</f>
        <v>0.38681553143539449</v>
      </c>
      <c r="AP7">
        <f>(AJ7^2/$AT$9)*(AK7/(1-AK7)^2)/($AT$10+1)</f>
        <v>2.9024609608687853E-2</v>
      </c>
      <c r="AQ7">
        <f>AN7*SQRT(AK7/(1-AK7))</f>
        <v>-0.33850531294663794</v>
      </c>
      <c r="AR7" t="str">
        <f>IF(OR(AO7&lt;0.05,AP7&gt;=1,ABS(AQ7)&gt;=1),"*","")</f>
        <v/>
      </c>
      <c r="AS7" t="s">
        <v>93</v>
      </c>
      <c r="AT7" s="16">
        <f>DEVSQ(AJ7:AJ26)</f>
        <v>14384.242356681618</v>
      </c>
    </row>
    <row r="8" spans="1:46" x14ac:dyDescent="0.3">
      <c r="A8" s="3">
        <v>8</v>
      </c>
      <c r="B8" s="3" t="s">
        <v>17</v>
      </c>
      <c r="C8" s="3">
        <v>82.5</v>
      </c>
      <c r="D8" s="3">
        <v>6824.3</v>
      </c>
      <c r="E8" s="5">
        <f t="shared" si="0"/>
        <v>82.718787878787879</v>
      </c>
      <c r="F8" s="6">
        <v>44450</v>
      </c>
      <c r="G8" s="3">
        <v>9.1</v>
      </c>
      <c r="H8" s="3">
        <v>4.5999999999999996</v>
      </c>
      <c r="I8" t="s">
        <v>43</v>
      </c>
      <c r="J8">
        <f>K15/K17</f>
        <v>0.74098634383825301</v>
      </c>
      <c r="L8" t="s">
        <v>48</v>
      </c>
      <c r="M8">
        <f>M7+2*(J15+2)*(J15+3)/(J11-J15-3)</f>
        <v>143.84884092694915</v>
      </c>
      <c r="R8" t="s">
        <v>70</v>
      </c>
      <c r="S8">
        <v>0.05</v>
      </c>
      <c r="U8" t="str">
        <f t="array" ref="U8:V11">[1]!DURBIN(F2:H21,E2:E21,TRUE,V6)</f>
        <v>D-stat</v>
      </c>
      <c r="V8" s="16">
        <v>1.9173263408348198</v>
      </c>
      <c r="AD8">
        <f>AD7+1</f>
        <v>2</v>
      </c>
      <c r="AE8">
        <f t="shared" si="2"/>
        <v>47090</v>
      </c>
      <c r="AF8">
        <f t="shared" si="3"/>
        <v>8.1</v>
      </c>
      <c r="AG8">
        <f t="shared" si="4"/>
        <v>5.9</v>
      </c>
      <c r="AH8">
        <f t="shared" si="5"/>
        <v>160.18095238095239</v>
      </c>
      <c r="AI8">
        <v>132.39524700511649</v>
      </c>
      <c r="AJ8">
        <f t="shared" ref="AJ8:AJ26" si="6">AH8-AI8</f>
        <v>27.785705375835903</v>
      </c>
      <c r="AK8">
        <v>8.2840855244029857E-2</v>
      </c>
      <c r="AL8">
        <f t="shared" ref="AL8:AL26" si="7">AJ8/SQRT($AT$9)</f>
        <v>0.92669735153285338</v>
      </c>
      <c r="AM8">
        <f t="shared" ref="AM8:AM26" si="8">($AT$9-AJ8^2/((1-AK8)*$AT$8))*$AT$8/($AT$8-1)</f>
        <v>902.8308820485546</v>
      </c>
      <c r="AN8">
        <f t="shared" ref="AN8:AN26" si="9">AJ8/SQRT(AM8*(1-AK8))</f>
        <v>0.96559692272623165</v>
      </c>
      <c r="AO8">
        <f t="shared" ref="AO8:AO26" si="10">_xlfn.T.DIST.2T(ABS(AN8),$AT$8)</f>
        <v>0.34861506932533104</v>
      </c>
      <c r="AP8">
        <f t="shared" ref="AP8:AP26" si="11">(AJ8^2/$AT$9)*(AK8/(1-AK8)^2)/($AT$10+1)</f>
        <v>2.1143214943438113E-2</v>
      </c>
      <c r="AQ8">
        <f t="shared" ref="AQ8:AQ26" si="12">AN8*SQRT(AK8/(1-AK8))</f>
        <v>0.29019893189473556</v>
      </c>
      <c r="AR8" t="str">
        <f t="shared" ref="AR8:AR26" si="13">IF(OR(AO8&lt;0.05,AP8&gt;=1,ABS(AQ8)&gt;=1),"*","")</f>
        <v/>
      </c>
      <c r="AS8" t="s">
        <v>94</v>
      </c>
      <c r="AT8" s="17">
        <f>COUNT(E2:E21)-AT10-1</f>
        <v>16</v>
      </c>
    </row>
    <row r="9" spans="1:46" x14ac:dyDescent="0.3">
      <c r="A9" s="3">
        <v>9</v>
      </c>
      <c r="B9" s="3" t="s">
        <v>18</v>
      </c>
      <c r="C9" s="3">
        <v>11.2</v>
      </c>
      <c r="D9" s="3">
        <v>813</v>
      </c>
      <c r="E9" s="5">
        <f t="shared" si="0"/>
        <v>72.589285714285722</v>
      </c>
      <c r="F9" s="6">
        <v>31670</v>
      </c>
      <c r="G9" s="3">
        <v>9.9</v>
      </c>
      <c r="H9" s="3">
        <v>3.9</v>
      </c>
      <c r="I9" t="s">
        <v>44</v>
      </c>
      <c r="J9">
        <f>1-(1-J8)*(J11-1)/(J11-J15-1)</f>
        <v>0.69242128330792552</v>
      </c>
      <c r="L9" s="10" t="s">
        <v>49</v>
      </c>
      <c r="M9" s="10">
        <f>J11*LN(K16/J11)+(J15+1)*LN(J11)</f>
        <v>143.54605573545084</v>
      </c>
      <c r="R9" s="10" t="s">
        <v>71</v>
      </c>
      <c r="S9" s="14" t="str">
        <f>IF(S7&lt;S8,"no","yes")</f>
        <v>yes</v>
      </c>
      <c r="U9" t="str">
        <v>D-lower</v>
      </c>
      <c r="V9" s="17">
        <v>0.99755000000000005</v>
      </c>
      <c r="X9" t="s">
        <v>78</v>
      </c>
      <c r="AA9" t="s">
        <v>83</v>
      </c>
      <c r="AD9">
        <f t="shared" ref="AD9:AD26" si="14">AD8+1</f>
        <v>3</v>
      </c>
      <c r="AE9">
        <f t="shared" si="2"/>
        <v>6550</v>
      </c>
      <c r="AF9">
        <f t="shared" si="3"/>
        <v>13.5</v>
      </c>
      <c r="AG9">
        <f t="shared" si="4"/>
        <v>3.5</v>
      </c>
      <c r="AH9">
        <f t="shared" si="5"/>
        <v>20.263157894736842</v>
      </c>
      <c r="AI9">
        <v>24.955416019398783</v>
      </c>
      <c r="AJ9">
        <f t="shared" si="6"/>
        <v>-4.6922581246619401</v>
      </c>
      <c r="AK9">
        <v>0.24604241237139607</v>
      </c>
      <c r="AL9">
        <f t="shared" si="7"/>
        <v>-0.15649425191898406</v>
      </c>
      <c r="AM9">
        <f t="shared" si="8"/>
        <v>957.00267127243285</v>
      </c>
      <c r="AN9">
        <f t="shared" si="9"/>
        <v>-0.17468349070781947</v>
      </c>
      <c r="AO9">
        <f t="shared" si="10"/>
        <v>0.86351965057756852</v>
      </c>
      <c r="AP9">
        <f t="shared" si="11"/>
        <v>2.6500430773766996E-3</v>
      </c>
      <c r="AQ9">
        <f t="shared" si="12"/>
        <v>-9.9789165779947009E-2</v>
      </c>
      <c r="AR9" t="str">
        <f t="shared" si="13"/>
        <v/>
      </c>
      <c r="AS9" t="s">
        <v>95</v>
      </c>
      <c r="AT9" s="17">
        <f>AT7/AT8</f>
        <v>899.01514729260111</v>
      </c>
    </row>
    <row r="10" spans="1:46" x14ac:dyDescent="0.3">
      <c r="A10" s="3">
        <v>10</v>
      </c>
      <c r="B10" s="3" t="s">
        <v>19</v>
      </c>
      <c r="C10" s="3">
        <v>10</v>
      </c>
      <c r="D10" s="3">
        <v>449</v>
      </c>
      <c r="E10" s="5">
        <f t="shared" si="0"/>
        <v>44.9</v>
      </c>
      <c r="F10" s="6">
        <v>15410</v>
      </c>
      <c r="G10" s="3">
        <v>7.3</v>
      </c>
      <c r="H10" s="3">
        <v>5.0999999999999996</v>
      </c>
      <c r="I10" t="s">
        <v>45</v>
      </c>
      <c r="J10">
        <f>SQRT(L16)</f>
        <v>29.98358129531232</v>
      </c>
      <c r="U10" t="str">
        <v>D-upper</v>
      </c>
      <c r="V10" s="17">
        <v>1.6763399999999999</v>
      </c>
      <c r="AD10">
        <f t="shared" si="14"/>
        <v>4</v>
      </c>
      <c r="AE10">
        <f t="shared" si="2"/>
        <v>20670</v>
      </c>
      <c r="AF10">
        <f t="shared" si="3"/>
        <v>6.6</v>
      </c>
      <c r="AG10">
        <f t="shared" si="4"/>
        <v>4.4000000000000004</v>
      </c>
      <c r="AH10">
        <f t="shared" si="5"/>
        <v>100.85294117647059</v>
      </c>
      <c r="AI10">
        <v>66.001819208874466</v>
      </c>
      <c r="AJ10">
        <f t="shared" si="6"/>
        <v>34.851121967596129</v>
      </c>
      <c r="AK10">
        <v>0.14639421214384368</v>
      </c>
      <c r="AL10">
        <f t="shared" si="7"/>
        <v>1.1623402029378271</v>
      </c>
      <c r="AM10">
        <f t="shared" si="8"/>
        <v>864.08909784737409</v>
      </c>
      <c r="AN10">
        <f t="shared" si="9"/>
        <v>1.2832427684838501</v>
      </c>
      <c r="AO10">
        <f t="shared" si="10"/>
        <v>0.21768324101920838</v>
      </c>
      <c r="AP10">
        <f t="shared" si="11"/>
        <v>6.7860293230697824E-2</v>
      </c>
      <c r="AQ10">
        <f t="shared" si="12"/>
        <v>0.53142514944286134</v>
      </c>
      <c r="AR10" t="str">
        <f t="shared" si="13"/>
        <v/>
      </c>
      <c r="AS10" t="s">
        <v>96</v>
      </c>
      <c r="AT10" s="19">
        <f>COUNT(F2:H2)</f>
        <v>3</v>
      </c>
    </row>
    <row r="11" spans="1:46" x14ac:dyDescent="0.3">
      <c r="A11" s="3">
        <v>11</v>
      </c>
      <c r="B11" s="3" t="s">
        <v>20</v>
      </c>
      <c r="C11" s="3">
        <v>4.4000000000000004</v>
      </c>
      <c r="D11" s="3">
        <v>576.9</v>
      </c>
      <c r="E11" s="5">
        <f t="shared" si="0"/>
        <v>131.11363636363635</v>
      </c>
      <c r="F11" s="6">
        <v>60460</v>
      </c>
      <c r="G11" s="3">
        <v>6.3</v>
      </c>
      <c r="H11" s="3">
        <v>4.3</v>
      </c>
      <c r="I11" s="10" t="s">
        <v>46</v>
      </c>
      <c r="J11" s="10">
        <f>COUNT(E2:E21)</f>
        <v>20</v>
      </c>
      <c r="R11" t="s">
        <v>72</v>
      </c>
      <c r="U11" t="str">
        <v>sig</v>
      </c>
      <c r="V11" s="18" t="str">
        <v>no</v>
      </c>
      <c r="X11" t="s">
        <v>79</v>
      </c>
      <c r="Y11" s="16">
        <f>[1]!BPagStat(F2:H21,E2:E21)</f>
        <v>4.663733459725047</v>
      </c>
      <c r="AA11" t="s">
        <v>79</v>
      </c>
      <c r="AB11" s="16">
        <f>[1]!WhiteStat(F2:H21,E2:E21)</f>
        <v>3.0601041393284723</v>
      </c>
      <c r="AD11">
        <f t="shared" si="14"/>
        <v>5</v>
      </c>
      <c r="AE11">
        <f t="shared" si="2"/>
        <v>62120</v>
      </c>
      <c r="AF11">
        <f t="shared" si="3"/>
        <v>5.2</v>
      </c>
      <c r="AG11">
        <f t="shared" si="4"/>
        <v>8.4</v>
      </c>
      <c r="AH11">
        <f t="shared" si="5"/>
        <v>170.07272727272726</v>
      </c>
      <c r="AI11">
        <v>197.22177191750606</v>
      </c>
      <c r="AJ11">
        <f t="shared" si="6"/>
        <v>-27.149044644778797</v>
      </c>
      <c r="AK11">
        <v>0.39757006647622029</v>
      </c>
      <c r="AL11">
        <f t="shared" si="7"/>
        <v>-0.90546370619921068</v>
      </c>
      <c r="AM11">
        <f t="shared" si="8"/>
        <v>877.38308920849715</v>
      </c>
      <c r="AN11">
        <f t="shared" si="9"/>
        <v>-1.1808824015858621</v>
      </c>
      <c r="AO11">
        <f t="shared" si="10"/>
        <v>0.25490657360408842</v>
      </c>
      <c r="AP11">
        <f t="shared" si="11"/>
        <v>0.22453430100431024</v>
      </c>
      <c r="AQ11">
        <f t="shared" si="12"/>
        <v>-0.95931275349227596</v>
      </c>
      <c r="AR11" t="str">
        <f t="shared" si="13"/>
        <v/>
      </c>
    </row>
    <row r="12" spans="1:46" x14ac:dyDescent="0.3">
      <c r="A12" s="3">
        <v>12</v>
      </c>
      <c r="B12" s="3" t="s">
        <v>21</v>
      </c>
      <c r="C12" s="3">
        <v>58.9</v>
      </c>
      <c r="D12" s="3">
        <v>3858.2</v>
      </c>
      <c r="E12" s="5">
        <f t="shared" si="0"/>
        <v>65.504244482173178</v>
      </c>
      <c r="F12" s="6">
        <v>38490</v>
      </c>
      <c r="G12" s="3">
        <v>9.3000000000000007</v>
      </c>
      <c r="H12" s="3">
        <v>5</v>
      </c>
      <c r="X12" t="s">
        <v>52</v>
      </c>
      <c r="Y12" s="17">
        <f>Y7</f>
        <v>3</v>
      </c>
      <c r="AA12" t="s">
        <v>52</v>
      </c>
      <c r="AB12" s="17">
        <v>2</v>
      </c>
      <c r="AD12">
        <f t="shared" si="14"/>
        <v>6</v>
      </c>
      <c r="AE12">
        <f t="shared" si="2"/>
        <v>44510</v>
      </c>
      <c r="AF12">
        <f t="shared" si="3"/>
        <v>10</v>
      </c>
      <c r="AG12">
        <f t="shared" si="4"/>
        <v>5.7</v>
      </c>
      <c r="AH12">
        <f t="shared" si="5"/>
        <v>95.78190630048465</v>
      </c>
      <c r="AI12">
        <v>124.01645616378497</v>
      </c>
      <c r="AJ12">
        <f t="shared" si="6"/>
        <v>-28.234549863300316</v>
      </c>
      <c r="AK12">
        <v>0.12020391690039856</v>
      </c>
      <c r="AL12">
        <f t="shared" si="7"/>
        <v>-0.94166702720447126</v>
      </c>
      <c r="AM12">
        <f t="shared" si="8"/>
        <v>898.54232555069882</v>
      </c>
      <c r="AN12">
        <f t="shared" si="9"/>
        <v>-1.0042008544945371</v>
      </c>
      <c r="AO12">
        <f t="shared" si="10"/>
        <v>0.33022806211153855</v>
      </c>
      <c r="AP12">
        <f t="shared" si="11"/>
        <v>3.4426217433790401E-2</v>
      </c>
      <c r="AQ12">
        <f t="shared" si="12"/>
        <v>-0.37118368954155412</v>
      </c>
      <c r="AR12" t="str">
        <f t="shared" si="13"/>
        <v/>
      </c>
    </row>
    <row r="13" spans="1:46" ht="15" thickBot="1" x14ac:dyDescent="0.35">
      <c r="A13" s="3">
        <v>13</v>
      </c>
      <c r="B13" s="3" t="s">
        <v>22</v>
      </c>
      <c r="C13" s="3">
        <v>16.5</v>
      </c>
      <c r="D13" s="3">
        <v>2168.5</v>
      </c>
      <c r="E13" s="5">
        <f t="shared" si="0"/>
        <v>131.42424242424244</v>
      </c>
      <c r="F13" s="6">
        <v>52960</v>
      </c>
      <c r="G13" s="3">
        <v>4.4000000000000004</v>
      </c>
      <c r="H13" s="3">
        <v>5</v>
      </c>
      <c r="I13" t="s">
        <v>50</v>
      </c>
      <c r="M13" s="11" t="s">
        <v>51</v>
      </c>
      <c r="N13" s="11">
        <v>0.05</v>
      </c>
      <c r="R13" s="13" t="s">
        <v>73</v>
      </c>
      <c r="S13" s="13">
        <f>[1]!DAGOSTINO([1]!RegE(F2:H21,E2:E21))</f>
        <v>2.7248226794860613</v>
      </c>
      <c r="X13" t="s">
        <v>56</v>
      </c>
      <c r="Y13" s="19">
        <f>_xlfn.CHISQ.DIST.RT(Y11,Y12)</f>
        <v>0.19814240082644052</v>
      </c>
      <c r="AA13" t="s">
        <v>56</v>
      </c>
      <c r="AB13" s="19">
        <f>_xlfn.CHISQ.DIST.RT(AB11,AB12)</f>
        <v>0.21652439267005083</v>
      </c>
      <c r="AD13">
        <f t="shared" si="14"/>
        <v>7</v>
      </c>
      <c r="AE13">
        <f t="shared" si="2"/>
        <v>44450</v>
      </c>
      <c r="AF13">
        <f t="shared" si="3"/>
        <v>9.1</v>
      </c>
      <c r="AG13">
        <f t="shared" si="4"/>
        <v>4.5999999999999996</v>
      </c>
      <c r="AH13">
        <f t="shared" si="5"/>
        <v>82.718787878787879</v>
      </c>
      <c r="AI13">
        <v>107.64042254256785</v>
      </c>
      <c r="AJ13">
        <f t="shared" si="6"/>
        <v>-24.921634663779969</v>
      </c>
      <c r="AK13">
        <v>0.11567278290676242</v>
      </c>
      <c r="AL13">
        <f t="shared" si="7"/>
        <v>-0.83117604992957528</v>
      </c>
      <c r="AM13">
        <f t="shared" si="8"/>
        <v>912.1276155926447</v>
      </c>
      <c r="AN13">
        <f t="shared" si="9"/>
        <v>-0.87749010353572721</v>
      </c>
      <c r="AO13">
        <f t="shared" si="10"/>
        <v>0.39320622432800922</v>
      </c>
      <c r="AP13">
        <f t="shared" si="11"/>
        <v>2.5546490765869359E-2</v>
      </c>
      <c r="AQ13">
        <f t="shared" si="12"/>
        <v>-0.31735936859766972</v>
      </c>
      <c r="AR13" t="str">
        <f t="shared" si="13"/>
        <v/>
      </c>
    </row>
    <row r="14" spans="1:46" ht="15" thickTop="1" x14ac:dyDescent="0.3">
      <c r="A14" s="3">
        <v>14</v>
      </c>
      <c r="B14" s="3" t="s">
        <v>23</v>
      </c>
      <c r="C14" s="3">
        <v>38</v>
      </c>
      <c r="D14" s="3">
        <v>2847</v>
      </c>
      <c r="E14" s="5">
        <f t="shared" si="0"/>
        <v>74.921052631578945</v>
      </c>
      <c r="F14" s="6">
        <v>13850</v>
      </c>
      <c r="G14" s="3">
        <v>14.4</v>
      </c>
      <c r="H14" s="3">
        <v>5.6</v>
      </c>
      <c r="I14" s="12"/>
      <c r="J14" s="12" t="s">
        <v>52</v>
      </c>
      <c r="K14" s="12" t="s">
        <v>53</v>
      </c>
      <c r="L14" s="12" t="s">
        <v>54</v>
      </c>
      <c r="M14" s="12" t="s">
        <v>55</v>
      </c>
      <c r="N14" s="12" t="s">
        <v>56</v>
      </c>
      <c r="O14" s="12" t="s">
        <v>57</v>
      </c>
      <c r="R14" t="s">
        <v>56</v>
      </c>
      <c r="S14">
        <f>[1]!DPTEST([1]!RegE(F2:H21,E2:E21))</f>
        <v>0.2560426262068648</v>
      </c>
      <c r="AD14">
        <f t="shared" si="14"/>
        <v>8</v>
      </c>
      <c r="AE14">
        <f t="shared" si="2"/>
        <v>31670</v>
      </c>
      <c r="AF14">
        <f t="shared" si="3"/>
        <v>9.9</v>
      </c>
      <c r="AG14">
        <f t="shared" si="4"/>
        <v>3.9</v>
      </c>
      <c r="AH14">
        <f t="shared" si="5"/>
        <v>72.589285714285722</v>
      </c>
      <c r="AI14">
        <v>75.108615855951015</v>
      </c>
      <c r="AJ14">
        <f t="shared" si="6"/>
        <v>-2.5193301416652929</v>
      </c>
      <c r="AK14">
        <v>0.11861580313096445</v>
      </c>
      <c r="AL14">
        <f t="shared" si="7"/>
        <v>-8.402365670905268E-2</v>
      </c>
      <c r="AM14">
        <f t="shared" si="8"/>
        <v>958.4694104088162</v>
      </c>
      <c r="AN14">
        <f t="shared" si="9"/>
        <v>-8.6678886679057349E-2</v>
      </c>
      <c r="AO14">
        <f t="shared" si="10"/>
        <v>0.93200225569947204</v>
      </c>
      <c r="AP14">
        <f t="shared" si="11"/>
        <v>2.6949778486432831E-4</v>
      </c>
      <c r="AQ14">
        <f t="shared" si="12"/>
        <v>-3.1798158640258964E-2</v>
      </c>
      <c r="AR14" t="str">
        <f t="shared" si="13"/>
        <v/>
      </c>
    </row>
    <row r="15" spans="1:46" x14ac:dyDescent="0.3">
      <c r="A15" s="3">
        <v>15</v>
      </c>
      <c r="B15" s="3" t="s">
        <v>24</v>
      </c>
      <c r="C15" s="3">
        <v>10.7</v>
      </c>
      <c r="D15" s="3">
        <v>728.6</v>
      </c>
      <c r="E15" s="5">
        <f t="shared" si="0"/>
        <v>68.093457943925245</v>
      </c>
      <c r="F15" s="6">
        <v>22920</v>
      </c>
      <c r="G15" s="3">
        <v>6.3</v>
      </c>
      <c r="H15" s="3">
        <v>5.9</v>
      </c>
      <c r="I15" t="s">
        <v>58</v>
      </c>
      <c r="J15">
        <f>COUNT(F2:H2)</f>
        <v>3</v>
      </c>
      <c r="K15">
        <f>DEVSQ(MMULT([1]!DEsign(F2:H21),J20:J23))</f>
        <v>41150.444770776521</v>
      </c>
      <c r="L15">
        <f>K15/J15</f>
        <v>13716.814923592174</v>
      </c>
      <c r="M15">
        <f>L15/L16</f>
        <v>15.257601570897402</v>
      </c>
      <c r="N15">
        <f>_xlfn.F.DIST.RT(M15,J15,J16)</f>
        <v>5.932649991677724E-5</v>
      </c>
      <c r="O15" s="11" t="str">
        <f>IF(N15&lt;N13,"yes","no")</f>
        <v>yes</v>
      </c>
      <c r="R15" t="s">
        <v>70</v>
      </c>
      <c r="S15">
        <v>0.05</v>
      </c>
      <c r="X15" t="s">
        <v>80</v>
      </c>
      <c r="Y15" s="16">
        <f>[1]!BPagStat(F2:H21,E2:E21,FALSE)</f>
        <v>1.621857904804493</v>
      </c>
      <c r="AA15" t="s">
        <v>80</v>
      </c>
      <c r="AB15" s="16">
        <f>[1]!WhiteStat(F2:H21,E2:E21,FALSE)</f>
        <v>1.5354808198484933</v>
      </c>
      <c r="AD15">
        <f t="shared" si="14"/>
        <v>9</v>
      </c>
      <c r="AE15">
        <f t="shared" si="2"/>
        <v>15410</v>
      </c>
      <c r="AF15">
        <f t="shared" si="3"/>
        <v>7.3</v>
      </c>
      <c r="AG15">
        <f t="shared" si="4"/>
        <v>5.0999999999999996</v>
      </c>
      <c r="AH15">
        <f t="shared" si="5"/>
        <v>44.9</v>
      </c>
      <c r="AI15">
        <v>67.463193104729541</v>
      </c>
      <c r="AJ15">
        <f t="shared" si="6"/>
        <v>-22.563193104729542</v>
      </c>
      <c r="AK15">
        <v>0.1896351722668132</v>
      </c>
      <c r="AL15">
        <f t="shared" si="7"/>
        <v>-0.75251828267282828</v>
      </c>
      <c r="AM15">
        <f t="shared" si="8"/>
        <v>917.06731049731411</v>
      </c>
      <c r="AN15">
        <f t="shared" si="9"/>
        <v>-0.82767466601158735</v>
      </c>
      <c r="AO15">
        <f t="shared" si="10"/>
        <v>0.42002900259932607</v>
      </c>
      <c r="AP15">
        <f t="shared" si="11"/>
        <v>4.0881972755636126E-2</v>
      </c>
      <c r="AQ15">
        <f t="shared" si="12"/>
        <v>-0.40038593780949172</v>
      </c>
      <c r="AR15" t="str">
        <f t="shared" si="13"/>
        <v/>
      </c>
    </row>
    <row r="16" spans="1:46" x14ac:dyDescent="0.3">
      <c r="A16" s="3">
        <v>16</v>
      </c>
      <c r="B16" s="3" t="s">
        <v>25</v>
      </c>
      <c r="C16" s="3">
        <v>21.3</v>
      </c>
      <c r="D16" s="3">
        <v>687.2</v>
      </c>
      <c r="E16" s="5">
        <f t="shared" si="0"/>
        <v>32.262910798122064</v>
      </c>
      <c r="F16" s="6">
        <v>9300</v>
      </c>
      <c r="G16" s="3">
        <v>7</v>
      </c>
      <c r="H16" s="3">
        <v>3.3</v>
      </c>
      <c r="I16" t="s">
        <v>59</v>
      </c>
      <c r="J16">
        <f>J17-J15</f>
        <v>16</v>
      </c>
      <c r="K16">
        <f>K17-K15</f>
        <v>14384.242356681643</v>
      </c>
      <c r="L16">
        <f>K16/J16</f>
        <v>899.01514729260271</v>
      </c>
      <c r="R16" s="10" t="s">
        <v>71</v>
      </c>
      <c r="S16" s="14" t="str">
        <f>IF(S14&lt;S15,"no","yes")</f>
        <v>yes</v>
      </c>
      <c r="X16" t="s">
        <v>81</v>
      </c>
      <c r="Y16" s="17">
        <f>Y7</f>
        <v>3</v>
      </c>
      <c r="AA16" t="s">
        <v>81</v>
      </c>
      <c r="AB16" s="17">
        <v>2</v>
      </c>
      <c r="AD16">
        <f t="shared" si="14"/>
        <v>10</v>
      </c>
      <c r="AE16">
        <f t="shared" si="2"/>
        <v>60460</v>
      </c>
      <c r="AF16">
        <f t="shared" si="3"/>
        <v>6.3</v>
      </c>
      <c r="AG16">
        <f t="shared" si="4"/>
        <v>4.3</v>
      </c>
      <c r="AH16">
        <f t="shared" si="5"/>
        <v>131.11363636363635</v>
      </c>
      <c r="AI16">
        <v>131.42160392445683</v>
      </c>
      <c r="AJ16">
        <f t="shared" si="6"/>
        <v>-0.3079675608204866</v>
      </c>
      <c r="AK16">
        <v>0.28762844640824187</v>
      </c>
      <c r="AL16">
        <f t="shared" si="7"/>
        <v>-1.027120669099775E-2</v>
      </c>
      <c r="AM16">
        <f t="shared" si="8"/>
        <v>958.94061455120323</v>
      </c>
      <c r="AN16">
        <f t="shared" si="9"/>
        <v>-1.1782998771628396E-2</v>
      </c>
      <c r="AO16">
        <f t="shared" si="10"/>
        <v>0.99074441736618191</v>
      </c>
      <c r="AP16">
        <f t="shared" si="11"/>
        <v>1.4948638649212148E-5</v>
      </c>
      <c r="AQ16">
        <f t="shared" si="12"/>
        <v>-7.4871833020355751E-3</v>
      </c>
      <c r="AR16" t="str">
        <f t="shared" si="13"/>
        <v/>
      </c>
    </row>
    <row r="17" spans="1:44" x14ac:dyDescent="0.3">
      <c r="A17" s="3">
        <v>17</v>
      </c>
      <c r="B17" s="3" t="s">
        <v>26</v>
      </c>
      <c r="C17" s="3">
        <v>44.8</v>
      </c>
      <c r="D17" s="3">
        <v>4745.8</v>
      </c>
      <c r="E17" s="5">
        <f t="shared" si="0"/>
        <v>105.93303571428572</v>
      </c>
      <c r="F17" s="6">
        <v>35220</v>
      </c>
      <c r="G17" s="3">
        <v>14.2</v>
      </c>
      <c r="H17" s="3">
        <v>4.4000000000000004</v>
      </c>
      <c r="I17" s="10" t="s">
        <v>60</v>
      </c>
      <c r="J17" s="10">
        <f>J11-1</f>
        <v>19</v>
      </c>
      <c r="K17" s="10">
        <f>DEVSQ(E2:E21)</f>
        <v>55534.687127458164</v>
      </c>
      <c r="L17" s="10"/>
      <c r="M17" s="10"/>
      <c r="N17" s="10"/>
      <c r="O17" s="10"/>
      <c r="X17" t="s">
        <v>82</v>
      </c>
      <c r="Y17" s="17">
        <f>Y6-Y7-1</f>
        <v>16</v>
      </c>
      <c r="AA17" t="s">
        <v>82</v>
      </c>
      <c r="AB17" s="17">
        <f>Y6-3</f>
        <v>17</v>
      </c>
      <c r="AD17">
        <f t="shared" si="14"/>
        <v>11</v>
      </c>
      <c r="AE17">
        <f t="shared" si="2"/>
        <v>38490</v>
      </c>
      <c r="AF17">
        <f t="shared" si="3"/>
        <v>9.3000000000000007</v>
      </c>
      <c r="AG17">
        <f t="shared" si="4"/>
        <v>5</v>
      </c>
      <c r="AH17">
        <f t="shared" si="5"/>
        <v>65.504244482173178</v>
      </c>
      <c r="AI17">
        <v>103.62254514083546</v>
      </c>
      <c r="AJ17">
        <f t="shared" si="6"/>
        <v>-38.118300658662278</v>
      </c>
      <c r="AK17">
        <v>6.8630644149147491E-2</v>
      </c>
      <c r="AL17">
        <f t="shared" si="7"/>
        <v>-1.2713057951026614</v>
      </c>
      <c r="AM17">
        <f t="shared" si="8"/>
        <v>854.94457653551467</v>
      </c>
      <c r="AN17">
        <f t="shared" si="9"/>
        <v>-1.3508389611003842</v>
      </c>
      <c r="AO17">
        <f t="shared" si="10"/>
        <v>0.19554273613647702</v>
      </c>
      <c r="AP17">
        <f t="shared" si="11"/>
        <v>3.1967910302551736E-2</v>
      </c>
      <c r="AQ17">
        <f t="shared" si="12"/>
        <v>-0.36669217578069668</v>
      </c>
      <c r="AR17" t="str">
        <f t="shared" si="13"/>
        <v/>
      </c>
    </row>
    <row r="18" spans="1:44" ht="15" thickBot="1" x14ac:dyDescent="0.35">
      <c r="A18" s="3">
        <v>18</v>
      </c>
      <c r="B18" s="3" t="s">
        <v>27</v>
      </c>
      <c r="C18" s="3">
        <v>7.5</v>
      </c>
      <c r="D18" s="3">
        <v>1130.4000000000001</v>
      </c>
      <c r="E18" s="5">
        <f t="shared" si="0"/>
        <v>150.72</v>
      </c>
      <c r="F18" s="6">
        <v>64430</v>
      </c>
      <c r="G18" s="3">
        <v>3.6</v>
      </c>
      <c r="H18" s="3">
        <v>5.6</v>
      </c>
      <c r="X18" t="s">
        <v>56</v>
      </c>
      <c r="Y18" s="19">
        <f>_xlfn.F.DIST.RT(Y15,Y16,Y17)</f>
        <v>0.22374588829354328</v>
      </c>
      <c r="AA18" t="s">
        <v>56</v>
      </c>
      <c r="AB18" s="19">
        <f>_xlfn.F.DIST.RT(AB15,AB16,AB17)</f>
        <v>0.24377338845857982</v>
      </c>
      <c r="AD18">
        <f t="shared" si="14"/>
        <v>12</v>
      </c>
      <c r="AE18">
        <f t="shared" si="2"/>
        <v>52960</v>
      </c>
      <c r="AF18">
        <f t="shared" si="3"/>
        <v>4.4000000000000004</v>
      </c>
      <c r="AG18">
        <f t="shared" si="4"/>
        <v>5</v>
      </c>
      <c r="AH18">
        <f t="shared" si="5"/>
        <v>131.42424242424244</v>
      </c>
      <c r="AI18">
        <v>130.49577963657592</v>
      </c>
      <c r="AJ18">
        <f t="shared" si="6"/>
        <v>0.92846278766651835</v>
      </c>
      <c r="AK18">
        <v>0.15645039162118637</v>
      </c>
      <c r="AL18">
        <f t="shared" si="7"/>
        <v>3.0965706815405555E-2</v>
      </c>
      <c r="AM18">
        <f t="shared" si="8"/>
        <v>958.88136221369928</v>
      </c>
      <c r="AN18">
        <f t="shared" si="9"/>
        <v>3.2645757433831961E-2</v>
      </c>
      <c r="AO18">
        <f t="shared" si="10"/>
        <v>0.97436086304166891</v>
      </c>
      <c r="AP18">
        <f t="shared" si="11"/>
        <v>5.2705677718877902E-5</v>
      </c>
      <c r="AQ18">
        <f t="shared" si="12"/>
        <v>1.4059172598528734E-2</v>
      </c>
      <c r="AR18" t="str">
        <f t="shared" si="13"/>
        <v/>
      </c>
    </row>
    <row r="19" spans="1:44" ht="15" thickTop="1" x14ac:dyDescent="0.3">
      <c r="A19" s="3">
        <v>19</v>
      </c>
      <c r="B19" s="3" t="s">
        <v>28</v>
      </c>
      <c r="C19" s="3">
        <v>9.1999999999999993</v>
      </c>
      <c r="D19" s="3">
        <v>2113.4</v>
      </c>
      <c r="E19" s="5">
        <f t="shared" si="0"/>
        <v>229.71739130434784</v>
      </c>
      <c r="F19" s="6">
        <v>51950</v>
      </c>
      <c r="G19" s="3">
        <v>6.3</v>
      </c>
      <c r="H19" s="3">
        <v>7.6</v>
      </c>
      <c r="I19" s="12"/>
      <c r="J19" s="12" t="s">
        <v>61</v>
      </c>
      <c r="K19" s="12" t="s">
        <v>62</v>
      </c>
      <c r="L19" s="12" t="s">
        <v>63</v>
      </c>
      <c r="M19" s="12" t="s">
        <v>56</v>
      </c>
      <c r="N19" s="12" t="s">
        <v>64</v>
      </c>
      <c r="O19" s="12" t="s">
        <v>65</v>
      </c>
      <c r="P19" s="12" t="s">
        <v>66</v>
      </c>
      <c r="AD19">
        <f t="shared" si="14"/>
        <v>13</v>
      </c>
      <c r="AE19">
        <f t="shared" si="2"/>
        <v>13850</v>
      </c>
      <c r="AF19">
        <f t="shared" si="3"/>
        <v>14.4</v>
      </c>
      <c r="AG19">
        <f t="shared" si="4"/>
        <v>5.6</v>
      </c>
      <c r="AH19">
        <f t="shared" si="5"/>
        <v>74.921052631578945</v>
      </c>
      <c r="AI19">
        <v>68.710829070345824</v>
      </c>
      <c r="AJ19">
        <f t="shared" si="6"/>
        <v>6.2102235612331214</v>
      </c>
      <c r="AK19">
        <v>0.36557191541335143</v>
      </c>
      <c r="AL19">
        <f t="shared" si="7"/>
        <v>0.20712080722005158</v>
      </c>
      <c r="AM19">
        <f t="shared" si="8"/>
        <v>954.89682447037148</v>
      </c>
      <c r="AN19">
        <f t="shared" si="9"/>
        <v>0.25231194420736619</v>
      </c>
      <c r="AO19">
        <f t="shared" si="10"/>
        <v>0.80401255615029454</v>
      </c>
      <c r="AP19">
        <f t="shared" si="11"/>
        <v>9.74081944027861E-3</v>
      </c>
      <c r="AQ19">
        <f t="shared" si="12"/>
        <v>0.19152833015004228</v>
      </c>
      <c r="AR19" t="str">
        <f t="shared" si="13"/>
        <v/>
      </c>
    </row>
    <row r="20" spans="1:44" x14ac:dyDescent="0.3">
      <c r="A20" s="3">
        <v>20</v>
      </c>
      <c r="B20" s="3" t="s">
        <v>29</v>
      </c>
      <c r="C20" s="3">
        <v>75.8</v>
      </c>
      <c r="D20" s="3">
        <v>2879</v>
      </c>
      <c r="E20" s="5">
        <f t="shared" si="0"/>
        <v>37.981530343007918</v>
      </c>
      <c r="F20" s="6">
        <v>9940</v>
      </c>
      <c r="G20" s="3">
        <v>8.6</v>
      </c>
      <c r="H20" s="3">
        <v>3.7</v>
      </c>
      <c r="I20" t="s">
        <v>67</v>
      </c>
      <c r="J20">
        <f t="array" ref="J20:K23">[1]!RegCoeff(F2:H21,E2:E21)</f>
        <v>-32.208761135260062</v>
      </c>
      <c r="K20">
        <v>41.890821352522025</v>
      </c>
      <c r="L20">
        <f>J20/K20</f>
        <v>-0.76887394649570273</v>
      </c>
      <c r="M20">
        <f>_xlfn.T.DIST.2T(ABS(L20),$J$16)</f>
        <v>0.45316899338590044</v>
      </c>
      <c r="N20">
        <f>J20-_xlfn.T.INV.2T(N$13,$J$16)*K20</f>
        <v>-121.0133353092024</v>
      </c>
      <c r="O20">
        <f>J20+_xlfn.T.INV.2T(N$13,$J$16)*K20</f>
        <v>56.59581303868228</v>
      </c>
      <c r="AD20">
        <f t="shared" si="14"/>
        <v>14</v>
      </c>
      <c r="AE20">
        <f t="shared" si="2"/>
        <v>22920</v>
      </c>
      <c r="AF20">
        <f t="shared" si="3"/>
        <v>6.3</v>
      </c>
      <c r="AG20">
        <f t="shared" si="4"/>
        <v>5.9</v>
      </c>
      <c r="AH20">
        <f t="shared" si="5"/>
        <v>68.093457943925245</v>
      </c>
      <c r="AI20">
        <v>92.778083190093355</v>
      </c>
      <c r="AJ20">
        <f t="shared" si="6"/>
        <v>-24.68462524616811</v>
      </c>
      <c r="AK20">
        <v>0.21166467268017153</v>
      </c>
      <c r="AL20">
        <f t="shared" si="7"/>
        <v>-0.8232714098774907</v>
      </c>
      <c r="AM20">
        <f t="shared" si="8"/>
        <v>907.42059553424019</v>
      </c>
      <c r="AN20">
        <f t="shared" si="9"/>
        <v>-0.92292567488797705</v>
      </c>
      <c r="AO20">
        <f t="shared" si="10"/>
        <v>0.36975510763038666</v>
      </c>
      <c r="AP20">
        <f t="shared" si="11"/>
        <v>5.7710186494812313E-2</v>
      </c>
      <c r="AQ20">
        <f t="shared" si="12"/>
        <v>-0.47822846557211834</v>
      </c>
      <c r="AR20" t="str">
        <f t="shared" si="13"/>
        <v/>
      </c>
    </row>
    <row r="21" spans="1:44" x14ac:dyDescent="0.3">
      <c r="A21" s="3">
        <v>21</v>
      </c>
      <c r="B21" s="3" t="s">
        <v>30</v>
      </c>
      <c r="C21" s="3">
        <v>61</v>
      </c>
      <c r="D21" s="3">
        <v>9887.2000000000007</v>
      </c>
      <c r="E21" s="5">
        <f t="shared" si="0"/>
        <v>162.08524590163935</v>
      </c>
      <c r="F21" s="6">
        <v>43540</v>
      </c>
      <c r="G21" s="3">
        <v>5.9</v>
      </c>
      <c r="H21" s="3">
        <v>4.8</v>
      </c>
      <c r="I21" t="str">
        <f t="array" ref="I21:I23">TRANSPOSE(F1:H1)</f>
        <v>GNP per head</v>
      </c>
      <c r="J21">
        <v>1.678416411976455E-3</v>
      </c>
      <c r="K21">
        <v>4.9653710298372476E-4</v>
      </c>
      <c r="L21">
        <f t="shared" ref="L21:L23" si="15">J21/K21</f>
        <v>3.3802436955682427</v>
      </c>
      <c r="M21">
        <f t="shared" ref="M21:M23" si="16">_xlfn.T.DIST.2T(ABS(L21),$J$16)</f>
        <v>3.8159552079586193E-3</v>
      </c>
      <c r="N21">
        <f t="shared" ref="N21:N23" si="17">J21-_xlfn.T.INV.2T(N$13,$J$16)*K21</f>
        <v>6.2580477610128674E-4</v>
      </c>
      <c r="O21">
        <f t="shared" ref="O21:O23" si="18">J21+_xlfn.T.INV.2T(N$13,$J$16)*K21</f>
        <v>2.7310280478516232E-3</v>
      </c>
      <c r="P21">
        <f>[1]!VIF(F2:H21,1)</f>
        <v>1.8494163811664117</v>
      </c>
      <c r="AD21">
        <f t="shared" si="14"/>
        <v>15</v>
      </c>
      <c r="AE21">
        <f t="shared" si="2"/>
        <v>9300</v>
      </c>
      <c r="AF21">
        <f t="shared" si="3"/>
        <v>7</v>
      </c>
      <c r="AG21">
        <f t="shared" si="4"/>
        <v>3.3</v>
      </c>
      <c r="AH21">
        <f t="shared" si="5"/>
        <v>32.262910798122064</v>
      </c>
      <c r="AI21">
        <v>29.956668678658019</v>
      </c>
      <c r="AJ21">
        <f t="shared" si="6"/>
        <v>2.306242119464045</v>
      </c>
      <c r="AK21">
        <v>0.28136613332828037</v>
      </c>
      <c r="AL21">
        <f t="shared" si="7"/>
        <v>7.6916833141096749E-2</v>
      </c>
      <c r="AM21">
        <f t="shared" si="8"/>
        <v>958.45607713626669</v>
      </c>
      <c r="AN21">
        <f t="shared" si="9"/>
        <v>8.7874921840211187E-2</v>
      </c>
      <c r="AO21">
        <f t="shared" si="10"/>
        <v>0.93106653658721361</v>
      </c>
      <c r="AP21">
        <f t="shared" si="11"/>
        <v>8.0582226094634915E-4</v>
      </c>
      <c r="AQ21">
        <f t="shared" si="12"/>
        <v>5.498535367535614E-2</v>
      </c>
      <c r="AR21" t="str">
        <f t="shared" si="13"/>
        <v/>
      </c>
    </row>
    <row r="22" spans="1:44" x14ac:dyDescent="0.3">
      <c r="I22" t="str">
        <v>Unemployment rate</v>
      </c>
      <c r="J22">
        <v>-0.52786714580431637</v>
      </c>
      <c r="K22">
        <v>2.5755796406760481</v>
      </c>
      <c r="L22">
        <f t="shared" si="15"/>
        <v>-0.20495081474776675</v>
      </c>
      <c r="M22" s="20">
        <f t="shared" si="16"/>
        <v>0.84019515686777191</v>
      </c>
      <c r="N22">
        <f t="shared" si="17"/>
        <v>-5.9878520746398465</v>
      </c>
      <c r="O22">
        <f t="shared" si="18"/>
        <v>4.9321177830312131</v>
      </c>
      <c r="P22">
        <f>[1]!VIF(F2:H21,2)</f>
        <v>1.4141969935123324</v>
      </c>
      <c r="AD22">
        <f t="shared" si="14"/>
        <v>16</v>
      </c>
      <c r="AE22">
        <f t="shared" si="2"/>
        <v>35220</v>
      </c>
      <c r="AF22">
        <f t="shared" si="3"/>
        <v>14.2</v>
      </c>
      <c r="AG22">
        <f t="shared" si="4"/>
        <v>4.4000000000000004</v>
      </c>
      <c r="AH22">
        <f t="shared" si="5"/>
        <v>105.93303571428572</v>
      </c>
      <c r="AI22">
        <v>86.410987695019088</v>
      </c>
      <c r="AJ22">
        <f t="shared" si="6"/>
        <v>19.522048019266634</v>
      </c>
      <c r="AK22">
        <v>0.33745940318239015</v>
      </c>
      <c r="AL22">
        <f t="shared" si="7"/>
        <v>0.65109126981835086</v>
      </c>
      <c r="AM22">
        <f t="shared" si="8"/>
        <v>920.60111242934727</v>
      </c>
      <c r="AN22">
        <f t="shared" si="9"/>
        <v>0.79046634071072419</v>
      </c>
      <c r="AO22">
        <f t="shared" si="10"/>
        <v>0.44081507533499764</v>
      </c>
      <c r="AP22">
        <f t="shared" si="11"/>
        <v>8.1474236221180496E-2</v>
      </c>
      <c r="AQ22">
        <f t="shared" si="12"/>
        <v>0.5641413084440684</v>
      </c>
      <c r="AR22" t="str">
        <f t="shared" si="13"/>
        <v/>
      </c>
    </row>
    <row r="23" spans="1:44" x14ac:dyDescent="0.3">
      <c r="I23" s="10" t="str">
        <v>%age spend on education</v>
      </c>
      <c r="J23" s="10">
        <v>15.227644607020382</v>
      </c>
      <c r="K23" s="10">
        <v>6.5962029213542728</v>
      </c>
      <c r="L23" s="10">
        <f t="shared" si="15"/>
        <v>2.3085470214573052</v>
      </c>
      <c r="M23" s="10">
        <f t="shared" si="16"/>
        <v>3.4657887942403751E-2</v>
      </c>
      <c r="N23" s="10">
        <f t="shared" si="17"/>
        <v>1.2443190793027359</v>
      </c>
      <c r="O23" s="10">
        <f t="shared" si="18"/>
        <v>29.210970134738027</v>
      </c>
      <c r="P23" s="10">
        <f>[1]!VIF(F2:H21,3)</f>
        <v>1.497291027979557</v>
      </c>
      <c r="AD23">
        <f t="shared" si="14"/>
        <v>17</v>
      </c>
      <c r="AE23">
        <f t="shared" si="2"/>
        <v>64430</v>
      </c>
      <c r="AF23">
        <f t="shared" si="3"/>
        <v>3.6</v>
      </c>
      <c r="AG23">
        <f t="shared" si="4"/>
        <v>5.6</v>
      </c>
      <c r="AH23">
        <f t="shared" si="5"/>
        <v>150.72</v>
      </c>
      <c r="AI23">
        <v>159.30609636280153</v>
      </c>
      <c r="AJ23">
        <f t="shared" si="6"/>
        <v>-8.586096362801527</v>
      </c>
      <c r="AK23">
        <v>0.21426402057092045</v>
      </c>
      <c r="AL23">
        <f t="shared" si="7"/>
        <v>-0.28635993406644517</v>
      </c>
      <c r="AM23">
        <f t="shared" si="8"/>
        <v>952.69454368797528</v>
      </c>
      <c r="AN23">
        <f t="shared" si="9"/>
        <v>-0.31381998638085734</v>
      </c>
      <c r="AO23">
        <f t="shared" si="10"/>
        <v>0.75771218602486767</v>
      </c>
      <c r="AP23">
        <f t="shared" si="11"/>
        <v>7.1147637826580691E-3</v>
      </c>
      <c r="AQ23">
        <f t="shared" si="12"/>
        <v>-0.16387658458928014</v>
      </c>
      <c r="AR23" t="str">
        <f t="shared" si="13"/>
        <v/>
      </c>
    </row>
    <row r="24" spans="1:44" x14ac:dyDescent="0.3">
      <c r="AD24">
        <f t="shared" si="14"/>
        <v>18</v>
      </c>
      <c r="AE24">
        <f t="shared" si="2"/>
        <v>51950</v>
      </c>
      <c r="AF24">
        <f t="shared" si="3"/>
        <v>6.3</v>
      </c>
      <c r="AG24">
        <f t="shared" si="4"/>
        <v>7.6</v>
      </c>
      <c r="AH24">
        <f t="shared" si="5"/>
        <v>229.71739130434784</v>
      </c>
      <c r="AI24">
        <v>167.38950746170448</v>
      </c>
      <c r="AJ24">
        <f t="shared" si="6"/>
        <v>62.327883842643359</v>
      </c>
      <c r="AK24">
        <v>0.2541830715953286</v>
      </c>
      <c r="AL24">
        <f t="shared" si="7"/>
        <v>2.078733798633583</v>
      </c>
      <c r="AM24">
        <f t="shared" si="8"/>
        <v>611.70027897905698</v>
      </c>
      <c r="AN24">
        <f t="shared" si="9"/>
        <v>2.9180781880078372</v>
      </c>
      <c r="AO24">
        <f t="shared" si="10"/>
        <v>1.0056325952519894E-2</v>
      </c>
      <c r="AP24">
        <f t="shared" si="11"/>
        <v>0.49365087784675549</v>
      </c>
      <c r="AQ24">
        <f t="shared" si="12"/>
        <v>1.7035469910903076</v>
      </c>
      <c r="AR24" t="str">
        <f t="shared" si="13"/>
        <v>*</v>
      </c>
    </row>
    <row r="25" spans="1:44" x14ac:dyDescent="0.3">
      <c r="AD25">
        <f t="shared" si="14"/>
        <v>19</v>
      </c>
      <c r="AE25">
        <f t="shared" si="2"/>
        <v>9940</v>
      </c>
      <c r="AF25">
        <f t="shared" si="3"/>
        <v>8.6</v>
      </c>
      <c r="AG25">
        <f t="shared" si="4"/>
        <v>3.7</v>
      </c>
      <c r="AH25">
        <f t="shared" si="5"/>
        <v>37.981530343007918</v>
      </c>
      <c r="AI25">
        <v>36.277325591844189</v>
      </c>
      <c r="AJ25">
        <f t="shared" si="6"/>
        <v>1.7042047511637293</v>
      </c>
      <c r="AK25">
        <v>0.1860749663385422</v>
      </c>
      <c r="AL25">
        <f t="shared" si="7"/>
        <v>5.683793187941058E-2</v>
      </c>
      <c r="AM25">
        <f t="shared" si="8"/>
        <v>958.71160499622704</v>
      </c>
      <c r="AN25">
        <f t="shared" si="9"/>
        <v>6.1007829815326077E-2</v>
      </c>
      <c r="AO25">
        <f t="shared" si="10"/>
        <v>0.95210854434179804</v>
      </c>
      <c r="AP25">
        <f t="shared" si="11"/>
        <v>2.2684837877316475E-4</v>
      </c>
      <c r="AQ25">
        <f t="shared" si="12"/>
        <v>2.9170061711979906E-2</v>
      </c>
      <c r="AR25" t="str">
        <f t="shared" si="13"/>
        <v/>
      </c>
    </row>
    <row r="26" spans="1:44" x14ac:dyDescent="0.3">
      <c r="AD26" s="10">
        <f t="shared" si="14"/>
        <v>20</v>
      </c>
      <c r="AE26" s="10">
        <f t="shared" si="2"/>
        <v>43540</v>
      </c>
      <c r="AF26" s="10">
        <f t="shared" si="3"/>
        <v>5.9</v>
      </c>
      <c r="AG26" s="10">
        <f t="shared" si="4"/>
        <v>4.8</v>
      </c>
      <c r="AH26" s="10">
        <f t="shared" si="5"/>
        <v>162.08524590163935</v>
      </c>
      <c r="AI26" s="10">
        <v>110.84776739564714</v>
      </c>
      <c r="AJ26" s="10">
        <f t="shared" si="6"/>
        <v>51.237478505992215</v>
      </c>
      <c r="AK26" s="10">
        <v>9.327473375360687E-2</v>
      </c>
      <c r="AL26" s="10">
        <f t="shared" si="7"/>
        <v>1.7088511876332402</v>
      </c>
      <c r="AM26" s="10">
        <f t="shared" si="8"/>
        <v>765.92673030847868</v>
      </c>
      <c r="AN26" s="10">
        <f t="shared" si="9"/>
        <v>1.944268666068071</v>
      </c>
      <c r="AO26" s="10">
        <f t="shared" si="10"/>
        <v>6.9660707061122956E-2</v>
      </c>
      <c r="AP26" s="10">
        <f t="shared" si="11"/>
        <v>8.2824930574595071E-2</v>
      </c>
      <c r="AQ26" s="10">
        <f t="shared" si="12"/>
        <v>0.6235918453145497</v>
      </c>
      <c r="AR26" t="str">
        <f t="shared" si="13"/>
        <v/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0DDD-0F78-471F-B05D-B2CAA123D993}">
  <dimension ref="A1:AS27"/>
  <sheetViews>
    <sheetView tabSelected="1" topLeftCell="H1" workbookViewId="0">
      <selection activeCell="P7" activeCellId="1" sqref="P18 P7"/>
    </sheetView>
  </sheetViews>
  <sheetFormatPr defaultRowHeight="14.4" x14ac:dyDescent="0.3"/>
  <sheetData>
    <row r="1" spans="1:45" ht="57.6" x14ac:dyDescent="0.3">
      <c r="A1" s="3"/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9</v>
      </c>
    </row>
    <row r="2" spans="1:45" x14ac:dyDescent="0.3">
      <c r="A2" s="3">
        <v>1</v>
      </c>
      <c r="B2" s="3" t="s">
        <v>10</v>
      </c>
      <c r="C2" s="3">
        <v>8.4</v>
      </c>
      <c r="D2" s="3">
        <v>941.2</v>
      </c>
      <c r="E2" s="5">
        <f>D2/C2</f>
        <v>112.04761904761905</v>
      </c>
      <c r="F2" s="6">
        <v>49600</v>
      </c>
      <c r="G2" s="3">
        <v>5.8</v>
      </c>
    </row>
    <row r="3" spans="1:45" x14ac:dyDescent="0.3">
      <c r="A3" s="3">
        <v>2</v>
      </c>
      <c r="B3" s="3" t="s">
        <v>11</v>
      </c>
      <c r="C3" s="3">
        <v>10.5</v>
      </c>
      <c r="D3" s="3">
        <v>1681.9</v>
      </c>
      <c r="E3" s="5">
        <f t="shared" ref="E3:E21" si="0">D3/C3</f>
        <v>160.18095238095239</v>
      </c>
      <c r="F3" s="6">
        <v>47090</v>
      </c>
      <c r="G3" s="3">
        <v>5.9</v>
      </c>
    </row>
    <row r="4" spans="1:45" x14ac:dyDescent="0.3">
      <c r="A4" s="3">
        <v>3</v>
      </c>
      <c r="B4" s="3" t="s">
        <v>12</v>
      </c>
      <c r="C4" s="3">
        <v>7.6</v>
      </c>
      <c r="D4" s="3">
        <v>154</v>
      </c>
      <c r="E4" s="5">
        <f t="shared" si="0"/>
        <v>20.263157894736842</v>
      </c>
      <c r="F4" s="6">
        <v>6550</v>
      </c>
      <c r="G4" s="3">
        <v>3.5</v>
      </c>
    </row>
    <row r="5" spans="1:45" x14ac:dyDescent="0.3">
      <c r="A5" s="3">
        <v>4</v>
      </c>
      <c r="B5" s="3" t="s">
        <v>13</v>
      </c>
      <c r="C5" s="3">
        <v>10.199999999999999</v>
      </c>
      <c r="D5" s="3">
        <v>1028.7</v>
      </c>
      <c r="E5" s="5">
        <f t="shared" si="0"/>
        <v>100.85294117647059</v>
      </c>
      <c r="F5" s="6">
        <v>20670</v>
      </c>
      <c r="G5" s="3">
        <v>4.4000000000000004</v>
      </c>
      <c r="I5" t="s">
        <v>40</v>
      </c>
      <c r="R5" t="s">
        <v>68</v>
      </c>
      <c r="U5" t="s">
        <v>74</v>
      </c>
      <c r="X5" t="s">
        <v>75</v>
      </c>
      <c r="AD5" t="s">
        <v>84</v>
      </c>
    </row>
    <row r="6" spans="1:45" ht="15" thickBot="1" x14ac:dyDescent="0.35">
      <c r="A6" s="3">
        <v>5</v>
      </c>
      <c r="B6" s="3" t="s">
        <v>14</v>
      </c>
      <c r="C6" s="3">
        <v>5.5</v>
      </c>
      <c r="D6" s="3">
        <v>935.4</v>
      </c>
      <c r="E6" s="5">
        <f t="shared" si="0"/>
        <v>170.07272727272726</v>
      </c>
      <c r="F6" s="6">
        <v>62120</v>
      </c>
      <c r="G6" s="3">
        <v>8.4</v>
      </c>
    </row>
    <row r="7" spans="1:45" ht="15.6" thickTop="1" thickBot="1" x14ac:dyDescent="0.35">
      <c r="A7" s="3">
        <v>7</v>
      </c>
      <c r="B7" s="3" t="s">
        <v>16</v>
      </c>
      <c r="C7" s="3">
        <v>61.9</v>
      </c>
      <c r="D7" s="3">
        <v>5928.9</v>
      </c>
      <c r="E7" s="5">
        <f t="shared" si="0"/>
        <v>95.78190630048465</v>
      </c>
      <c r="F7" s="6">
        <v>44510</v>
      </c>
      <c r="G7" s="3">
        <v>5.7</v>
      </c>
      <c r="I7" s="9" t="s">
        <v>41</v>
      </c>
      <c r="J7" s="9"/>
      <c r="L7" s="9"/>
      <c r="M7" s="9"/>
      <c r="R7" s="13" t="s">
        <v>69</v>
      </c>
      <c r="S7" s="13">
        <f>[1]!SHAPIRO([1]!RegE(F2:G21,E2:E21))</f>
        <v>0.92604713560907048</v>
      </c>
      <c r="U7" t="s">
        <v>51</v>
      </c>
      <c r="V7" s="15">
        <v>0.05</v>
      </c>
      <c r="X7" t="s">
        <v>76</v>
      </c>
      <c r="Y7" s="16">
        <f>COUNT(E2:E21)</f>
        <v>20</v>
      </c>
      <c r="AD7" s="12" t="s">
        <v>85</v>
      </c>
      <c r="AE7" s="12" t="str">
        <f>F1</f>
        <v>GNP per head</v>
      </c>
      <c r="AF7" s="12" t="str">
        <f>G1</f>
        <v>%age spend on education</v>
      </c>
      <c r="AG7" s="12" t="str">
        <f>E1</f>
        <v>Sales/Capita</v>
      </c>
      <c r="AH7" s="12" t="s">
        <v>86</v>
      </c>
      <c r="AI7" s="12" t="s">
        <v>59</v>
      </c>
      <c r="AJ7" s="12" t="s">
        <v>87</v>
      </c>
      <c r="AK7" s="12" t="s">
        <v>88</v>
      </c>
      <c r="AL7" s="12" t="s">
        <v>89</v>
      </c>
      <c r="AM7" s="12" t="s">
        <v>90</v>
      </c>
      <c r="AN7" s="12" t="s">
        <v>91</v>
      </c>
      <c r="AO7" s="12" t="s">
        <v>84</v>
      </c>
      <c r="AP7" s="12" t="s">
        <v>92</v>
      </c>
    </row>
    <row r="8" spans="1:45" ht="15" thickTop="1" x14ac:dyDescent="0.3">
      <c r="A8" s="3">
        <v>8</v>
      </c>
      <c r="B8" s="3" t="s">
        <v>17</v>
      </c>
      <c r="C8" s="3">
        <v>82.5</v>
      </c>
      <c r="D8" s="3">
        <v>6824.3</v>
      </c>
      <c r="E8" s="5">
        <f t="shared" si="0"/>
        <v>82.718787878787879</v>
      </c>
      <c r="F8" s="6">
        <v>44450</v>
      </c>
      <c r="G8" s="3">
        <v>4.5999999999999996</v>
      </c>
      <c r="I8" t="s">
        <v>42</v>
      </c>
      <c r="J8">
        <f>SQRT(J9)</f>
        <v>0.86041057332904203</v>
      </c>
      <c r="L8" t="s">
        <v>47</v>
      </c>
      <c r="M8">
        <f>J12*LN(K17/J12)+2*(J16+1)</f>
        <v>137.61556388508711</v>
      </c>
      <c r="R8" s="20" t="s">
        <v>56</v>
      </c>
      <c r="S8" s="20">
        <f>[1]!SWTEST([1]!RegE(F2:G21,E2:E21))</f>
        <v>0.12957979435942601</v>
      </c>
      <c r="X8" t="s">
        <v>77</v>
      </c>
      <c r="Y8" s="19">
        <f>COLUMNS(F2:G21)</f>
        <v>2</v>
      </c>
      <c r="AD8">
        <v>1</v>
      </c>
      <c r="AE8">
        <f t="shared" ref="AE8:AF8" si="1">F2</f>
        <v>49600</v>
      </c>
      <c r="AF8">
        <f t="shared" si="1"/>
        <v>5.8</v>
      </c>
      <c r="AG8">
        <f t="shared" ref="AG8:AG27" si="2">E2</f>
        <v>112.04761904761905</v>
      </c>
      <c r="AH8">
        <f t="array" ref="AH8:AH27">TREND(E2:E21,F2:G21)</f>
        <v>135.78537664329505</v>
      </c>
      <c r="AI8">
        <f>AG8-AH8</f>
        <v>-23.737757595676001</v>
      </c>
      <c r="AJ8">
        <f t="array" ref="AJ8:AJ27">[1]!LEVERAGE(F2:G21)</f>
        <v>7.7577054367363452E-2</v>
      </c>
      <c r="AK8">
        <f>AI8/SQRT($AS$10)</f>
        <v>-0.81498820849411646</v>
      </c>
      <c r="AL8">
        <f>($AS$10-AI8^2/((1-AJ8)*$AS$9))*$AS$9/($AS$9-1)</f>
        <v>863.19591606213623</v>
      </c>
      <c r="AM8">
        <f>AI8/SQRT(AL8*(1-AJ8))</f>
        <v>-0.84124007475945128</v>
      </c>
      <c r="AN8">
        <f>_xlfn.T.DIST.2T(ABS(AM8),$AS$9)</f>
        <v>0.41189086396046026</v>
      </c>
      <c r="AO8">
        <f>(AI8^2/$AS$10)*(AJ8/(1-AJ8)^2)/($AS$11+1)</f>
        <v>2.0186195998644001E-2</v>
      </c>
      <c r="AP8">
        <f>AM8*SQRT(AJ8/(1-AJ8))</f>
        <v>-0.24396164163382167</v>
      </c>
      <c r="AQ8" t="str">
        <f>IF(OR(AN8&lt;0.05,AO8&gt;=1,ABS(AP8)&gt;=1),"*","")</f>
        <v/>
      </c>
      <c r="AR8" t="s">
        <v>93</v>
      </c>
      <c r="AS8" s="16">
        <f>DEVSQ(AI8:AI27)</f>
        <v>14422.005340923897</v>
      </c>
    </row>
    <row r="9" spans="1:45" x14ac:dyDescent="0.3">
      <c r="A9" s="3">
        <v>9</v>
      </c>
      <c r="B9" s="3" t="s">
        <v>18</v>
      </c>
      <c r="C9" s="3">
        <v>11.2</v>
      </c>
      <c r="D9" s="3">
        <v>813</v>
      </c>
      <c r="E9" s="5">
        <f t="shared" si="0"/>
        <v>72.589285714285722</v>
      </c>
      <c r="F9" s="6">
        <v>31670</v>
      </c>
      <c r="G9" s="3">
        <v>3.9</v>
      </c>
      <c r="I9" t="s">
        <v>43</v>
      </c>
      <c r="J9">
        <f>K16/K18</f>
        <v>0.74030635469641082</v>
      </c>
      <c r="L9" t="s">
        <v>48</v>
      </c>
      <c r="M9">
        <f>M8+2*(J16+2)*(J16+3)/(J12-J16-3)</f>
        <v>140.28223055175377</v>
      </c>
      <c r="R9" t="s">
        <v>70</v>
      </c>
      <c r="S9">
        <v>0.05</v>
      </c>
      <c r="U9" t="str">
        <f t="array" ref="U9:V12">[1]!DURBIN(F2:G21,E2:E21,TRUE,V7)</f>
        <v>D-stat</v>
      </c>
      <c r="V9" s="16">
        <v>1.8770345744415822</v>
      </c>
      <c r="AD9">
        <f>AD8+1</f>
        <v>2</v>
      </c>
      <c r="AE9">
        <f t="shared" ref="AE9:AF9" si="3">F3</f>
        <v>47090</v>
      </c>
      <c r="AF9">
        <f t="shared" si="3"/>
        <v>5.9</v>
      </c>
      <c r="AG9">
        <f t="shared" si="2"/>
        <v>160.18095238095239</v>
      </c>
      <c r="AH9">
        <v>132.99119823811148</v>
      </c>
      <c r="AI9">
        <f t="shared" ref="AI9:AI27" si="4">AG9-AH9</f>
        <v>27.189754142840911</v>
      </c>
      <c r="AJ9">
        <v>7.3435934546300249E-2</v>
      </c>
      <c r="AK9">
        <f t="shared" ref="AK9:AK27" si="5">AI9/SQRT($AS$10)</f>
        <v>0.93350557351322316</v>
      </c>
      <c r="AL9">
        <f t="shared" ref="AL9:AL27" si="6">($AS$10-AI9^2/((1-AJ9)*$AS$9))*$AS$9/($AS$9-1)</f>
        <v>851.50811753043877</v>
      </c>
      <c r="AM9">
        <f t="shared" ref="AM9:AM27" si="7">AI9/SQRT(AL9*(1-AJ9))</f>
        <v>0.96799509747784318</v>
      </c>
      <c r="AN9">
        <f t="shared" ref="AN9:AN27" si="8">_xlfn.T.DIST.2T(ABS(AM9),$AS$9)</f>
        <v>0.34661767608224869</v>
      </c>
      <c r="AO9">
        <f t="shared" ref="AO9:AO27" si="9">(AI9^2/$AS$10)*(AJ9/(1-AJ9)^2)/($AS$11+1)</f>
        <v>2.4846790353077016E-2</v>
      </c>
      <c r="AP9">
        <f t="shared" ref="AP9:AP27" si="10">AM9*SQRT(AJ9/(1-AJ9))</f>
        <v>0.27251458095012143</v>
      </c>
      <c r="AQ9" t="str">
        <f t="shared" ref="AQ9:AQ27" si="11">IF(OR(AN9&lt;0.05,AO9&gt;=1,ABS(AP9)&gt;=1),"*","")</f>
        <v/>
      </c>
      <c r="AR9" t="s">
        <v>94</v>
      </c>
      <c r="AS9" s="17">
        <f>COUNT(E2:E21)-AS11-1</f>
        <v>17</v>
      </c>
    </row>
    <row r="10" spans="1:45" x14ac:dyDescent="0.3">
      <c r="A10" s="3">
        <v>10</v>
      </c>
      <c r="B10" s="3" t="s">
        <v>19</v>
      </c>
      <c r="C10" s="3">
        <v>10</v>
      </c>
      <c r="D10" s="3">
        <v>449</v>
      </c>
      <c r="E10" s="5">
        <f t="shared" si="0"/>
        <v>44.9</v>
      </c>
      <c r="F10" s="6">
        <v>15410</v>
      </c>
      <c r="G10" s="3">
        <v>5.0999999999999996</v>
      </c>
      <c r="I10" t="s">
        <v>44</v>
      </c>
      <c r="J10">
        <f>1-(1-J9)*(J12-1)/(J12-J16-1)</f>
        <v>0.70975416113128265</v>
      </c>
      <c r="L10" s="10" t="s">
        <v>49</v>
      </c>
      <c r="M10" s="10">
        <f>J12*LN(K17/J12)+(J16+1)*LN(J12)</f>
        <v>140.60276070574909</v>
      </c>
      <c r="R10" s="10" t="s">
        <v>71</v>
      </c>
      <c r="S10" s="14" t="str">
        <f>IF(S8&lt;S9,"no","yes")</f>
        <v>yes</v>
      </c>
      <c r="U10" t="str">
        <v>D-lower</v>
      </c>
      <c r="V10" s="17">
        <v>1.1004</v>
      </c>
      <c r="X10" t="s">
        <v>78</v>
      </c>
      <c r="AA10" t="s">
        <v>83</v>
      </c>
      <c r="AD10">
        <f t="shared" ref="AD10:AD27" si="12">AD9+1</f>
        <v>3</v>
      </c>
      <c r="AE10">
        <f t="shared" ref="AE10:AF10" si="13">F4</f>
        <v>6550</v>
      </c>
      <c r="AF10">
        <f t="shared" si="13"/>
        <v>3.5</v>
      </c>
      <c r="AG10">
        <f t="shared" si="2"/>
        <v>20.263157894736842</v>
      </c>
      <c r="AH10">
        <v>26.390580466016665</v>
      </c>
      <c r="AI10">
        <f t="shared" si="4"/>
        <v>-6.1274225712798227</v>
      </c>
      <c r="AJ10">
        <v>0.19149966289954665</v>
      </c>
      <c r="AK10">
        <f t="shared" si="5"/>
        <v>-0.2103727415669375</v>
      </c>
      <c r="AL10">
        <f t="shared" si="6"/>
        <v>898.47294576563718</v>
      </c>
      <c r="AM10">
        <f t="shared" si="7"/>
        <v>-0.22734490574201305</v>
      </c>
      <c r="AN10">
        <f t="shared" si="8"/>
        <v>0.82286716750696187</v>
      </c>
      <c r="AO10">
        <f t="shared" si="9"/>
        <v>4.3218061366560052E-3</v>
      </c>
      <c r="AP10">
        <f t="shared" si="10"/>
        <v>-0.11064432187279892</v>
      </c>
      <c r="AQ10" t="str">
        <f t="shared" si="11"/>
        <v/>
      </c>
      <c r="AR10" t="s">
        <v>95</v>
      </c>
      <c r="AS10" s="17">
        <f>AS8/AS9</f>
        <v>848.35325534846459</v>
      </c>
    </row>
    <row r="11" spans="1:45" x14ac:dyDescent="0.3">
      <c r="A11" s="3">
        <v>11</v>
      </c>
      <c r="B11" s="3" t="s">
        <v>20</v>
      </c>
      <c r="C11" s="3">
        <v>4.4000000000000004</v>
      </c>
      <c r="D11" s="3">
        <v>576.9</v>
      </c>
      <c r="E11" s="5">
        <f t="shared" si="0"/>
        <v>131.11363636363635</v>
      </c>
      <c r="F11" s="6">
        <v>60460</v>
      </c>
      <c r="G11" s="3">
        <v>4.3</v>
      </c>
      <c r="I11" t="s">
        <v>45</v>
      </c>
      <c r="J11">
        <f>SQRT(L17)</f>
        <v>29.126504344813949</v>
      </c>
      <c r="U11" t="str">
        <v>D-upper</v>
      </c>
      <c r="V11" s="17">
        <v>1.53668</v>
      </c>
      <c r="AD11">
        <f t="shared" si="12"/>
        <v>4</v>
      </c>
      <c r="AE11">
        <f t="shared" ref="AE11:AF11" si="14">F5</f>
        <v>20670</v>
      </c>
      <c r="AF11">
        <f t="shared" si="14"/>
        <v>4.4000000000000004</v>
      </c>
      <c r="AG11">
        <f t="shared" si="2"/>
        <v>100.85294117647059</v>
      </c>
      <c r="AH11">
        <v>64.500482464894731</v>
      </c>
      <c r="AI11">
        <f t="shared" si="4"/>
        <v>36.352458711575864</v>
      </c>
      <c r="AJ11">
        <v>8.6705814522447591E-2</v>
      </c>
      <c r="AK11">
        <f t="shared" si="5"/>
        <v>1.2480886233795008</v>
      </c>
      <c r="AL11">
        <f t="shared" si="6"/>
        <v>810.94025854733968</v>
      </c>
      <c r="AM11">
        <f t="shared" si="7"/>
        <v>1.3357771586625566</v>
      </c>
      <c r="AN11">
        <f t="shared" si="8"/>
        <v>0.19923101883058383</v>
      </c>
      <c r="AO11">
        <f t="shared" si="9"/>
        <v>5.3975469823220795E-2</v>
      </c>
      <c r="AP11">
        <f t="shared" si="10"/>
        <v>0.41157859259040064</v>
      </c>
      <c r="AQ11" t="str">
        <f t="shared" si="11"/>
        <v/>
      </c>
      <c r="AR11" t="s">
        <v>96</v>
      </c>
      <c r="AS11" s="19">
        <f>COUNT(F2:G2)</f>
        <v>2</v>
      </c>
    </row>
    <row r="12" spans="1:45" x14ac:dyDescent="0.3">
      <c r="A12" s="3">
        <v>12</v>
      </c>
      <c r="B12" s="3" t="s">
        <v>21</v>
      </c>
      <c r="C12" s="3">
        <v>58.9</v>
      </c>
      <c r="D12" s="3">
        <v>3858.2</v>
      </c>
      <c r="E12" s="5">
        <f t="shared" si="0"/>
        <v>65.504244482173178</v>
      </c>
      <c r="F12" s="6">
        <v>38490</v>
      </c>
      <c r="G12" s="3">
        <v>5</v>
      </c>
      <c r="I12" s="10" t="s">
        <v>46</v>
      </c>
      <c r="J12" s="10">
        <f>COUNT(E2:E21)</f>
        <v>20</v>
      </c>
      <c r="R12" t="s">
        <v>72</v>
      </c>
      <c r="U12" t="str">
        <v>sig</v>
      </c>
      <c r="V12" s="18" t="str">
        <v>no</v>
      </c>
      <c r="X12" t="s">
        <v>79</v>
      </c>
      <c r="Y12" s="16">
        <f>[1]!BPagStat(F2:G21,E2:E21)</f>
        <v>4.2343045310460257</v>
      </c>
      <c r="AA12" t="s">
        <v>79</v>
      </c>
      <c r="AB12" s="16">
        <f>[1]!WhiteStat(F2:G21,E2:E21)</f>
        <v>2.8505576213476358</v>
      </c>
      <c r="AD12">
        <f t="shared" si="12"/>
        <v>5</v>
      </c>
      <c r="AE12">
        <f t="shared" ref="AE12:AF12" si="15">F6</f>
        <v>62120</v>
      </c>
      <c r="AF12">
        <f t="shared" si="15"/>
        <v>8.4</v>
      </c>
      <c r="AG12">
        <f t="shared" si="2"/>
        <v>170.07272727272726</v>
      </c>
      <c r="AH12">
        <v>197.16476711068333</v>
      </c>
      <c r="AI12">
        <f t="shared" si="4"/>
        <v>-27.092039837956065</v>
      </c>
      <c r="AJ12">
        <v>0.39748401533206146</v>
      </c>
      <c r="AK12">
        <f t="shared" si="5"/>
        <v>-0.93015074920172813</v>
      </c>
      <c r="AL12">
        <f t="shared" si="6"/>
        <v>825.23849249784962</v>
      </c>
      <c r="AM12">
        <f t="shared" si="7"/>
        <v>-1.2149759475408575</v>
      </c>
      <c r="AN12">
        <f t="shared" si="8"/>
        <v>0.24098132259671778</v>
      </c>
      <c r="AO12">
        <f t="shared" si="9"/>
        <v>0.31576787734778972</v>
      </c>
      <c r="AP12">
        <f t="shared" si="10"/>
        <v>-0.98683200936273352</v>
      </c>
      <c r="AQ12" t="str">
        <f t="shared" si="11"/>
        <v/>
      </c>
    </row>
    <row r="13" spans="1:45" x14ac:dyDescent="0.3">
      <c r="A13" s="3">
        <v>13</v>
      </c>
      <c r="B13" s="3" t="s">
        <v>22</v>
      </c>
      <c r="C13" s="3">
        <v>16.5</v>
      </c>
      <c r="D13" s="3">
        <v>2168.5</v>
      </c>
      <c r="E13" s="5">
        <f t="shared" si="0"/>
        <v>131.42424242424244</v>
      </c>
      <c r="F13" s="6">
        <v>52960</v>
      </c>
      <c r="G13" s="3">
        <v>5</v>
      </c>
      <c r="X13" t="s">
        <v>52</v>
      </c>
      <c r="Y13" s="17">
        <f>Y8</f>
        <v>2</v>
      </c>
      <c r="AA13" t="s">
        <v>52</v>
      </c>
      <c r="AB13" s="17">
        <v>2</v>
      </c>
      <c r="AD13">
        <f t="shared" si="12"/>
        <v>6</v>
      </c>
      <c r="AE13">
        <f t="shared" ref="AE13:AF13" si="16">F7</f>
        <v>44510</v>
      </c>
      <c r="AF13">
        <f t="shared" si="16"/>
        <v>5.7</v>
      </c>
      <c r="AG13">
        <f t="shared" si="2"/>
        <v>95.78190630048465</v>
      </c>
      <c r="AH13">
        <v>125.48347610252304</v>
      </c>
      <c r="AI13">
        <f t="shared" si="4"/>
        <v>-29.701569802038392</v>
      </c>
      <c r="AJ13">
        <v>6.3212989307192741E-2</v>
      </c>
      <c r="AK13">
        <f t="shared" si="5"/>
        <v>-1.0197437169396146</v>
      </c>
      <c r="AL13">
        <f t="shared" si="6"/>
        <v>842.51835520456211</v>
      </c>
      <c r="AM13">
        <f t="shared" si="7"/>
        <v>-1.0572295363231061</v>
      </c>
      <c r="AN13">
        <f t="shared" si="8"/>
        <v>0.30519969351576981</v>
      </c>
      <c r="AO13">
        <f t="shared" si="9"/>
        <v>2.4968096223738093E-2</v>
      </c>
      <c r="AP13">
        <f t="shared" si="10"/>
        <v>-0.27463255781890422</v>
      </c>
      <c r="AQ13" t="str">
        <f t="shared" si="11"/>
        <v/>
      </c>
    </row>
    <row r="14" spans="1:45" ht="15" thickBot="1" x14ac:dyDescent="0.35">
      <c r="A14" s="3">
        <v>14</v>
      </c>
      <c r="B14" s="3" t="s">
        <v>23</v>
      </c>
      <c r="C14" s="3">
        <v>38</v>
      </c>
      <c r="D14" s="3">
        <v>2847</v>
      </c>
      <c r="E14" s="5">
        <f t="shared" si="0"/>
        <v>74.921052631578945</v>
      </c>
      <c r="F14" s="6">
        <v>13850</v>
      </c>
      <c r="G14" s="3">
        <v>5.6</v>
      </c>
      <c r="I14" t="s">
        <v>50</v>
      </c>
      <c r="M14" s="11" t="s">
        <v>51</v>
      </c>
      <c r="N14" s="11">
        <v>0.05</v>
      </c>
      <c r="R14" s="13" t="s">
        <v>73</v>
      </c>
      <c r="S14" s="13">
        <f>[1]!DAGOSTINO([1]!RegE(F2:G21,E2:E21))</f>
        <v>2.8592802927528811</v>
      </c>
      <c r="X14" t="s">
        <v>56</v>
      </c>
      <c r="Y14" s="19">
        <f>_xlfn.CHISQ.DIST.RT(Y12,Y13)</f>
        <v>0.12037393388437408</v>
      </c>
      <c r="AA14" t="s">
        <v>56</v>
      </c>
      <c r="AB14" s="19">
        <f>_xlfn.CHISQ.DIST.RT(AB12,AB13)</f>
        <v>0.24044141622879722</v>
      </c>
      <c r="AD14">
        <f t="shared" si="12"/>
        <v>7</v>
      </c>
      <c r="AE14">
        <f t="shared" ref="AE14:AF14" si="17">F8</f>
        <v>44450</v>
      </c>
      <c r="AF14">
        <f t="shared" si="17"/>
        <v>4.5999999999999996</v>
      </c>
      <c r="AG14">
        <f t="shared" si="2"/>
        <v>82.718787878787879</v>
      </c>
      <c r="AH14">
        <v>108.53937218656992</v>
      </c>
      <c r="AI14">
        <f t="shared" si="4"/>
        <v>-25.820584307782042</v>
      </c>
      <c r="AJ14">
        <v>9.4273243684258018E-2</v>
      </c>
      <c r="AK14">
        <f t="shared" si="5"/>
        <v>-0.88649787843076622</v>
      </c>
      <c r="AL14">
        <f t="shared" si="6"/>
        <v>855.3692833249213</v>
      </c>
      <c r="AM14">
        <f t="shared" si="7"/>
        <v>-0.92766386908395793</v>
      </c>
      <c r="AN14">
        <f t="shared" si="8"/>
        <v>0.36656640472777902</v>
      </c>
      <c r="AO14">
        <f t="shared" si="9"/>
        <v>3.0104277011175972E-2</v>
      </c>
      <c r="AP14">
        <f t="shared" si="10"/>
        <v>-0.29928590790024562</v>
      </c>
      <c r="AQ14" t="str">
        <f t="shared" si="11"/>
        <v/>
      </c>
    </row>
    <row r="15" spans="1:45" ht="15" thickTop="1" x14ac:dyDescent="0.3">
      <c r="A15" s="3">
        <v>15</v>
      </c>
      <c r="B15" s="3" t="s">
        <v>24</v>
      </c>
      <c r="C15" s="3">
        <v>10.7</v>
      </c>
      <c r="D15" s="3">
        <v>728.6</v>
      </c>
      <c r="E15" s="5">
        <f t="shared" si="0"/>
        <v>68.093457943925245</v>
      </c>
      <c r="F15" s="6">
        <v>22920</v>
      </c>
      <c r="G15" s="3">
        <v>5.9</v>
      </c>
      <c r="I15" s="12"/>
      <c r="J15" s="12" t="s">
        <v>52</v>
      </c>
      <c r="K15" s="12" t="s">
        <v>53</v>
      </c>
      <c r="L15" s="12" t="s">
        <v>54</v>
      </c>
      <c r="M15" s="12" t="s">
        <v>55</v>
      </c>
      <c r="N15" s="12" t="s">
        <v>56</v>
      </c>
      <c r="O15" s="12" t="s">
        <v>57</v>
      </c>
      <c r="R15" t="s">
        <v>56</v>
      </c>
      <c r="S15">
        <f>[1]!DPTEST([1]!RegE(F2:G21,E2:E21))</f>
        <v>0.23939505392304306</v>
      </c>
      <c r="AD15">
        <f t="shared" si="12"/>
        <v>8</v>
      </c>
      <c r="AE15">
        <f t="shared" ref="AE15:AF15" si="18">F9</f>
        <v>31670</v>
      </c>
      <c r="AF15">
        <f t="shared" si="18"/>
        <v>3.9</v>
      </c>
      <c r="AG15">
        <f t="shared" si="2"/>
        <v>72.589285714285722</v>
      </c>
      <c r="AH15">
        <v>75.8004636531507</v>
      </c>
      <c r="AI15">
        <f t="shared" si="4"/>
        <v>-3.2111779388649779</v>
      </c>
      <c r="AJ15">
        <v>0.1059406032204091</v>
      </c>
      <c r="AK15">
        <f t="shared" si="5"/>
        <v>-0.11024934200305911</v>
      </c>
      <c r="AL15">
        <f t="shared" si="6"/>
        <v>900.65448798137879</v>
      </c>
      <c r="AM15">
        <f t="shared" si="7"/>
        <v>-0.11316238101396253</v>
      </c>
      <c r="AN15">
        <f t="shared" si="8"/>
        <v>0.91122742912821986</v>
      </c>
      <c r="AO15">
        <f t="shared" si="9"/>
        <v>5.3698289865787585E-4</v>
      </c>
      <c r="AP15">
        <f t="shared" si="10"/>
        <v>-3.8953825229913412E-2</v>
      </c>
      <c r="AQ15" t="str">
        <f t="shared" si="11"/>
        <v/>
      </c>
    </row>
    <row r="16" spans="1:45" x14ac:dyDescent="0.3">
      <c r="A16" s="3">
        <v>16</v>
      </c>
      <c r="B16" s="3" t="s">
        <v>25</v>
      </c>
      <c r="C16" s="3">
        <v>21.3</v>
      </c>
      <c r="D16" s="3">
        <v>687.2</v>
      </c>
      <c r="E16" s="5">
        <f t="shared" si="0"/>
        <v>32.262910798122064</v>
      </c>
      <c r="F16" s="6">
        <v>9300</v>
      </c>
      <c r="G16" s="3">
        <v>3.3</v>
      </c>
      <c r="I16" t="s">
        <v>58</v>
      </c>
      <c r="J16">
        <f>COUNT(F2:G2)</f>
        <v>2</v>
      </c>
      <c r="K16">
        <f>DEVSQ(MMULT([1]!DEsign(F2:G21),J21:J23))</f>
        <v>41112.681786534245</v>
      </c>
      <c r="L16">
        <f>K16/J16</f>
        <v>20556.340893267123</v>
      </c>
      <c r="M16" s="20">
        <f>L16/L17</f>
        <v>24.230874065336721</v>
      </c>
      <c r="N16" s="20">
        <f>_xlfn.F.DIST.RT(M16,J16,J17)</f>
        <v>1.0541957037683456E-5</v>
      </c>
      <c r="O16" s="21" t="str">
        <f>IF(N16&lt;N14,"yes","no")</f>
        <v>yes</v>
      </c>
      <c r="R16" t="s">
        <v>70</v>
      </c>
      <c r="S16">
        <v>0.05</v>
      </c>
      <c r="X16" t="s">
        <v>80</v>
      </c>
      <c r="Y16" s="16">
        <f>[1]!BPagStat(F2:G21,E2:E21,FALSE)</f>
        <v>2.2829052219590533</v>
      </c>
      <c r="AA16" t="s">
        <v>80</v>
      </c>
      <c r="AB16" s="16">
        <f>[1]!WhiteStat(F2:G21,E2:E21,FALSE)</f>
        <v>1.412858753449389</v>
      </c>
      <c r="AD16">
        <f t="shared" si="12"/>
        <v>9</v>
      </c>
      <c r="AE16">
        <f t="shared" ref="AE16:AF16" si="19">F10</f>
        <v>15410</v>
      </c>
      <c r="AF16">
        <f t="shared" si="19"/>
        <v>5.0999999999999996</v>
      </c>
      <c r="AG16">
        <f t="shared" si="2"/>
        <v>44.9</v>
      </c>
      <c r="AH16">
        <v>66.153435184492963</v>
      </c>
      <c r="AI16">
        <f t="shared" si="4"/>
        <v>-21.253435184492965</v>
      </c>
      <c r="AJ16">
        <v>0.1442079941969758</v>
      </c>
      <c r="AK16">
        <f t="shared" si="5"/>
        <v>-0.72969399049348027</v>
      </c>
      <c r="AL16">
        <f t="shared" si="6"/>
        <v>868.38626461230376</v>
      </c>
      <c r="AM16">
        <f t="shared" si="7"/>
        <v>-0.77963001285543021</v>
      </c>
      <c r="AN16">
        <f t="shared" si="8"/>
        <v>0.44632759930702315</v>
      </c>
      <c r="AO16">
        <f t="shared" si="9"/>
        <v>3.494726313937755E-2</v>
      </c>
      <c r="AP16">
        <f t="shared" si="10"/>
        <v>-0.32003619989598353</v>
      </c>
      <c r="AQ16" t="str">
        <f t="shared" si="11"/>
        <v/>
      </c>
    </row>
    <row r="17" spans="1:43" x14ac:dyDescent="0.3">
      <c r="A17" s="3">
        <v>17</v>
      </c>
      <c r="B17" s="3" t="s">
        <v>26</v>
      </c>
      <c r="C17" s="3">
        <v>44.8</v>
      </c>
      <c r="D17" s="3">
        <v>4745.8</v>
      </c>
      <c r="E17" s="5">
        <f t="shared" si="0"/>
        <v>105.93303571428572</v>
      </c>
      <c r="F17" s="6">
        <v>35220</v>
      </c>
      <c r="G17" s="3">
        <v>4.4000000000000004</v>
      </c>
      <c r="I17" t="s">
        <v>59</v>
      </c>
      <c r="J17">
        <f>J18-J16</f>
        <v>17</v>
      </c>
      <c r="K17">
        <f>K18-K16</f>
        <v>14422.005340923919</v>
      </c>
      <c r="L17">
        <f>K17/J17</f>
        <v>848.35325534846584</v>
      </c>
      <c r="R17" s="10" t="s">
        <v>71</v>
      </c>
      <c r="S17" s="14" t="str">
        <f>IF(S15&lt;S16,"no","yes")</f>
        <v>yes</v>
      </c>
      <c r="X17" t="s">
        <v>81</v>
      </c>
      <c r="Y17" s="17">
        <f>Y8</f>
        <v>2</v>
      </c>
      <c r="AA17" t="s">
        <v>81</v>
      </c>
      <c r="AB17" s="17">
        <v>2</v>
      </c>
      <c r="AD17">
        <f t="shared" si="12"/>
        <v>10</v>
      </c>
      <c r="AE17">
        <f t="shared" ref="AE17:AF17" si="20">F11</f>
        <v>60460</v>
      </c>
      <c r="AF17">
        <f t="shared" si="20"/>
        <v>4.3</v>
      </c>
      <c r="AG17">
        <f t="shared" si="2"/>
        <v>131.11363636363635</v>
      </c>
      <c r="AH17">
        <v>131.53437443655537</v>
      </c>
      <c r="AI17">
        <f t="shared" si="4"/>
        <v>-0.42073807291902199</v>
      </c>
      <c r="AJ17">
        <v>0.28729168307626102</v>
      </c>
      <c r="AK17">
        <f t="shared" si="5"/>
        <v>-1.4445196304304736E-2</v>
      </c>
      <c r="AL17">
        <f t="shared" si="6"/>
        <v>901.35981023012778</v>
      </c>
      <c r="AM17">
        <f t="shared" si="7"/>
        <v>-1.6599950962456967E-2</v>
      </c>
      <c r="AN17">
        <f t="shared" si="8"/>
        <v>0.98694903176101068</v>
      </c>
      <c r="AO17">
        <f t="shared" si="9"/>
        <v>3.9339156302723643E-5</v>
      </c>
      <c r="AP17">
        <f t="shared" si="10"/>
        <v>-1.0539315814472771E-2</v>
      </c>
      <c r="AQ17" t="str">
        <f t="shared" si="11"/>
        <v/>
      </c>
    </row>
    <row r="18" spans="1:43" x14ac:dyDescent="0.3">
      <c r="A18" s="3">
        <v>18</v>
      </c>
      <c r="B18" s="3" t="s">
        <v>27</v>
      </c>
      <c r="C18" s="3">
        <v>7.5</v>
      </c>
      <c r="D18" s="3">
        <v>1130.4000000000001</v>
      </c>
      <c r="E18" s="5">
        <f t="shared" si="0"/>
        <v>150.72</v>
      </c>
      <c r="F18" s="6">
        <v>64430</v>
      </c>
      <c r="G18" s="3">
        <v>5.6</v>
      </c>
      <c r="I18" s="10" t="s">
        <v>60</v>
      </c>
      <c r="J18" s="10">
        <f>J12-1</f>
        <v>19</v>
      </c>
      <c r="K18" s="10">
        <f>DEVSQ(E2:E21)</f>
        <v>55534.687127458164</v>
      </c>
      <c r="L18" s="10"/>
      <c r="M18" s="10"/>
      <c r="N18" s="10"/>
      <c r="O18" s="10"/>
      <c r="X18" t="s">
        <v>82</v>
      </c>
      <c r="Y18" s="17">
        <f>Y7-Y8-1</f>
        <v>17</v>
      </c>
      <c r="AA18" t="s">
        <v>82</v>
      </c>
      <c r="AB18" s="17">
        <f>Y7-3</f>
        <v>17</v>
      </c>
      <c r="AD18">
        <f t="shared" si="12"/>
        <v>11</v>
      </c>
      <c r="AE18">
        <f t="shared" ref="AE18:AF18" si="21">F12</f>
        <v>38490</v>
      </c>
      <c r="AF18">
        <f t="shared" si="21"/>
        <v>5</v>
      </c>
      <c r="AG18">
        <f t="shared" si="2"/>
        <v>65.504244482173178</v>
      </c>
      <c r="AH18">
        <v>104.39318515787488</v>
      </c>
      <c r="AI18">
        <f t="shared" si="4"/>
        <v>-38.888940675701704</v>
      </c>
      <c r="AJ18">
        <v>5.2903972971565918E-2</v>
      </c>
      <c r="AK18">
        <f t="shared" si="5"/>
        <v>-1.3351736348212349</v>
      </c>
      <c r="AL18">
        <f t="shared" si="6"/>
        <v>801.57356716275206</v>
      </c>
      <c r="AM18">
        <f t="shared" si="7"/>
        <v>-1.4114237211717777</v>
      </c>
      <c r="AN18">
        <f t="shared" si="8"/>
        <v>0.17616014397424673</v>
      </c>
      <c r="AO18">
        <f t="shared" si="9"/>
        <v>3.5047294611365097E-2</v>
      </c>
      <c r="AP18">
        <f t="shared" si="10"/>
        <v>-0.33358349049325398</v>
      </c>
      <c r="AQ18" t="str">
        <f t="shared" si="11"/>
        <v/>
      </c>
    </row>
    <row r="19" spans="1:43" ht="15" thickBot="1" x14ac:dyDescent="0.35">
      <c r="A19" s="3">
        <v>19</v>
      </c>
      <c r="B19" s="3" t="s">
        <v>28</v>
      </c>
      <c r="C19" s="3">
        <v>9.1999999999999993</v>
      </c>
      <c r="D19" s="3">
        <v>2113.4</v>
      </c>
      <c r="E19" s="5">
        <f t="shared" si="0"/>
        <v>229.71739130434784</v>
      </c>
      <c r="F19" s="6">
        <v>51950</v>
      </c>
      <c r="G19" s="3">
        <v>7.6</v>
      </c>
      <c r="X19" t="s">
        <v>56</v>
      </c>
      <c r="Y19" s="19">
        <f>_xlfn.F.DIST.RT(Y16,Y17,Y18)</f>
        <v>0.13237521277810574</v>
      </c>
      <c r="AA19" t="s">
        <v>56</v>
      </c>
      <c r="AB19" s="19">
        <f>_xlfn.F.DIST.RT(AB16,AB17,AB18)</f>
        <v>0.27062634071431935</v>
      </c>
      <c r="AD19">
        <f t="shared" si="12"/>
        <v>12</v>
      </c>
      <c r="AE19">
        <f t="shared" ref="AE19:AF19" si="22">F13</f>
        <v>52960</v>
      </c>
      <c r="AF19">
        <f t="shared" si="22"/>
        <v>5</v>
      </c>
      <c r="AG19">
        <f t="shared" si="2"/>
        <v>131.42424242424244</v>
      </c>
      <c r="AH19">
        <v>129.32743020366144</v>
      </c>
      <c r="AI19">
        <f t="shared" si="4"/>
        <v>2.0968122205810005</v>
      </c>
      <c r="AJ19">
        <v>0.12030281417778932</v>
      </c>
      <c r="AK19">
        <f t="shared" si="5"/>
        <v>7.1989834267713798E-2</v>
      </c>
      <c r="AL19">
        <f t="shared" si="6"/>
        <v>901.06296627099084</v>
      </c>
      <c r="AM19">
        <f t="shared" si="7"/>
        <v>7.4475832668854491E-2</v>
      </c>
      <c r="AN19">
        <f t="shared" si="8"/>
        <v>0.94150112352909598</v>
      </c>
      <c r="AO19">
        <f t="shared" si="9"/>
        <v>2.6855328810454753E-4</v>
      </c>
      <c r="AP19">
        <f t="shared" si="10"/>
        <v>2.754144101277637E-2</v>
      </c>
      <c r="AQ19" t="str">
        <f t="shared" si="11"/>
        <v/>
      </c>
    </row>
    <row r="20" spans="1:43" ht="15" thickTop="1" x14ac:dyDescent="0.3">
      <c r="A20" s="3">
        <v>20</v>
      </c>
      <c r="B20" s="3" t="s">
        <v>29</v>
      </c>
      <c r="C20" s="3">
        <v>75.8</v>
      </c>
      <c r="D20" s="3">
        <v>2879</v>
      </c>
      <c r="E20" s="5">
        <f t="shared" si="0"/>
        <v>37.981530343007918</v>
      </c>
      <c r="F20" s="6">
        <v>9940</v>
      </c>
      <c r="G20" s="3">
        <v>3.7</v>
      </c>
      <c r="I20" s="12"/>
      <c r="J20" s="12" t="s">
        <v>61</v>
      </c>
      <c r="K20" s="12" t="s">
        <v>62</v>
      </c>
      <c r="L20" s="12" t="s">
        <v>63</v>
      </c>
      <c r="M20" s="12" t="s">
        <v>56</v>
      </c>
      <c r="N20" s="12" t="s">
        <v>64</v>
      </c>
      <c r="O20" s="12" t="s">
        <v>65</v>
      </c>
      <c r="P20" s="12" t="s">
        <v>66</v>
      </c>
      <c r="AD20">
        <f t="shared" si="12"/>
        <v>13</v>
      </c>
      <c r="AE20">
        <f t="shared" ref="AE20:AF20" si="23">F14</f>
        <v>13850</v>
      </c>
      <c r="AF20">
        <f t="shared" si="23"/>
        <v>5.6</v>
      </c>
      <c r="AG20">
        <f t="shared" si="2"/>
        <v>74.921052631578945</v>
      </c>
      <c r="AH20">
        <v>71.120162581739777</v>
      </c>
      <c r="AI20">
        <f t="shared" si="4"/>
        <v>3.8008900498391682</v>
      </c>
      <c r="AJ20">
        <v>0.21185292085817903</v>
      </c>
      <c r="AK20">
        <f t="shared" si="5"/>
        <v>0.13049592236824428</v>
      </c>
      <c r="AL20">
        <f t="shared" si="6"/>
        <v>900.22970649136937</v>
      </c>
      <c r="AM20">
        <f t="shared" si="7"/>
        <v>0.14269376647110255</v>
      </c>
      <c r="AN20">
        <f t="shared" si="8"/>
        <v>0.88820964464917251</v>
      </c>
      <c r="AO20">
        <f t="shared" si="9"/>
        <v>1.9359428980477763E-3</v>
      </c>
      <c r="AP20">
        <f t="shared" si="10"/>
        <v>7.3980726931401217E-2</v>
      </c>
      <c r="AQ20" t="str">
        <f t="shared" si="11"/>
        <v/>
      </c>
    </row>
    <row r="21" spans="1:43" x14ac:dyDescent="0.3">
      <c r="A21" s="3">
        <v>21</v>
      </c>
      <c r="B21" s="3" t="s">
        <v>30</v>
      </c>
      <c r="C21" s="3">
        <v>61</v>
      </c>
      <c r="D21" s="3">
        <v>9887.2000000000007</v>
      </c>
      <c r="E21" s="5">
        <f t="shared" si="0"/>
        <v>162.08524590163935</v>
      </c>
      <c r="F21" s="6">
        <v>43540</v>
      </c>
      <c r="G21" s="3">
        <v>4.8</v>
      </c>
      <c r="I21" t="s">
        <v>67</v>
      </c>
      <c r="J21">
        <f t="array" ref="J21:K23">[1]!RegCoeff(F2:G21,E2:E21)</f>
        <v>-38.480261207585365</v>
      </c>
      <c r="K21">
        <v>27.791291639994778</v>
      </c>
      <c r="L21">
        <f>J21/K21</f>
        <v>-1.3846157892211084</v>
      </c>
      <c r="M21" s="20">
        <f>_xlfn.T.DIST.2T(ABS(L21),$J$17)</f>
        <v>0.18407551325044955</v>
      </c>
      <c r="N21">
        <f>J21-_xlfn.T.INV.2T(N$14,$J$17)*K21</f>
        <v>-97.114761237755175</v>
      </c>
      <c r="O21">
        <f>J21+_xlfn.T.INV.2T(N$14,$J$17)*K21</f>
        <v>20.154238822584446</v>
      </c>
      <c r="AD21">
        <f t="shared" si="12"/>
        <v>14</v>
      </c>
      <c r="AE21">
        <f t="shared" ref="AE21:AF21" si="24">F15</f>
        <v>22920</v>
      </c>
      <c r="AF21">
        <f t="shared" si="24"/>
        <v>5.9</v>
      </c>
      <c r="AG21">
        <f t="shared" si="2"/>
        <v>68.093457943925245</v>
      </c>
      <c r="AH21">
        <v>91.342220853407895</v>
      </c>
      <c r="AI21">
        <f t="shared" si="4"/>
        <v>-23.24876290948265</v>
      </c>
      <c r="AJ21">
        <v>0.15706886434350803</v>
      </c>
      <c r="AK21">
        <f t="shared" si="5"/>
        <v>-0.79819955852759827</v>
      </c>
      <c r="AL21">
        <f t="shared" si="6"/>
        <v>861.29903383215458</v>
      </c>
      <c r="AM21">
        <f t="shared" si="7"/>
        <v>-0.86283314668269295</v>
      </c>
      <c r="AN21">
        <f t="shared" si="8"/>
        <v>0.40023831525044773</v>
      </c>
      <c r="AO21">
        <f t="shared" si="9"/>
        <v>4.6946976057445196E-2</v>
      </c>
      <c r="AP21">
        <f t="shared" si="10"/>
        <v>-0.37245672873809871</v>
      </c>
      <c r="AQ21" t="str">
        <f t="shared" si="11"/>
        <v/>
      </c>
    </row>
    <row r="22" spans="1:43" x14ac:dyDescent="0.3">
      <c r="I22" t="str">
        <f t="array" ref="I22:I23">TRANSPOSE(F1:G1)</f>
        <v>GNP per head</v>
      </c>
      <c r="J22">
        <v>1.7231682823625821E-3</v>
      </c>
      <c r="K22">
        <v>4.3320163487118777E-4</v>
      </c>
      <c r="L22">
        <f t="shared" ref="L22:L23" si="25">J22/K22</f>
        <v>3.9777511063063393</v>
      </c>
      <c r="M22" s="20">
        <f t="shared" ref="M22:M23" si="26">_xlfn.T.DIST.2T(ABS(L22),$J$17)</f>
        <v>9.7300574314048783E-4</v>
      </c>
      <c r="N22">
        <f t="shared" ref="N22:N23" si="27">J22-_xlfn.T.INV.2T(N$14,$J$17)*K22</f>
        <v>8.091927247684895E-4</v>
      </c>
      <c r="O22">
        <f t="shared" ref="O22:O23" si="28">J22+_xlfn.T.INV.2T(N$14,$J$17)*K22</f>
        <v>2.6371438399566747E-3</v>
      </c>
      <c r="P22">
        <f>[1]!VIF(F2:G21,1)</f>
        <v>1.4917695576810772</v>
      </c>
      <c r="AD22">
        <f t="shared" si="12"/>
        <v>15</v>
      </c>
      <c r="AE22">
        <f t="shared" ref="AE22:AF22" si="29">F16</f>
        <v>9300</v>
      </c>
      <c r="AF22">
        <f t="shared" si="29"/>
        <v>3.3</v>
      </c>
      <c r="AG22">
        <f t="shared" si="2"/>
        <v>32.262910798122064</v>
      </c>
      <c r="AH22">
        <v>28.067345275420784</v>
      </c>
      <c r="AI22">
        <f t="shared" si="4"/>
        <v>4.1955655227012798</v>
      </c>
      <c r="AJ22">
        <v>0.18684121710030177</v>
      </c>
      <c r="AK22">
        <f t="shared" si="5"/>
        <v>0.14404631166967741</v>
      </c>
      <c r="AL22">
        <f t="shared" si="6"/>
        <v>900.0223715676608</v>
      </c>
      <c r="AM22">
        <f t="shared" si="7"/>
        <v>0.15508727922239174</v>
      </c>
      <c r="AN22">
        <f t="shared" si="8"/>
        <v>0.8785790090037815</v>
      </c>
      <c r="AO22">
        <f t="shared" si="9"/>
        <v>1.9543619730129761E-3</v>
      </c>
      <c r="AP22">
        <f t="shared" si="10"/>
        <v>7.4340391215567056E-2</v>
      </c>
      <c r="AQ22" t="str">
        <f t="shared" si="11"/>
        <v/>
      </c>
    </row>
    <row r="23" spans="1:43" x14ac:dyDescent="0.3">
      <c r="I23" s="10" t="str">
        <v>%age spend on education</v>
      </c>
      <c r="J23" s="10">
        <v>15.309739835464891</v>
      </c>
      <c r="K23" s="10">
        <v>6.3958258117125952</v>
      </c>
      <c r="L23" s="10">
        <f t="shared" si="25"/>
        <v>2.3937080661934784</v>
      </c>
      <c r="M23" s="22">
        <f t="shared" si="26"/>
        <v>2.848658913699717E-2</v>
      </c>
      <c r="N23" s="10">
        <f t="shared" si="27"/>
        <v>1.8157269048052385</v>
      </c>
      <c r="O23" s="10">
        <f t="shared" si="28"/>
        <v>28.803752766124543</v>
      </c>
      <c r="P23" s="10">
        <f>[1]!VIF(F2:G21,2)</f>
        <v>1.4917695576810777</v>
      </c>
      <c r="AD23">
        <f t="shared" si="12"/>
        <v>16</v>
      </c>
      <c r="AE23">
        <f t="shared" ref="AE23:AF23" si="30">F17</f>
        <v>35220</v>
      </c>
      <c r="AF23">
        <f t="shared" si="30"/>
        <v>4.4000000000000004</v>
      </c>
      <c r="AG23">
        <f t="shared" si="2"/>
        <v>105.93303571428572</v>
      </c>
      <c r="AH23">
        <v>89.572580973270306</v>
      </c>
      <c r="AI23">
        <f t="shared" si="4"/>
        <v>16.360454741015417</v>
      </c>
      <c r="AJ23">
        <v>7.2764431170819904E-2</v>
      </c>
      <c r="AK23">
        <f t="shared" si="5"/>
        <v>0.56170333890165058</v>
      </c>
      <c r="AL23">
        <f t="shared" si="6"/>
        <v>883.33350008104071</v>
      </c>
      <c r="AM23">
        <f t="shared" si="7"/>
        <v>0.57166022874938904</v>
      </c>
      <c r="AN23">
        <f t="shared" si="8"/>
        <v>0.57503356784384985</v>
      </c>
      <c r="AO23">
        <f t="shared" si="9"/>
        <v>8.9008550596479125E-3</v>
      </c>
      <c r="AP23">
        <f t="shared" si="10"/>
        <v>0.16014098912948649</v>
      </c>
      <c r="AQ23" t="str">
        <f t="shared" si="11"/>
        <v/>
      </c>
    </row>
    <row r="24" spans="1:43" x14ac:dyDescent="0.3">
      <c r="AD24">
        <f t="shared" si="12"/>
        <v>17</v>
      </c>
      <c r="AE24">
        <f t="shared" ref="AE24:AF24" si="31">F18</f>
        <v>64430</v>
      </c>
      <c r="AF24">
        <f t="shared" si="31"/>
        <v>5.6</v>
      </c>
      <c r="AG24">
        <f t="shared" si="2"/>
        <v>150.72</v>
      </c>
      <c r="AH24">
        <v>158.2780143036392</v>
      </c>
      <c r="AI24">
        <f t="shared" si="4"/>
        <v>-7.5580143036391974</v>
      </c>
      <c r="AJ24">
        <v>0.18627489996566585</v>
      </c>
      <c r="AK24">
        <f t="shared" si="5"/>
        <v>-0.25948923407229701</v>
      </c>
      <c r="AL24">
        <f t="shared" si="6"/>
        <v>896.98782780206034</v>
      </c>
      <c r="AM24">
        <f t="shared" si="7"/>
        <v>-0.27975353205605258</v>
      </c>
      <c r="AN24">
        <f t="shared" si="8"/>
        <v>0.78304193945074241</v>
      </c>
      <c r="AO24">
        <f t="shared" si="9"/>
        <v>6.3141711222620064E-3</v>
      </c>
      <c r="AP24">
        <f t="shared" si="10"/>
        <v>-0.13384861808658885</v>
      </c>
      <c r="AQ24" t="str">
        <f t="shared" si="11"/>
        <v/>
      </c>
    </row>
    <row r="25" spans="1:43" x14ac:dyDescent="0.3">
      <c r="AD25">
        <f t="shared" si="12"/>
        <v>18</v>
      </c>
      <c r="AE25">
        <f t="shared" ref="AE25:AF25" si="32">F19</f>
        <v>51950</v>
      </c>
      <c r="AF25">
        <f t="shared" si="32"/>
        <v>7.6</v>
      </c>
      <c r="AG25">
        <f t="shared" si="2"/>
        <v>229.71739130434784</v>
      </c>
      <c r="AH25">
        <v>167.39235381068394</v>
      </c>
      <c r="AI25">
        <f t="shared" si="4"/>
        <v>62.325037493663899</v>
      </c>
      <c r="AJ25">
        <v>0.25418285705448485</v>
      </c>
      <c r="AK25">
        <f t="shared" si="5"/>
        <v>2.1398049266684858</v>
      </c>
      <c r="AL25">
        <f t="shared" si="6"/>
        <v>575.8590246721692</v>
      </c>
      <c r="AM25">
        <f t="shared" si="7"/>
        <v>3.0073798044524263</v>
      </c>
      <c r="AN25">
        <f t="shared" si="8"/>
        <v>7.9289325608904379E-3</v>
      </c>
      <c r="AO25">
        <f t="shared" si="9"/>
        <v>0.69744288028297452</v>
      </c>
      <c r="AP25">
        <f t="shared" si="10"/>
        <v>1.7556794533561175</v>
      </c>
      <c r="AQ25" t="str">
        <f t="shared" si="11"/>
        <v>*</v>
      </c>
    </row>
    <row r="26" spans="1:43" x14ac:dyDescent="0.3">
      <c r="AD26">
        <f t="shared" si="12"/>
        <v>19</v>
      </c>
      <c r="AE26">
        <f t="shared" ref="AE26:AF26" si="33">F20</f>
        <v>9940</v>
      </c>
      <c r="AF26">
        <f t="shared" si="33"/>
        <v>3.7</v>
      </c>
      <c r="AG26">
        <f t="shared" si="2"/>
        <v>37.981530343007918</v>
      </c>
      <c r="AH26">
        <v>35.294068910318792</v>
      </c>
      <c r="AI26">
        <f t="shared" si="4"/>
        <v>2.6874614326891262</v>
      </c>
      <c r="AJ26">
        <v>0.16047334291912166</v>
      </c>
      <c r="AK26">
        <f t="shared" si="5"/>
        <v>9.226858811732544E-2</v>
      </c>
      <c r="AL26">
        <f t="shared" si="6"/>
        <v>900.83764622426463</v>
      </c>
      <c r="AM26">
        <f t="shared" si="7"/>
        <v>9.7724111732606797E-2</v>
      </c>
      <c r="AN26">
        <f t="shared" si="8"/>
        <v>0.92329432786322907</v>
      </c>
      <c r="AO26">
        <f t="shared" si="9"/>
        <v>6.4613075598672241E-4</v>
      </c>
      <c r="AP26">
        <f t="shared" si="10"/>
        <v>4.2725380208562265E-2</v>
      </c>
      <c r="AQ26" t="str">
        <f t="shared" si="11"/>
        <v/>
      </c>
    </row>
    <row r="27" spans="1:43" x14ac:dyDescent="0.3">
      <c r="AD27" s="10">
        <f t="shared" si="12"/>
        <v>20</v>
      </c>
      <c r="AE27" s="10">
        <f t="shared" ref="AE27:AF27" si="34">F21</f>
        <v>43540</v>
      </c>
      <c r="AF27" s="10">
        <f t="shared" si="34"/>
        <v>4.8</v>
      </c>
      <c r="AG27" s="10">
        <f t="shared" si="2"/>
        <v>162.08524590163935</v>
      </c>
      <c r="AH27" s="10">
        <v>110.03323701671295</v>
      </c>
      <c r="AI27" s="10">
        <f t="shared" si="4"/>
        <v>52.052008884926408</v>
      </c>
      <c r="AJ27" s="10">
        <v>7.5705684285743979E-2</v>
      </c>
      <c r="AK27" s="10">
        <f t="shared" si="5"/>
        <v>1.7871011319693242</v>
      </c>
      <c r="AL27" s="10">
        <f t="shared" si="6"/>
        <v>718.16721066904279</v>
      </c>
      <c r="AM27" s="10">
        <f t="shared" si="7"/>
        <v>2.0203172306300301</v>
      </c>
      <c r="AN27" s="10">
        <f t="shared" si="8"/>
        <v>5.9394748251099222E-2</v>
      </c>
      <c r="AO27" s="10">
        <f t="shared" si="9"/>
        <v>9.4337623163782414E-2</v>
      </c>
      <c r="AP27" s="10">
        <f t="shared" si="10"/>
        <v>0.57820077754605914</v>
      </c>
      <c r="AQ27" t="str">
        <f t="shared" si="11"/>
        <v/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39"/>
  <sheetViews>
    <sheetView topLeftCell="O1" workbookViewId="0">
      <selection activeCell="T28" sqref="T28"/>
    </sheetView>
  </sheetViews>
  <sheetFormatPr defaultRowHeight="14.4" x14ac:dyDescent="0.3"/>
  <cols>
    <col min="11" max="11" width="13" customWidth="1"/>
    <col min="12" max="12" width="19.109375" customWidth="1"/>
    <col min="21" max="21" width="12.109375" customWidth="1"/>
  </cols>
  <sheetData>
    <row r="1" spans="1:53" x14ac:dyDescent="0.3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</row>
    <row r="2" spans="1:53" x14ac:dyDescent="0.3">
      <c r="A2" s="7">
        <v>79</v>
      </c>
      <c r="B2" s="7">
        <v>1</v>
      </c>
      <c r="C2" s="7">
        <v>2910</v>
      </c>
      <c r="D2" s="7">
        <v>2640</v>
      </c>
      <c r="E2" s="7">
        <v>5.7</v>
      </c>
      <c r="F2" s="7">
        <v>9.4</v>
      </c>
      <c r="G2">
        <f>IF(B2=2,1,0)</f>
        <v>0</v>
      </c>
      <c r="H2">
        <f>IF(B2=3,1,0)</f>
        <v>0</v>
      </c>
      <c r="I2">
        <f>IF(B2=4,1,0)</f>
        <v>0</v>
      </c>
    </row>
    <row r="3" spans="1:53" x14ac:dyDescent="0.3">
      <c r="A3" s="7">
        <v>79</v>
      </c>
      <c r="B3" s="7">
        <v>2</v>
      </c>
      <c r="C3" s="7">
        <v>2562</v>
      </c>
      <c r="D3" s="7">
        <v>2595</v>
      </c>
      <c r="E3" s="7">
        <v>5.9</v>
      </c>
      <c r="F3" s="7">
        <v>9.6999999999999993</v>
      </c>
      <c r="G3">
        <f t="shared" ref="G3:G33" si="0">IF(B3=2,1,0)</f>
        <v>1</v>
      </c>
      <c r="H3">
        <f t="shared" ref="H3:H33" si="1">IF(B3=3,1,0)</f>
        <v>0</v>
      </c>
      <c r="I3">
        <f t="shared" ref="I3:I33" si="2">IF(B3=4,1,0)</f>
        <v>0</v>
      </c>
      <c r="M3" t="s">
        <v>40</v>
      </c>
      <c r="V3" t="s">
        <v>68</v>
      </c>
      <c r="Y3" t="s">
        <v>74</v>
      </c>
      <c r="AB3" t="s">
        <v>75</v>
      </c>
      <c r="AH3" t="s">
        <v>84</v>
      </c>
    </row>
    <row r="4" spans="1:53" ht="15" thickBot="1" x14ac:dyDescent="0.35">
      <c r="A4" s="7">
        <v>79</v>
      </c>
      <c r="B4" s="7">
        <v>3</v>
      </c>
      <c r="C4" s="7">
        <v>2385</v>
      </c>
      <c r="D4" s="7">
        <v>2701</v>
      </c>
      <c r="E4" s="7">
        <v>6</v>
      </c>
      <c r="F4" s="7">
        <v>11.9</v>
      </c>
      <c r="G4">
        <f t="shared" si="0"/>
        <v>0</v>
      </c>
      <c r="H4">
        <f t="shared" si="1"/>
        <v>1</v>
      </c>
      <c r="I4">
        <f t="shared" si="2"/>
        <v>0</v>
      </c>
    </row>
    <row r="5" spans="1:53" ht="15.6" thickTop="1" thickBot="1" x14ac:dyDescent="0.35">
      <c r="A5" s="7">
        <v>79</v>
      </c>
      <c r="B5" s="7">
        <v>4</v>
      </c>
      <c r="C5" s="7">
        <v>2520</v>
      </c>
      <c r="D5" s="7">
        <v>2785</v>
      </c>
      <c r="E5" s="7">
        <v>6.2</v>
      </c>
      <c r="F5" s="7">
        <v>13.4</v>
      </c>
      <c r="G5">
        <f t="shared" si="0"/>
        <v>0</v>
      </c>
      <c r="H5">
        <f t="shared" si="1"/>
        <v>0</v>
      </c>
      <c r="I5">
        <f t="shared" si="2"/>
        <v>1</v>
      </c>
      <c r="M5" s="9" t="s">
        <v>41</v>
      </c>
      <c r="N5" s="9"/>
      <c r="P5" s="9"/>
      <c r="Q5" s="9"/>
      <c r="V5" s="13" t="s">
        <v>69</v>
      </c>
      <c r="W5" s="13">
        <f>[1]!SHAPIRO([1]!RegE(D2:I32,C2:C32))</f>
        <v>0.96589757106886065</v>
      </c>
      <c r="Y5" t="s">
        <v>51</v>
      </c>
      <c r="Z5" s="15">
        <v>0.05</v>
      </c>
      <c r="AB5" t="s">
        <v>76</v>
      </c>
      <c r="AC5" s="16">
        <f>COUNT(C2:C32)</f>
        <v>31</v>
      </c>
      <c r="AH5" s="12" t="s">
        <v>85</v>
      </c>
      <c r="AI5" s="12" t="str">
        <f>D1</f>
        <v>GNP</v>
      </c>
      <c r="AJ5" s="12" t="str">
        <f t="shared" ref="AJ5:AN5" si="3">E1</f>
        <v>Unemp</v>
      </c>
      <c r="AK5" s="12" t="str">
        <f t="shared" si="3"/>
        <v>Int</v>
      </c>
      <c r="AL5" s="12" t="str">
        <f t="shared" si="3"/>
        <v>Q2</v>
      </c>
      <c r="AM5" s="12" t="str">
        <f t="shared" si="3"/>
        <v>Q3</v>
      </c>
      <c r="AN5" s="12" t="str">
        <f t="shared" si="3"/>
        <v>Q4</v>
      </c>
      <c r="AO5" s="12" t="str">
        <f>C1</f>
        <v>Sales</v>
      </c>
      <c r="AP5" s="12" t="s">
        <v>86</v>
      </c>
      <c r="AQ5" s="12" t="s">
        <v>59</v>
      </c>
      <c r="AR5" s="12" t="s">
        <v>87</v>
      </c>
      <c r="AS5" s="23" t="s">
        <v>88</v>
      </c>
      <c r="AT5" s="12" t="s">
        <v>89</v>
      </c>
      <c r="AU5" s="12" t="s">
        <v>90</v>
      </c>
      <c r="AV5" s="12" t="s">
        <v>91</v>
      </c>
      <c r="AW5" s="12" t="s">
        <v>84</v>
      </c>
      <c r="AX5" s="12" t="s">
        <v>92</v>
      </c>
    </row>
    <row r="6" spans="1:53" ht="15" thickTop="1" x14ac:dyDescent="0.3">
      <c r="A6" s="7">
        <v>80</v>
      </c>
      <c r="B6" s="7">
        <v>1</v>
      </c>
      <c r="C6" s="7">
        <v>2142</v>
      </c>
      <c r="D6" s="7">
        <v>2509</v>
      </c>
      <c r="E6" s="7">
        <v>7.3</v>
      </c>
      <c r="F6" s="7">
        <v>9.6</v>
      </c>
      <c r="G6">
        <f t="shared" si="0"/>
        <v>0</v>
      </c>
      <c r="H6">
        <f t="shared" si="1"/>
        <v>0</v>
      </c>
      <c r="I6">
        <f t="shared" si="2"/>
        <v>0</v>
      </c>
      <c r="M6" t="s">
        <v>42</v>
      </c>
      <c r="N6">
        <f>SQRT(N7)</f>
        <v>0.8969424504053839</v>
      </c>
      <c r="P6" t="s">
        <v>47</v>
      </c>
      <c r="Q6">
        <f>N10*LN(O15/N10)+2*(N14+1)</f>
        <v>328.13210008905298</v>
      </c>
      <c r="U6" t="s">
        <v>99</v>
      </c>
      <c r="V6" t="s">
        <v>56</v>
      </c>
      <c r="W6" s="20">
        <f>[1]!SWTEST([1]!RegE(D2:I32,C2:C32))</f>
        <v>0.41381247317075254</v>
      </c>
      <c r="AB6" t="s">
        <v>77</v>
      </c>
      <c r="AC6" s="19">
        <f>COLUMNS(D2:I32)</f>
        <v>6</v>
      </c>
      <c r="AH6">
        <v>1</v>
      </c>
      <c r="AI6">
        <f t="shared" ref="AI6:AI36" si="4">D2</f>
        <v>2640</v>
      </c>
      <c r="AJ6">
        <f t="shared" ref="AJ6:AJ36" si="5">E2</f>
        <v>5.7</v>
      </c>
      <c r="AK6">
        <f t="shared" ref="AK6:AK36" si="6">F2</f>
        <v>9.4</v>
      </c>
      <c r="AL6">
        <f t="shared" ref="AL6:AL36" si="7">G2</f>
        <v>0</v>
      </c>
      <c r="AM6">
        <f t="shared" ref="AM6:AM36" si="8">H2</f>
        <v>0</v>
      </c>
      <c r="AN6">
        <f t="shared" ref="AN6:AN36" si="9">I2</f>
        <v>0</v>
      </c>
      <c r="AO6">
        <f t="shared" ref="AO6:AO36" si="10">C2</f>
        <v>2910</v>
      </c>
      <c r="AP6">
        <f t="array" ref="AP6:AP36">TREND(C2:C32,D2:I32)</f>
        <v>2754.5442240221132</v>
      </c>
      <c r="AQ6">
        <f>AO6-AP6</f>
        <v>155.45577597788679</v>
      </c>
      <c r="AR6">
        <f t="array" ref="AR6:AR36">[1]!LEVERAGE(D2:I32)</f>
        <v>0.3739382940393855</v>
      </c>
      <c r="AS6" s="20">
        <f>AQ6/SQRT($BA$8)</f>
        <v>0.86221366277504796</v>
      </c>
      <c r="AT6">
        <f>($BA$8-AQ6^2/((1-AR6)*$BA$7))*$BA$7/($BA$7-1)</f>
        <v>32242.600458270103</v>
      </c>
      <c r="AU6">
        <f>AQ6/SQRT(AT6*(1-AR6))</f>
        <v>1.0941661172580999</v>
      </c>
      <c r="AV6">
        <f>_xlfn.T.DIST.2T(ABS(AU6),$BA$7)</f>
        <v>0.28474250706341736</v>
      </c>
      <c r="AW6">
        <f>(AQ6^2/$BA$8)*(AR6/(1-AR6)^2)/($BA$9+1)</f>
        <v>0.1013205229626271</v>
      </c>
      <c r="AX6">
        <f>AU6*SQRT(AR6/(1-AR6))</f>
        <v>0.8456188647827102</v>
      </c>
      <c r="AY6" t="str">
        <f>IF(OR(AV6&lt;0.05,AW6&gt;=1,ABS(AX6)&gt;=1),"*","")</f>
        <v/>
      </c>
      <c r="AZ6" t="s">
        <v>93</v>
      </c>
      <c r="BA6" s="16">
        <f>DEVSQ(AQ6:AQ36)</f>
        <v>780180.63543463126</v>
      </c>
    </row>
    <row r="7" spans="1:53" x14ac:dyDescent="0.3">
      <c r="A7" s="7">
        <v>80</v>
      </c>
      <c r="B7" s="7">
        <v>2</v>
      </c>
      <c r="C7" s="7">
        <v>2130</v>
      </c>
      <c r="D7" s="7">
        <v>2570</v>
      </c>
      <c r="E7" s="7">
        <v>7.7</v>
      </c>
      <c r="F7" s="7">
        <v>9.1999999999999993</v>
      </c>
      <c r="G7">
        <f t="shared" si="0"/>
        <v>1</v>
      </c>
      <c r="H7">
        <f t="shared" si="1"/>
        <v>0</v>
      </c>
      <c r="I7">
        <f t="shared" si="2"/>
        <v>0</v>
      </c>
      <c r="L7" t="s">
        <v>101</v>
      </c>
      <c r="M7" t="s">
        <v>43</v>
      </c>
      <c r="N7">
        <f>O14/O16</f>
        <v>0.80450575933921464</v>
      </c>
      <c r="P7" t="s">
        <v>48</v>
      </c>
      <c r="Q7">
        <f>Q6+2*(N14+2)*(N14+3)/(N10-N14-3)</f>
        <v>334.67755463450754</v>
      </c>
      <c r="U7" t="s">
        <v>97</v>
      </c>
      <c r="V7" t="s">
        <v>70</v>
      </c>
      <c r="W7">
        <v>0.05</v>
      </c>
      <c r="Y7" t="str">
        <f t="array" ref="Y7:Z10">[1]!DURBIN(D2:I32,C2:C32,TRUE,Z5)</f>
        <v>D-stat</v>
      </c>
      <c r="Z7" s="16">
        <v>1.8581338662657554</v>
      </c>
      <c r="AH7">
        <f>AH6+1</f>
        <v>2</v>
      </c>
      <c r="AI7">
        <f t="shared" si="4"/>
        <v>2595</v>
      </c>
      <c r="AJ7">
        <f t="shared" si="5"/>
        <v>5.9</v>
      </c>
      <c r="AK7">
        <f t="shared" si="6"/>
        <v>9.6999999999999993</v>
      </c>
      <c r="AL7">
        <f t="shared" si="7"/>
        <v>1</v>
      </c>
      <c r="AM7">
        <f t="shared" si="8"/>
        <v>0</v>
      </c>
      <c r="AN7">
        <f t="shared" si="9"/>
        <v>0</v>
      </c>
      <c r="AO7">
        <f t="shared" si="10"/>
        <v>2562</v>
      </c>
      <c r="AP7">
        <v>2539.7891145770031</v>
      </c>
      <c r="AQ7">
        <f t="shared" ref="AQ7:AQ36" si="11">AO7-AP7</f>
        <v>22.210885422996853</v>
      </c>
      <c r="AR7">
        <v>0.33714085276814471</v>
      </c>
      <c r="AS7" s="20">
        <f t="shared" ref="AS7:AS36" si="12">AQ7/SQRT($BA$8)</f>
        <v>0.12318956149151482</v>
      </c>
      <c r="AT7">
        <f t="shared" ref="AT7:AT36" si="13">($BA$8-AQ7^2/((1-AR7)*$BA$7))*$BA$7/($BA$7-1)</f>
        <v>33888.539119563953</v>
      </c>
      <c r="AU7">
        <f t="shared" ref="AU7:AU36" si="14">AQ7/SQRT(AT7*(1-AR7))</f>
        <v>0.14819338599852666</v>
      </c>
      <c r="AV7">
        <f t="shared" ref="AV7:AV36" si="15">_xlfn.T.DIST.2T(ABS(AU7),$BA$7)</f>
        <v>0.88342822222800732</v>
      </c>
      <c r="AW7">
        <f t="shared" ref="AW7:AW36" si="16">(AQ7^2/$BA$8)*(AR7/(1-AR7)^2)/($BA$9+1)</f>
        <v>1.6634840919350249E-3</v>
      </c>
      <c r="AX7">
        <f t="shared" ref="AX7:AX36" si="17">AU7*SQRT(AR7/(1-AR7))</f>
        <v>0.1056875632223222</v>
      </c>
      <c r="AY7" t="str">
        <f t="shared" ref="AY7:AY36" si="18">IF(OR(AV7&lt;0.05,AW7&gt;=1,ABS(AX7)&gt;=1),"*","")</f>
        <v/>
      </c>
      <c r="AZ7" t="s">
        <v>94</v>
      </c>
      <c r="BA7" s="17">
        <f>COUNT(C2:C32)-BA9-1</f>
        <v>24</v>
      </c>
    </row>
    <row r="8" spans="1:53" x14ac:dyDescent="0.3">
      <c r="A8" s="7">
        <v>80</v>
      </c>
      <c r="B8" s="7">
        <v>3</v>
      </c>
      <c r="C8" s="7">
        <v>2190</v>
      </c>
      <c r="D8" s="7">
        <v>2667</v>
      </c>
      <c r="E8" s="7">
        <v>7.4</v>
      </c>
      <c r="F8" s="7">
        <v>13.6</v>
      </c>
      <c r="G8">
        <f t="shared" si="0"/>
        <v>0</v>
      </c>
      <c r="H8">
        <f t="shared" si="1"/>
        <v>1</v>
      </c>
      <c r="I8">
        <f t="shared" si="2"/>
        <v>0</v>
      </c>
      <c r="L8" t="s">
        <v>102</v>
      </c>
      <c r="M8" t="s">
        <v>44</v>
      </c>
      <c r="N8">
        <f>1-(1-N7)*(N10-1)/(N10-N14-1)</f>
        <v>0.75563219917401836</v>
      </c>
      <c r="P8" s="10" t="s">
        <v>49</v>
      </c>
      <c r="Q8" s="10">
        <f>N10*LN(O15/N10)+(N14+1)*LN(N10)</f>
        <v>338.17001052044901</v>
      </c>
      <c r="V8" s="10" t="s">
        <v>71</v>
      </c>
      <c r="W8" s="14" t="str">
        <f>IF(W6&lt;W7,"no","yes")</f>
        <v>yes</v>
      </c>
      <c r="Y8" t="str">
        <v>D-lower</v>
      </c>
      <c r="Z8" s="17">
        <v>1.0200800000000001</v>
      </c>
      <c r="AB8" t="s">
        <v>78</v>
      </c>
      <c r="AE8" t="s">
        <v>83</v>
      </c>
      <c r="AH8">
        <f t="shared" ref="AH8:AH36" si="19">AH7+1</f>
        <v>3</v>
      </c>
      <c r="AI8">
        <f t="shared" si="4"/>
        <v>2701</v>
      </c>
      <c r="AJ8">
        <f t="shared" si="5"/>
        <v>6</v>
      </c>
      <c r="AK8">
        <f t="shared" si="6"/>
        <v>11.9</v>
      </c>
      <c r="AL8">
        <f t="shared" si="7"/>
        <v>0</v>
      </c>
      <c r="AM8">
        <f t="shared" si="8"/>
        <v>1</v>
      </c>
      <c r="AN8">
        <f t="shared" si="9"/>
        <v>0</v>
      </c>
      <c r="AO8">
        <f t="shared" si="10"/>
        <v>2385</v>
      </c>
      <c r="AP8">
        <v>2276.856814866097</v>
      </c>
      <c r="AQ8">
        <f t="shared" si="11"/>
        <v>108.14318513390299</v>
      </c>
      <c r="AR8">
        <v>0.25064490026708458</v>
      </c>
      <c r="AS8" s="20">
        <f t="shared" si="12"/>
        <v>0.59980101203654301</v>
      </c>
      <c r="AT8">
        <f t="shared" si="13"/>
        <v>33242.345700300088</v>
      </c>
      <c r="AU8">
        <f t="shared" si="14"/>
        <v>0.6851875959351883</v>
      </c>
      <c r="AV8">
        <f t="shared" si="15"/>
        <v>0.49979050380995926</v>
      </c>
      <c r="AW8">
        <f t="shared" si="16"/>
        <v>2.2940341916394619E-2</v>
      </c>
      <c r="AX8">
        <f t="shared" si="17"/>
        <v>0.39627355862925645</v>
      </c>
      <c r="AY8" t="str">
        <f t="shared" si="18"/>
        <v/>
      </c>
      <c r="AZ8" t="s">
        <v>95</v>
      </c>
      <c r="BA8" s="17">
        <f>BA6/BA7</f>
        <v>32507.52647644297</v>
      </c>
    </row>
    <row r="9" spans="1:53" x14ac:dyDescent="0.3">
      <c r="A9" s="7">
        <v>80</v>
      </c>
      <c r="B9" s="7">
        <v>4</v>
      </c>
      <c r="C9" s="7">
        <v>2370</v>
      </c>
      <c r="D9" s="7">
        <v>2878</v>
      </c>
      <c r="E9" s="7">
        <v>7.4</v>
      </c>
      <c r="F9" s="7">
        <v>14.4</v>
      </c>
      <c r="G9">
        <f t="shared" si="0"/>
        <v>0</v>
      </c>
      <c r="H9">
        <f t="shared" si="1"/>
        <v>0</v>
      </c>
      <c r="I9">
        <f t="shared" si="2"/>
        <v>1</v>
      </c>
      <c r="K9" t="s">
        <v>103</v>
      </c>
      <c r="L9">
        <f>SQRT(N9)</f>
        <v>13.427525358552789</v>
      </c>
      <c r="M9" t="s">
        <v>45</v>
      </c>
      <c r="N9">
        <f>SQRT(P15)</f>
        <v>180.29843725457818</v>
      </c>
      <c r="Y9" t="str">
        <v>D-upper</v>
      </c>
      <c r="Z9" s="17">
        <v>1.9197599999999999</v>
      </c>
      <c r="AH9">
        <f t="shared" si="19"/>
        <v>4</v>
      </c>
      <c r="AI9">
        <f t="shared" si="4"/>
        <v>2785</v>
      </c>
      <c r="AJ9">
        <f t="shared" si="5"/>
        <v>6.2</v>
      </c>
      <c r="AK9">
        <f t="shared" si="6"/>
        <v>13.4</v>
      </c>
      <c r="AL9">
        <f t="shared" si="7"/>
        <v>0</v>
      </c>
      <c r="AM9">
        <f t="shared" si="8"/>
        <v>0</v>
      </c>
      <c r="AN9">
        <f t="shared" si="9"/>
        <v>1</v>
      </c>
      <c r="AO9">
        <f t="shared" si="10"/>
        <v>2520</v>
      </c>
      <c r="AP9">
        <v>2376.7106302426482</v>
      </c>
      <c r="AQ9">
        <f t="shared" si="11"/>
        <v>143.28936975735178</v>
      </c>
      <c r="AR9">
        <v>0.24552655873671875</v>
      </c>
      <c r="AS9" s="20">
        <f t="shared" si="12"/>
        <v>0.79473439669934554</v>
      </c>
      <c r="AT9">
        <f t="shared" si="13"/>
        <v>32737.702664850047</v>
      </c>
      <c r="AU9">
        <f t="shared" si="14"/>
        <v>0.91173346179008707</v>
      </c>
      <c r="AV9">
        <f t="shared" si="15"/>
        <v>0.37097656247728406</v>
      </c>
      <c r="AW9">
        <f t="shared" si="16"/>
        <v>3.8918540380059888E-2</v>
      </c>
      <c r="AX9">
        <f t="shared" si="17"/>
        <v>0.52010994076886774</v>
      </c>
      <c r="AY9" t="str">
        <f t="shared" si="18"/>
        <v/>
      </c>
      <c r="AZ9" t="s">
        <v>96</v>
      </c>
      <c r="BA9" s="19">
        <f>COUNT(D2:I2)</f>
        <v>6</v>
      </c>
    </row>
    <row r="10" spans="1:53" x14ac:dyDescent="0.3">
      <c r="A10" s="7">
        <v>81</v>
      </c>
      <c r="B10" s="7">
        <v>1</v>
      </c>
      <c r="C10" s="7">
        <v>2208</v>
      </c>
      <c r="D10" s="7">
        <v>2835</v>
      </c>
      <c r="E10" s="7">
        <v>7.4</v>
      </c>
      <c r="F10" s="7">
        <v>15.3</v>
      </c>
      <c r="G10">
        <f t="shared" si="0"/>
        <v>0</v>
      </c>
      <c r="H10">
        <f t="shared" si="1"/>
        <v>0</v>
      </c>
      <c r="I10">
        <f t="shared" si="2"/>
        <v>0</v>
      </c>
      <c r="K10" t="s">
        <v>104</v>
      </c>
      <c r="M10" s="10" t="s">
        <v>46</v>
      </c>
      <c r="N10" s="10">
        <f>COUNT(C2:C32)</f>
        <v>31</v>
      </c>
      <c r="V10" t="s">
        <v>72</v>
      </c>
      <c r="Y10" t="str">
        <v>sig</v>
      </c>
      <c r="Z10" s="18" t="str">
        <v>unclear</v>
      </c>
      <c r="AB10" t="s">
        <v>79</v>
      </c>
      <c r="AC10" s="16">
        <f>[1]!BPagStat(D2:I32,C2:C32)</f>
        <v>2.9664132472315057</v>
      </c>
      <c r="AE10" t="s">
        <v>79</v>
      </c>
      <c r="AF10" s="16">
        <f>[1]!WhiteStat(D2:I32,C2:C32)</f>
        <v>8.1840966122186387E-2</v>
      </c>
      <c r="AH10">
        <f t="shared" si="19"/>
        <v>5</v>
      </c>
      <c r="AI10">
        <f t="shared" si="4"/>
        <v>2509</v>
      </c>
      <c r="AJ10">
        <f t="shared" si="5"/>
        <v>7.3</v>
      </c>
      <c r="AK10">
        <f t="shared" si="6"/>
        <v>9.6</v>
      </c>
      <c r="AL10">
        <f t="shared" si="7"/>
        <v>0</v>
      </c>
      <c r="AM10">
        <f t="shared" si="8"/>
        <v>0</v>
      </c>
      <c r="AN10">
        <f t="shared" si="9"/>
        <v>0</v>
      </c>
      <c r="AO10">
        <f t="shared" si="10"/>
        <v>2142</v>
      </c>
      <c r="AP10">
        <v>2521.491982169814</v>
      </c>
      <c r="AQ10">
        <f t="shared" si="11"/>
        <v>-379.49198216981404</v>
      </c>
      <c r="AR10">
        <v>0.22017510556685252</v>
      </c>
      <c r="AS10" s="20">
        <f t="shared" si="12"/>
        <v>-2.1047990650855097</v>
      </c>
      <c r="AT10">
        <f t="shared" si="13"/>
        <v>25891.54924675564</v>
      </c>
      <c r="AU10">
        <f t="shared" si="14"/>
        <v>-2.67069958087419</v>
      </c>
      <c r="AV10">
        <f t="shared" si="15"/>
        <v>1.3373910299932724E-2</v>
      </c>
      <c r="AW10">
        <f t="shared" si="16"/>
        <v>0.22913807876017683</v>
      </c>
      <c r="AX10">
        <f t="shared" si="17"/>
        <v>-1.4190921489075541</v>
      </c>
      <c r="AY10" t="str">
        <f t="shared" si="18"/>
        <v>*</v>
      </c>
    </row>
    <row r="11" spans="1:53" x14ac:dyDescent="0.3">
      <c r="A11" s="7">
        <v>81</v>
      </c>
      <c r="B11" s="7">
        <v>2</v>
      </c>
      <c r="C11" s="7">
        <v>2196</v>
      </c>
      <c r="D11" s="7">
        <v>2897</v>
      </c>
      <c r="E11" s="7">
        <v>7.4</v>
      </c>
      <c r="F11" s="7">
        <v>15.1</v>
      </c>
      <c r="G11">
        <f t="shared" si="0"/>
        <v>1</v>
      </c>
      <c r="H11">
        <f t="shared" si="1"/>
        <v>0</v>
      </c>
      <c r="I11">
        <f t="shared" si="2"/>
        <v>0</v>
      </c>
      <c r="AB11" t="s">
        <v>52</v>
      </c>
      <c r="AC11" s="17">
        <f>AC6</f>
        <v>6</v>
      </c>
      <c r="AE11" t="s">
        <v>52</v>
      </c>
      <c r="AF11" s="17">
        <v>2</v>
      </c>
      <c r="AH11">
        <f t="shared" si="19"/>
        <v>6</v>
      </c>
      <c r="AI11">
        <f t="shared" si="4"/>
        <v>2570</v>
      </c>
      <c r="AJ11">
        <f t="shared" si="5"/>
        <v>7.7</v>
      </c>
      <c r="AK11">
        <f t="shared" si="6"/>
        <v>9.1999999999999993</v>
      </c>
      <c r="AL11">
        <f t="shared" si="7"/>
        <v>1</v>
      </c>
      <c r="AM11">
        <f t="shared" si="8"/>
        <v>0</v>
      </c>
      <c r="AN11">
        <f t="shared" si="9"/>
        <v>0</v>
      </c>
      <c r="AO11">
        <f t="shared" si="10"/>
        <v>2130</v>
      </c>
      <c r="AP11">
        <v>2333.2078048111857</v>
      </c>
      <c r="AQ11">
        <f t="shared" si="11"/>
        <v>-203.20780481118572</v>
      </c>
      <c r="AR11">
        <v>0.20089567606116077</v>
      </c>
      <c r="AS11" s="20">
        <f t="shared" si="12"/>
        <v>-1.1270635947013796</v>
      </c>
      <c r="AT11">
        <f t="shared" si="13"/>
        <v>31674.174602815528</v>
      </c>
      <c r="AU11">
        <f t="shared" si="14"/>
        <v>-1.2772796437556941</v>
      </c>
      <c r="AV11">
        <f t="shared" si="15"/>
        <v>0.21372233158192244</v>
      </c>
      <c r="AW11">
        <f t="shared" si="16"/>
        <v>5.7090314022775132E-2</v>
      </c>
      <c r="AX11">
        <f t="shared" si="17"/>
        <v>-0.64042687017994793</v>
      </c>
      <c r="AY11" t="str">
        <f t="shared" si="18"/>
        <v/>
      </c>
    </row>
    <row r="12" spans="1:53" ht="15" thickBot="1" x14ac:dyDescent="0.35">
      <c r="A12" s="7">
        <v>81</v>
      </c>
      <c r="B12" s="7">
        <v>3</v>
      </c>
      <c r="C12" s="7">
        <v>1758</v>
      </c>
      <c r="D12" s="7">
        <v>2744</v>
      </c>
      <c r="E12" s="7">
        <v>8.3000000000000007</v>
      </c>
      <c r="F12" s="7">
        <v>11.8</v>
      </c>
      <c r="G12">
        <f t="shared" si="0"/>
        <v>0</v>
      </c>
      <c r="H12">
        <f t="shared" si="1"/>
        <v>1</v>
      </c>
      <c r="I12">
        <f t="shared" si="2"/>
        <v>0</v>
      </c>
      <c r="M12" t="s">
        <v>50</v>
      </c>
      <c r="Q12" s="11" t="s">
        <v>51</v>
      </c>
      <c r="R12" s="11">
        <v>0.05</v>
      </c>
      <c r="V12" s="13" t="s">
        <v>73</v>
      </c>
      <c r="W12" s="13">
        <f>[1]!DAGOSTINO([1]!RegE(D2:I32,C2:C32))</f>
        <v>1.2856199031479965</v>
      </c>
      <c r="AA12" t="s">
        <v>107</v>
      </c>
      <c r="AB12" t="s">
        <v>56</v>
      </c>
      <c r="AC12" s="24">
        <f>_xlfn.CHISQ.DIST.RT(AC10,AC11)</f>
        <v>0.81305037477252906</v>
      </c>
      <c r="AE12" t="s">
        <v>56</v>
      </c>
      <c r="AF12" s="19">
        <f>_xlfn.CHISQ.DIST.RT(AF10,AF11)</f>
        <v>0.95990545565663909</v>
      </c>
      <c r="AH12">
        <f t="shared" si="19"/>
        <v>7</v>
      </c>
      <c r="AI12">
        <f t="shared" si="4"/>
        <v>2667</v>
      </c>
      <c r="AJ12">
        <f t="shared" si="5"/>
        <v>7.4</v>
      </c>
      <c r="AK12">
        <f t="shared" si="6"/>
        <v>13.6</v>
      </c>
      <c r="AL12">
        <f t="shared" si="7"/>
        <v>0</v>
      </c>
      <c r="AM12">
        <f t="shared" si="8"/>
        <v>1</v>
      </c>
      <c r="AN12">
        <f t="shared" si="9"/>
        <v>0</v>
      </c>
      <c r="AO12">
        <f t="shared" si="10"/>
        <v>2190</v>
      </c>
      <c r="AP12">
        <v>2023.5181735359763</v>
      </c>
      <c r="AQ12">
        <f t="shared" si="11"/>
        <v>166.4818264640237</v>
      </c>
      <c r="AR12">
        <v>0.21203827651213999</v>
      </c>
      <c r="AS12" s="20">
        <f t="shared" si="12"/>
        <v>0.92336810567556149</v>
      </c>
      <c r="AT12">
        <f t="shared" si="13"/>
        <v>32391.568959425415</v>
      </c>
      <c r="AU12">
        <f t="shared" si="14"/>
        <v>1.0420733247193172</v>
      </c>
      <c r="AV12">
        <f t="shared" si="15"/>
        <v>0.30776173420517361</v>
      </c>
      <c r="AW12">
        <f t="shared" si="16"/>
        <v>4.1596397660496547E-2</v>
      </c>
      <c r="AX12">
        <f t="shared" si="17"/>
        <v>0.54057113379878718</v>
      </c>
      <c r="AY12" t="str">
        <f t="shared" si="18"/>
        <v/>
      </c>
    </row>
    <row r="13" spans="1:53" ht="15" thickTop="1" x14ac:dyDescent="0.3">
      <c r="A13" s="7">
        <v>81</v>
      </c>
      <c r="B13" s="7">
        <v>4</v>
      </c>
      <c r="C13" s="7">
        <v>1944</v>
      </c>
      <c r="D13" s="7">
        <v>2582</v>
      </c>
      <c r="E13" s="7">
        <v>8.8000000000000007</v>
      </c>
      <c r="F13" s="7">
        <v>12.8</v>
      </c>
      <c r="G13">
        <f t="shared" si="0"/>
        <v>0</v>
      </c>
      <c r="H13">
        <f t="shared" si="1"/>
        <v>0</v>
      </c>
      <c r="I13">
        <f t="shared" si="2"/>
        <v>1</v>
      </c>
      <c r="M13" s="12"/>
      <c r="N13" s="12" t="s">
        <v>52</v>
      </c>
      <c r="O13" s="12" t="s">
        <v>53</v>
      </c>
      <c r="P13" s="12" t="s">
        <v>54</v>
      </c>
      <c r="Q13" s="12" t="s">
        <v>55</v>
      </c>
      <c r="R13" s="12" t="s">
        <v>56</v>
      </c>
      <c r="S13" s="12" t="s">
        <v>57</v>
      </c>
      <c r="V13" t="s">
        <v>56</v>
      </c>
      <c r="W13">
        <f>[1]!DPTEST([1]!RegE(D2:I32,C2:C32))</f>
        <v>0.52581283762279318</v>
      </c>
      <c r="AH13">
        <f t="shared" si="19"/>
        <v>8</v>
      </c>
      <c r="AI13">
        <f t="shared" si="4"/>
        <v>2878</v>
      </c>
      <c r="AJ13">
        <f t="shared" si="5"/>
        <v>7.4</v>
      </c>
      <c r="AK13">
        <f t="shared" si="6"/>
        <v>14.4</v>
      </c>
      <c r="AL13">
        <f t="shared" si="7"/>
        <v>0</v>
      </c>
      <c r="AM13">
        <f t="shared" si="8"/>
        <v>0</v>
      </c>
      <c r="AN13">
        <f t="shared" si="9"/>
        <v>1</v>
      </c>
      <c r="AO13">
        <f t="shared" si="10"/>
        <v>2370</v>
      </c>
      <c r="AP13">
        <v>2203.6099250851462</v>
      </c>
      <c r="AQ13">
        <f t="shared" si="11"/>
        <v>166.39007491485381</v>
      </c>
      <c r="AR13">
        <v>0.22648759217155848</v>
      </c>
      <c r="AS13" s="20">
        <f t="shared" si="12"/>
        <v>0.92285921857389275</v>
      </c>
      <c r="AT13">
        <f t="shared" si="13"/>
        <v>32364.717606651368</v>
      </c>
      <c r="AU13">
        <f t="shared" si="14"/>
        <v>1.051617643817913</v>
      </c>
      <c r="AV13">
        <f t="shared" si="15"/>
        <v>0.30344881137766777</v>
      </c>
      <c r="AW13">
        <f t="shared" si="16"/>
        <v>4.6055628703692612E-2</v>
      </c>
      <c r="AX13">
        <f t="shared" si="17"/>
        <v>0.56904476072477284</v>
      </c>
      <c r="AY13" t="str">
        <f t="shared" si="18"/>
        <v/>
      </c>
    </row>
    <row r="14" spans="1:53" x14ac:dyDescent="0.3">
      <c r="A14" s="7">
        <v>82</v>
      </c>
      <c r="B14" s="7">
        <v>1</v>
      </c>
      <c r="C14" s="7">
        <v>2094</v>
      </c>
      <c r="D14" s="7">
        <v>2613</v>
      </c>
      <c r="E14" s="7">
        <v>9.4</v>
      </c>
      <c r="F14" s="7">
        <v>12.4</v>
      </c>
      <c r="G14">
        <f t="shared" si="0"/>
        <v>0</v>
      </c>
      <c r="H14">
        <f t="shared" si="1"/>
        <v>0</v>
      </c>
      <c r="I14">
        <f t="shared" si="2"/>
        <v>0</v>
      </c>
      <c r="M14" t="s">
        <v>58</v>
      </c>
      <c r="N14">
        <f>COUNT(D2:I2)</f>
        <v>6</v>
      </c>
      <c r="O14">
        <f>DEVSQ(MMULT([1]!DEsign(D2:I32),N19:N25))</f>
        <v>3210630.7194040767</v>
      </c>
      <c r="P14">
        <f>O14/N14</f>
        <v>535105.11990067945</v>
      </c>
      <c r="Q14" s="20">
        <f>P14/P15</f>
        <v>16.46096082667038</v>
      </c>
      <c r="R14" s="20">
        <f>_xlfn.F.DIST.RT(Q14,N14,N15)</f>
        <v>1.9051037582103614E-7</v>
      </c>
      <c r="S14" s="21" t="str">
        <f>IF(R14&lt;R12,"yes","no")</f>
        <v>yes</v>
      </c>
      <c r="V14" t="s">
        <v>70</v>
      </c>
      <c r="W14">
        <v>0.05</v>
      </c>
      <c r="AB14" t="s">
        <v>80</v>
      </c>
      <c r="AC14" s="16">
        <f>[1]!BPagStat(D2:I32,C2:C32,FALSE)</f>
        <v>0.42326560256347556</v>
      </c>
      <c r="AE14" t="s">
        <v>80</v>
      </c>
      <c r="AF14" s="16">
        <f>[1]!WhiteStat(D2:I32,C2:C32,FALSE)</f>
        <v>3.7058271304418744E-2</v>
      </c>
      <c r="AH14">
        <f t="shared" si="19"/>
        <v>9</v>
      </c>
      <c r="AI14">
        <f t="shared" si="4"/>
        <v>2835</v>
      </c>
      <c r="AJ14">
        <f t="shared" si="5"/>
        <v>7.4</v>
      </c>
      <c r="AK14">
        <f t="shared" si="6"/>
        <v>15.3</v>
      </c>
      <c r="AL14">
        <f t="shared" si="7"/>
        <v>0</v>
      </c>
      <c r="AM14">
        <f t="shared" si="8"/>
        <v>0</v>
      </c>
      <c r="AN14">
        <f t="shared" si="9"/>
        <v>0</v>
      </c>
      <c r="AO14">
        <f t="shared" si="10"/>
        <v>2208</v>
      </c>
      <c r="AP14">
        <v>2329.3140929861129</v>
      </c>
      <c r="AQ14">
        <f t="shared" si="11"/>
        <v>-121.31409298611288</v>
      </c>
      <c r="AR14">
        <v>0.31546113502012341</v>
      </c>
      <c r="AS14" s="20">
        <f t="shared" si="12"/>
        <v>-0.6728516055567344</v>
      </c>
      <c r="AT14">
        <f t="shared" si="13"/>
        <v>32986.144845045841</v>
      </c>
      <c r="AU14">
        <f t="shared" si="14"/>
        <v>-0.80732131602463852</v>
      </c>
      <c r="AV14">
        <f t="shared" si="15"/>
        <v>0.4274104883753459</v>
      </c>
      <c r="AW14">
        <f t="shared" si="16"/>
        <v>4.3540176661092611E-2</v>
      </c>
      <c r="AX14">
        <f t="shared" si="17"/>
        <v>-0.54805014256084628</v>
      </c>
      <c r="AY14" t="str">
        <f t="shared" si="18"/>
        <v/>
      </c>
    </row>
    <row r="15" spans="1:53" x14ac:dyDescent="0.3">
      <c r="A15" s="7">
        <v>82</v>
      </c>
      <c r="B15" s="7">
        <v>2</v>
      </c>
      <c r="C15" s="7">
        <v>1911</v>
      </c>
      <c r="D15" s="7">
        <v>2529</v>
      </c>
      <c r="E15" s="7">
        <v>10</v>
      </c>
      <c r="F15" s="7">
        <v>9.3000000000000007</v>
      </c>
      <c r="G15">
        <f t="shared" si="0"/>
        <v>1</v>
      </c>
      <c r="H15">
        <f t="shared" si="1"/>
        <v>0</v>
      </c>
      <c r="I15">
        <f t="shared" si="2"/>
        <v>0</v>
      </c>
      <c r="M15" t="s">
        <v>59</v>
      </c>
      <c r="N15">
        <f>N16-N14</f>
        <v>24</v>
      </c>
      <c r="O15">
        <f>O16-O14</f>
        <v>780180.63543463359</v>
      </c>
      <c r="P15">
        <f>O15/N15</f>
        <v>32507.526476443065</v>
      </c>
      <c r="R15" t="s">
        <v>100</v>
      </c>
      <c r="V15" s="10" t="s">
        <v>71</v>
      </c>
      <c r="W15" s="14" t="str">
        <f>IF(W13&lt;W14,"no","yes")</f>
        <v>yes</v>
      </c>
      <c r="AB15" t="s">
        <v>81</v>
      </c>
      <c r="AC15" s="17">
        <f>AC6</f>
        <v>6</v>
      </c>
      <c r="AE15" t="s">
        <v>81</v>
      </c>
      <c r="AF15" s="17">
        <v>2</v>
      </c>
      <c r="AH15">
        <f t="shared" si="19"/>
        <v>10</v>
      </c>
      <c r="AI15">
        <f t="shared" si="4"/>
        <v>2897</v>
      </c>
      <c r="AJ15">
        <f t="shared" si="5"/>
        <v>7.4</v>
      </c>
      <c r="AK15">
        <f t="shared" si="6"/>
        <v>15.1</v>
      </c>
      <c r="AL15">
        <f t="shared" si="7"/>
        <v>1</v>
      </c>
      <c r="AM15">
        <f t="shared" si="8"/>
        <v>0</v>
      </c>
      <c r="AN15">
        <f t="shared" si="9"/>
        <v>0</v>
      </c>
      <c r="AO15">
        <f t="shared" si="10"/>
        <v>2196</v>
      </c>
      <c r="AP15">
        <v>2182.2072689763841</v>
      </c>
      <c r="AQ15">
        <f t="shared" si="11"/>
        <v>13.792731023615943</v>
      </c>
      <c r="AR15">
        <v>0.32793254635298419</v>
      </c>
      <c r="AS15" s="20">
        <f t="shared" si="12"/>
        <v>7.6499448545640322E-2</v>
      </c>
      <c r="AT15">
        <f t="shared" si="13"/>
        <v>33908.589976501993</v>
      </c>
      <c r="AU15">
        <f t="shared" si="14"/>
        <v>9.1366916726579817E-2</v>
      </c>
      <c r="AV15">
        <f t="shared" si="15"/>
        <v>0.92795937900497594</v>
      </c>
      <c r="AW15">
        <f t="shared" si="16"/>
        <v>6.0698416562326226E-4</v>
      </c>
      <c r="AX15">
        <f t="shared" si="17"/>
        <v>6.3822644892049682E-2</v>
      </c>
      <c r="AY15" t="str">
        <f t="shared" si="18"/>
        <v/>
      </c>
    </row>
    <row r="16" spans="1:53" x14ac:dyDescent="0.3">
      <c r="A16" s="7">
        <v>82</v>
      </c>
      <c r="B16" s="7">
        <v>3</v>
      </c>
      <c r="C16" s="7">
        <v>2031</v>
      </c>
      <c r="D16" s="7">
        <v>2544</v>
      </c>
      <c r="E16" s="7">
        <v>10.7</v>
      </c>
      <c r="F16" s="7">
        <v>7.9</v>
      </c>
      <c r="G16">
        <f t="shared" si="0"/>
        <v>0</v>
      </c>
      <c r="H16">
        <f t="shared" si="1"/>
        <v>1</v>
      </c>
      <c r="I16">
        <f t="shared" si="2"/>
        <v>0</v>
      </c>
      <c r="M16" s="10" t="s">
        <v>60</v>
      </c>
      <c r="N16" s="10">
        <f>N10-1</f>
        <v>30</v>
      </c>
      <c r="O16" s="10">
        <f>DEVSQ(C2:C32)</f>
        <v>3990811.3548387103</v>
      </c>
      <c r="P16" s="10"/>
      <c r="Q16" s="10"/>
      <c r="R16" s="10"/>
      <c r="S16" s="10"/>
      <c r="AB16" t="s">
        <v>82</v>
      </c>
      <c r="AC16" s="17">
        <f>AC5-AC6-1</f>
        <v>24</v>
      </c>
      <c r="AE16" t="s">
        <v>82</v>
      </c>
      <c r="AF16" s="17">
        <f>AC5-3</f>
        <v>28</v>
      </c>
      <c r="AH16">
        <f t="shared" si="19"/>
        <v>11</v>
      </c>
      <c r="AI16">
        <f t="shared" si="4"/>
        <v>2744</v>
      </c>
      <c r="AJ16">
        <f t="shared" si="5"/>
        <v>8.3000000000000007</v>
      </c>
      <c r="AK16">
        <f t="shared" si="6"/>
        <v>11.8</v>
      </c>
      <c r="AL16">
        <f t="shared" si="7"/>
        <v>0</v>
      </c>
      <c r="AM16">
        <f t="shared" si="8"/>
        <v>1</v>
      </c>
      <c r="AN16">
        <f t="shared" si="9"/>
        <v>0</v>
      </c>
      <c r="AO16">
        <f t="shared" si="10"/>
        <v>1758</v>
      </c>
      <c r="AP16">
        <v>2004.7104730715228</v>
      </c>
      <c r="AQ16">
        <f t="shared" si="11"/>
        <v>-246.71047307152276</v>
      </c>
      <c r="AR16">
        <v>0.16096173633806579</v>
      </c>
      <c r="AS16" s="20">
        <f t="shared" si="12"/>
        <v>-1.368345044073634</v>
      </c>
      <c r="AT16">
        <f t="shared" si="13"/>
        <v>30766.869013517371</v>
      </c>
      <c r="AU16">
        <f t="shared" si="14"/>
        <v>-1.5355184932546875</v>
      </c>
      <c r="AV16">
        <f t="shared" si="15"/>
        <v>0.13773587618410493</v>
      </c>
      <c r="AW16">
        <f t="shared" si="16"/>
        <v>6.1157865790899046E-2</v>
      </c>
      <c r="AX16">
        <f t="shared" si="17"/>
        <v>-0.67255141687941455</v>
      </c>
      <c r="AY16" t="str">
        <f t="shared" si="18"/>
        <v/>
      </c>
    </row>
    <row r="17" spans="1:51" ht="15" thickBot="1" x14ac:dyDescent="0.35">
      <c r="A17" s="7">
        <v>82</v>
      </c>
      <c r="B17" s="7">
        <v>4</v>
      </c>
      <c r="C17" s="7">
        <v>2046</v>
      </c>
      <c r="D17" s="7">
        <v>2633</v>
      </c>
      <c r="E17" s="7">
        <v>10.4</v>
      </c>
      <c r="F17" s="7">
        <v>7.8</v>
      </c>
      <c r="G17">
        <f t="shared" si="0"/>
        <v>0</v>
      </c>
      <c r="H17">
        <f t="shared" si="1"/>
        <v>0</v>
      </c>
      <c r="I17">
        <f t="shared" si="2"/>
        <v>1</v>
      </c>
      <c r="AB17" t="s">
        <v>56</v>
      </c>
      <c r="AC17" s="19">
        <f>_xlfn.F.DIST.RT(AC14,AC15,AC16)</f>
        <v>0.85615257241884679</v>
      </c>
      <c r="AE17" t="s">
        <v>56</v>
      </c>
      <c r="AF17" s="19">
        <f>_xlfn.F.DIST.RT(AF14,AF15,AF16)</f>
        <v>0.96366716288756216</v>
      </c>
      <c r="AH17">
        <f t="shared" si="19"/>
        <v>12</v>
      </c>
      <c r="AI17">
        <f t="shared" si="4"/>
        <v>2582</v>
      </c>
      <c r="AJ17">
        <f t="shared" si="5"/>
        <v>8.8000000000000007</v>
      </c>
      <c r="AK17">
        <f t="shared" si="6"/>
        <v>12.8</v>
      </c>
      <c r="AL17">
        <f t="shared" si="7"/>
        <v>0</v>
      </c>
      <c r="AM17">
        <f t="shared" si="8"/>
        <v>0</v>
      </c>
      <c r="AN17">
        <f t="shared" si="9"/>
        <v>1</v>
      </c>
      <c r="AO17">
        <f t="shared" si="10"/>
        <v>1944</v>
      </c>
      <c r="AP17">
        <v>2039.7194740992845</v>
      </c>
      <c r="AQ17">
        <f t="shared" si="11"/>
        <v>-95.719474099284525</v>
      </c>
      <c r="AR17">
        <v>0.19106294916615782</v>
      </c>
      <c r="AS17" s="20">
        <f t="shared" si="12"/>
        <v>-0.53089464088992888</v>
      </c>
      <c r="AT17">
        <f t="shared" si="13"/>
        <v>33428.451838942965</v>
      </c>
      <c r="AU17">
        <f t="shared" si="14"/>
        <v>-0.58208285605943511</v>
      </c>
      <c r="AV17">
        <f t="shared" si="15"/>
        <v>0.56593930236427448</v>
      </c>
      <c r="AW17">
        <f t="shared" si="16"/>
        <v>1.1756164788881038E-2</v>
      </c>
      <c r="AX17">
        <f t="shared" si="17"/>
        <v>-0.28288875422642101</v>
      </c>
      <c r="AY17" t="str">
        <f t="shared" si="18"/>
        <v/>
      </c>
    </row>
    <row r="18" spans="1:51" ht="15" thickTop="1" x14ac:dyDescent="0.3">
      <c r="A18" s="7">
        <v>83</v>
      </c>
      <c r="B18" s="7">
        <v>1</v>
      </c>
      <c r="C18" s="7">
        <v>2502</v>
      </c>
      <c r="D18" s="7">
        <v>2878</v>
      </c>
      <c r="E18" s="7">
        <v>10.1</v>
      </c>
      <c r="F18" s="7">
        <v>8.4</v>
      </c>
      <c r="G18">
        <f t="shared" si="0"/>
        <v>0</v>
      </c>
      <c r="H18">
        <f t="shared" si="1"/>
        <v>0</v>
      </c>
      <c r="I18">
        <f t="shared" si="2"/>
        <v>0</v>
      </c>
      <c r="M18" s="12"/>
      <c r="N18" s="12" t="s">
        <v>61</v>
      </c>
      <c r="O18" s="12" t="s">
        <v>62</v>
      </c>
      <c r="P18" s="12" t="s">
        <v>63</v>
      </c>
      <c r="Q18" s="12" t="s">
        <v>56</v>
      </c>
      <c r="R18" s="12" t="s">
        <v>64</v>
      </c>
      <c r="S18" s="12" t="s">
        <v>65</v>
      </c>
      <c r="T18" s="12" t="s">
        <v>66</v>
      </c>
      <c r="AH18">
        <f t="shared" si="19"/>
        <v>13</v>
      </c>
      <c r="AI18">
        <f t="shared" si="4"/>
        <v>2613</v>
      </c>
      <c r="AJ18">
        <f t="shared" si="5"/>
        <v>9.4</v>
      </c>
      <c r="AK18">
        <f t="shared" si="6"/>
        <v>12.4</v>
      </c>
      <c r="AL18">
        <f t="shared" si="7"/>
        <v>0</v>
      </c>
      <c r="AM18">
        <f t="shared" si="8"/>
        <v>0</v>
      </c>
      <c r="AN18">
        <f t="shared" si="9"/>
        <v>0</v>
      </c>
      <c r="AO18">
        <f t="shared" si="10"/>
        <v>2094</v>
      </c>
      <c r="AP18">
        <v>2161.7107885565129</v>
      </c>
      <c r="AQ18">
        <f t="shared" si="11"/>
        <v>-67.710788556512853</v>
      </c>
      <c r="AR18">
        <v>0.23175911829590701</v>
      </c>
      <c r="AS18" s="20">
        <f t="shared" si="12"/>
        <v>-0.37554839402687956</v>
      </c>
      <c r="AT18">
        <f t="shared" si="13"/>
        <v>33661.425196679898</v>
      </c>
      <c r="AU18">
        <f t="shared" si="14"/>
        <v>-0.42105896113339619</v>
      </c>
      <c r="AV18">
        <f t="shared" si="15"/>
        <v>0.67745890155376676</v>
      </c>
      <c r="AW18">
        <f t="shared" si="16"/>
        <v>7.9118087316767238E-3</v>
      </c>
      <c r="AX18">
        <f t="shared" si="17"/>
        <v>-0.23126644389460607</v>
      </c>
      <c r="AY18" t="str">
        <f t="shared" si="18"/>
        <v/>
      </c>
    </row>
    <row r="19" spans="1:51" x14ac:dyDescent="0.3">
      <c r="A19" s="7">
        <v>83</v>
      </c>
      <c r="B19" s="7">
        <v>2</v>
      </c>
      <c r="C19" s="7">
        <v>2238</v>
      </c>
      <c r="D19" s="7">
        <v>3051</v>
      </c>
      <c r="E19" s="7">
        <v>9.4</v>
      </c>
      <c r="F19" s="7">
        <v>9.1</v>
      </c>
      <c r="G19">
        <f t="shared" si="0"/>
        <v>1</v>
      </c>
      <c r="H19">
        <f t="shared" si="1"/>
        <v>0</v>
      </c>
      <c r="I19">
        <f t="shared" si="2"/>
        <v>0</v>
      </c>
      <c r="M19" t="s">
        <v>67</v>
      </c>
      <c r="N19">
        <f t="array" ref="N19:O25">[1]!RegCoeff(D2:I32,C2:C32)</f>
        <v>3337.3670917694808</v>
      </c>
      <c r="O19">
        <v>495.11946855159766</v>
      </c>
      <c r="P19">
        <f>N19/O19</f>
        <v>6.7405289101890471</v>
      </c>
      <c r="Q19" s="20">
        <f>_xlfn.T.DIST.2T(ABS(P19),$N$15)</f>
        <v>5.6829660427112115E-7</v>
      </c>
      <c r="R19">
        <f>N19-_xlfn.T.INV.2T(R$12,$N$15)*O19</f>
        <v>2315.4907327918058</v>
      </c>
      <c r="S19">
        <f>N19+_xlfn.T.INV.2T(R$12,$N$15)*O19</f>
        <v>4359.2434507471553</v>
      </c>
      <c r="T19" s="20"/>
      <c r="AH19">
        <f t="shared" si="19"/>
        <v>14</v>
      </c>
      <c r="AI19">
        <f t="shared" si="4"/>
        <v>2529</v>
      </c>
      <c r="AJ19">
        <f t="shared" si="5"/>
        <v>10</v>
      </c>
      <c r="AK19">
        <f t="shared" si="6"/>
        <v>9.3000000000000007</v>
      </c>
      <c r="AL19">
        <f t="shared" si="7"/>
        <v>1</v>
      </c>
      <c r="AM19">
        <f t="shared" si="8"/>
        <v>0</v>
      </c>
      <c r="AN19">
        <f t="shared" si="9"/>
        <v>0</v>
      </c>
      <c r="AO19">
        <f t="shared" si="10"/>
        <v>1911</v>
      </c>
      <c r="AP19">
        <v>2035.6846720825993</v>
      </c>
      <c r="AQ19">
        <f t="shared" si="11"/>
        <v>-124.68467208259926</v>
      </c>
      <c r="AR19">
        <v>0.23247867996501786</v>
      </c>
      <c r="AS19" s="20">
        <f t="shared" si="12"/>
        <v>-0.69154604987810797</v>
      </c>
      <c r="AT19">
        <f t="shared" si="13"/>
        <v>33040.238044722428</v>
      </c>
      <c r="AU19">
        <f t="shared" si="14"/>
        <v>-0.78297205075205467</v>
      </c>
      <c r="AV19">
        <f t="shared" si="15"/>
        <v>0.44130162052199895</v>
      </c>
      <c r="AW19">
        <f t="shared" si="16"/>
        <v>2.696164616167775E-2</v>
      </c>
      <c r="AX19">
        <f t="shared" si="17"/>
        <v>-0.43091598139230253</v>
      </c>
      <c r="AY19" t="str">
        <f t="shared" si="18"/>
        <v/>
      </c>
    </row>
    <row r="20" spans="1:51" x14ac:dyDescent="0.3">
      <c r="A20" s="7">
        <v>83</v>
      </c>
      <c r="B20" s="7">
        <v>3</v>
      </c>
      <c r="C20" s="7">
        <v>2394</v>
      </c>
      <c r="D20" s="7">
        <v>3274</v>
      </c>
      <c r="E20" s="7">
        <v>8.5</v>
      </c>
      <c r="F20" s="7">
        <v>8.8000000000000007</v>
      </c>
      <c r="G20">
        <f t="shared" si="0"/>
        <v>0</v>
      </c>
      <c r="H20">
        <f t="shared" si="1"/>
        <v>1</v>
      </c>
      <c r="I20">
        <f t="shared" si="2"/>
        <v>0</v>
      </c>
      <c r="M20" t="str">
        <f t="array" ref="M20:M25">TRANSPOSE(D1:I1)</f>
        <v>GNP</v>
      </c>
      <c r="N20">
        <v>0.19979906557459576</v>
      </c>
      <c r="O20">
        <v>5.8340084314072553E-2</v>
      </c>
      <c r="P20">
        <f t="shared" ref="P20:P25" si="20">N20/O20</f>
        <v>3.4247304906002864</v>
      </c>
      <c r="Q20" s="20">
        <f t="shared" ref="Q20:Q25" si="21">_xlfn.T.DIST.2T(ABS(P20),$N$15)</f>
        <v>2.2184431547125475E-3</v>
      </c>
      <c r="R20">
        <f t="shared" ref="R20:R25" si="22">N20-_xlfn.T.INV.2T(R$12,$N$15)*O20</f>
        <v>7.9391049473523684E-2</v>
      </c>
      <c r="S20">
        <f t="shared" ref="S20:S25" si="23">N20+_xlfn.T.INV.2T(R$12,$N$15)*O20</f>
        <v>0.3202070816756678</v>
      </c>
      <c r="T20" s="20">
        <f>[1]!VIF(D2:I32,1)</f>
        <v>1.9637851826013195</v>
      </c>
      <c r="AH20">
        <f t="shared" si="19"/>
        <v>15</v>
      </c>
      <c r="AI20">
        <f t="shared" si="4"/>
        <v>2544</v>
      </c>
      <c r="AJ20">
        <f t="shared" si="5"/>
        <v>10.7</v>
      </c>
      <c r="AK20">
        <f t="shared" si="6"/>
        <v>7.9</v>
      </c>
      <c r="AL20">
        <f t="shared" si="7"/>
        <v>0</v>
      </c>
      <c r="AM20">
        <f t="shared" si="8"/>
        <v>1</v>
      </c>
      <c r="AN20">
        <f t="shared" si="9"/>
        <v>0</v>
      </c>
      <c r="AO20">
        <f t="shared" si="10"/>
        <v>2031</v>
      </c>
      <c r="AP20">
        <v>1834.8998715042219</v>
      </c>
      <c r="AQ20">
        <f t="shared" si="11"/>
        <v>196.10012849577811</v>
      </c>
      <c r="AR20">
        <v>0.32104628416003878</v>
      </c>
      <c r="AS20" s="20">
        <f t="shared" si="12"/>
        <v>1.0876418646873156</v>
      </c>
      <c r="AT20">
        <f t="shared" si="13"/>
        <v>31458.331918771419</v>
      </c>
      <c r="AU20">
        <f t="shared" si="14"/>
        <v>1.3418066758993639</v>
      </c>
      <c r="AV20">
        <f t="shared" si="15"/>
        <v>0.19221695211502227</v>
      </c>
      <c r="AW20">
        <f t="shared" si="16"/>
        <v>0.11769583657864781</v>
      </c>
      <c r="AX20">
        <f t="shared" si="17"/>
        <v>0.92268548227186431</v>
      </c>
      <c r="AY20" t="str">
        <f t="shared" si="18"/>
        <v/>
      </c>
    </row>
    <row r="21" spans="1:51" x14ac:dyDescent="0.3">
      <c r="A21" s="7">
        <v>83</v>
      </c>
      <c r="B21" s="7">
        <v>4</v>
      </c>
      <c r="C21" s="7">
        <v>2586</v>
      </c>
      <c r="D21" s="7">
        <v>3594</v>
      </c>
      <c r="E21" s="7">
        <v>7.9</v>
      </c>
      <c r="F21" s="7">
        <v>9.1999999999999993</v>
      </c>
      <c r="G21">
        <f t="shared" si="0"/>
        <v>0</v>
      </c>
      <c r="H21">
        <f t="shared" si="1"/>
        <v>0</v>
      </c>
      <c r="I21">
        <f t="shared" si="2"/>
        <v>1</v>
      </c>
      <c r="M21" t="str">
        <v>Unemp</v>
      </c>
      <c r="N21">
        <v>-123.92805927267607</v>
      </c>
      <c r="O21">
        <v>29.383010381448276</v>
      </c>
      <c r="P21">
        <f t="shared" si="20"/>
        <v>-4.2176774150725294</v>
      </c>
      <c r="Q21" s="20">
        <f t="shared" si="21"/>
        <v>3.0357529203562457E-4</v>
      </c>
      <c r="R21">
        <f t="shared" si="22"/>
        <v>-184.5716121352485</v>
      </c>
      <c r="S21">
        <f t="shared" si="23"/>
        <v>-63.284506410103631</v>
      </c>
      <c r="T21" s="20">
        <f>[1]!VIF(D2:I32,2)</f>
        <v>1.3738273968050481</v>
      </c>
      <c r="AH21">
        <f t="shared" si="19"/>
        <v>16</v>
      </c>
      <c r="AI21">
        <f t="shared" si="4"/>
        <v>2633</v>
      </c>
      <c r="AJ21">
        <f t="shared" si="5"/>
        <v>10.4</v>
      </c>
      <c r="AK21">
        <f t="shared" si="6"/>
        <v>7.8</v>
      </c>
      <c r="AL21">
        <f t="shared" si="7"/>
        <v>0</v>
      </c>
      <c r="AM21">
        <f t="shared" si="8"/>
        <v>0</v>
      </c>
      <c r="AN21">
        <f t="shared" si="9"/>
        <v>1</v>
      </c>
      <c r="AO21">
        <f t="shared" si="10"/>
        <v>2046</v>
      </c>
      <c r="AP21">
        <v>2066.466067250949</v>
      </c>
      <c r="AQ21">
        <f t="shared" si="11"/>
        <v>-20.466067250948981</v>
      </c>
      <c r="AR21">
        <v>0.33148687818892947</v>
      </c>
      <c r="AS21" s="20">
        <f t="shared" si="12"/>
        <v>-0.11351217216625838</v>
      </c>
      <c r="AT21">
        <f t="shared" si="13"/>
        <v>33893.655692553773</v>
      </c>
      <c r="AU21">
        <f t="shared" si="14"/>
        <v>-0.13596283828626751</v>
      </c>
      <c r="AV21">
        <f t="shared" si="15"/>
        <v>0.89298467070805509</v>
      </c>
      <c r="AW21">
        <f t="shared" si="16"/>
        <v>1.3653163722541163E-3</v>
      </c>
      <c r="AX21">
        <f t="shared" si="17"/>
        <v>-9.5741102629101377E-2</v>
      </c>
      <c r="AY21" t="str">
        <f t="shared" si="18"/>
        <v/>
      </c>
    </row>
    <row r="22" spans="1:51" x14ac:dyDescent="0.3">
      <c r="A22" s="7">
        <v>84</v>
      </c>
      <c r="B22" s="7">
        <v>1</v>
      </c>
      <c r="C22" s="7">
        <v>2898</v>
      </c>
      <c r="D22" s="7">
        <v>3774</v>
      </c>
      <c r="E22" s="7">
        <v>7.5</v>
      </c>
      <c r="F22" s="7">
        <v>9.8000000000000007</v>
      </c>
      <c r="G22">
        <f t="shared" si="0"/>
        <v>0</v>
      </c>
      <c r="H22">
        <f t="shared" si="1"/>
        <v>0</v>
      </c>
      <c r="I22">
        <f t="shared" si="2"/>
        <v>0</v>
      </c>
      <c r="M22" t="str">
        <v>Int</v>
      </c>
      <c r="N22">
        <v>-42.968347128728361</v>
      </c>
      <c r="O22">
        <v>17.930763979152676</v>
      </c>
      <c r="P22">
        <f t="shared" si="20"/>
        <v>-2.3963478175657098</v>
      </c>
      <c r="Q22" s="20">
        <f t="shared" si="21"/>
        <v>2.4706587691844483E-2</v>
      </c>
      <c r="R22">
        <f t="shared" si="22"/>
        <v>-79.975625114193178</v>
      </c>
      <c r="S22">
        <f t="shared" si="23"/>
        <v>-5.9610691432635434</v>
      </c>
      <c r="T22" s="20">
        <f>[1]!VIF(D2:I32,3)</f>
        <v>1.8019152223741133</v>
      </c>
      <c r="AH22">
        <f t="shared" si="19"/>
        <v>17</v>
      </c>
      <c r="AI22">
        <f t="shared" si="4"/>
        <v>2878</v>
      </c>
      <c r="AJ22">
        <f t="shared" si="5"/>
        <v>10.1</v>
      </c>
      <c r="AK22">
        <f t="shared" si="6"/>
        <v>8.4</v>
      </c>
      <c r="AL22">
        <f t="shared" si="7"/>
        <v>0</v>
      </c>
      <c r="AM22">
        <f t="shared" si="8"/>
        <v>0</v>
      </c>
      <c r="AN22">
        <f t="shared" si="9"/>
        <v>0</v>
      </c>
      <c r="AO22">
        <f t="shared" si="10"/>
        <v>2502</v>
      </c>
      <c r="AP22">
        <v>2299.781287957821</v>
      </c>
      <c r="AQ22">
        <f t="shared" si="11"/>
        <v>202.21871204217905</v>
      </c>
      <c r="AR22">
        <v>0.24122020500192098</v>
      </c>
      <c r="AS22" s="20">
        <f t="shared" si="12"/>
        <v>1.1215777303529821</v>
      </c>
      <c r="AT22">
        <f t="shared" si="13"/>
        <v>31577.752617019174</v>
      </c>
      <c r="AU22">
        <f t="shared" si="14"/>
        <v>1.306390013968681</v>
      </c>
      <c r="AV22">
        <f t="shared" si="15"/>
        <v>0.20380169483251948</v>
      </c>
      <c r="AW22">
        <f t="shared" si="16"/>
        <v>7.5290968122156771E-2</v>
      </c>
      <c r="AX22">
        <f t="shared" si="17"/>
        <v>0.73658320837999214</v>
      </c>
      <c r="AY22" t="str">
        <f t="shared" si="18"/>
        <v/>
      </c>
    </row>
    <row r="23" spans="1:51" x14ac:dyDescent="0.3">
      <c r="A23" s="7">
        <v>84</v>
      </c>
      <c r="B23" s="7">
        <v>2</v>
      </c>
      <c r="C23" s="7">
        <v>2448</v>
      </c>
      <c r="D23" s="7">
        <v>3861</v>
      </c>
      <c r="E23" s="7">
        <v>7.5</v>
      </c>
      <c r="F23" s="7">
        <v>10.3</v>
      </c>
      <c r="G23">
        <f t="shared" si="0"/>
        <v>1</v>
      </c>
      <c r="H23">
        <f t="shared" si="1"/>
        <v>0</v>
      </c>
      <c r="I23">
        <f t="shared" si="2"/>
        <v>0</v>
      </c>
      <c r="M23" t="str">
        <v>Q2</v>
      </c>
      <c r="N23">
        <v>-168.08803550109963</v>
      </c>
      <c r="O23">
        <v>90.283405752914717</v>
      </c>
      <c r="P23">
        <f t="shared" si="20"/>
        <v>-1.8617821746902039</v>
      </c>
      <c r="Q23" s="20">
        <f t="shared" si="21"/>
        <v>7.4924101669743601E-2</v>
      </c>
      <c r="R23">
        <f t="shared" si="22"/>
        <v>-354.42382677341971</v>
      </c>
      <c r="S23">
        <f t="shared" si="23"/>
        <v>18.247755771220454</v>
      </c>
      <c r="T23" s="20">
        <f>[1]!VIF(D2:I32,4)</f>
        <v>1.4882917397769218</v>
      </c>
      <c r="AH23">
        <f t="shared" si="19"/>
        <v>18</v>
      </c>
      <c r="AI23">
        <f t="shared" si="4"/>
        <v>3051</v>
      </c>
      <c r="AJ23">
        <f t="shared" si="5"/>
        <v>9.4</v>
      </c>
      <c r="AK23">
        <f t="shared" si="6"/>
        <v>9.1</v>
      </c>
      <c r="AL23">
        <f t="shared" si="7"/>
        <v>1</v>
      </c>
      <c r="AM23">
        <f t="shared" si="8"/>
        <v>0</v>
      </c>
      <c r="AN23">
        <f t="shared" si="9"/>
        <v>0</v>
      </c>
      <c r="AO23">
        <f t="shared" si="10"/>
        <v>2238</v>
      </c>
      <c r="AP23">
        <v>2222.9302893018898</v>
      </c>
      <c r="AQ23">
        <f t="shared" si="11"/>
        <v>15.069710698110157</v>
      </c>
      <c r="AR23">
        <v>0.1789666243879604</v>
      </c>
      <c r="AS23" s="20">
        <f t="shared" si="12"/>
        <v>8.3582037246568125E-2</v>
      </c>
      <c r="AT23">
        <f t="shared" si="13"/>
        <v>33908.8711932921</v>
      </c>
      <c r="AU23">
        <f t="shared" si="14"/>
        <v>9.0316654631389173E-2</v>
      </c>
      <c r="AV23">
        <f t="shared" si="15"/>
        <v>0.92878512950504388</v>
      </c>
      <c r="AW23">
        <f t="shared" si="16"/>
        <v>2.6495876324503936E-4</v>
      </c>
      <c r="AX23">
        <f t="shared" si="17"/>
        <v>4.2167073422689695E-2</v>
      </c>
      <c r="AY23" t="str">
        <f t="shared" si="18"/>
        <v/>
      </c>
    </row>
    <row r="24" spans="1:51" x14ac:dyDescent="0.3">
      <c r="A24" s="7">
        <v>84</v>
      </c>
      <c r="B24" s="7">
        <v>3</v>
      </c>
      <c r="C24" s="7">
        <v>2460</v>
      </c>
      <c r="D24" s="7">
        <v>3919</v>
      </c>
      <c r="E24" s="7">
        <v>7.2</v>
      </c>
      <c r="F24" s="7">
        <v>8.8000000000000007</v>
      </c>
      <c r="G24">
        <f t="shared" si="0"/>
        <v>0</v>
      </c>
      <c r="H24">
        <f t="shared" si="1"/>
        <v>1</v>
      </c>
      <c r="I24">
        <f t="shared" si="2"/>
        <v>0</v>
      </c>
      <c r="M24" t="str">
        <v>Q3</v>
      </c>
      <c r="N24">
        <v>-345.27586655244266</v>
      </c>
      <c r="O24">
        <v>90.356821713031124</v>
      </c>
      <c r="P24">
        <f t="shared" si="20"/>
        <v>-3.8212484680904564</v>
      </c>
      <c r="Q24" s="20">
        <f t="shared" si="21"/>
        <v>8.2672867941788208E-4</v>
      </c>
      <c r="R24">
        <f t="shared" si="22"/>
        <v>-531.76318091924759</v>
      </c>
      <c r="S24">
        <f t="shared" si="23"/>
        <v>-158.7885521856378</v>
      </c>
      <c r="T24" s="20">
        <f>[1]!VIF(D2:I32,5)</f>
        <v>1.4907131989913374</v>
      </c>
      <c r="AH24">
        <f t="shared" si="19"/>
        <v>19</v>
      </c>
      <c r="AI24">
        <f t="shared" si="4"/>
        <v>3274</v>
      </c>
      <c r="AJ24">
        <f t="shared" si="5"/>
        <v>8.5</v>
      </c>
      <c r="AK24">
        <f t="shared" si="6"/>
        <v>8.8000000000000007</v>
      </c>
      <c r="AL24">
        <f t="shared" si="7"/>
        <v>0</v>
      </c>
      <c r="AM24">
        <f t="shared" si="8"/>
        <v>1</v>
      </c>
      <c r="AN24">
        <f t="shared" si="9"/>
        <v>0</v>
      </c>
      <c r="AO24">
        <f t="shared" si="10"/>
        <v>2394</v>
      </c>
      <c r="AP24">
        <v>2214.7234073577083</v>
      </c>
      <c r="AQ24">
        <f t="shared" si="11"/>
        <v>179.27659264229169</v>
      </c>
      <c r="AR24">
        <v>0.13976542188886412</v>
      </c>
      <c r="AS24" s="20">
        <f t="shared" si="12"/>
        <v>0.99433248214545866</v>
      </c>
      <c r="AT24">
        <f t="shared" si="13"/>
        <v>32296.461785394946</v>
      </c>
      <c r="AU24">
        <f t="shared" si="14"/>
        <v>1.0755674942149229</v>
      </c>
      <c r="AV24">
        <f t="shared" si="15"/>
        <v>0.29281494033720584</v>
      </c>
      <c r="AW24">
        <f t="shared" si="16"/>
        <v>2.6676642113620773E-2</v>
      </c>
      <c r="AX24">
        <f t="shared" si="17"/>
        <v>0.43353991750915816</v>
      </c>
      <c r="AY24" t="str">
        <f t="shared" si="18"/>
        <v/>
      </c>
    </row>
    <row r="25" spans="1:51" x14ac:dyDescent="0.3">
      <c r="A25" s="7">
        <v>84</v>
      </c>
      <c r="B25" s="7">
        <v>4</v>
      </c>
      <c r="C25" s="7">
        <v>2646</v>
      </c>
      <c r="D25" s="7">
        <v>4040</v>
      </c>
      <c r="E25" s="7">
        <v>7.4</v>
      </c>
      <c r="F25" s="7">
        <v>8.1999999999999993</v>
      </c>
      <c r="G25">
        <f t="shared" si="0"/>
        <v>0</v>
      </c>
      <c r="H25">
        <f t="shared" si="1"/>
        <v>0</v>
      </c>
      <c r="I25">
        <f t="shared" si="2"/>
        <v>1</v>
      </c>
      <c r="M25" s="10" t="str">
        <v>Q4</v>
      </c>
      <c r="N25" s="10">
        <v>-172.96704013653004</v>
      </c>
      <c r="O25" s="10">
        <v>94.775828295461082</v>
      </c>
      <c r="P25" s="10">
        <f t="shared" si="20"/>
        <v>-1.8250121707964395</v>
      </c>
      <c r="Q25" s="22">
        <f t="shared" si="21"/>
        <v>8.0471583771061117E-2</v>
      </c>
      <c r="R25" s="10">
        <f t="shared" si="22"/>
        <v>-368.57473583263686</v>
      </c>
      <c r="S25" s="10">
        <f t="shared" si="23"/>
        <v>22.6406555595768</v>
      </c>
      <c r="T25" s="22">
        <f>[1]!VIF(D2:I32,6)</f>
        <v>1.4974724469114389</v>
      </c>
      <c r="AH25">
        <f t="shared" si="19"/>
        <v>20</v>
      </c>
      <c r="AI25">
        <f t="shared" si="4"/>
        <v>3594</v>
      </c>
      <c r="AJ25">
        <f t="shared" si="5"/>
        <v>7.9</v>
      </c>
      <c r="AK25">
        <f t="shared" si="6"/>
        <v>9.1999999999999993</v>
      </c>
      <c r="AL25">
        <f t="shared" si="7"/>
        <v>0</v>
      </c>
      <c r="AM25">
        <f t="shared" si="8"/>
        <v>0</v>
      </c>
      <c r="AN25">
        <f t="shared" si="9"/>
        <v>1</v>
      </c>
      <c r="AO25">
        <f t="shared" si="10"/>
        <v>2586</v>
      </c>
      <c r="AP25">
        <v>2508.1374314696059</v>
      </c>
      <c r="AQ25">
        <f t="shared" si="11"/>
        <v>77.862568530394128</v>
      </c>
      <c r="AR25">
        <v>0.15523845700153965</v>
      </c>
      <c r="AS25" s="20">
        <f t="shared" si="12"/>
        <v>0.43185381812518808</v>
      </c>
      <c r="AT25">
        <f t="shared" si="13"/>
        <v>33608.867817626007</v>
      </c>
      <c r="AU25">
        <f t="shared" si="14"/>
        <v>0.46209866880181688</v>
      </c>
      <c r="AV25">
        <f t="shared" si="15"/>
        <v>0.64817229138783783</v>
      </c>
      <c r="AW25">
        <f t="shared" si="16"/>
        <v>5.7957085133020095E-3</v>
      </c>
      <c r="AX25">
        <f t="shared" si="17"/>
        <v>0.19809216965153942</v>
      </c>
      <c r="AY25" t="str">
        <f t="shared" si="18"/>
        <v/>
      </c>
    </row>
    <row r="26" spans="1:51" x14ac:dyDescent="0.3">
      <c r="A26" s="7">
        <v>85</v>
      </c>
      <c r="B26" s="7">
        <v>1</v>
      </c>
      <c r="C26" s="7">
        <v>2988</v>
      </c>
      <c r="D26" s="7">
        <v>4133</v>
      </c>
      <c r="E26" s="7">
        <v>7.3</v>
      </c>
      <c r="F26" s="7">
        <v>7.5</v>
      </c>
      <c r="G26">
        <f t="shared" si="0"/>
        <v>0</v>
      </c>
      <c r="H26">
        <f t="shared" si="1"/>
        <v>0</v>
      </c>
      <c r="I26">
        <f t="shared" si="2"/>
        <v>0</v>
      </c>
      <c r="Q26" t="s">
        <v>98</v>
      </c>
      <c r="T26" t="s">
        <v>108</v>
      </c>
      <c r="AH26">
        <f t="shared" si="19"/>
        <v>21</v>
      </c>
      <c r="AI26">
        <f t="shared" si="4"/>
        <v>3774</v>
      </c>
      <c r="AJ26">
        <f t="shared" si="5"/>
        <v>7.5</v>
      </c>
      <c r="AK26">
        <f t="shared" si="6"/>
        <v>9.8000000000000007</v>
      </c>
      <c r="AL26">
        <f t="shared" si="7"/>
        <v>0</v>
      </c>
      <c r="AM26">
        <f t="shared" si="8"/>
        <v>0</v>
      </c>
      <c r="AN26">
        <f t="shared" si="9"/>
        <v>0</v>
      </c>
      <c r="AO26">
        <f t="shared" si="10"/>
        <v>2898</v>
      </c>
      <c r="AP26">
        <v>2740.8585188413967</v>
      </c>
      <c r="AQ26">
        <f t="shared" si="11"/>
        <v>157.14148115860326</v>
      </c>
      <c r="AR26">
        <v>0.14557206056848992</v>
      </c>
      <c r="AS26" s="20">
        <f t="shared" si="12"/>
        <v>0.87156319018296602</v>
      </c>
      <c r="AT26">
        <f t="shared" si="13"/>
        <v>32664.35114801228</v>
      </c>
      <c r="AU26">
        <f t="shared" si="14"/>
        <v>0.9406241046974505</v>
      </c>
      <c r="AV26">
        <f t="shared" si="15"/>
        <v>0.3562693969616807</v>
      </c>
      <c r="AW26">
        <f t="shared" si="16"/>
        <v>2.1638485802807642E-2</v>
      </c>
      <c r="AX26">
        <f t="shared" si="17"/>
        <v>0.38825530460183127</v>
      </c>
      <c r="AY26" t="str">
        <f t="shared" si="18"/>
        <v/>
      </c>
    </row>
    <row r="27" spans="1:51" x14ac:dyDescent="0.3">
      <c r="A27" s="7">
        <v>85</v>
      </c>
      <c r="B27" s="7">
        <v>2</v>
      </c>
      <c r="C27" s="7">
        <v>2967</v>
      </c>
      <c r="D27" s="7">
        <v>4303</v>
      </c>
      <c r="E27" s="7">
        <v>7.1</v>
      </c>
      <c r="F27" s="7">
        <v>7.1</v>
      </c>
      <c r="G27">
        <f t="shared" si="0"/>
        <v>1</v>
      </c>
      <c r="H27">
        <f t="shared" si="1"/>
        <v>0</v>
      </c>
      <c r="I27">
        <f t="shared" si="2"/>
        <v>0</v>
      </c>
      <c r="T27" t="s">
        <v>109</v>
      </c>
      <c r="AH27">
        <f t="shared" si="19"/>
        <v>22</v>
      </c>
      <c r="AI27">
        <f t="shared" si="4"/>
        <v>3861</v>
      </c>
      <c r="AJ27">
        <f t="shared" si="5"/>
        <v>7.5</v>
      </c>
      <c r="AK27">
        <f t="shared" si="6"/>
        <v>10.3</v>
      </c>
      <c r="AL27">
        <f t="shared" si="7"/>
        <v>1</v>
      </c>
      <c r="AM27">
        <f t="shared" si="8"/>
        <v>0</v>
      </c>
      <c r="AN27">
        <f t="shared" si="9"/>
        <v>0</v>
      </c>
      <c r="AO27">
        <f t="shared" si="10"/>
        <v>2448</v>
      </c>
      <c r="AP27">
        <v>2568.6688284809229</v>
      </c>
      <c r="AQ27">
        <f t="shared" si="11"/>
        <v>-120.66882848092291</v>
      </c>
      <c r="AR27">
        <v>0.16763767928138668</v>
      </c>
      <c r="AS27" s="20">
        <f t="shared" si="12"/>
        <v>-0.66927273646049878</v>
      </c>
      <c r="AT27">
        <f t="shared" si="13"/>
        <v>33160.308360565272</v>
      </c>
      <c r="AU27">
        <f t="shared" si="14"/>
        <v>-0.72632268737120675</v>
      </c>
      <c r="AV27">
        <f t="shared" si="15"/>
        <v>0.47466565436996433</v>
      </c>
      <c r="AW27">
        <f t="shared" si="16"/>
        <v>1.5482997476631549E-2</v>
      </c>
      <c r="AX27">
        <f t="shared" si="17"/>
        <v>-0.3259561831953085</v>
      </c>
      <c r="AY27" t="str">
        <f t="shared" si="18"/>
        <v/>
      </c>
    </row>
    <row r="28" spans="1:51" x14ac:dyDescent="0.3">
      <c r="A28" s="7">
        <v>85</v>
      </c>
      <c r="B28" s="7">
        <v>3</v>
      </c>
      <c r="C28" s="7">
        <v>2439</v>
      </c>
      <c r="D28" s="7">
        <v>4393</v>
      </c>
      <c r="E28" s="7">
        <v>7</v>
      </c>
      <c r="F28" s="7">
        <v>7.2</v>
      </c>
      <c r="G28">
        <f t="shared" si="0"/>
        <v>0</v>
      </c>
      <c r="H28">
        <f t="shared" si="1"/>
        <v>1</v>
      </c>
      <c r="I28">
        <f t="shared" si="2"/>
        <v>0</v>
      </c>
      <c r="AH28">
        <f t="shared" si="19"/>
        <v>23</v>
      </c>
      <c r="AI28">
        <f t="shared" si="4"/>
        <v>3919</v>
      </c>
      <c r="AJ28">
        <f t="shared" si="5"/>
        <v>7.2</v>
      </c>
      <c r="AK28">
        <f t="shared" si="6"/>
        <v>8.8000000000000007</v>
      </c>
      <c r="AL28">
        <f t="shared" si="7"/>
        <v>0</v>
      </c>
      <c r="AM28">
        <f t="shared" si="8"/>
        <v>1</v>
      </c>
      <c r="AN28">
        <f t="shared" si="9"/>
        <v>0</v>
      </c>
      <c r="AO28">
        <f t="shared" si="10"/>
        <v>2460</v>
      </c>
      <c r="AP28">
        <v>2504.7002817078019</v>
      </c>
      <c r="AQ28">
        <f t="shared" si="11"/>
        <v>-44.700281707801878</v>
      </c>
      <c r="AR28">
        <v>0.14181544001799315</v>
      </c>
      <c r="AS28" s="20">
        <f t="shared" si="12"/>
        <v>-0.24792384442404203</v>
      </c>
      <c r="AT28">
        <f t="shared" si="13"/>
        <v>33819.666551638744</v>
      </c>
      <c r="AU28">
        <f t="shared" si="14"/>
        <v>-0.26238273284409941</v>
      </c>
      <c r="AV28">
        <f t="shared" si="15"/>
        <v>0.79526546726492375</v>
      </c>
      <c r="AW28">
        <f t="shared" si="16"/>
        <v>1.6908328575813646E-3</v>
      </c>
      <c r="AX28">
        <f t="shared" si="17"/>
        <v>-0.1066612480821479</v>
      </c>
      <c r="AY28" t="str">
        <f t="shared" si="18"/>
        <v/>
      </c>
    </row>
    <row r="29" spans="1:51" x14ac:dyDescent="0.3">
      <c r="A29" s="7">
        <v>85</v>
      </c>
      <c r="B29" s="7">
        <v>4</v>
      </c>
      <c r="C29" s="7">
        <v>2598</v>
      </c>
      <c r="D29" s="7">
        <v>4560</v>
      </c>
      <c r="E29" s="7">
        <v>7.1</v>
      </c>
      <c r="F29" s="7">
        <v>8.9</v>
      </c>
      <c r="G29">
        <f t="shared" si="0"/>
        <v>0</v>
      </c>
      <c r="H29">
        <f t="shared" si="1"/>
        <v>0</v>
      </c>
      <c r="I29">
        <f t="shared" si="2"/>
        <v>1</v>
      </c>
      <c r="AH29">
        <f t="shared" si="19"/>
        <v>24</v>
      </c>
      <c r="AI29">
        <f t="shared" si="4"/>
        <v>4040</v>
      </c>
      <c r="AJ29">
        <f t="shared" si="5"/>
        <v>7.4</v>
      </c>
      <c r="AK29">
        <f t="shared" si="6"/>
        <v>8.1999999999999993</v>
      </c>
      <c r="AL29">
        <f t="shared" si="7"/>
        <v>0</v>
      </c>
      <c r="AM29">
        <f t="shared" si="8"/>
        <v>0</v>
      </c>
      <c r="AN29">
        <f t="shared" si="9"/>
        <v>1</v>
      </c>
      <c r="AO29">
        <f t="shared" si="10"/>
        <v>2646</v>
      </c>
      <c r="AP29">
        <v>2702.1801914809421</v>
      </c>
      <c r="AQ29">
        <f t="shared" si="11"/>
        <v>-56.180191480942085</v>
      </c>
      <c r="AR29">
        <v>0.18759865607883466</v>
      </c>
      <c r="AS29" s="20">
        <f t="shared" si="12"/>
        <v>-0.31159555421779245</v>
      </c>
      <c r="AT29">
        <f t="shared" si="13"/>
        <v>33751.982292587192</v>
      </c>
      <c r="AU29">
        <f t="shared" si="14"/>
        <v>-0.33927218537101922</v>
      </c>
      <c r="AV29">
        <f t="shared" si="15"/>
        <v>0.73735554608667275</v>
      </c>
      <c r="AW29">
        <f t="shared" si="16"/>
        <v>3.9425110727192196E-3</v>
      </c>
      <c r="AX29">
        <f t="shared" si="17"/>
        <v>-0.16303385625648351</v>
      </c>
      <c r="AY29" t="str">
        <f t="shared" si="18"/>
        <v/>
      </c>
    </row>
    <row r="30" spans="1:51" x14ac:dyDescent="0.3">
      <c r="A30" s="7">
        <v>86</v>
      </c>
      <c r="B30" s="7">
        <v>1</v>
      </c>
      <c r="C30" s="7">
        <v>3045</v>
      </c>
      <c r="D30" s="7">
        <v>4587</v>
      </c>
      <c r="E30" s="7">
        <v>7.1</v>
      </c>
      <c r="F30" s="7">
        <v>7.7</v>
      </c>
      <c r="G30">
        <f t="shared" si="0"/>
        <v>0</v>
      </c>
      <c r="H30">
        <f t="shared" si="1"/>
        <v>0</v>
      </c>
      <c r="I30">
        <f t="shared" si="2"/>
        <v>0</v>
      </c>
      <c r="AH30">
        <f t="shared" si="19"/>
        <v>25</v>
      </c>
      <c r="AI30">
        <f t="shared" si="4"/>
        <v>4133</v>
      </c>
      <c r="AJ30">
        <f t="shared" si="5"/>
        <v>7.3</v>
      </c>
      <c r="AK30">
        <f t="shared" si="6"/>
        <v>7.5</v>
      </c>
      <c r="AL30">
        <f t="shared" si="7"/>
        <v>0</v>
      </c>
      <c r="AM30">
        <f t="shared" si="8"/>
        <v>0</v>
      </c>
      <c r="AN30">
        <f t="shared" si="9"/>
        <v>0</v>
      </c>
      <c r="AO30">
        <f t="shared" si="10"/>
        <v>2988</v>
      </c>
      <c r="AP30">
        <v>2936.199193633287</v>
      </c>
      <c r="AQ30">
        <f t="shared" si="11"/>
        <v>51.800806366713005</v>
      </c>
      <c r="AR30">
        <v>0.17584045214980246</v>
      </c>
      <c r="AS30" s="20">
        <f t="shared" si="12"/>
        <v>0.28730590877818463</v>
      </c>
      <c r="AT30">
        <f t="shared" si="13"/>
        <v>33779.339358305318</v>
      </c>
      <c r="AU30">
        <f t="shared" si="14"/>
        <v>0.31045974568743845</v>
      </c>
      <c r="AV30">
        <f t="shared" si="15"/>
        <v>0.7588914918317089</v>
      </c>
      <c r="AW30">
        <f t="shared" si="16"/>
        <v>3.0527221576601674E-3</v>
      </c>
      <c r="AX30">
        <f t="shared" si="17"/>
        <v>0.14340326721937777</v>
      </c>
      <c r="AY30" t="str">
        <f t="shared" si="18"/>
        <v/>
      </c>
    </row>
    <row r="31" spans="1:51" x14ac:dyDescent="0.3">
      <c r="A31" s="7">
        <v>86</v>
      </c>
      <c r="B31" s="7">
        <v>2</v>
      </c>
      <c r="C31" s="7">
        <v>3213</v>
      </c>
      <c r="D31" s="7">
        <v>4716</v>
      </c>
      <c r="E31" s="7">
        <v>6.9</v>
      </c>
      <c r="F31" s="7">
        <v>7.4</v>
      </c>
      <c r="G31">
        <f t="shared" si="0"/>
        <v>1</v>
      </c>
      <c r="H31">
        <f t="shared" si="1"/>
        <v>0</v>
      </c>
      <c r="I31">
        <f t="shared" si="2"/>
        <v>0</v>
      </c>
      <c r="AH31">
        <f t="shared" si="19"/>
        <v>26</v>
      </c>
      <c r="AI31">
        <f t="shared" si="4"/>
        <v>4303</v>
      </c>
      <c r="AJ31">
        <f t="shared" si="5"/>
        <v>7.1</v>
      </c>
      <c r="AK31">
        <f t="shared" si="6"/>
        <v>7.1</v>
      </c>
      <c r="AL31">
        <f t="shared" si="7"/>
        <v>1</v>
      </c>
      <c r="AM31">
        <f t="shared" si="8"/>
        <v>0</v>
      </c>
      <c r="AN31">
        <f t="shared" si="9"/>
        <v>0</v>
      </c>
      <c r="AO31">
        <f t="shared" si="10"/>
        <v>2967</v>
      </c>
      <c r="AP31">
        <v>2844.0499499858952</v>
      </c>
      <c r="AQ31">
        <f t="shared" si="11"/>
        <v>122.95005001410482</v>
      </c>
      <c r="AR31">
        <v>0.18535924337160462</v>
      </c>
      <c r="AS31" s="20">
        <f t="shared" si="12"/>
        <v>0.68192521181146859</v>
      </c>
      <c r="AT31">
        <f t="shared" si="13"/>
        <v>33114.101726034089</v>
      </c>
      <c r="AU31">
        <f t="shared" si="14"/>
        <v>0.74858160921585404</v>
      </c>
      <c r="AV31">
        <f t="shared" si="15"/>
        <v>0.46138320979520198</v>
      </c>
      <c r="AW31">
        <f t="shared" si="16"/>
        <v>1.8554849422414171E-2</v>
      </c>
      <c r="AX31">
        <f t="shared" si="17"/>
        <v>0.35707809595300949</v>
      </c>
      <c r="AY31" t="str">
        <f t="shared" si="18"/>
        <v/>
      </c>
    </row>
    <row r="32" spans="1:51" x14ac:dyDescent="0.3">
      <c r="A32" s="7">
        <v>86</v>
      </c>
      <c r="B32" s="7">
        <v>3</v>
      </c>
      <c r="C32" s="7">
        <v>2685</v>
      </c>
      <c r="D32" s="7">
        <v>4796</v>
      </c>
      <c r="E32" s="7">
        <v>6.8</v>
      </c>
      <c r="F32" s="7">
        <v>7.4</v>
      </c>
      <c r="G32">
        <f t="shared" si="0"/>
        <v>0</v>
      </c>
      <c r="H32">
        <f t="shared" si="1"/>
        <v>1</v>
      </c>
      <c r="I32">
        <f t="shared" si="2"/>
        <v>0</v>
      </c>
      <c r="AH32">
        <f t="shared" si="19"/>
        <v>27</v>
      </c>
      <c r="AI32">
        <f t="shared" si="4"/>
        <v>4393</v>
      </c>
      <c r="AJ32">
        <f t="shared" si="5"/>
        <v>7</v>
      </c>
      <c r="AK32">
        <f t="shared" si="6"/>
        <v>7.2</v>
      </c>
      <c r="AL32">
        <f t="shared" si="7"/>
        <v>0</v>
      </c>
      <c r="AM32">
        <f t="shared" si="8"/>
        <v>1</v>
      </c>
      <c r="AN32">
        <f t="shared" si="9"/>
        <v>0</v>
      </c>
      <c r="AO32">
        <f t="shared" si="10"/>
        <v>2439</v>
      </c>
      <c r="AP32">
        <v>2692.9400060506605</v>
      </c>
      <c r="AQ32">
        <f t="shared" si="11"/>
        <v>-253.94000605066049</v>
      </c>
      <c r="AR32">
        <v>0.18746915800052116</v>
      </c>
      <c r="AS32" s="20">
        <f t="shared" si="12"/>
        <v>-1.4084426349858046</v>
      </c>
      <c r="AT32">
        <f t="shared" si="13"/>
        <v>30470.297651134795</v>
      </c>
      <c r="AU32">
        <f t="shared" si="14"/>
        <v>-1.613885983612769</v>
      </c>
      <c r="AV32">
        <f t="shared" si="15"/>
        <v>0.1196248274181804</v>
      </c>
      <c r="AW32">
        <f t="shared" si="16"/>
        <v>8.046933369290328E-2</v>
      </c>
      <c r="AX32">
        <f t="shared" si="17"/>
        <v>-0.77520726971175169</v>
      </c>
      <c r="AY32" t="str">
        <f t="shared" si="18"/>
        <v/>
      </c>
    </row>
    <row r="33" spans="1:51" x14ac:dyDescent="0.3">
      <c r="A33" s="7">
        <v>86</v>
      </c>
      <c r="B33" s="7">
        <v>4</v>
      </c>
      <c r="G33">
        <f t="shared" si="0"/>
        <v>0</v>
      </c>
      <c r="H33">
        <f t="shared" si="1"/>
        <v>0</v>
      </c>
      <c r="I33">
        <f t="shared" si="2"/>
        <v>1</v>
      </c>
      <c r="AH33">
        <f t="shared" si="19"/>
        <v>28</v>
      </c>
      <c r="AI33">
        <f t="shared" si="4"/>
        <v>4560</v>
      </c>
      <c r="AJ33">
        <f t="shared" si="5"/>
        <v>7.1</v>
      </c>
      <c r="AK33">
        <f t="shared" si="6"/>
        <v>8.9</v>
      </c>
      <c r="AL33">
        <f t="shared" si="7"/>
        <v>0</v>
      </c>
      <c r="AM33">
        <f t="shared" si="8"/>
        <v>0</v>
      </c>
      <c r="AN33">
        <f t="shared" si="9"/>
        <v>1</v>
      </c>
      <c r="AO33">
        <f t="shared" si="10"/>
        <v>2598</v>
      </c>
      <c r="AP33">
        <v>2813.1762803714246</v>
      </c>
      <c r="AQ33">
        <f t="shared" si="11"/>
        <v>-215.17628037142458</v>
      </c>
      <c r="AR33">
        <v>0.22973087959801766</v>
      </c>
      <c r="AS33" s="20">
        <f t="shared" si="12"/>
        <v>-1.1934450661244491</v>
      </c>
      <c r="AT33">
        <f t="shared" si="13"/>
        <v>31307.421482877337</v>
      </c>
      <c r="AU33">
        <f t="shared" si="14"/>
        <v>-1.3856370970332692</v>
      </c>
      <c r="AV33">
        <f t="shared" si="15"/>
        <v>0.17860050198425806</v>
      </c>
      <c r="AW33">
        <f t="shared" si="16"/>
        <v>7.8784580503265672E-2</v>
      </c>
      <c r="AX33">
        <f t="shared" si="17"/>
        <v>-0.75672476279043788</v>
      </c>
      <c r="AY33" t="str">
        <f t="shared" si="18"/>
        <v/>
      </c>
    </row>
    <row r="34" spans="1:51" x14ac:dyDescent="0.3">
      <c r="AH34">
        <f t="shared" si="19"/>
        <v>29</v>
      </c>
      <c r="AI34">
        <f t="shared" si="4"/>
        <v>4587</v>
      </c>
      <c r="AJ34">
        <f t="shared" si="5"/>
        <v>7.1</v>
      </c>
      <c r="AK34">
        <f t="shared" si="6"/>
        <v>7.7</v>
      </c>
      <c r="AL34">
        <f t="shared" si="7"/>
        <v>0</v>
      </c>
      <c r="AM34">
        <f t="shared" si="8"/>
        <v>0</v>
      </c>
      <c r="AN34">
        <f t="shared" si="9"/>
        <v>0</v>
      </c>
      <c r="AO34">
        <f t="shared" si="10"/>
        <v>3045</v>
      </c>
      <c r="AP34">
        <v>3043.0999118329432</v>
      </c>
      <c r="AQ34">
        <f t="shared" si="11"/>
        <v>1.9000881670567651</v>
      </c>
      <c r="AR34">
        <v>0.22177048304464006</v>
      </c>
      <c r="AS34" s="20">
        <f t="shared" si="12"/>
        <v>1.053857257993799E-2</v>
      </c>
      <c r="AT34">
        <f t="shared" si="13"/>
        <v>33920.695489989244</v>
      </c>
      <c r="AU34">
        <f t="shared" si="14"/>
        <v>1.1694658109590713E-2</v>
      </c>
      <c r="AV34">
        <f t="shared" si="15"/>
        <v>0.99076589762678557</v>
      </c>
      <c r="AW34">
        <f t="shared" si="16"/>
        <v>5.8097024016274652E-6</v>
      </c>
      <c r="AX34">
        <f t="shared" si="17"/>
        <v>6.2428881157242143E-3</v>
      </c>
      <c r="AY34" t="str">
        <f t="shared" si="18"/>
        <v/>
      </c>
    </row>
    <row r="35" spans="1:51" x14ac:dyDescent="0.3">
      <c r="AH35">
        <f t="shared" si="19"/>
        <v>30</v>
      </c>
      <c r="AI35">
        <f t="shared" si="4"/>
        <v>4716</v>
      </c>
      <c r="AJ35">
        <f t="shared" si="5"/>
        <v>6.9</v>
      </c>
      <c r="AK35">
        <f t="shared" si="6"/>
        <v>7.4</v>
      </c>
      <c r="AL35">
        <f t="shared" si="7"/>
        <v>1</v>
      </c>
      <c r="AM35">
        <f t="shared" si="8"/>
        <v>0</v>
      </c>
      <c r="AN35">
        <f t="shared" si="9"/>
        <v>0</v>
      </c>
      <c r="AO35">
        <f t="shared" si="10"/>
        <v>3213</v>
      </c>
      <c r="AP35">
        <v>2938.4620717841199</v>
      </c>
      <c r="AQ35">
        <f t="shared" si="11"/>
        <v>274.53792821588013</v>
      </c>
      <c r="AR35">
        <v>0.23022309402850069</v>
      </c>
      <c r="AS35" s="20">
        <f t="shared" si="12"/>
        <v>1.5226861219447947</v>
      </c>
      <c r="AT35">
        <f t="shared" si="13"/>
        <v>29663.815441936578</v>
      </c>
      <c r="AU35">
        <f t="shared" si="14"/>
        <v>1.8167970159952596</v>
      </c>
      <c r="AV35">
        <f t="shared" si="15"/>
        <v>8.175842032804094E-2</v>
      </c>
      <c r="AW35">
        <f t="shared" si="16"/>
        <v>0.128689131466867</v>
      </c>
      <c r="AX35">
        <f t="shared" si="17"/>
        <v>0.99356986794542312</v>
      </c>
      <c r="AY35" t="str">
        <f t="shared" si="18"/>
        <v/>
      </c>
    </row>
    <row r="36" spans="1:51" x14ac:dyDescent="0.3">
      <c r="AH36" s="10">
        <f t="shared" si="19"/>
        <v>31</v>
      </c>
      <c r="AI36" s="10">
        <f t="shared" si="4"/>
        <v>4796</v>
      </c>
      <c r="AJ36" s="10">
        <f t="shared" si="5"/>
        <v>6.8</v>
      </c>
      <c r="AK36" s="10">
        <f t="shared" si="6"/>
        <v>7.4</v>
      </c>
      <c r="AL36" s="10">
        <f t="shared" si="7"/>
        <v>0</v>
      </c>
      <c r="AM36" s="10">
        <f t="shared" si="8"/>
        <v>1</v>
      </c>
      <c r="AN36" s="10">
        <f t="shared" si="9"/>
        <v>0</v>
      </c>
      <c r="AO36" s="10">
        <f t="shared" si="10"/>
        <v>2685</v>
      </c>
      <c r="AP36" s="10">
        <v>2789.6509719060123</v>
      </c>
      <c r="AQ36" s="10">
        <f t="shared" si="11"/>
        <v>-104.65097190601227</v>
      </c>
      <c r="AR36" s="10">
        <v>0.23275556196970743</v>
      </c>
      <c r="AS36" s="22">
        <f t="shared" si="12"/>
        <v>-0.58043194106140317</v>
      </c>
      <c r="AT36" s="10">
        <f t="shared" si="13"/>
        <v>33300.278364202815</v>
      </c>
      <c r="AU36" s="10">
        <f t="shared" si="14"/>
        <v>-0.65471525426054811</v>
      </c>
      <c r="AV36" s="10">
        <f t="shared" si="15"/>
        <v>0.51887708095126561</v>
      </c>
      <c r="AW36" s="10">
        <f t="shared" si="16"/>
        <v>1.9029927656566078E-2</v>
      </c>
      <c r="AX36" s="10">
        <f t="shared" si="17"/>
        <v>-0.360608217524166</v>
      </c>
      <c r="AY36" t="str">
        <f t="shared" si="18"/>
        <v/>
      </c>
    </row>
    <row r="38" spans="1:51" x14ac:dyDescent="0.3">
      <c r="AS38" t="s">
        <v>106</v>
      </c>
    </row>
    <row r="39" spans="1:51" x14ac:dyDescent="0.3">
      <c r="AS39" t="s">
        <v>105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A8BB829C7A42B2F13D1EEEDCE24A" ma:contentTypeVersion="4" ma:contentTypeDescription="Create a new document." ma:contentTypeScope="" ma:versionID="0fb4b02acbe7837dacb825f18ae83a88">
  <xsd:schema xmlns:xsd="http://www.w3.org/2001/XMLSchema" xmlns:xs="http://www.w3.org/2001/XMLSchema" xmlns:p="http://schemas.microsoft.com/office/2006/metadata/properties" xmlns:ns2="d0d77eca-fb09-4c91-a0cf-c85fba2eb381" targetNamespace="http://schemas.microsoft.com/office/2006/metadata/properties" ma:root="true" ma:fieldsID="c46506f2f20c03c78ca8a17f3f0a99c3" ns2:_="">
    <xsd:import namespace="d0d77eca-fb09-4c91-a0cf-c85fba2eb3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77eca-fb09-4c91-a0cf-c85fba2eb3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C1E780-ADD5-4E2D-B69C-36DB834566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095386-9272-46D4-9C1A-3C003EE605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A4A78D-232E-4D6D-B356-BAD2B045D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77eca-fb09-4c91-a0cf-c85fba2eb3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Europe</vt:lpstr>
      <vt:lpstr>Sheet1</vt:lpstr>
      <vt:lpstr>Sheet2</vt:lpstr>
      <vt:lpstr>Autos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keshav</cp:lastModifiedBy>
  <cp:revision/>
  <dcterms:created xsi:type="dcterms:W3CDTF">2018-01-15T14:48:26Z</dcterms:created>
  <dcterms:modified xsi:type="dcterms:W3CDTF">2023-04-21T17:47:49Z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0x010100C01CA8BB829C7A42B2F13D1EEEDCE24A</vt:lpwstr>
  </property>
</Properties>
</file>