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ata\project\excels\"/>
    </mc:Choice>
  </mc:AlternateContent>
  <bookViews>
    <workbookView xWindow="0" yWindow="0" windowWidth="20490" windowHeight="10920"/>
  </bookViews>
  <sheets>
    <sheet name="Sheet1" sheetId="1" r:id="rId1"/>
    <sheet name="stability analysis" sheetId="2" r:id="rId2"/>
  </sheets>
  <definedNames>
    <definedName name="_xlnm.Print_Area" localSheetId="0">Sheet1!$A$1:$N$169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0" i="1" l="1"/>
  <c r="C109" i="1"/>
  <c r="C97" i="1"/>
  <c r="M12" i="1" l="1"/>
  <c r="H23" i="1"/>
  <c r="H20" i="1"/>
  <c r="F143" i="1"/>
  <c r="B148" i="1"/>
  <c r="E147" i="1"/>
  <c r="C144" i="1"/>
  <c r="L3" i="2" l="1"/>
  <c r="E106" i="1"/>
  <c r="F106" i="1"/>
  <c r="E108" i="1"/>
  <c r="C118" i="1"/>
  <c r="C114" i="1"/>
  <c r="F115" i="1" s="1"/>
  <c r="C92" i="1" l="1"/>
  <c r="C93" i="1"/>
  <c r="C63" i="1"/>
  <c r="C16" i="2" s="1"/>
  <c r="E16" i="2"/>
  <c r="C11" i="2"/>
  <c r="C84" i="1"/>
  <c r="C85" i="1" s="1"/>
  <c r="C95" i="1" s="1"/>
  <c r="D79" i="1"/>
  <c r="C96" i="1" l="1"/>
  <c r="C98" i="1" s="1"/>
  <c r="C68" i="1"/>
  <c r="C67" i="1"/>
  <c r="C65" i="1"/>
  <c r="C66" i="1"/>
  <c r="A56" i="1"/>
  <c r="A35" i="1"/>
  <c r="C71" i="1" l="1"/>
  <c r="C70" i="1"/>
  <c r="L12" i="1"/>
  <c r="H16" i="1"/>
  <c r="B11" i="1" s="1"/>
  <c r="H7" i="1"/>
  <c r="B12" i="1" l="1"/>
  <c r="B24" i="1" s="1"/>
  <c r="D24" i="1" s="1"/>
  <c r="B25" i="1" l="1"/>
  <c r="B149" i="1"/>
  <c r="B151" i="1" s="1"/>
  <c r="E140" i="1"/>
  <c r="C105" i="1"/>
  <c r="D105" i="1"/>
  <c r="F105" i="1"/>
  <c r="F108" i="1"/>
  <c r="E107" i="1"/>
  <c r="F107" i="1"/>
  <c r="E105" i="1"/>
  <c r="C107" i="1"/>
  <c r="D108" i="1"/>
  <c r="C106" i="1"/>
  <c r="C116" i="1" s="1"/>
  <c r="C108" i="1"/>
  <c r="C117" i="1" s="1"/>
  <c r="D106" i="1"/>
  <c r="C17" i="2"/>
  <c r="D107" i="1"/>
  <c r="C10" i="2"/>
  <c r="C14" i="2" s="1"/>
  <c r="L12" i="2"/>
  <c r="L17" i="2"/>
  <c r="L22" i="2"/>
  <c r="C72" i="1"/>
  <c r="C74" i="1" s="1"/>
  <c r="C76" i="1"/>
  <c r="C13" i="2" s="1"/>
  <c r="C75" i="1"/>
  <c r="M7" i="2" s="1"/>
  <c r="N7" i="2" s="1"/>
  <c r="B57" i="1"/>
  <c r="D57" i="1" s="1"/>
  <c r="B40" i="1"/>
  <c r="B42" i="1" s="1"/>
  <c r="B38" i="1"/>
  <c r="B41" i="1" s="1"/>
  <c r="B30" i="1"/>
  <c r="B31" i="1" s="1"/>
  <c r="B33" i="1" s="1"/>
  <c r="D33" i="1" s="1"/>
  <c r="B34" i="1" s="1"/>
  <c r="B143" i="1" l="1"/>
  <c r="B142" i="1"/>
  <c r="B146" i="1" s="1"/>
  <c r="B150" i="1" s="1"/>
  <c r="A153" i="1" s="1"/>
  <c r="C113" i="1"/>
  <c r="C18" i="2"/>
  <c r="D30" i="2" s="1"/>
  <c r="C119" i="1"/>
  <c r="C122" i="1" s="1"/>
  <c r="C125" i="1" s="1"/>
  <c r="C129" i="1" s="1"/>
  <c r="C133" i="1" s="1"/>
  <c r="A135" i="1" s="1"/>
  <c r="L26" i="2"/>
  <c r="M26" i="2" s="1"/>
  <c r="C112" i="1"/>
  <c r="C115" i="1" s="1"/>
  <c r="C121" i="1" s="1"/>
  <c r="C124" i="1" s="1"/>
  <c r="C128" i="1" s="1"/>
  <c r="C132" i="1" s="1"/>
  <c r="A134" i="1" s="1"/>
  <c r="B78" i="1"/>
  <c r="B79" i="1" s="1"/>
  <c r="B80" i="1" s="1"/>
  <c r="B43" i="1"/>
  <c r="D43" i="1" s="1"/>
  <c r="A44" i="1" s="1"/>
  <c r="C19" i="2" l="1"/>
  <c r="E24" i="2" s="1"/>
  <c r="F25" i="2" s="1"/>
  <c r="C36" i="2" l="1"/>
  <c r="D36" i="2" s="1"/>
  <c r="C35" i="2"/>
  <c r="D35" i="2" s="1"/>
  <c r="E21" i="2"/>
  <c r="F22" i="2" s="1"/>
</calcChain>
</file>

<file path=xl/sharedStrings.xml><?xml version="1.0" encoding="utf-8"?>
<sst xmlns="http://schemas.openxmlformats.org/spreadsheetml/2006/main" count="299" uniqueCount="168">
  <si>
    <t>INPUT</t>
  </si>
  <si>
    <t>HEIGHT OF BEARING FROM MAX SCOUR LEVEL:</t>
  </si>
  <si>
    <t>HEIGHT OF ABUTMENT=</t>
  </si>
  <si>
    <t>SUBMERGED UNIT WEIGHT OF SOIL=</t>
  </si>
  <si>
    <t>m</t>
  </si>
  <si>
    <t>Total vertical load (includin dead weight and buyonce)</t>
  </si>
  <si>
    <t>Total lateral load at scour level=</t>
  </si>
  <si>
    <t>X</t>
  </si>
  <si>
    <t>=</t>
  </si>
  <si>
    <t>GRADE 0F CONCRETE</t>
  </si>
  <si>
    <t>N/mm^2</t>
  </si>
  <si>
    <t>DESIGN OF WELL COMPONENTS:</t>
  </si>
  <si>
    <t>1) DIMENSION OF WELL</t>
  </si>
  <si>
    <t>consider the DIAMETER of well with respective to abutment size</t>
  </si>
  <si>
    <t xml:space="preserve">2) WELL STEINING </t>
  </si>
  <si>
    <t xml:space="preserve">K VALUES </t>
  </si>
  <si>
    <t>K =</t>
  </si>
  <si>
    <t>h=</t>
  </si>
  <si>
    <t>DEPTH OF WELL (L)=</t>
  </si>
  <si>
    <t>INNER DIAMETER(di)</t>
  </si>
  <si>
    <t>d is outer dia considering MIN 500mm thickness</t>
  </si>
  <si>
    <t>outer diameter(d)=</t>
  </si>
  <si>
    <t>REINFORCEMENT:</t>
  </si>
  <si>
    <t>VERTICAL:</t>
  </si>
  <si>
    <t>Provide greater than 0.12% of cross section</t>
  </si>
  <si>
    <t>Ast=</t>
  </si>
  <si>
    <t>M^2</t>
  </si>
  <si>
    <t>mm^2</t>
  </si>
  <si>
    <t>DIA of steelprovided=</t>
  </si>
  <si>
    <t>mm</t>
  </si>
  <si>
    <t>NO OF BARS(for each face)=</t>
  </si>
  <si>
    <t>(provide 50 mm cover)spacing=</t>
  </si>
  <si>
    <t>HOOP REINFORCEMENT:</t>
  </si>
  <si>
    <t>%</t>
  </si>
  <si>
    <t>Volume of steel =</t>
  </si>
  <si>
    <t>Length of hoop=</t>
  </si>
  <si>
    <t>kg</t>
  </si>
  <si>
    <t>weight of steel per unit length=</t>
  </si>
  <si>
    <t>weight of single hoop=</t>
  </si>
  <si>
    <t>No of hoops=</t>
  </si>
  <si>
    <t>3) BOTTOM PLUG</t>
  </si>
  <si>
    <t>THICKNESS OF BOTTON PLUG(t)</t>
  </si>
  <si>
    <t>THICKNESS(t)=</t>
  </si>
  <si>
    <t>CHECK FOR STRESS IN STEINING</t>
  </si>
  <si>
    <t>Maximum stress occurs at  x distane from scour level(Max Bending moment point)</t>
  </si>
  <si>
    <t>φ of soil</t>
  </si>
  <si>
    <t>degrees</t>
  </si>
  <si>
    <t>̬δ</t>
  </si>
  <si>
    <t>Ka</t>
  </si>
  <si>
    <t>Kp</t>
  </si>
  <si>
    <t>sin(φ)</t>
  </si>
  <si>
    <t>x</t>
  </si>
  <si>
    <t>factor of safety</t>
  </si>
  <si>
    <t>MAX moment</t>
  </si>
  <si>
    <t>AREA OF WELL</t>
  </si>
  <si>
    <t>MOMENT OF INERTIA OF WELL</t>
  </si>
  <si>
    <t>M^4</t>
  </si>
  <si>
    <t>MAX STRESS IN STEINING</t>
  </si>
  <si>
    <t>&lt;</t>
  </si>
  <si>
    <t xml:space="preserve">where </t>
  </si>
  <si>
    <t>q= bearing pressure at the base in KN/m^2</t>
  </si>
  <si>
    <t>r= radius of the well in m</t>
  </si>
  <si>
    <t>fc= fleural strength of concrete in KN/m^2</t>
  </si>
  <si>
    <t>4) DESIGN OF WELL CAP</t>
  </si>
  <si>
    <t>VERTICAL LOAD</t>
  </si>
  <si>
    <t>MOMENT ABOUT TRANSVERSE AXIS</t>
  </si>
  <si>
    <t>MOMENT ABOUT LONGITUDINAL AXIS</t>
  </si>
  <si>
    <t>WIDTH</t>
  </si>
  <si>
    <t>LENGTH</t>
  </si>
  <si>
    <t>PIER DIMENSIONS:</t>
  </si>
  <si>
    <t>DISPERSION DIMENSIONS:;</t>
  </si>
  <si>
    <t>M</t>
  </si>
  <si>
    <t>ELASTIC THEORY</t>
  </si>
  <si>
    <t>W</t>
  </si>
  <si>
    <t>H</t>
  </si>
  <si>
    <t>VERTICAL LOAD@ BASE OF WELL</t>
  </si>
  <si>
    <t>HORIZONTAL LOAD @ SCOUR LEVEL</t>
  </si>
  <si>
    <t>MOMENT@ BASE OF WELL</t>
  </si>
  <si>
    <t>L</t>
  </si>
  <si>
    <t>D</t>
  </si>
  <si>
    <t>DEPTH OF SCOUR LEVEL</t>
  </si>
  <si>
    <r>
      <t>I</t>
    </r>
    <r>
      <rPr>
        <vertAlign val="subscript"/>
        <sz val="11"/>
        <color theme="1"/>
        <rFont val="Calibri"/>
        <family val="2"/>
        <scheme val="minor"/>
      </rPr>
      <t>B</t>
    </r>
  </si>
  <si>
    <r>
      <t>I</t>
    </r>
    <r>
      <rPr>
        <vertAlign val="subscript"/>
        <sz val="11"/>
        <color theme="1"/>
        <rFont val="Calibri"/>
        <family val="2"/>
        <scheme val="minor"/>
      </rPr>
      <t>V</t>
    </r>
  </si>
  <si>
    <r>
      <t>K</t>
    </r>
    <r>
      <rPr>
        <vertAlign val="subscript"/>
        <sz val="11"/>
        <color theme="1"/>
        <rFont val="Calibri"/>
        <family val="2"/>
        <scheme val="minor"/>
      </rPr>
      <t>H</t>
    </r>
    <r>
      <rPr>
        <sz val="11"/>
        <color theme="1"/>
        <rFont val="Calibri"/>
        <family val="2"/>
        <scheme val="minor"/>
      </rPr>
      <t>/K</t>
    </r>
  </si>
  <si>
    <t>α</t>
  </si>
  <si>
    <t>r</t>
  </si>
  <si>
    <t>I</t>
  </si>
  <si>
    <t>μ'</t>
  </si>
  <si>
    <t>μ=</t>
  </si>
  <si>
    <t>CHECK FOR ELASTIC STATE</t>
  </si>
  <si>
    <t>σ1</t>
  </si>
  <si>
    <t>σ2</t>
  </si>
  <si>
    <t>Loads under combination of  load cases</t>
  </si>
  <si>
    <t>ULTIMATE RESISTANCE</t>
  </si>
  <si>
    <t>BASE RESISTING MOMENT(Mb)</t>
  </si>
  <si>
    <t>ULTIMATE MOMENT RESISTANCE OF WELL SIDE DUE TO PASIVE RESISTANCE(MS)</t>
  </si>
  <si>
    <t>ULTIMATE MOMENT RESISTANCE OF WELL SIDE DUE TO FRICTION(MF)</t>
  </si>
  <si>
    <t>TOTAL VERTICAL LOAD CONSIDERING COMBINATIONS</t>
  </si>
  <si>
    <t>APPLIED EXTERNAL MOMENT FOR A LOAD COMBINATION</t>
  </si>
  <si>
    <t>SAFE BEARING CAPACITY OF SOIL</t>
  </si>
  <si>
    <t>support condition:</t>
  </si>
  <si>
    <t>freely supported on steining</t>
  </si>
  <si>
    <t>fully clamped on steining</t>
  </si>
  <si>
    <t>Mr</t>
  </si>
  <si>
    <t>Mt</t>
  </si>
  <si>
    <t>Moment beneath loaded area</t>
  </si>
  <si>
    <t>Moment beneath unloaded area</t>
  </si>
  <si>
    <t>Moment due to UDL@CENTRE</t>
  </si>
  <si>
    <t>Moment due to UDL@support</t>
  </si>
  <si>
    <t>Max moment @centre from pier</t>
  </si>
  <si>
    <t>Max moment @edge from pier</t>
  </si>
  <si>
    <t>(without sign)</t>
  </si>
  <si>
    <t>centre due to patch load</t>
  </si>
  <si>
    <t>centre due to udl</t>
  </si>
  <si>
    <t>centre  from pier</t>
  </si>
  <si>
    <t>edge due to patch load</t>
  </si>
  <si>
    <t>edge due to udl load</t>
  </si>
  <si>
    <t>edge  from pier</t>
  </si>
  <si>
    <t>TOTAL HOGGING @ EDGE</t>
  </si>
  <si>
    <t>TOTAL SAGGING @CENTRE</t>
  </si>
  <si>
    <t>TOTAL HOGGING @CENTRE</t>
  </si>
  <si>
    <t>DIA OF EQUIVALENT CIRCLE OF PIER</t>
  </si>
  <si>
    <t>sagging @ centre</t>
  </si>
  <si>
    <t>hogging @centre</t>
  </si>
  <si>
    <t>Grade of steel</t>
  </si>
  <si>
    <t>Ast@bottom</t>
  </si>
  <si>
    <t>Ast@top</t>
  </si>
  <si>
    <t>spacing top</t>
  </si>
  <si>
    <t>spacing bottom</t>
  </si>
  <si>
    <t>DIA of bars provided at bottom</t>
  </si>
  <si>
    <t>DIA of bars provided at top</t>
  </si>
  <si>
    <t>WIDTH OF SOIL MASS PROVIDING RESISTANCE</t>
  </si>
  <si>
    <t>STABILITY ANALYSIS</t>
  </si>
  <si>
    <t>PLAN DIMENSION OF ABUTMENT(M) :</t>
  </si>
  <si>
    <t>Annexure -B-Well Foundation</t>
  </si>
  <si>
    <t>cosφ</t>
  </si>
  <si>
    <t>cosδ</t>
  </si>
  <si>
    <t>sin(φ+δ)</t>
  </si>
  <si>
    <r>
      <t>THICKNESS(h) = Kd(L)</t>
    </r>
    <r>
      <rPr>
        <vertAlign val="superscript"/>
        <sz val="12"/>
        <color theme="1"/>
        <rFont val="Times New Roman"/>
        <family val="1"/>
      </rPr>
      <t>1/2</t>
    </r>
  </si>
  <si>
    <t>m^3/m</t>
  </si>
  <si>
    <t>kN/m^3</t>
  </si>
  <si>
    <t>kN</t>
  </si>
  <si>
    <t>5) Design of Well curb</t>
  </si>
  <si>
    <t>total running load of well steining on curb(N)</t>
  </si>
  <si>
    <t>co eff of friction between soil and curb</t>
  </si>
  <si>
    <t>mean diameter of well foundation(d)</t>
  </si>
  <si>
    <t>angle of beveled edge(degrees)</t>
  </si>
  <si>
    <t>Hoop tension (T)</t>
  </si>
  <si>
    <t>DIA OF BARS(mm)</t>
  </si>
  <si>
    <t>depth of well curb=</t>
  </si>
  <si>
    <t>volume of curb=</t>
  </si>
  <si>
    <t>m^3</t>
  </si>
  <si>
    <t>no of bars required=</t>
  </si>
  <si>
    <t>Minimum reuirement (72 kg/m^3)=</t>
  </si>
  <si>
    <t>GRIP LENGTH(m)=</t>
  </si>
  <si>
    <t>1)SANDY STRATA=0.03</t>
  </si>
  <si>
    <t>2)CLAYEY STRATA=0.033</t>
  </si>
  <si>
    <t>OVERALL DEPTH OF WELL CAP</t>
  </si>
  <si>
    <t>ASSUME DIA OF VERICAL REINFORCEMENT</t>
  </si>
  <si>
    <t>EFFECTIVE DEPTH OF WELL CAP</t>
  </si>
  <si>
    <t>LOADING DETAILS@ BASE OF PIER</t>
  </si>
  <si>
    <t>Provide not less than 0.04% volume/unit Length of steining</t>
  </si>
  <si>
    <t>m^2</t>
  </si>
  <si>
    <t>kN/m^2</t>
  </si>
  <si>
    <t>kN m</t>
  </si>
  <si>
    <t>all dimensions in meter(m)</t>
  </si>
  <si>
    <t>kN-m</t>
  </si>
  <si>
    <t>m^4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</si>
</sst>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4"/>
      <color theme="1"/>
      <name val="Times New Roman"/>
      <family val="1"/>
    </font>
    <font>
      <vertAlign val="subscript"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b/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vertAlign val="superscript"/>
      <sz val="12"/>
      <color theme="1"/>
      <name val="Times New Roman"/>
      <family val="1"/>
    </font>
    <font>
      <sz val="12"/>
      <color rgb="FFFF0000"/>
      <name val="Times New Roman"/>
      <family val="1"/>
    </font>
    <font>
      <sz val="12"/>
      <color theme="10"/>
      <name val="Times New Roman"/>
      <family val="1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4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3" borderId="0" xfId="0" applyFill="1"/>
    <xf numFmtId="0" fontId="1" fillId="0" borderId="0" xfId="0" applyFont="1"/>
    <xf numFmtId="0" fontId="0" fillId="5" borderId="0" xfId="0" applyFill="1"/>
    <xf numFmtId="0" fontId="0" fillId="0" borderId="0" xfId="0" applyAlignment="1">
      <alignment horizontal="center"/>
    </xf>
    <xf numFmtId="0" fontId="0" fillId="2" borderId="1" xfId="0" applyFill="1" applyBorder="1"/>
    <xf numFmtId="0" fontId="0" fillId="0" borderId="0" xfId="0" applyFill="1" applyBorder="1" applyAlignment="1">
      <alignment horizontal="center"/>
    </xf>
    <xf numFmtId="0" fontId="0" fillId="3" borderId="1" xfId="0" applyFill="1" applyBorder="1"/>
    <xf numFmtId="0" fontId="0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8" fillId="0" borderId="0" xfId="0" applyFont="1" applyAlignment="1"/>
    <xf numFmtId="0" fontId="9" fillId="0" borderId="0" xfId="0" applyFont="1"/>
    <xf numFmtId="0" fontId="9" fillId="2" borderId="0" xfId="0" applyFont="1" applyFill="1"/>
    <xf numFmtId="0" fontId="9" fillId="0" borderId="0" xfId="0" applyFont="1" applyAlignment="1">
      <alignment horizontal="center"/>
    </xf>
    <xf numFmtId="0" fontId="8" fillId="0" borderId="0" xfId="0" applyFont="1"/>
    <xf numFmtId="0" fontId="9" fillId="0" borderId="0" xfId="0" applyFont="1" applyAlignment="1"/>
    <xf numFmtId="0" fontId="9" fillId="3" borderId="0" xfId="0" applyFont="1" applyFill="1"/>
    <xf numFmtId="0" fontId="9" fillId="0" borderId="0" xfId="0" applyFont="1" applyAlignment="1">
      <alignment horizontal="left"/>
    </xf>
    <xf numFmtId="0" fontId="8" fillId="0" borderId="0" xfId="0" applyFont="1" applyFill="1" applyBorder="1" applyAlignment="1"/>
    <xf numFmtId="0" fontId="11" fillId="2" borderId="0" xfId="0" applyFont="1" applyFill="1"/>
    <xf numFmtId="0" fontId="9" fillId="4" borderId="0" xfId="0" applyFont="1" applyFill="1"/>
    <xf numFmtId="0" fontId="9" fillId="5" borderId="0" xfId="0" applyFont="1" applyFill="1"/>
    <xf numFmtId="0" fontId="9" fillId="0" borderId="0" xfId="0" quotePrefix="1" applyFont="1"/>
    <xf numFmtId="0" fontId="12" fillId="0" borderId="0" xfId="1" applyFont="1" applyAlignment="1">
      <alignment horizontal="left"/>
    </xf>
    <xf numFmtId="164" fontId="9" fillId="0" borderId="0" xfId="0" applyNumberFormat="1" applyFont="1"/>
    <xf numFmtId="0" fontId="13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  <xf numFmtId="0" fontId="9" fillId="2" borderId="1" xfId="0" applyFont="1" applyFill="1" applyBorder="1"/>
    <xf numFmtId="0" fontId="9" fillId="5" borderId="1" xfId="0" applyFont="1" applyFill="1" applyBorder="1" applyAlignment="1">
      <alignment horizontal="center"/>
    </xf>
    <xf numFmtId="0" fontId="7" fillId="0" borderId="0" xfId="0" applyFont="1" applyAlignment="1">
      <alignment horizontal="left"/>
    </xf>
    <xf numFmtId="0" fontId="9" fillId="3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9" fillId="3" borderId="0" xfId="0" applyFont="1" applyFill="1" applyAlignment="1">
      <alignment horizontal="center"/>
    </xf>
    <xf numFmtId="0" fontId="9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Font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47625</xdr:colOff>
      <xdr:row>2</xdr:row>
      <xdr:rowOff>114300</xdr:rowOff>
    </xdr:from>
    <xdr:to>
      <xdr:col>11</xdr:col>
      <xdr:colOff>428625</xdr:colOff>
      <xdr:row>23</xdr:row>
      <xdr:rowOff>165100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77075" y="304800"/>
          <a:ext cx="2219325" cy="428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466725</xdr:colOff>
      <xdr:row>18</xdr:row>
      <xdr:rowOff>85725</xdr:rowOff>
    </xdr:from>
    <xdr:to>
      <xdr:col>7</xdr:col>
      <xdr:colOff>476250</xdr:colOff>
      <xdr:row>21</xdr:row>
      <xdr:rowOff>161925</xdr:rowOff>
    </xdr:to>
    <xdr:cxnSp macro="">
      <xdr:nvCxnSpPr>
        <xdr:cNvPr id="4" name="Straight Arrow Connector 3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CxnSpPr/>
      </xdr:nvCxnSpPr>
      <xdr:spPr>
        <a:xfrm>
          <a:off x="8458200" y="3800475"/>
          <a:ext cx="9525" cy="71437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457200</xdr:colOff>
      <xdr:row>9</xdr:row>
      <xdr:rowOff>133350</xdr:rowOff>
    </xdr:from>
    <xdr:to>
      <xdr:col>7</xdr:col>
      <xdr:colOff>457200</xdr:colOff>
      <xdr:row>18</xdr:row>
      <xdr:rowOff>85725</xdr:rowOff>
    </xdr:to>
    <xdr:cxnSp macro="">
      <xdr:nvCxnSpPr>
        <xdr:cNvPr id="6" name="Straight Arrow Connector 5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CxnSpPr/>
      </xdr:nvCxnSpPr>
      <xdr:spPr>
        <a:xfrm>
          <a:off x="6877050" y="1657350"/>
          <a:ext cx="0" cy="166687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485775</xdr:colOff>
      <xdr:row>2</xdr:row>
      <xdr:rowOff>114300</xdr:rowOff>
    </xdr:from>
    <xdr:to>
      <xdr:col>7</xdr:col>
      <xdr:colOff>485775</xdr:colOff>
      <xdr:row>9</xdr:row>
      <xdr:rowOff>152400</xdr:rowOff>
    </xdr:to>
    <xdr:cxnSp macro="">
      <xdr:nvCxnSpPr>
        <xdr:cNvPr id="8" name="Straight Arrow Connector 7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CxnSpPr/>
      </xdr:nvCxnSpPr>
      <xdr:spPr>
        <a:xfrm>
          <a:off x="6905625" y="304800"/>
          <a:ext cx="0" cy="137160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447675</xdr:colOff>
      <xdr:row>10</xdr:row>
      <xdr:rowOff>9525</xdr:rowOff>
    </xdr:from>
    <xdr:to>
      <xdr:col>9</xdr:col>
      <xdr:colOff>419100</xdr:colOff>
      <xdr:row>10</xdr:row>
      <xdr:rowOff>9525</xdr:rowOff>
    </xdr:to>
    <xdr:cxnSp macro="">
      <xdr:nvCxnSpPr>
        <xdr:cNvPr id="10" name="Straight Arrow Connector 9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CxnSpPr/>
      </xdr:nvCxnSpPr>
      <xdr:spPr>
        <a:xfrm>
          <a:off x="7477125" y="1724025"/>
          <a:ext cx="581025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142875</xdr:colOff>
      <xdr:row>10</xdr:row>
      <xdr:rowOff>57150</xdr:rowOff>
    </xdr:from>
    <xdr:to>
      <xdr:col>12</xdr:col>
      <xdr:colOff>85725</xdr:colOff>
      <xdr:row>11</xdr:row>
      <xdr:rowOff>104775</xdr:rowOff>
    </xdr:to>
    <xdr:cxnSp macro="">
      <xdr:nvCxnSpPr>
        <xdr:cNvPr id="12" name="Straight Arrow Connector 11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CxnSpPr/>
      </xdr:nvCxnSpPr>
      <xdr:spPr>
        <a:xfrm>
          <a:off x="9353550" y="2171700"/>
          <a:ext cx="1771650" cy="2476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0</xdr:col>
      <xdr:colOff>1038225</xdr:colOff>
      <xdr:row>46</xdr:row>
      <xdr:rowOff>157162</xdr:rowOff>
    </xdr:from>
    <xdr:ext cx="1133475" cy="31957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="" xmlns:a16="http://schemas.microsoft.com/office/drawing/2014/main" id="{EC4F7564-F4CC-4A0A-91B3-5D05B9E9CDBB}"/>
                </a:ext>
              </a:extLst>
            </xdr:cNvPr>
            <xdr:cNvSpPr txBox="1"/>
          </xdr:nvSpPr>
          <xdr:spPr>
            <a:xfrm>
              <a:off x="1038225" y="8882062"/>
              <a:ext cx="1133475" cy="3195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IN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IN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1.18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𝑟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sup>
                    </m:sSup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𝑞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𝑓𝑐</m:t>
                        </m:r>
                      </m:den>
                    </m:f>
                  </m:oMath>
                </m:oMathPara>
              </a14:m>
              <a:endParaRPr lang="en-IN" sz="1100"/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EC4F7564-F4CC-4A0A-91B3-5D05B9E9CDBB}"/>
                </a:ext>
              </a:extLst>
            </xdr:cNvPr>
            <xdr:cNvSpPr txBox="1"/>
          </xdr:nvSpPr>
          <xdr:spPr>
            <a:xfrm>
              <a:off x="1038225" y="8882062"/>
              <a:ext cx="1133475" cy="3195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𝑡</a:t>
              </a:r>
              <a:r>
                <a:rPr lang="en-IN" sz="1100" b="0" i="0">
                  <a:latin typeface="Cambria Math" panose="02040503050406030204" pitchFamily="18" charset="0"/>
                </a:rPr>
                <a:t>^</a:t>
              </a:r>
              <a:r>
                <a:rPr lang="en-US" sz="1100" b="0" i="0">
                  <a:latin typeface="Cambria Math" panose="02040503050406030204" pitchFamily="18" charset="0"/>
                </a:rPr>
                <a:t>2</a:t>
              </a:r>
              <a:r>
                <a:rPr lang="en-IN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=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1.18𝑟^2  𝑞/𝑓𝑐</a:t>
              </a:r>
              <a:endParaRPr lang="en-IN" sz="1100"/>
            </a:p>
          </xdr:txBody>
        </xdr:sp>
      </mc:Fallback>
    </mc:AlternateContent>
    <xdr:clientData/>
  </xdr:oneCellAnchor>
  <xdr:oneCellAnchor>
    <xdr:from>
      <xdr:col>0</xdr:col>
      <xdr:colOff>476250</xdr:colOff>
      <xdr:row>102</xdr:row>
      <xdr:rowOff>14287</xdr:rowOff>
    </xdr:from>
    <xdr:ext cx="109203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="" xmlns:a16="http://schemas.microsoft.com/office/drawing/2014/main" id="{548EF941-2D96-46E1-8000-38B7CC0B7C29}"/>
                </a:ext>
              </a:extLst>
            </xdr:cNvPr>
            <xdr:cNvSpPr txBox="1"/>
          </xdr:nvSpPr>
          <xdr:spPr>
            <a:xfrm>
              <a:off x="476250" y="19216687"/>
              <a:ext cx="109203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IN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IN" sz="1100" b="0" i="1">
                          <a:latin typeface="Cambria Math" panose="02040503050406030204" pitchFamily="18" charset="0"/>
                        </a:rPr>
                        <m:t>𝑀</m:t>
                      </m:r>
                    </m:e>
                    <m:sub>
                      <m:r>
                        <a:rPr lang="en-IN" sz="1100" b="0" i="1">
                          <a:latin typeface="Cambria Math" panose="02040503050406030204" pitchFamily="18" charset="0"/>
                        </a:rPr>
                        <m:t>𝑟</m:t>
                      </m:r>
                    </m:sub>
                  </m:sSub>
                </m:oMath>
              </a14:m>
              <a:r>
                <a:rPr lang="en-IN" sz="1100"/>
                <a:t>=radial moment</a:t>
              </a:r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548EF941-2D96-46E1-8000-38B7CC0B7C29}"/>
                </a:ext>
              </a:extLst>
            </xdr:cNvPr>
            <xdr:cNvSpPr txBox="1"/>
          </xdr:nvSpPr>
          <xdr:spPr>
            <a:xfrm>
              <a:off x="476250" y="19216687"/>
              <a:ext cx="109203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IN" sz="1100" b="0" i="0">
                  <a:latin typeface="Cambria Math" panose="02040503050406030204" pitchFamily="18" charset="0"/>
                </a:rPr>
                <a:t>𝑀_𝑟</a:t>
              </a:r>
              <a:r>
                <a:rPr lang="en-IN" sz="1100"/>
                <a:t>=radial moment</a:t>
              </a:r>
            </a:p>
          </xdr:txBody>
        </xdr:sp>
      </mc:Fallback>
    </mc:AlternateContent>
    <xdr:clientData/>
  </xdr:oneCellAnchor>
  <xdr:oneCellAnchor>
    <xdr:from>
      <xdr:col>0</xdr:col>
      <xdr:colOff>447675</xdr:colOff>
      <xdr:row>103</xdr:row>
      <xdr:rowOff>14287</xdr:rowOff>
    </xdr:from>
    <xdr:ext cx="140217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="" xmlns:a16="http://schemas.microsoft.com/office/drawing/2014/main" id="{71168C9C-1C46-4D93-8199-1DC1FF167329}"/>
                </a:ext>
              </a:extLst>
            </xdr:cNvPr>
            <xdr:cNvSpPr txBox="1"/>
          </xdr:nvSpPr>
          <xdr:spPr>
            <a:xfrm>
              <a:off x="447675" y="19407187"/>
              <a:ext cx="140217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IN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𝑀</m:t>
                        </m:r>
                      </m:e>
                      <m:sub>
                        <m:r>
                          <a:rPr lang="en-IN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sub>
                    </m:sSub>
                    <m:r>
                      <m:rPr>
                        <m:nor/>
                      </m:rPr>
                      <a:rPr lang="en-IN" sz="1100" b="0" i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= </m:t>
                    </m:r>
                    <m:r>
                      <m:rPr>
                        <m:nor/>
                      </m:rPr>
                      <a:rPr lang="en-IN" sz="1100" b="0" i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tangential</m:t>
                    </m:r>
                    <m:r>
                      <m:rPr>
                        <m:nor/>
                      </m:rPr>
                      <a:rPr lang="en-IN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</m:t>
                    </m:r>
                    <m:r>
                      <m:rPr>
                        <m:nor/>
                      </m:rPr>
                      <a:rPr lang="en-IN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moment</m:t>
                    </m:r>
                  </m:oMath>
                </m:oMathPara>
              </a14:m>
              <a:endParaRPr lang="en-IN" sz="11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71168C9C-1C46-4D93-8199-1DC1FF167329}"/>
                </a:ext>
              </a:extLst>
            </xdr:cNvPr>
            <xdr:cNvSpPr txBox="1"/>
          </xdr:nvSpPr>
          <xdr:spPr>
            <a:xfrm>
              <a:off x="447675" y="19407187"/>
              <a:ext cx="140217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IN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𝑀_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"= tangential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moment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en-IN" sz="1100"/>
            </a:p>
          </xdr:txBody>
        </xdr:sp>
      </mc:Fallback>
    </mc:AlternateContent>
    <xdr:clientData/>
  </xdr:oneCellAnchor>
  <xdr:oneCellAnchor>
    <xdr:from>
      <xdr:col>0</xdr:col>
      <xdr:colOff>266700</xdr:colOff>
      <xdr:row>120</xdr:row>
      <xdr:rowOff>23812</xdr:rowOff>
    </xdr:from>
    <xdr:ext cx="262636" cy="31688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>
              <a:extLst>
                <a:ext uri="{FF2B5EF4-FFF2-40B4-BE49-F238E27FC236}">
                  <a16:creationId xmlns="" xmlns:a16="http://schemas.microsoft.com/office/drawing/2014/main" id="{8BC5379E-9E43-4507-9742-8386062A1D8E}"/>
                </a:ext>
              </a:extLst>
            </xdr:cNvPr>
            <xdr:cNvSpPr txBox="1"/>
          </xdr:nvSpPr>
          <xdr:spPr>
            <a:xfrm>
              <a:off x="266700" y="22845712"/>
              <a:ext cx="262636" cy="3168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IN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IN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IN" sz="1100" b="0" i="1">
                                <a:latin typeface="Cambria Math" panose="02040503050406030204" pitchFamily="18" charset="0"/>
                              </a:rPr>
                              <m:t>𝑀</m:t>
                            </m:r>
                          </m:e>
                          <m:sub>
                            <m:r>
                              <a:rPr lang="en-IN" sz="11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</m:sub>
                        </m:sSub>
                      </m:num>
                      <m:den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𝑏</m:t>
                        </m:r>
                        <m:sSup>
                          <m:sSupPr>
                            <m:ctrlPr>
                              <a:rPr lang="en-IN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IN" sz="1100" b="0" i="1">
                                <a:latin typeface="Cambria Math" panose="02040503050406030204" pitchFamily="18" charset="0"/>
                              </a:rPr>
                              <m:t>𝑑</m:t>
                            </m:r>
                          </m:e>
                          <m:sup>
                            <m:r>
                              <a:rPr lang="en-IN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en-IN" sz="1100"/>
            </a:p>
          </xdr:txBody>
        </xdr:sp>
      </mc:Choice>
      <mc:Fallback xmlns="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8BC5379E-9E43-4507-9742-8386062A1D8E}"/>
                </a:ext>
              </a:extLst>
            </xdr:cNvPr>
            <xdr:cNvSpPr txBox="1"/>
          </xdr:nvSpPr>
          <xdr:spPr>
            <a:xfrm>
              <a:off x="266700" y="22845712"/>
              <a:ext cx="262636" cy="3168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IN" sz="1100" b="0" i="0">
                  <a:latin typeface="Cambria Math" panose="02040503050406030204" pitchFamily="18" charset="0"/>
                </a:rPr>
                <a:t>𝑀_𝑢/(𝑏𝑑^2 )</a:t>
              </a:r>
              <a:endParaRPr lang="en-IN" sz="1100"/>
            </a:p>
          </xdr:txBody>
        </xdr:sp>
      </mc:Fallback>
    </mc:AlternateContent>
    <xdr:clientData/>
  </xdr:oneCellAnchor>
  <xdr:oneCellAnchor>
    <xdr:from>
      <xdr:col>0</xdr:col>
      <xdr:colOff>57149</xdr:colOff>
      <xdr:row>123</xdr:row>
      <xdr:rowOff>23812</xdr:rowOff>
    </xdr:from>
    <xdr:ext cx="1457325" cy="60382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>
              <a:extLst>
                <a:ext uri="{FF2B5EF4-FFF2-40B4-BE49-F238E27FC236}">
                  <a16:creationId xmlns="" xmlns:a16="http://schemas.microsoft.com/office/drawing/2014/main" id="{7313A2AC-E321-4605-98F1-E04DBB59C88B}"/>
                </a:ext>
              </a:extLst>
            </xdr:cNvPr>
            <xdr:cNvSpPr txBox="1"/>
          </xdr:nvSpPr>
          <xdr:spPr>
            <a:xfrm>
              <a:off x="57149" y="23417212"/>
              <a:ext cx="1457325" cy="6038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IN" sz="14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IN" sz="1400" b="0" i="1">
                          <a:latin typeface="Cambria Math" panose="02040503050406030204" pitchFamily="18" charset="0"/>
                        </a:rPr>
                        <m:t>𝑝</m:t>
                      </m:r>
                    </m:e>
                    <m:sub>
                      <m:r>
                        <a:rPr lang="en-IN" sz="1400" b="0" i="1">
                          <a:latin typeface="Cambria Math" panose="02040503050406030204" pitchFamily="18" charset="0"/>
                        </a:rPr>
                        <m:t>𝑡</m:t>
                      </m:r>
                    </m:sub>
                  </m:sSub>
                </m:oMath>
              </a14:m>
              <a:r>
                <a:rPr lang="en-IN" sz="1400"/>
                <a:t>=50</a:t>
              </a:r>
              <a14:m>
                <m:oMath xmlns:m="http://schemas.openxmlformats.org/officeDocument/2006/math">
                  <m:f>
                    <m:fPr>
                      <m:ctrlPr>
                        <a:rPr lang="en-IN" sz="1400" i="1">
                          <a:latin typeface="Cambria Math" panose="02040503050406030204" pitchFamily="18" charset="0"/>
                        </a:rPr>
                      </m:ctrlPr>
                    </m:fPr>
                    <m:num>
                      <m:d>
                        <m:dPr>
                          <m:ctrlPr>
                            <a:rPr lang="en-IN" sz="1400" i="1"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r>
                            <a:rPr lang="en-IN" sz="1400" b="0" i="1">
                              <a:latin typeface="Cambria Math" panose="02040503050406030204" pitchFamily="18" charset="0"/>
                            </a:rPr>
                            <m:t>1−</m:t>
                          </m:r>
                          <m:rad>
                            <m:radPr>
                              <m:degHide m:val="on"/>
                              <m:ctrlPr>
                                <a:rPr lang="en-IN" sz="1400" b="0" i="1">
                                  <a:latin typeface="Cambria Math" panose="02040503050406030204" pitchFamily="18" charset="0"/>
                                </a:rPr>
                              </m:ctrlPr>
                            </m:radPr>
                            <m:deg/>
                            <m:e>
                              <m:r>
                                <a:rPr lang="en-IN" sz="1400" b="0" i="1">
                                  <a:latin typeface="Cambria Math" panose="02040503050406030204" pitchFamily="18" charset="0"/>
                                </a:rPr>
                                <m:t>1−</m:t>
                              </m:r>
                              <m:f>
                                <m:fPr>
                                  <m:ctrlPr>
                                    <a:rPr lang="en-IN" sz="1400" b="0" i="1">
                                      <a:latin typeface="Cambria Math" panose="02040503050406030204" pitchFamily="18" charset="0"/>
                                    </a:rPr>
                                  </m:ctrlPr>
                                </m:fPr>
                                <m:num>
                                  <m:r>
                                    <a:rPr lang="en-IN" sz="1400" b="0" i="1">
                                      <a:latin typeface="Cambria Math" panose="02040503050406030204" pitchFamily="18" charset="0"/>
                                    </a:rPr>
                                    <m:t>4.6∗</m:t>
                                  </m:r>
                                  <m:sSub>
                                    <m:sSubPr>
                                      <m:ctrlPr>
                                        <a:rPr lang="en-IN" sz="1400" b="0" i="1">
                                          <a:latin typeface="Cambria Math" panose="02040503050406030204" pitchFamily="18" charset="0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en-IN" sz="1400" b="0" i="1">
                                          <a:latin typeface="Cambria Math" panose="02040503050406030204" pitchFamily="18" charset="0"/>
                                        </a:rPr>
                                        <m:t>𝑀</m:t>
                                      </m:r>
                                    </m:e>
                                    <m:sub>
                                      <m:r>
                                        <a:rPr lang="en-IN" sz="1400" b="0" i="1">
                                          <a:latin typeface="Cambria Math" panose="02040503050406030204" pitchFamily="18" charset="0"/>
                                        </a:rPr>
                                        <m:t>𝑢</m:t>
                                      </m:r>
                                    </m:sub>
                                  </m:sSub>
                                </m:num>
                                <m:den>
                                  <m:sSub>
                                    <m:sSubPr>
                                      <m:ctrlPr>
                                        <a:rPr lang="en-IN" sz="1400" b="0" i="1">
                                          <a:latin typeface="Cambria Math" panose="02040503050406030204" pitchFamily="18" charset="0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en-IN" sz="1400" b="0" i="1">
                                          <a:latin typeface="Cambria Math" panose="02040503050406030204" pitchFamily="18" charset="0"/>
                                        </a:rPr>
                                        <m:t>𝑓</m:t>
                                      </m:r>
                                    </m:e>
                                    <m:sub>
                                      <m:r>
                                        <a:rPr lang="en-IN" sz="1400" b="0" i="1">
                                          <a:latin typeface="Cambria Math" panose="02040503050406030204" pitchFamily="18" charset="0"/>
                                        </a:rPr>
                                        <m:t>𝑐𝑘</m:t>
                                      </m:r>
                                    </m:sub>
                                  </m:sSub>
                                  <m:r>
                                    <a:rPr lang="en-IN" sz="1400" b="0" i="1">
                                      <a:latin typeface="Cambria Math" panose="02040503050406030204" pitchFamily="18" charset="0"/>
                                    </a:rPr>
                                    <m:t>𝑏</m:t>
                                  </m:r>
                                  <m:sSup>
                                    <m:sSupPr>
                                      <m:ctrlPr>
                                        <a:rPr lang="en-IN" sz="1400" b="0" i="1">
                                          <a:latin typeface="Cambria Math" panose="02040503050406030204" pitchFamily="18" charset="0"/>
                                        </a:rPr>
                                      </m:ctrlPr>
                                    </m:sSupPr>
                                    <m:e>
                                      <m:r>
                                        <a:rPr lang="en-IN" sz="1400" b="0" i="1">
                                          <a:latin typeface="Cambria Math" panose="02040503050406030204" pitchFamily="18" charset="0"/>
                                        </a:rPr>
                                        <m:t>𝑑</m:t>
                                      </m:r>
                                    </m:e>
                                    <m:sup>
                                      <m:r>
                                        <a:rPr lang="en-IN" sz="1400" b="0" i="1">
                                          <a:latin typeface="Cambria Math" panose="02040503050406030204" pitchFamily="18" charset="0"/>
                                        </a:rPr>
                                        <m:t>2</m:t>
                                      </m:r>
                                    </m:sup>
                                  </m:sSup>
                                </m:den>
                              </m:f>
                            </m:e>
                          </m:rad>
                        </m:e>
                      </m:d>
                    </m:num>
                    <m:den>
                      <m:f>
                        <m:fPr>
                          <m:ctrlPr>
                            <a:rPr lang="en-IN" sz="140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r>
                            <a:rPr lang="en-IN" sz="1400" b="0" i="1">
                              <a:latin typeface="Cambria Math" panose="02040503050406030204" pitchFamily="18" charset="0"/>
                            </a:rPr>
                            <m:t>𝑓𝑦</m:t>
                          </m:r>
                        </m:num>
                        <m:den>
                          <m:r>
                            <a:rPr lang="en-IN" sz="1400" b="0" i="1">
                              <a:latin typeface="Cambria Math" panose="02040503050406030204" pitchFamily="18" charset="0"/>
                            </a:rPr>
                            <m:t>𝑓𝑐𝑘</m:t>
                          </m:r>
                        </m:den>
                      </m:f>
                    </m:den>
                  </m:f>
                </m:oMath>
              </a14:m>
              <a:endParaRPr lang="en-IN" sz="1400"/>
            </a:p>
          </xdr:txBody>
        </xdr:sp>
      </mc:Choice>
      <mc:Fallback xmlns="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7313A2AC-E321-4605-98F1-E04DBB59C88B}"/>
                </a:ext>
              </a:extLst>
            </xdr:cNvPr>
            <xdr:cNvSpPr txBox="1"/>
          </xdr:nvSpPr>
          <xdr:spPr>
            <a:xfrm>
              <a:off x="57149" y="23417212"/>
              <a:ext cx="1457325" cy="6038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IN" sz="1400" b="0" i="0">
                  <a:latin typeface="Cambria Math" panose="02040503050406030204" pitchFamily="18" charset="0"/>
                </a:rPr>
                <a:t>𝑝_𝑡</a:t>
              </a:r>
              <a:r>
                <a:rPr lang="en-IN" sz="1400"/>
                <a:t>=50</a:t>
              </a:r>
              <a:r>
                <a:rPr lang="en-IN" sz="1400" i="0">
                  <a:latin typeface="Cambria Math" panose="02040503050406030204" pitchFamily="18" charset="0"/>
                </a:rPr>
                <a:t>((</a:t>
              </a:r>
              <a:r>
                <a:rPr lang="en-IN" sz="1400" b="0" i="0">
                  <a:latin typeface="Cambria Math" panose="02040503050406030204" pitchFamily="18" charset="0"/>
                </a:rPr>
                <a:t>1−√(1−(4.6∗𝑀_𝑢)/(𝑓_𝑐𝑘 𝑏𝑑^2 ))))/(𝑓𝑦/𝑓𝑐𝑘)</a:t>
              </a:r>
              <a:endParaRPr lang="en-IN" sz="1400"/>
            </a:p>
          </xdr:txBody>
        </xdr:sp>
      </mc:Fallback>
    </mc:AlternateContent>
    <xdr:clientData/>
  </xdr:oneCellAnchor>
  <xdr:oneCellAnchor>
    <xdr:from>
      <xdr:col>2</xdr:col>
      <xdr:colOff>504701</xdr:colOff>
      <xdr:row>5</xdr:row>
      <xdr:rowOff>195262</xdr:rowOff>
    </xdr:from>
    <xdr:ext cx="704973" cy="172227"/>
    <xdr:sp macro="" textlink="">
      <xdr:nvSpPr>
        <xdr:cNvPr id="14" name="TextBox 13">
          <a:extLst>
            <a:ext uri="{FF2B5EF4-FFF2-40B4-BE49-F238E27FC236}">
              <a16:creationId xmlns="" xmlns:a16="http://schemas.microsoft.com/office/drawing/2014/main" id="{21C1C9A3-8D41-470B-B282-A82154EF7D06}"/>
            </a:ext>
          </a:extLst>
        </xdr:cNvPr>
        <xdr:cNvSpPr txBox="1"/>
      </xdr:nvSpPr>
      <xdr:spPr>
        <a:xfrm flipH="1">
          <a:off x="4810001" y="1309687"/>
          <a:ext cx="704973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t">
          <a:spAutoFit/>
        </a:bodyPr>
        <a:lstStyle/>
        <a:p>
          <a:endParaRPr lang="en-IN" sz="1100"/>
        </a:p>
      </xdr:txBody>
    </xdr:sp>
    <xdr:clientData/>
  </xdr:oneCellAnchor>
  <xdr:twoCellAnchor>
    <xdr:from>
      <xdr:col>4</xdr:col>
      <xdr:colOff>0</xdr:colOff>
      <xdr:row>139</xdr:row>
      <xdr:rowOff>180975</xdr:rowOff>
    </xdr:from>
    <xdr:to>
      <xdr:col>5</xdr:col>
      <xdr:colOff>28575</xdr:colOff>
      <xdr:row>139</xdr:row>
      <xdr:rowOff>180975</xdr:rowOff>
    </xdr:to>
    <xdr:cxnSp macro="">
      <xdr:nvCxnSpPr>
        <xdr:cNvPr id="15" name="Straight Connector 14"/>
        <xdr:cNvCxnSpPr/>
      </xdr:nvCxnSpPr>
      <xdr:spPr>
        <a:xfrm>
          <a:off x="5695950" y="28108275"/>
          <a:ext cx="1114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19050</xdr:colOff>
      <xdr:row>140</xdr:row>
      <xdr:rowOff>0</xdr:rowOff>
    </xdr:from>
    <xdr:to>
      <xdr:col>5</xdr:col>
      <xdr:colOff>19050</xdr:colOff>
      <xdr:row>146</xdr:row>
      <xdr:rowOff>9525</xdr:rowOff>
    </xdr:to>
    <xdr:cxnSp macro="">
      <xdr:nvCxnSpPr>
        <xdr:cNvPr id="19" name="Straight Connector 18"/>
        <xdr:cNvCxnSpPr/>
      </xdr:nvCxnSpPr>
      <xdr:spPr>
        <a:xfrm>
          <a:off x="6800850" y="28117800"/>
          <a:ext cx="0" cy="1152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752475</xdr:colOff>
      <xdr:row>140</xdr:row>
      <xdr:rowOff>9525</xdr:rowOff>
    </xdr:from>
    <xdr:to>
      <xdr:col>4</xdr:col>
      <xdr:colOff>762000</xdr:colOff>
      <xdr:row>146</xdr:row>
      <xdr:rowOff>19050</xdr:rowOff>
    </xdr:to>
    <xdr:cxnSp macro="">
      <xdr:nvCxnSpPr>
        <xdr:cNvPr id="21" name="Straight Connector 20"/>
        <xdr:cNvCxnSpPr/>
      </xdr:nvCxnSpPr>
      <xdr:spPr>
        <a:xfrm>
          <a:off x="5667375" y="28127325"/>
          <a:ext cx="790575" cy="1152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771525</xdr:colOff>
      <xdr:row>146</xdr:row>
      <xdr:rowOff>0</xdr:rowOff>
    </xdr:from>
    <xdr:to>
      <xdr:col>5</xdr:col>
      <xdr:colOff>28575</xdr:colOff>
      <xdr:row>146</xdr:row>
      <xdr:rowOff>9525</xdr:rowOff>
    </xdr:to>
    <xdr:cxnSp macro="">
      <xdr:nvCxnSpPr>
        <xdr:cNvPr id="24" name="Straight Connector 23"/>
        <xdr:cNvCxnSpPr/>
      </xdr:nvCxnSpPr>
      <xdr:spPr>
        <a:xfrm flipV="1">
          <a:off x="6467475" y="29260800"/>
          <a:ext cx="34290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476250</xdr:colOff>
      <xdr:row>22</xdr:row>
      <xdr:rowOff>0</xdr:rowOff>
    </xdr:from>
    <xdr:to>
      <xdr:col>7</xdr:col>
      <xdr:colOff>485775</xdr:colOff>
      <xdr:row>23</xdr:row>
      <xdr:rowOff>190500</xdr:rowOff>
    </xdr:to>
    <xdr:cxnSp macro="">
      <xdr:nvCxnSpPr>
        <xdr:cNvPr id="28" name="Straight Arrow Connector 27"/>
        <xdr:cNvCxnSpPr/>
      </xdr:nvCxnSpPr>
      <xdr:spPr>
        <a:xfrm>
          <a:off x="8467725" y="4552950"/>
          <a:ext cx="9525" cy="39052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1238250</xdr:colOff>
      <xdr:row>138</xdr:row>
      <xdr:rowOff>0</xdr:rowOff>
    </xdr:from>
    <xdr:to>
      <xdr:col>0</xdr:col>
      <xdr:colOff>3152775</xdr:colOff>
      <xdr:row>140</xdr:row>
      <xdr:rowOff>85725</xdr:rowOff>
    </xdr:to>
    <xdr:pic>
      <xdr:nvPicPr>
        <xdr:cNvPr id="31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0" y="27736800"/>
          <a:ext cx="1914525" cy="466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276225</xdr:colOff>
      <xdr:row>20</xdr:row>
      <xdr:rowOff>33337</xdr:rowOff>
    </xdr:from>
    <xdr:ext cx="1114425" cy="36554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="" xmlns:a16="http://schemas.microsoft.com/office/drawing/2014/main" id="{90189143-1260-4768-A22A-A130B5A9E24E}"/>
                </a:ext>
              </a:extLst>
            </xdr:cNvPr>
            <xdr:cNvSpPr txBox="1"/>
          </xdr:nvSpPr>
          <xdr:spPr>
            <a:xfrm>
              <a:off x="276225" y="3833812"/>
              <a:ext cx="1114425" cy="365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f>
                    <m:fPr>
                      <m:ctrlPr>
                        <a:rPr lang="en-IN" sz="160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n-US" sz="1600" b="0" i="1">
                          <a:latin typeface="Cambria Math" panose="02040503050406030204" pitchFamily="18" charset="0"/>
                        </a:rPr>
                        <m:t>𝑀</m:t>
                      </m:r>
                      <m:d>
                        <m:dPr>
                          <m:ctrlPr>
                            <a:rPr lang="en-US" sz="1600" b="0" i="1"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r>
                            <a:rPr lang="en-US" sz="1600" b="0" i="1">
                              <a:latin typeface="Cambria Math" panose="02040503050406030204" pitchFamily="18" charset="0"/>
                            </a:rPr>
                            <m:t>1+</m:t>
                          </m:r>
                          <m:r>
                            <a:rPr lang="en-US" sz="16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𝜇𝜇</m:t>
                          </m:r>
                          <m:r>
                            <a:rPr lang="en-US" sz="16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′</m:t>
                          </m:r>
                        </m:e>
                      </m:d>
                    </m:num>
                    <m:den>
                      <m:r>
                        <a:rPr lang="en-US" sz="1600" b="0" i="1">
                          <a:latin typeface="Cambria Math" panose="02040503050406030204" pitchFamily="18" charset="0"/>
                        </a:rPr>
                        <m:t>𝑟</m:t>
                      </m:r>
                    </m:den>
                  </m:f>
                </m:oMath>
              </a14:m>
              <a:r>
                <a:rPr lang="en-IN" sz="1600"/>
                <a:t>+</a:t>
              </a:r>
              <a:r>
                <a:rPr lang="el-GR" sz="1600"/>
                <a:t>μ</a:t>
              </a:r>
              <a:r>
                <a:rPr lang="en-US" sz="1600"/>
                <a:t>M</a:t>
              </a:r>
              <a:endParaRPr lang="en-IN" sz="16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90189143-1260-4768-A22A-A130B5A9E24E}"/>
                </a:ext>
              </a:extLst>
            </xdr:cNvPr>
            <xdr:cNvSpPr txBox="1"/>
          </xdr:nvSpPr>
          <xdr:spPr>
            <a:xfrm>
              <a:off x="276225" y="3833812"/>
              <a:ext cx="1114425" cy="365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600" b="0" i="0">
                  <a:latin typeface="Cambria Math" panose="02040503050406030204" pitchFamily="18" charset="0"/>
                </a:rPr>
                <a:t>𝑀(1+</a:t>
              </a:r>
              <a:r>
                <a:rPr lang="en-US" sz="1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𝜇𝜇′)</a:t>
              </a:r>
              <a:r>
                <a:rPr lang="en-IN" sz="1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/</a:t>
              </a:r>
              <a:r>
                <a:rPr lang="en-US" sz="1600" b="0" i="0">
                  <a:latin typeface="Cambria Math" panose="02040503050406030204" pitchFamily="18" charset="0"/>
                </a:rPr>
                <a:t>𝑟</a:t>
              </a:r>
              <a:r>
                <a:rPr lang="en-IN" sz="1600"/>
                <a:t>+</a:t>
              </a:r>
              <a:r>
                <a:rPr lang="el-GR" sz="1600"/>
                <a:t>μ</a:t>
              </a:r>
              <a:r>
                <a:rPr lang="en-US" sz="1600"/>
                <a:t>M</a:t>
              </a:r>
              <a:endParaRPr lang="en-IN" sz="1600"/>
            </a:p>
          </xdr:txBody>
        </xdr:sp>
      </mc:Fallback>
    </mc:AlternateContent>
    <xdr:clientData/>
  </xdr:oneCellAnchor>
  <xdr:oneCellAnchor>
    <xdr:from>
      <xdr:col>0</xdr:col>
      <xdr:colOff>247650</xdr:colOff>
      <xdr:row>23</xdr:row>
      <xdr:rowOff>33336</xdr:rowOff>
    </xdr:from>
    <xdr:ext cx="1009650" cy="250453"/>
    <xdr:sp macro="" textlink="">
      <xdr:nvSpPr>
        <xdr:cNvPr id="3" name="TextBox 2">
          <a:extLst>
            <a:ext uri="{FF2B5EF4-FFF2-40B4-BE49-F238E27FC236}">
              <a16:creationId xmlns="" xmlns:a16="http://schemas.microsoft.com/office/drawing/2014/main" id="{9B495980-7701-46F5-AD7D-1EB36B07FF5A}"/>
            </a:ext>
          </a:extLst>
        </xdr:cNvPr>
        <xdr:cNvSpPr txBox="1"/>
      </xdr:nvSpPr>
      <xdr:spPr>
        <a:xfrm>
          <a:off x="247650" y="4405311"/>
          <a:ext cx="1009650" cy="25045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t">
          <a:spAutoFit/>
        </a:bodyPr>
        <a:lstStyle/>
        <a:p>
          <a:endParaRPr lang="en-IN" sz="1600"/>
        </a:p>
      </xdr:txBody>
    </xdr:sp>
    <xdr:clientData/>
  </xdr:oneCellAnchor>
  <xdr:oneCellAnchor>
    <xdr:from>
      <xdr:col>0</xdr:col>
      <xdr:colOff>238125</xdr:colOff>
      <xdr:row>22</xdr:row>
      <xdr:rowOff>176212</xdr:rowOff>
    </xdr:from>
    <xdr:ext cx="1140377" cy="36817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="" xmlns:a16="http://schemas.microsoft.com/office/drawing/2014/main" id="{15D129B2-DBBB-4674-8B34-B598375EC968}"/>
                </a:ext>
              </a:extLst>
            </xdr:cNvPr>
            <xdr:cNvSpPr txBox="1"/>
          </xdr:nvSpPr>
          <xdr:spPr>
            <a:xfrm>
              <a:off x="238125" y="4357687"/>
              <a:ext cx="1140377" cy="36817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f>
                    <m:fPr>
                      <m:ctrlPr>
                        <a:rPr lang="en-IN" sz="16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6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𝑀</m:t>
                      </m:r>
                      <m:d>
                        <m:dPr>
                          <m:ctrlPr>
                            <a:rPr lang="en-US" sz="16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dPr>
                        <m:e>
                          <m:r>
                            <a:rPr lang="en-US" sz="16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1+</m:t>
                          </m:r>
                          <m:r>
                            <a:rPr lang="en-US" sz="16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𝜇𝜇</m:t>
                          </m:r>
                          <m:r>
                            <a:rPr lang="en-US" sz="16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′</m:t>
                          </m:r>
                        </m:e>
                      </m:d>
                    </m:num>
                    <m:den>
                      <m:r>
                        <a:rPr lang="en-US" sz="16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𝑟</m:t>
                      </m:r>
                    </m:den>
                  </m:f>
                  <m:r>
                    <a:rPr lang="en-US" sz="160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−</m:t>
                  </m:r>
                </m:oMath>
              </a14:m>
              <a:r>
                <a:rPr lang="el-GR" sz="16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μ</a:t>
              </a:r>
              <a:r>
                <a:rPr lang="en-US" sz="16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M</a:t>
              </a:r>
              <a:endParaRPr lang="en-IN" sz="16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15D129B2-DBBB-4674-8B34-B598375EC968}"/>
                </a:ext>
              </a:extLst>
            </xdr:cNvPr>
            <xdr:cNvSpPr txBox="1"/>
          </xdr:nvSpPr>
          <xdr:spPr>
            <a:xfrm>
              <a:off x="238125" y="4357687"/>
              <a:ext cx="1140377" cy="36817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6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𝑀(1+𝜇𝜇′)</a:t>
              </a:r>
              <a:r>
                <a:rPr lang="en-IN" sz="16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</a:t>
              </a:r>
              <a:r>
                <a:rPr lang="en-US" sz="16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𝑟</a:t>
              </a:r>
              <a:r>
                <a:rPr lang="en-US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</a:t>
              </a:r>
              <a:r>
                <a:rPr lang="el-GR" sz="16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μ</a:t>
              </a:r>
              <a:r>
                <a:rPr lang="en-US" sz="16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M</a:t>
              </a:r>
              <a:endParaRPr lang="en-IN" sz="1600"/>
            </a:p>
          </xdr:txBody>
        </xdr:sp>
      </mc:Fallback>
    </mc:AlternateContent>
    <xdr:clientData/>
  </xdr:oneCellAnchor>
  <xdr:oneCellAnchor>
    <xdr:from>
      <xdr:col>0</xdr:col>
      <xdr:colOff>428625</xdr:colOff>
      <xdr:row>28</xdr:row>
      <xdr:rowOff>71437</xdr:rowOff>
    </xdr:from>
    <xdr:ext cx="1247775" cy="26129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="" xmlns:a16="http://schemas.microsoft.com/office/drawing/2014/main" id="{8DD978E4-7F11-40C4-A8D3-D6A148FBE1D3}"/>
                </a:ext>
              </a:extLst>
            </xdr:cNvPr>
            <xdr:cNvSpPr txBox="1"/>
          </xdr:nvSpPr>
          <xdr:spPr>
            <a:xfrm>
              <a:off x="428625" y="5443537"/>
              <a:ext cx="1247775" cy="2612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f>
                    <m:fPr>
                      <m:ctrlPr>
                        <a:rPr lang="en-IN" sz="120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n-US" sz="1200" b="0" i="1">
                          <a:latin typeface="Cambria Math" panose="02040503050406030204" pitchFamily="18" charset="0"/>
                        </a:rPr>
                        <m:t>𝑚𝑀</m:t>
                      </m:r>
                    </m:num>
                    <m:den>
                      <m:r>
                        <a:rPr lang="en-US" sz="1200" b="0" i="1">
                          <a:latin typeface="Cambria Math" panose="02040503050406030204" pitchFamily="18" charset="0"/>
                        </a:rPr>
                        <m:t>𝐼</m:t>
                      </m:r>
                    </m:den>
                  </m:f>
                </m:oMath>
              </a14:m>
              <a:r>
                <a:rPr lang="en-IN" sz="1200"/>
                <a:t>≯</a:t>
              </a:r>
              <a:r>
                <a:rPr lang="el-GR" sz="1200"/>
                <a:t>ϒ</a:t>
              </a:r>
              <a14:m>
                <m:oMath xmlns:m="http://schemas.openxmlformats.org/officeDocument/2006/math">
                  <m:d>
                    <m:dPr>
                      <m:ctrlPr>
                        <a:rPr lang="el-GR" sz="1200" i="1">
                          <a:latin typeface="Cambria Math" panose="02040503050406030204" pitchFamily="18" charset="0"/>
                        </a:rPr>
                      </m:ctrlPr>
                    </m:dPr>
                    <m:e>
                      <m:sSub>
                        <m:sSubPr>
                          <m:ctrlPr>
                            <a:rPr lang="el-GR" sz="120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1200" b="0" i="1">
                              <a:latin typeface="Cambria Math" panose="02040503050406030204" pitchFamily="18" charset="0"/>
                            </a:rPr>
                            <m:t>𝐾</m:t>
                          </m:r>
                        </m:e>
                        <m:sub>
                          <m:r>
                            <a:rPr lang="en-US" sz="1200" b="0" i="1">
                              <a:latin typeface="Cambria Math" panose="02040503050406030204" pitchFamily="18" charset="0"/>
                            </a:rPr>
                            <m:t>𝑃</m:t>
                          </m:r>
                        </m:sub>
                      </m:sSub>
                      <m:r>
                        <a:rPr lang="en-US" sz="1200" b="0" i="1">
                          <a:latin typeface="Cambria Math" panose="02040503050406030204" pitchFamily="18" charset="0"/>
                        </a:rPr>
                        <m:t>−</m:t>
                      </m:r>
                      <m:sSub>
                        <m:sSubPr>
                          <m:ctrlPr>
                            <a:rPr lang="en-US" sz="12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1200" b="0" i="1">
                              <a:latin typeface="Cambria Math" panose="02040503050406030204" pitchFamily="18" charset="0"/>
                            </a:rPr>
                            <m:t>𝐾</m:t>
                          </m:r>
                        </m:e>
                        <m:sub>
                          <m:r>
                            <a:rPr lang="en-US" sz="1200" b="0" i="1">
                              <a:latin typeface="Cambria Math" panose="02040503050406030204" pitchFamily="18" charset="0"/>
                            </a:rPr>
                            <m:t>𝐴</m:t>
                          </m:r>
                        </m:sub>
                      </m:sSub>
                    </m:e>
                  </m:d>
                </m:oMath>
              </a14:m>
              <a:endParaRPr lang="en-IN" sz="12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8DD978E4-7F11-40C4-A8D3-D6A148FBE1D3}"/>
                </a:ext>
              </a:extLst>
            </xdr:cNvPr>
            <xdr:cNvSpPr txBox="1"/>
          </xdr:nvSpPr>
          <xdr:spPr>
            <a:xfrm>
              <a:off x="428625" y="5443537"/>
              <a:ext cx="1247775" cy="2612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200" b="0" i="0">
                  <a:latin typeface="Cambria Math" panose="02040503050406030204" pitchFamily="18" charset="0"/>
                </a:rPr>
                <a:t>𝑚𝑀</a:t>
              </a:r>
              <a:r>
                <a:rPr lang="en-IN" sz="1200" b="0" i="0">
                  <a:latin typeface="Cambria Math" panose="02040503050406030204" pitchFamily="18" charset="0"/>
                </a:rPr>
                <a:t>/</a:t>
              </a:r>
              <a:r>
                <a:rPr lang="en-US" sz="1200" b="0" i="0">
                  <a:latin typeface="Cambria Math" panose="02040503050406030204" pitchFamily="18" charset="0"/>
                </a:rPr>
                <a:t>𝐼</a:t>
              </a:r>
              <a:r>
                <a:rPr lang="en-IN" sz="1200"/>
                <a:t>≯</a:t>
              </a:r>
              <a:r>
                <a:rPr lang="el-GR" sz="1200"/>
                <a:t>ϒ</a:t>
              </a:r>
              <a:r>
                <a:rPr lang="el-GR" sz="1200" i="0">
                  <a:latin typeface="Cambria Math" panose="02040503050406030204" pitchFamily="18" charset="0"/>
                </a:rPr>
                <a:t>(</a:t>
              </a:r>
              <a:r>
                <a:rPr lang="en-US" sz="1200" b="0" i="0">
                  <a:latin typeface="Cambria Math" panose="02040503050406030204" pitchFamily="18" charset="0"/>
                </a:rPr>
                <a:t>𝐾</a:t>
              </a:r>
              <a:r>
                <a:rPr lang="el-GR" sz="1200" b="0" i="0">
                  <a:latin typeface="Cambria Math" panose="02040503050406030204" pitchFamily="18" charset="0"/>
                </a:rPr>
                <a:t>_</a:t>
              </a:r>
              <a:r>
                <a:rPr lang="en-US" sz="1200" b="0" i="0">
                  <a:latin typeface="Cambria Math" panose="02040503050406030204" pitchFamily="18" charset="0"/>
                </a:rPr>
                <a:t>𝑃−𝐾_𝐴</a:t>
              </a:r>
              <a:r>
                <a:rPr lang="el-GR" sz="1200" b="0" i="0">
                  <a:latin typeface="Cambria Math" panose="02040503050406030204" pitchFamily="18" charset="0"/>
                </a:rPr>
                <a:t> )</a:t>
              </a:r>
              <a:endParaRPr lang="en-IN" sz="1200"/>
            </a:p>
          </xdr:txBody>
        </xdr:sp>
      </mc:Fallback>
    </mc:AlternateContent>
    <xdr:clientData/>
  </xdr:oneCellAnchor>
  <xdr:oneCellAnchor>
    <xdr:from>
      <xdr:col>0</xdr:col>
      <xdr:colOff>323850</xdr:colOff>
      <xdr:row>31</xdr:row>
      <xdr:rowOff>176212</xdr:rowOff>
    </xdr:from>
    <xdr:ext cx="1638300" cy="33464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="" xmlns:a16="http://schemas.microsoft.com/office/drawing/2014/main" id="{0D5462B6-715C-482C-B759-CC87D22E5497}"/>
                </a:ext>
              </a:extLst>
            </xdr:cNvPr>
            <xdr:cNvSpPr txBox="1"/>
          </xdr:nvSpPr>
          <xdr:spPr>
            <a:xfrm>
              <a:off x="323850" y="6119812"/>
              <a:ext cx="1638300" cy="33464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IN" sz="14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IN" sz="140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𝜎</m:t>
                      </m:r>
                    </m:e>
                    <m:sub>
                      <m:r>
                        <a:rPr lang="en-US" sz="1400" b="0" i="1">
                          <a:latin typeface="Cambria Math" panose="02040503050406030204" pitchFamily="18" charset="0"/>
                        </a:rPr>
                        <m:t>1,</m:t>
                      </m:r>
                    </m:sub>
                  </m:sSub>
                  <m:r>
                    <a:rPr lang="en-US" sz="1400" b="0" i="1">
                      <a:latin typeface="Cambria Math" panose="02040503050406030204" pitchFamily="18" charset="0"/>
                    </a:rPr>
                    <m:t>,</m:t>
                  </m:r>
                  <m:sSub>
                    <m:sSubPr>
                      <m:ctrlPr>
                        <a:rPr lang="en-US" sz="14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4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𝜎</m:t>
                      </m:r>
                    </m:e>
                    <m:sub>
                      <m:r>
                        <a:rPr lang="en-US" sz="1400" b="0" i="1">
                          <a:latin typeface="Cambria Math" panose="02040503050406030204" pitchFamily="18" charset="0"/>
                        </a:rPr>
                        <m:t>2</m:t>
                      </m:r>
                    </m:sub>
                  </m:sSub>
                  <m:r>
                    <a:rPr lang="en-US" sz="1400" b="0" i="0">
                      <a:latin typeface="Cambria Math" panose="02040503050406030204" pitchFamily="18" charset="0"/>
                    </a:rPr>
                    <m:t>=</m:t>
                  </m:r>
                  <m:f>
                    <m:fPr>
                      <m:ctrlPr>
                        <a:rPr lang="en-US" sz="1400" b="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n-US" sz="1400" b="0" i="1">
                          <a:latin typeface="Cambria Math" panose="02040503050406030204" pitchFamily="18" charset="0"/>
                        </a:rPr>
                        <m:t>𝑊</m:t>
                      </m:r>
                      <m:r>
                        <a:rPr lang="en-US" sz="1400" b="0" i="1">
                          <a:latin typeface="Cambria Math" panose="02040503050406030204" pitchFamily="18" charset="0"/>
                        </a:rPr>
                        <m:t>−</m:t>
                      </m:r>
                      <m:sSup>
                        <m:sSupPr>
                          <m:ctrlPr>
                            <a:rPr lang="en-US" sz="14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</m:ctrlPr>
                        </m:sSupPr>
                        <m:e>
                          <m:r>
                            <a:rPr lang="en-US" sz="14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𝜇</m:t>
                          </m:r>
                        </m:e>
                        <m:sup>
                          <m:r>
                            <a:rPr lang="en-US" sz="14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′</m:t>
                          </m:r>
                        </m:sup>
                      </m:sSup>
                      <m:r>
                        <a:rPr lang="en-US" sz="14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𝑃</m:t>
                      </m:r>
                    </m:num>
                    <m:den>
                      <m:r>
                        <a:rPr lang="en-US" sz="1400" b="0" i="1">
                          <a:latin typeface="Cambria Math" panose="02040503050406030204" pitchFamily="18" charset="0"/>
                        </a:rPr>
                        <m:t>𝐴</m:t>
                      </m:r>
                    </m:den>
                  </m:f>
                </m:oMath>
              </a14:m>
              <a:r>
                <a:rPr lang="en-IN" sz="1400"/>
                <a:t>±</a:t>
              </a:r>
              <a14:m>
                <m:oMath xmlns:m="http://schemas.openxmlformats.org/officeDocument/2006/math">
                  <m:f>
                    <m:fPr>
                      <m:ctrlPr>
                        <a:rPr lang="en-IN" sz="140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n-US" sz="1400" b="0" i="1">
                          <a:latin typeface="Cambria Math" panose="02040503050406030204" pitchFamily="18" charset="0"/>
                        </a:rPr>
                        <m:t>𝑀𝐵</m:t>
                      </m:r>
                    </m:num>
                    <m:den>
                      <m:r>
                        <a:rPr lang="en-US" sz="1400" b="0" i="1">
                          <a:latin typeface="Cambria Math" panose="02040503050406030204" pitchFamily="18" charset="0"/>
                        </a:rPr>
                        <m:t>2</m:t>
                      </m:r>
                      <m:r>
                        <a:rPr lang="en-US" sz="1400" b="0" i="1">
                          <a:latin typeface="Cambria Math" panose="02040503050406030204" pitchFamily="18" charset="0"/>
                        </a:rPr>
                        <m:t>𝐼</m:t>
                      </m:r>
                    </m:den>
                  </m:f>
                </m:oMath>
              </a14:m>
              <a:endParaRPr lang="en-IN" sz="140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0D5462B6-715C-482C-B759-CC87D22E5497}"/>
                </a:ext>
              </a:extLst>
            </xdr:cNvPr>
            <xdr:cNvSpPr txBox="1"/>
          </xdr:nvSpPr>
          <xdr:spPr>
            <a:xfrm>
              <a:off x="323850" y="6119812"/>
              <a:ext cx="1638300" cy="33464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IN" sz="14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𝜎_(</a:t>
              </a:r>
              <a:r>
                <a:rPr lang="en-US" sz="1400" b="0" i="0">
                  <a:latin typeface="Cambria Math" panose="02040503050406030204" pitchFamily="18" charset="0"/>
                </a:rPr>
                <a:t>1,</a:t>
              </a:r>
              <a:r>
                <a:rPr lang="en-IN" sz="1400" b="0" i="0">
                  <a:latin typeface="Cambria Math" panose="02040503050406030204" pitchFamily="18" charset="0"/>
                </a:rPr>
                <a:t>)</a:t>
              </a:r>
              <a:r>
                <a:rPr lang="en-US" sz="1400" b="0" i="0">
                  <a:latin typeface="Cambria Math" panose="02040503050406030204" pitchFamily="18" charset="0"/>
                </a:rPr>
                <a:t>,</a:t>
              </a:r>
              <a:r>
                <a:rPr lang="en-US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𝜎_</a:t>
              </a:r>
              <a:r>
                <a:rPr lang="en-US" sz="1400" b="0" i="0">
                  <a:latin typeface="Cambria Math" panose="02040503050406030204" pitchFamily="18" charset="0"/>
                </a:rPr>
                <a:t>2=(𝑊−</a:t>
              </a:r>
              <a:r>
                <a:rPr lang="en-US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𝜇^′ 𝑃)/</a:t>
              </a:r>
              <a:r>
                <a:rPr lang="en-US" sz="1400" b="0" i="0">
                  <a:latin typeface="Cambria Math" panose="02040503050406030204" pitchFamily="18" charset="0"/>
                </a:rPr>
                <a:t>𝐴</a:t>
              </a:r>
              <a:r>
                <a:rPr lang="en-IN" sz="1400"/>
                <a:t>±</a:t>
              </a:r>
              <a:r>
                <a:rPr lang="en-US" sz="1400" b="0" i="0">
                  <a:latin typeface="Cambria Math" panose="02040503050406030204" pitchFamily="18" charset="0"/>
                </a:rPr>
                <a:t>𝑀𝐵</a:t>
              </a:r>
              <a:r>
                <a:rPr lang="en-IN" sz="1400" b="0" i="0">
                  <a:latin typeface="Cambria Math" panose="02040503050406030204" pitchFamily="18" charset="0"/>
                </a:rPr>
                <a:t>/</a:t>
              </a:r>
              <a:r>
                <a:rPr lang="en-US" sz="1400" b="0" i="0">
                  <a:latin typeface="Cambria Math" panose="02040503050406030204" pitchFamily="18" charset="0"/>
                </a:rPr>
                <a:t>2𝐼</a:t>
              </a:r>
              <a:endParaRPr lang="en-IN" sz="1400"/>
            </a:p>
          </xdr:txBody>
        </xdr:sp>
      </mc:Fallback>
    </mc:AlternateContent>
    <xdr:clientData/>
  </xdr:oneCellAnchor>
  <xdr:oneCellAnchor>
    <xdr:from>
      <xdr:col>9</xdr:col>
      <xdr:colOff>514350</xdr:colOff>
      <xdr:row>5</xdr:row>
      <xdr:rowOff>33337</xdr:rowOff>
    </xdr:from>
    <xdr:ext cx="800100" cy="3047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="" xmlns:a16="http://schemas.microsoft.com/office/drawing/2014/main" id="{7DE007DC-2E70-4773-9EF3-DC3007536EFA}"/>
                </a:ext>
              </a:extLst>
            </xdr:cNvPr>
            <xdr:cNvSpPr txBox="1"/>
          </xdr:nvSpPr>
          <xdr:spPr>
            <a:xfrm>
              <a:off x="6219825" y="842962"/>
              <a:ext cx="800100" cy="3047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f>
                    <m:fPr>
                      <m:ctrlPr>
                        <a:rPr lang="en-IN" sz="140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n-US" sz="1400" b="0" i="1">
                          <a:latin typeface="Cambria Math" panose="02040503050406030204" pitchFamily="18" charset="0"/>
                        </a:rPr>
                        <m:t>𝑊</m:t>
                      </m:r>
                    </m:num>
                    <m:den>
                      <m:r>
                        <a:rPr lang="en-US" sz="1400" b="0" i="1">
                          <a:latin typeface="Cambria Math" panose="02040503050406030204" pitchFamily="18" charset="0"/>
                        </a:rPr>
                        <m:t>𝐴</m:t>
                      </m:r>
                    </m:den>
                  </m:f>
                </m:oMath>
              </a14:m>
              <a:r>
                <a:rPr lang="en-IN" sz="1400"/>
                <a:t>≯</a:t>
              </a:r>
              <a14:m>
                <m:oMath xmlns:m="http://schemas.openxmlformats.org/officeDocument/2006/math">
                  <m:f>
                    <m:fPr>
                      <m:ctrlPr>
                        <a:rPr lang="en-IN" sz="1400" i="1">
                          <a:latin typeface="Cambria Math" panose="02040503050406030204" pitchFamily="18" charset="0"/>
                        </a:rPr>
                      </m:ctrlPr>
                    </m:fPr>
                    <m:num>
                      <m:sSub>
                        <m:sSubPr>
                          <m:ctrlPr>
                            <a:rPr lang="en-IN" sz="140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IN" sz="140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𝜎</m:t>
                          </m:r>
                        </m:e>
                        <m:sub>
                          <m:r>
                            <a:rPr lang="en-US" sz="1400" b="0" i="1">
                              <a:latin typeface="Cambria Math" panose="02040503050406030204" pitchFamily="18" charset="0"/>
                            </a:rPr>
                            <m:t>𝑢</m:t>
                          </m:r>
                        </m:sub>
                      </m:sSub>
                    </m:num>
                    <m:den>
                      <m:r>
                        <a:rPr lang="en-US" sz="1400" b="0" i="1">
                          <a:latin typeface="Cambria Math" panose="02040503050406030204" pitchFamily="18" charset="0"/>
                        </a:rPr>
                        <m:t>2</m:t>
                      </m:r>
                    </m:den>
                  </m:f>
                </m:oMath>
              </a14:m>
              <a:endParaRPr lang="en-IN" sz="1400"/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7DE007DC-2E70-4773-9EF3-DC3007536EFA}"/>
                </a:ext>
              </a:extLst>
            </xdr:cNvPr>
            <xdr:cNvSpPr txBox="1"/>
          </xdr:nvSpPr>
          <xdr:spPr>
            <a:xfrm>
              <a:off x="6219825" y="842962"/>
              <a:ext cx="800100" cy="3047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400" b="0" i="0">
                  <a:latin typeface="Cambria Math" panose="02040503050406030204" pitchFamily="18" charset="0"/>
                </a:rPr>
                <a:t>𝑊</a:t>
              </a:r>
              <a:r>
                <a:rPr lang="en-IN" sz="1400" b="0" i="0">
                  <a:latin typeface="Cambria Math" panose="02040503050406030204" pitchFamily="18" charset="0"/>
                </a:rPr>
                <a:t>/</a:t>
              </a:r>
              <a:r>
                <a:rPr lang="en-US" sz="1400" b="0" i="0">
                  <a:latin typeface="Cambria Math" panose="02040503050406030204" pitchFamily="18" charset="0"/>
                </a:rPr>
                <a:t>𝐴</a:t>
              </a:r>
              <a:r>
                <a:rPr lang="en-IN" sz="1400"/>
                <a:t>≯</a:t>
              </a:r>
              <a:r>
                <a:rPr lang="en-IN" sz="14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𝜎_</a:t>
              </a:r>
              <a:r>
                <a:rPr lang="en-US" sz="1400" b="0" i="0">
                  <a:latin typeface="Cambria Math" panose="02040503050406030204" pitchFamily="18" charset="0"/>
                </a:rPr>
                <a:t>𝑢</a:t>
              </a:r>
              <a:r>
                <a:rPr lang="en-IN" sz="1400" b="0" i="0">
                  <a:latin typeface="Cambria Math" panose="02040503050406030204" pitchFamily="18" charset="0"/>
                </a:rPr>
                <a:t>/</a:t>
              </a:r>
              <a:r>
                <a:rPr lang="en-US" sz="1400" b="0" i="0">
                  <a:latin typeface="Cambria Math" panose="02040503050406030204" pitchFamily="18" charset="0"/>
                </a:rPr>
                <a:t>2</a:t>
              </a:r>
              <a:endParaRPr lang="en-IN" sz="1400"/>
            </a:p>
          </xdr:txBody>
        </xdr:sp>
      </mc:Fallback>
    </mc:AlternateContent>
    <xdr:clientData/>
  </xdr:oneCellAnchor>
  <xdr:oneCellAnchor>
    <xdr:from>
      <xdr:col>9</xdr:col>
      <xdr:colOff>238125</xdr:colOff>
      <xdr:row>3</xdr:row>
      <xdr:rowOff>14287</xdr:rowOff>
    </xdr:from>
    <xdr:ext cx="17921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="" xmlns:a16="http://schemas.microsoft.com/office/drawing/2014/main" id="{BAB63DB8-0BFF-48DA-97FE-8C1A7930B601}"/>
                </a:ext>
              </a:extLst>
            </xdr:cNvPr>
            <xdr:cNvSpPr txBox="1"/>
          </xdr:nvSpPr>
          <xdr:spPr>
            <a:xfrm>
              <a:off x="5943600" y="442912"/>
              <a:ext cx="17921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IN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IN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𝜎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𝑢</m:t>
                        </m:r>
                      </m:sub>
                    </m:sSub>
                  </m:oMath>
                </m:oMathPara>
              </a14:m>
              <a:endParaRPr lang="en-IN" sz="1100"/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BAB63DB8-0BFF-48DA-97FE-8C1A7930B601}"/>
                </a:ext>
              </a:extLst>
            </xdr:cNvPr>
            <xdr:cNvSpPr txBox="1"/>
          </xdr:nvSpPr>
          <xdr:spPr>
            <a:xfrm>
              <a:off x="5943600" y="442912"/>
              <a:ext cx="17921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IN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𝜎_</a:t>
              </a:r>
              <a:r>
                <a:rPr lang="en-US" sz="1100" b="0" i="0">
                  <a:latin typeface="Cambria Math" panose="02040503050406030204" pitchFamily="18" charset="0"/>
                </a:rPr>
                <a:t>𝑢</a:t>
              </a:r>
              <a:endParaRPr lang="en-IN" sz="1100"/>
            </a:p>
          </xdr:txBody>
        </xdr:sp>
      </mc:Fallback>
    </mc:AlternateContent>
    <xdr:clientData/>
  </xdr:oneCellAnchor>
  <xdr:oneCellAnchor>
    <xdr:from>
      <xdr:col>0</xdr:col>
      <xdr:colOff>257175</xdr:colOff>
      <xdr:row>11</xdr:row>
      <xdr:rowOff>23812</xdr:rowOff>
    </xdr:from>
    <xdr:ext cx="16254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>
              <a:extLst>
                <a:ext uri="{FF2B5EF4-FFF2-40B4-BE49-F238E27FC236}">
                  <a16:creationId xmlns="" xmlns:a16="http://schemas.microsoft.com/office/drawing/2014/main" id="{03FFC8BD-DA72-445E-843E-3EC240A9AE75}"/>
                </a:ext>
              </a:extLst>
            </xdr:cNvPr>
            <xdr:cNvSpPr txBox="1"/>
          </xdr:nvSpPr>
          <xdr:spPr>
            <a:xfrm>
              <a:off x="257175" y="1976437"/>
              <a:ext cx="16254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IN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IN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𝜎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𝑠</m:t>
                        </m:r>
                      </m:sub>
                    </m:sSub>
                  </m:oMath>
                </m:oMathPara>
              </a14:m>
              <a:endParaRPr lang="en-IN" sz="1100"/>
            </a:p>
          </xdr:txBody>
        </xdr:sp>
      </mc:Choice>
      <mc:Fallback xmlns="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03FFC8BD-DA72-445E-843E-3EC240A9AE75}"/>
                </a:ext>
              </a:extLst>
            </xdr:cNvPr>
            <xdr:cNvSpPr txBox="1"/>
          </xdr:nvSpPr>
          <xdr:spPr>
            <a:xfrm>
              <a:off x="257175" y="1976437"/>
              <a:ext cx="16254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IN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𝜎_</a:t>
              </a:r>
              <a:r>
                <a:rPr lang="en-US" sz="1100" b="0" i="0">
                  <a:latin typeface="Cambria Math" panose="02040503050406030204" pitchFamily="18" charset="0"/>
                </a:rPr>
                <a:t>𝑠</a:t>
              </a:r>
              <a:endParaRPr lang="en-IN" sz="1100"/>
            </a:p>
          </xdr:txBody>
        </xdr:sp>
      </mc:Fallback>
    </mc:AlternateContent>
    <xdr:clientData/>
  </xdr:oneCellAnchor>
  <xdr:oneCellAnchor>
    <xdr:from>
      <xdr:col>9</xdr:col>
      <xdr:colOff>209550</xdr:colOff>
      <xdr:row>10</xdr:row>
      <xdr:rowOff>23812</xdr:rowOff>
    </xdr:from>
    <xdr:ext cx="21384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>
              <a:extLst>
                <a:ext uri="{FF2B5EF4-FFF2-40B4-BE49-F238E27FC236}">
                  <a16:creationId xmlns="" xmlns:a16="http://schemas.microsoft.com/office/drawing/2014/main" id="{A65F9E5C-40FD-490A-9D02-47F663AD61DC}"/>
                </a:ext>
              </a:extLst>
            </xdr:cNvPr>
            <xdr:cNvSpPr txBox="1"/>
          </xdr:nvSpPr>
          <xdr:spPr>
            <a:xfrm>
              <a:off x="5915025" y="1785937"/>
              <a:ext cx="21384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IN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𝑀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𝑏</m:t>
                        </m:r>
                      </m:sub>
                    </m:sSub>
                  </m:oMath>
                </m:oMathPara>
              </a14:m>
              <a:endParaRPr lang="en-IN" sz="1100"/>
            </a:p>
          </xdr:txBody>
        </xdr:sp>
      </mc:Choice>
      <mc:Fallback xmlns="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A65F9E5C-40FD-490A-9D02-47F663AD61DC}"/>
                </a:ext>
              </a:extLst>
            </xdr:cNvPr>
            <xdr:cNvSpPr txBox="1"/>
          </xdr:nvSpPr>
          <xdr:spPr>
            <a:xfrm>
              <a:off x="5915025" y="1785937"/>
              <a:ext cx="21384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𝑀</a:t>
              </a:r>
              <a:r>
                <a:rPr lang="en-IN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𝑏</a:t>
              </a:r>
              <a:endParaRPr lang="en-IN" sz="1100"/>
            </a:p>
          </xdr:txBody>
        </xdr:sp>
      </mc:Fallback>
    </mc:AlternateContent>
    <xdr:clientData/>
  </xdr:oneCellAnchor>
  <xdr:oneCellAnchor>
    <xdr:from>
      <xdr:col>11</xdr:col>
      <xdr:colOff>28575</xdr:colOff>
      <xdr:row>10</xdr:row>
      <xdr:rowOff>23812</xdr:rowOff>
    </xdr:from>
    <xdr:ext cx="68852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>
              <a:extLst>
                <a:ext uri="{FF2B5EF4-FFF2-40B4-BE49-F238E27FC236}">
                  <a16:creationId xmlns="" xmlns:a16="http://schemas.microsoft.com/office/drawing/2014/main" id="{35531147-AD0C-4FC3-8A2D-354AEF27A612}"/>
                </a:ext>
              </a:extLst>
            </xdr:cNvPr>
            <xdr:cNvSpPr txBox="1"/>
          </xdr:nvSpPr>
          <xdr:spPr>
            <a:xfrm>
              <a:off x="6953250" y="1785937"/>
              <a:ext cx="68852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𝑄𝑊𝐵</m:t>
                    </m:r>
                    <m:func>
                      <m:func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US" sz="1100" b="0" i="0">
                            <a:latin typeface="Cambria Math" panose="02040503050406030204" pitchFamily="18" charset="0"/>
                          </a:rPr>
                          <m:t>tan</m:t>
                        </m:r>
                      </m:fName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∅</m:t>
                        </m:r>
                      </m:e>
                    </m:func>
                  </m:oMath>
                </m:oMathPara>
              </a14:m>
              <a:endParaRPr lang="en-IN" sz="1100"/>
            </a:p>
          </xdr:txBody>
        </xdr:sp>
      </mc:Choice>
      <mc:Fallback xmlns="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35531147-AD0C-4FC3-8A2D-354AEF27A612}"/>
                </a:ext>
              </a:extLst>
            </xdr:cNvPr>
            <xdr:cNvSpPr txBox="1"/>
          </xdr:nvSpPr>
          <xdr:spPr>
            <a:xfrm>
              <a:off x="6953250" y="1785937"/>
              <a:ext cx="68852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𝑄𝑊𝐵 tan⁡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∅</a:t>
              </a:r>
              <a:endParaRPr lang="en-IN" sz="1100"/>
            </a:p>
          </xdr:txBody>
        </xdr:sp>
      </mc:Fallback>
    </mc:AlternateContent>
    <xdr:clientData/>
  </xdr:oneCellAnchor>
  <xdr:oneCellAnchor>
    <xdr:from>
      <xdr:col>9</xdr:col>
      <xdr:colOff>238125</xdr:colOff>
      <xdr:row>15</xdr:row>
      <xdr:rowOff>14287</xdr:rowOff>
    </xdr:from>
    <xdr:ext cx="20441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Box 11">
              <a:extLst>
                <a:ext uri="{FF2B5EF4-FFF2-40B4-BE49-F238E27FC236}">
                  <a16:creationId xmlns="" xmlns:a16="http://schemas.microsoft.com/office/drawing/2014/main" id="{190FE45E-1E9D-419E-A65D-BB032A1CFE03}"/>
                </a:ext>
              </a:extLst>
            </xdr:cNvPr>
            <xdr:cNvSpPr txBox="1"/>
          </xdr:nvSpPr>
          <xdr:spPr>
            <a:xfrm>
              <a:off x="5943600" y="2862262"/>
              <a:ext cx="20441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IN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𝑀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𝑆</m:t>
                        </m:r>
                      </m:sub>
                    </m:sSub>
                  </m:oMath>
                </m:oMathPara>
              </a14:m>
              <a:endParaRPr lang="en-IN" sz="1100"/>
            </a:p>
          </xdr:txBody>
        </xdr:sp>
      </mc:Choice>
      <mc:Fallback xmlns="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190FE45E-1E9D-419E-A65D-BB032A1CFE03}"/>
                </a:ext>
              </a:extLst>
            </xdr:cNvPr>
            <xdr:cNvSpPr txBox="1"/>
          </xdr:nvSpPr>
          <xdr:spPr>
            <a:xfrm>
              <a:off x="5943600" y="2862262"/>
              <a:ext cx="20441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𝑀</a:t>
              </a:r>
              <a:r>
                <a:rPr lang="en-IN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𝑆</a:t>
              </a:r>
              <a:endParaRPr lang="en-IN" sz="1100"/>
            </a:p>
          </xdr:txBody>
        </xdr:sp>
      </mc:Fallback>
    </mc:AlternateContent>
    <xdr:clientData/>
  </xdr:oneCellAnchor>
  <xdr:oneCellAnchor>
    <xdr:from>
      <xdr:col>11</xdr:col>
      <xdr:colOff>66674</xdr:colOff>
      <xdr:row>15</xdr:row>
      <xdr:rowOff>9525</xdr:rowOff>
    </xdr:from>
    <xdr:ext cx="1133475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TextBox 12">
              <a:extLst>
                <a:ext uri="{FF2B5EF4-FFF2-40B4-BE49-F238E27FC236}">
                  <a16:creationId xmlns="" xmlns:a16="http://schemas.microsoft.com/office/drawing/2014/main" id="{EDDEBBF8-E157-43EF-BFA0-40CC2249E654}"/>
                </a:ext>
              </a:extLst>
            </xdr:cNvPr>
            <xdr:cNvSpPr txBox="1"/>
          </xdr:nvSpPr>
          <xdr:spPr>
            <a:xfrm>
              <a:off x="6991349" y="2857500"/>
              <a:ext cx="1133475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en-US" sz="1100" b="0" i="1">
                      <a:latin typeface="Cambria Math" panose="02040503050406030204" pitchFamily="18" charset="0"/>
                    </a:rPr>
                    <m:t>0.10</m:t>
                  </m:r>
                  <m:sSup>
                    <m:sSup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𝐷</m:t>
                      </m:r>
                    </m:e>
                    <m:sup>
                      <m:r>
                        <a:rPr lang="en-US" sz="1100" b="0" i="1">
                          <a:latin typeface="Cambria Math" panose="02040503050406030204" pitchFamily="18" charset="0"/>
                        </a:rPr>
                        <m:t>3</m:t>
                      </m:r>
                    </m:sup>
                  </m:sSup>
                  <m:d>
                    <m:d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sSub>
                        <m:sSubPr>
                          <m:ctrlPr>
                            <a:rPr lang="en-US" sz="11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𝐾</m:t>
                          </m:r>
                        </m:e>
                        <m:sub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𝑃</m:t>
                          </m:r>
                        </m:sub>
                      </m:s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−</m:t>
                      </m:r>
                      <m:sSub>
                        <m:sSubPr>
                          <m:ctrlPr>
                            <a:rPr lang="en-US" sz="11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𝐾</m:t>
                          </m:r>
                        </m:e>
                        <m:sub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𝐴</m:t>
                          </m:r>
                        </m:sub>
                      </m:sSub>
                    </m:e>
                  </m:d>
                </m:oMath>
              </a14:m>
              <a:r>
                <a:rPr lang="en-IN" sz="1100"/>
                <a:t>L</a:t>
              </a:r>
            </a:p>
          </xdr:txBody>
        </xdr:sp>
      </mc:Choice>
      <mc:Fallback xmlns="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EDDEBBF8-E157-43EF-BFA0-40CC2249E654}"/>
                </a:ext>
              </a:extLst>
            </xdr:cNvPr>
            <xdr:cNvSpPr txBox="1"/>
          </xdr:nvSpPr>
          <xdr:spPr>
            <a:xfrm>
              <a:off x="6991349" y="2857500"/>
              <a:ext cx="1133475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0.10𝐷^3 (𝐾_𝑃−𝐾_𝐴 )</a:t>
              </a:r>
              <a:r>
                <a:rPr lang="en-IN" sz="1100"/>
                <a:t>L</a:t>
              </a:r>
            </a:p>
          </xdr:txBody>
        </xdr:sp>
      </mc:Fallback>
    </mc:AlternateContent>
    <xdr:clientData/>
  </xdr:oneCellAnchor>
  <xdr:oneCellAnchor>
    <xdr:from>
      <xdr:col>9</xdr:col>
      <xdr:colOff>238125</xdr:colOff>
      <xdr:row>20</xdr:row>
      <xdr:rowOff>14287</xdr:rowOff>
    </xdr:from>
    <xdr:ext cx="205504" cy="1831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TextBox 13">
              <a:extLst>
                <a:ext uri="{FF2B5EF4-FFF2-40B4-BE49-F238E27FC236}">
                  <a16:creationId xmlns="" xmlns:a16="http://schemas.microsoft.com/office/drawing/2014/main" id="{E92064F9-3474-457D-BE4A-3201FD53EC28}"/>
                </a:ext>
              </a:extLst>
            </xdr:cNvPr>
            <xdr:cNvSpPr txBox="1"/>
          </xdr:nvSpPr>
          <xdr:spPr>
            <a:xfrm>
              <a:off x="5943600" y="3814762"/>
              <a:ext cx="205504" cy="1831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IN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𝑀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𝑓</m:t>
                        </m:r>
                      </m:sub>
                    </m:sSub>
                  </m:oMath>
                </m:oMathPara>
              </a14:m>
              <a:endParaRPr lang="en-IN" sz="1100"/>
            </a:p>
          </xdr:txBody>
        </xdr:sp>
      </mc:Choice>
      <mc:Fallback xmlns="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E92064F9-3474-457D-BE4A-3201FD53EC28}"/>
                </a:ext>
              </a:extLst>
            </xdr:cNvPr>
            <xdr:cNvSpPr txBox="1"/>
          </xdr:nvSpPr>
          <xdr:spPr>
            <a:xfrm>
              <a:off x="5943600" y="3814762"/>
              <a:ext cx="205504" cy="1831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𝑀</a:t>
              </a:r>
              <a:r>
                <a:rPr lang="en-IN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𝑓</a:t>
              </a:r>
              <a:endParaRPr lang="en-IN" sz="1100"/>
            </a:p>
          </xdr:txBody>
        </xdr:sp>
      </mc:Fallback>
    </mc:AlternateContent>
    <xdr:clientData/>
  </xdr:oneCellAnchor>
  <xdr:oneCellAnchor>
    <xdr:from>
      <xdr:col>11</xdr:col>
      <xdr:colOff>28575</xdr:colOff>
      <xdr:row>20</xdr:row>
      <xdr:rowOff>4762</xdr:rowOff>
    </xdr:from>
    <xdr:ext cx="1659620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TextBox 14">
              <a:extLst>
                <a:ext uri="{FF2B5EF4-FFF2-40B4-BE49-F238E27FC236}">
                  <a16:creationId xmlns="" xmlns:a16="http://schemas.microsoft.com/office/drawing/2014/main" id="{2B91AF1A-825B-4925-8734-6A587F45BB87}"/>
                </a:ext>
              </a:extLst>
            </xdr:cNvPr>
            <xdr:cNvSpPr txBox="1"/>
          </xdr:nvSpPr>
          <xdr:spPr>
            <a:xfrm>
              <a:off x="6953250" y="3805237"/>
              <a:ext cx="1659620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0.11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𝛾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𝐾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𝑃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𝐾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𝐴</m:t>
                            </m:r>
                          </m:sub>
                        </m:sSub>
                      </m:e>
                    </m:d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𝐵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sup>
                    </m:sSup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𝐷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sup>
                    </m:sSup>
                    <m:func>
                      <m:func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US" sz="1100" b="0" i="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sin</m:t>
                        </m:r>
                      </m:fName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𝛿</m:t>
                        </m:r>
                      </m:e>
                    </m:func>
                  </m:oMath>
                </m:oMathPara>
              </a14:m>
              <a:endParaRPr lang="en-IN" sz="1100"/>
            </a:p>
          </xdr:txBody>
        </xdr:sp>
      </mc:Choice>
      <mc:Fallback xmlns=""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2B91AF1A-825B-4925-8734-6A587F45BB87}"/>
                </a:ext>
              </a:extLst>
            </xdr:cNvPr>
            <xdr:cNvSpPr txBox="1"/>
          </xdr:nvSpPr>
          <xdr:spPr>
            <a:xfrm>
              <a:off x="6953250" y="3805237"/>
              <a:ext cx="1659620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0.11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𝛾(𝐾_𝑃−𝐾_𝐴 ) 𝐵^2 𝐷^2  sin⁡𝛿</a:t>
              </a:r>
              <a:endParaRPr lang="en-IN" sz="1100"/>
            </a:p>
          </xdr:txBody>
        </xdr:sp>
      </mc:Fallback>
    </mc:AlternateContent>
    <xdr:clientData/>
  </xdr:oneCellAnchor>
  <xdr:oneCellAnchor>
    <xdr:from>
      <xdr:col>10</xdr:col>
      <xdr:colOff>323849</xdr:colOff>
      <xdr:row>23</xdr:row>
      <xdr:rowOff>9525</xdr:rowOff>
    </xdr:from>
    <xdr:ext cx="1628775" cy="1806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TextBox 15">
              <a:extLst>
                <a:ext uri="{FF2B5EF4-FFF2-40B4-BE49-F238E27FC236}">
                  <a16:creationId xmlns="" xmlns:a16="http://schemas.microsoft.com/office/drawing/2014/main" id="{80C4DFB8-CFCF-4558-B911-8B1A91C6A747}"/>
                </a:ext>
              </a:extLst>
            </xdr:cNvPr>
            <xdr:cNvSpPr txBox="1"/>
          </xdr:nvSpPr>
          <xdr:spPr>
            <a:xfrm>
              <a:off x="6638924" y="4381500"/>
              <a:ext cx="1628775" cy="1806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IN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𝑀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𝑡</m:t>
                      </m:r>
                    </m:sub>
                  </m:sSub>
                </m:oMath>
              </a14:m>
              <a:r>
                <a:rPr lang="en-IN" sz="1100"/>
                <a:t>     =0.7</a:t>
              </a:r>
              <a14:m>
                <m:oMath xmlns:m="http://schemas.openxmlformats.org/officeDocument/2006/math">
                  <m:d>
                    <m:dPr>
                      <m:ctrlPr>
                        <a:rPr lang="en-IN" sz="1100" i="1">
                          <a:latin typeface="Cambria Math" panose="02040503050406030204" pitchFamily="18" charset="0"/>
                        </a:rPr>
                      </m:ctrlPr>
                    </m:dPr>
                    <m:e>
                      <m:sSub>
                        <m:sSubPr>
                          <m:ctrlPr>
                            <a:rPr lang="en-IN" sz="110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𝑀</m:t>
                          </m:r>
                        </m:e>
                        <m:sub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𝑏</m:t>
                          </m:r>
                        </m:sub>
                      </m:s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+</m:t>
                      </m:r>
                      <m:sSub>
                        <m:sSubPr>
                          <m:ctrlPr>
                            <a:rPr lang="en-US" sz="11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𝑀</m:t>
                          </m:r>
                        </m:e>
                        <m:sub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𝑠</m:t>
                          </m:r>
                        </m:sub>
                      </m:s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+</m:t>
                      </m:r>
                      <m:sSub>
                        <m:sSubPr>
                          <m:ctrlPr>
                            <a:rPr lang="en-US" sz="11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𝑀</m:t>
                          </m:r>
                        </m:e>
                        <m:sub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𝑓</m:t>
                          </m:r>
                        </m:sub>
                      </m:sSub>
                    </m:e>
                  </m:d>
                </m:oMath>
              </a14:m>
              <a:endParaRPr lang="en-IN" sz="1100"/>
            </a:p>
          </xdr:txBody>
        </xdr:sp>
      </mc:Choice>
      <mc:Fallback xmlns=""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80C4DFB8-CFCF-4558-B911-8B1A91C6A747}"/>
                </a:ext>
              </a:extLst>
            </xdr:cNvPr>
            <xdr:cNvSpPr txBox="1"/>
          </xdr:nvSpPr>
          <xdr:spPr>
            <a:xfrm>
              <a:off x="6638924" y="4381500"/>
              <a:ext cx="1628775" cy="1806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𝑀</a:t>
              </a:r>
              <a:r>
                <a:rPr lang="en-IN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𝑡</a:t>
              </a:r>
              <a:r>
                <a:rPr lang="en-IN" sz="1100"/>
                <a:t>     =0.7</a:t>
              </a:r>
              <a:r>
                <a:rPr lang="en-IN" sz="110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𝑀</a:t>
              </a:r>
              <a:r>
                <a:rPr lang="en-IN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𝑏+𝑀_𝑠+𝑀_𝑓</a:t>
              </a:r>
              <a:r>
                <a:rPr lang="en-IN" sz="1100" b="0" i="0">
                  <a:latin typeface="Cambria Math" panose="02040503050406030204" pitchFamily="18" charset="0"/>
                </a:rPr>
                <a:t> )</a:t>
              </a:r>
              <a:endParaRPr lang="en-IN" sz="1100"/>
            </a:p>
          </xdr:txBody>
        </xdr:sp>
      </mc:Fallback>
    </mc:AlternateContent>
    <xdr:clientData/>
  </xdr:oneCellAnchor>
  <xdr:oneCellAnchor>
    <xdr:from>
      <xdr:col>0</xdr:col>
      <xdr:colOff>104775</xdr:colOff>
      <xdr:row>8</xdr:row>
      <xdr:rowOff>9525</xdr:rowOff>
    </xdr:from>
    <xdr:ext cx="400050" cy="2286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TextBox 16">
              <a:extLst>
                <a:ext uri="{FF2B5EF4-FFF2-40B4-BE49-F238E27FC236}">
                  <a16:creationId xmlns="" xmlns:a16="http://schemas.microsoft.com/office/drawing/2014/main" id="{4C1A379A-35A9-4FED-BDC2-02FB421D9103}"/>
                </a:ext>
              </a:extLst>
            </xdr:cNvPr>
            <xdr:cNvSpPr txBox="1"/>
          </xdr:nvSpPr>
          <xdr:spPr>
            <a:xfrm>
              <a:off x="104775" y="1628775"/>
              <a:ext cx="400050" cy="2286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IN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IN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𝜎</m:t>
                        </m:r>
                      </m:e>
                      <m:sub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𝑆</m:t>
                        </m:r>
                      </m:sub>
                    </m:sSub>
                  </m:oMath>
                </m:oMathPara>
              </a14:m>
              <a:endParaRPr lang="en-IN" sz="1100"/>
            </a:p>
          </xdr:txBody>
        </xdr:sp>
      </mc:Choice>
      <mc:Fallback xmlns=""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4C1A379A-35A9-4FED-BDC2-02FB421D9103}"/>
                </a:ext>
              </a:extLst>
            </xdr:cNvPr>
            <xdr:cNvSpPr txBox="1"/>
          </xdr:nvSpPr>
          <xdr:spPr>
            <a:xfrm>
              <a:off x="104775" y="1628775"/>
              <a:ext cx="400050" cy="2286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IN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𝜎_</a:t>
              </a:r>
              <a:r>
                <a:rPr lang="en-IN" sz="1100" b="0" i="0">
                  <a:latin typeface="Cambria Math" panose="02040503050406030204" pitchFamily="18" charset="0"/>
                </a:rPr>
                <a:t>𝑆</a:t>
              </a:r>
              <a:endParaRPr lang="en-IN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Ast@top" TargetMode="External"/><Relationship Id="rId1" Type="http://schemas.openxmlformats.org/officeDocument/2006/relationships/hyperlink" Target="mailto:Ast@bottom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MOMENT@%20BASE%20OF%20WE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3"/>
  <sheetViews>
    <sheetView tabSelected="1" view="pageBreakPreview" topLeftCell="A133" zoomScaleNormal="100" zoomScaleSheetLayoutView="100" workbookViewId="0">
      <selection activeCell="A153" sqref="A153:D153"/>
    </sheetView>
  </sheetViews>
  <sheetFormatPr defaultRowHeight="15" x14ac:dyDescent="0.25"/>
  <cols>
    <col min="1" max="1" width="55.5703125" customWidth="1"/>
    <col min="2" max="2" width="9" customWidth="1"/>
    <col min="4" max="4" width="11.7109375" customWidth="1"/>
    <col min="5" max="5" width="16.28515625" customWidth="1"/>
    <col min="6" max="6" width="9" customWidth="1"/>
    <col min="16" max="16" width="9.140625" customWidth="1"/>
  </cols>
  <sheetData>
    <row r="1" spans="1:17" ht="24.75" customHeight="1" x14ac:dyDescent="0.3">
      <c r="A1" s="32" t="s">
        <v>134</v>
      </c>
      <c r="B1" s="32"/>
      <c r="C1" s="32"/>
      <c r="D1" s="12"/>
      <c r="E1" s="12"/>
      <c r="F1" s="12"/>
      <c r="G1" s="2"/>
    </row>
    <row r="2" spans="1:17" ht="15.75" x14ac:dyDescent="0.25">
      <c r="A2" s="13"/>
      <c r="B2" s="13"/>
      <c r="C2" s="13"/>
      <c r="D2" s="13"/>
      <c r="E2" s="13"/>
      <c r="F2" s="13"/>
      <c r="H2" s="34"/>
      <c r="I2" s="34"/>
      <c r="J2" s="34"/>
      <c r="K2" s="34"/>
      <c r="L2" s="2"/>
      <c r="N2" s="34"/>
      <c r="O2" s="34"/>
      <c r="P2" s="34"/>
      <c r="Q2" s="34"/>
    </row>
    <row r="3" spans="1:17" ht="15.75" x14ac:dyDescent="0.25">
      <c r="A3" s="13" t="s">
        <v>0</v>
      </c>
      <c r="B3" s="13"/>
      <c r="C3" s="13"/>
      <c r="D3" s="13"/>
      <c r="E3" s="13"/>
      <c r="F3" s="13"/>
    </row>
    <row r="4" spans="1:17" ht="15.75" x14ac:dyDescent="0.25">
      <c r="A4" s="13" t="s">
        <v>133</v>
      </c>
      <c r="B4" s="14">
        <v>7</v>
      </c>
      <c r="C4" s="15" t="s">
        <v>7</v>
      </c>
      <c r="D4" s="14">
        <v>5</v>
      </c>
      <c r="E4" s="13"/>
      <c r="F4" s="13"/>
    </row>
    <row r="5" spans="1:17" ht="15.75" x14ac:dyDescent="0.25">
      <c r="A5" s="13" t="s">
        <v>1</v>
      </c>
      <c r="B5" s="14">
        <v>16</v>
      </c>
      <c r="C5" s="13" t="s">
        <v>4</v>
      </c>
      <c r="D5" s="13"/>
      <c r="E5" s="13"/>
      <c r="F5" s="13"/>
    </row>
    <row r="6" spans="1:17" ht="15.75" x14ac:dyDescent="0.25">
      <c r="A6" s="13" t="s">
        <v>2</v>
      </c>
      <c r="B6" s="14">
        <v>6</v>
      </c>
      <c r="C6" s="13" t="s">
        <v>4</v>
      </c>
      <c r="D6" s="13"/>
      <c r="E6" s="13"/>
      <c r="F6" s="13"/>
    </row>
    <row r="7" spans="1:17" ht="15.75" x14ac:dyDescent="0.25">
      <c r="A7" s="13" t="s">
        <v>3</v>
      </c>
      <c r="B7" s="14">
        <v>9.5</v>
      </c>
      <c r="C7" s="13" t="s">
        <v>140</v>
      </c>
      <c r="D7" s="13"/>
      <c r="E7" s="13"/>
      <c r="F7" s="13"/>
      <c r="H7" s="1">
        <f>B6</f>
        <v>6</v>
      </c>
    </row>
    <row r="8" spans="1:17" ht="15.75" x14ac:dyDescent="0.25">
      <c r="A8" s="13" t="s">
        <v>5</v>
      </c>
      <c r="B8" s="14">
        <v>20000</v>
      </c>
      <c r="C8" s="13" t="s">
        <v>141</v>
      </c>
      <c r="E8" s="13"/>
      <c r="F8" s="13"/>
    </row>
    <row r="9" spans="1:17" ht="15.75" x14ac:dyDescent="0.25">
      <c r="A9" s="13" t="s">
        <v>6</v>
      </c>
      <c r="B9" s="14">
        <v>400</v>
      </c>
      <c r="C9" s="13" t="s">
        <v>141</v>
      </c>
      <c r="D9" s="13"/>
      <c r="E9" s="13"/>
      <c r="F9" s="13"/>
    </row>
    <row r="10" spans="1:17" ht="15.75" x14ac:dyDescent="0.25">
      <c r="A10" s="13" t="s">
        <v>9</v>
      </c>
      <c r="B10" s="14">
        <v>30</v>
      </c>
      <c r="C10" s="13" t="s">
        <v>10</v>
      </c>
      <c r="D10" s="13"/>
      <c r="E10" s="13"/>
      <c r="F10" s="13"/>
    </row>
    <row r="11" spans="1:17" ht="15.75" x14ac:dyDescent="0.25">
      <c r="A11" s="13" t="s">
        <v>154</v>
      </c>
      <c r="B11" s="13">
        <f>H16/3</f>
        <v>3.3333333333333335</v>
      </c>
      <c r="C11" s="15" t="s">
        <v>8</v>
      </c>
      <c r="D11" s="14">
        <v>8</v>
      </c>
      <c r="E11" s="13"/>
      <c r="F11" s="13"/>
    </row>
    <row r="12" spans="1:17" ht="15.75" x14ac:dyDescent="0.25">
      <c r="A12" s="13" t="s">
        <v>18</v>
      </c>
      <c r="B12" s="13">
        <f>H16+H20</f>
        <v>15.25</v>
      </c>
      <c r="C12" s="13" t="s">
        <v>4</v>
      </c>
      <c r="D12" s="13"/>
      <c r="E12" s="13"/>
      <c r="F12" s="13"/>
      <c r="L12" s="1">
        <f>IF(B4&lt;=D4,B4,D4)</f>
        <v>5</v>
      </c>
      <c r="M12">
        <f>D4</f>
        <v>5</v>
      </c>
    </row>
    <row r="13" spans="1:17" ht="15.75" x14ac:dyDescent="0.25">
      <c r="A13" s="13" t="s">
        <v>11</v>
      </c>
      <c r="B13" s="13"/>
      <c r="C13" s="13"/>
      <c r="D13" s="13"/>
      <c r="E13" s="13"/>
      <c r="F13" s="13"/>
    </row>
    <row r="14" spans="1:17" ht="15.75" x14ac:dyDescent="0.25">
      <c r="A14" s="16" t="s">
        <v>12</v>
      </c>
      <c r="B14" s="13"/>
      <c r="C14" s="13"/>
      <c r="D14" s="13"/>
      <c r="E14" s="13"/>
      <c r="F14" s="13"/>
    </row>
    <row r="15" spans="1:17" ht="15.75" x14ac:dyDescent="0.25">
      <c r="A15" s="13" t="s">
        <v>13</v>
      </c>
      <c r="B15" s="13"/>
      <c r="C15" s="13"/>
      <c r="D15" s="13"/>
      <c r="E15" s="13"/>
      <c r="F15" s="13"/>
    </row>
    <row r="16" spans="1:17" ht="15.75" x14ac:dyDescent="0.25">
      <c r="A16" s="15" t="s">
        <v>19</v>
      </c>
      <c r="B16" s="14">
        <v>7.5</v>
      </c>
      <c r="C16" s="13" t="s">
        <v>4</v>
      </c>
      <c r="D16" s="13"/>
      <c r="E16" s="13"/>
      <c r="F16" s="13"/>
      <c r="H16" s="1">
        <f>B5-B6</f>
        <v>10</v>
      </c>
    </row>
    <row r="17" spans="1:12" ht="15.75" x14ac:dyDescent="0.25">
      <c r="A17" s="13"/>
      <c r="B17" s="13"/>
      <c r="C17" s="13"/>
      <c r="D17" s="13"/>
      <c r="E17" s="13"/>
      <c r="F17" s="13"/>
    </row>
    <row r="18" spans="1:12" ht="15.75" x14ac:dyDescent="0.25">
      <c r="A18" s="16" t="s">
        <v>14</v>
      </c>
      <c r="B18" s="13"/>
      <c r="C18" s="13"/>
      <c r="D18" s="13"/>
      <c r="E18" s="13"/>
      <c r="F18" s="13"/>
    </row>
    <row r="19" spans="1:12" ht="18.75" x14ac:dyDescent="0.25">
      <c r="A19" s="13" t="s">
        <v>138</v>
      </c>
      <c r="B19" s="13"/>
      <c r="C19" s="13"/>
      <c r="D19" s="13"/>
      <c r="E19" s="13"/>
      <c r="F19" s="13"/>
    </row>
    <row r="20" spans="1:12" ht="15.75" x14ac:dyDescent="0.25">
      <c r="A20" s="13" t="s">
        <v>15</v>
      </c>
      <c r="B20" s="17" t="s">
        <v>20</v>
      </c>
      <c r="C20" s="17"/>
      <c r="D20" s="17"/>
      <c r="E20" s="17"/>
      <c r="F20" s="17"/>
      <c r="G20" s="2"/>
      <c r="H20" s="1">
        <f>D11-B148</f>
        <v>5.25</v>
      </c>
    </row>
    <row r="21" spans="1:12" ht="15.75" x14ac:dyDescent="0.25">
      <c r="A21" s="13" t="s">
        <v>155</v>
      </c>
      <c r="B21" s="13"/>
      <c r="C21" s="13"/>
      <c r="D21" s="13"/>
      <c r="E21" s="13"/>
      <c r="F21" s="13"/>
    </row>
    <row r="22" spans="1:12" ht="15.75" x14ac:dyDescent="0.25">
      <c r="A22" s="13" t="s">
        <v>156</v>
      </c>
      <c r="B22" s="13"/>
      <c r="C22" s="13"/>
      <c r="D22" s="13"/>
      <c r="E22" s="13"/>
      <c r="F22" s="13"/>
    </row>
    <row r="23" spans="1:12" ht="15.75" x14ac:dyDescent="0.25">
      <c r="A23" s="15" t="s">
        <v>16</v>
      </c>
      <c r="B23" s="14">
        <v>0.03</v>
      </c>
      <c r="C23" s="13"/>
      <c r="D23" s="13"/>
      <c r="E23" s="13"/>
      <c r="F23" s="13"/>
      <c r="H23" s="29">
        <f>B148</f>
        <v>2.75</v>
      </c>
    </row>
    <row r="24" spans="1:12" ht="15.75" x14ac:dyDescent="0.25">
      <c r="A24" s="15" t="s">
        <v>17</v>
      </c>
      <c r="B24" s="13">
        <f>B23*(B16+1)*SQRT(B12)</f>
        <v>0.99580683367809841</v>
      </c>
      <c r="C24" s="15" t="s">
        <v>8</v>
      </c>
      <c r="D24" s="18">
        <f>ROUND(B24,1)</f>
        <v>1</v>
      </c>
      <c r="E24" s="13"/>
      <c r="F24" s="13"/>
    </row>
    <row r="25" spans="1:12" ht="15.75" x14ac:dyDescent="0.25">
      <c r="A25" s="15" t="s">
        <v>21</v>
      </c>
      <c r="B25" s="18">
        <f>B16+2*D24</f>
        <v>9.5</v>
      </c>
      <c r="C25" s="13" t="s">
        <v>4</v>
      </c>
      <c r="D25" s="13"/>
      <c r="E25" s="13"/>
      <c r="F25" s="13"/>
      <c r="J25" s="38" t="s">
        <v>165</v>
      </c>
      <c r="K25" s="38"/>
      <c r="L25" s="38"/>
    </row>
    <row r="26" spans="1:12" ht="15.75" x14ac:dyDescent="0.25">
      <c r="A26" s="19" t="s">
        <v>22</v>
      </c>
      <c r="B26" s="13"/>
      <c r="C26" s="13"/>
      <c r="D26" s="13"/>
      <c r="E26" s="13"/>
      <c r="F26" s="13"/>
    </row>
    <row r="27" spans="1:12" ht="15.75" x14ac:dyDescent="0.25">
      <c r="A27" s="19" t="s">
        <v>124</v>
      </c>
      <c r="B27" s="13" t="s">
        <v>8</v>
      </c>
      <c r="C27" s="14">
        <v>500</v>
      </c>
      <c r="D27" s="13" t="s">
        <v>10</v>
      </c>
      <c r="E27" s="13"/>
      <c r="F27" s="13"/>
    </row>
    <row r="28" spans="1:12" ht="15.75" x14ac:dyDescent="0.25">
      <c r="A28" s="15" t="s">
        <v>23</v>
      </c>
      <c r="B28" s="13"/>
      <c r="C28" s="13"/>
      <c r="D28" s="13"/>
      <c r="E28" s="13"/>
      <c r="F28" s="13"/>
    </row>
    <row r="29" spans="1:12" ht="15.75" x14ac:dyDescent="0.25">
      <c r="A29" s="15" t="s">
        <v>24</v>
      </c>
      <c r="B29" s="14">
        <v>0.15</v>
      </c>
      <c r="C29" s="13" t="s">
        <v>33</v>
      </c>
      <c r="D29" s="13"/>
      <c r="E29" s="13"/>
      <c r="F29" s="13"/>
    </row>
    <row r="30" spans="1:12" ht="15.75" x14ac:dyDescent="0.25">
      <c r="A30" s="15" t="s">
        <v>25</v>
      </c>
      <c r="B30" s="13">
        <f>B29*3.14*(B25*B25-B16*B16)/(4*100)</f>
        <v>4.0035000000000001E-2</v>
      </c>
      <c r="C30" s="13" t="s">
        <v>162</v>
      </c>
      <c r="D30" s="13"/>
      <c r="E30" s="13"/>
      <c r="F30" s="13"/>
    </row>
    <row r="31" spans="1:12" ht="15.75" x14ac:dyDescent="0.25">
      <c r="A31" s="13"/>
      <c r="B31" s="13">
        <f>B30*10^6</f>
        <v>40035</v>
      </c>
      <c r="C31" s="13" t="s">
        <v>27</v>
      </c>
      <c r="D31" s="13"/>
      <c r="E31" s="13"/>
      <c r="F31" s="13"/>
    </row>
    <row r="32" spans="1:12" ht="15.75" x14ac:dyDescent="0.25">
      <c r="A32" s="15" t="s">
        <v>28</v>
      </c>
      <c r="B32" s="14">
        <v>20</v>
      </c>
      <c r="C32" s="13" t="s">
        <v>29</v>
      </c>
      <c r="D32" s="13"/>
      <c r="E32" s="13"/>
      <c r="F32" s="13"/>
    </row>
    <row r="33" spans="1:7" ht="15.75" x14ac:dyDescent="0.25">
      <c r="A33" s="15" t="s">
        <v>30</v>
      </c>
      <c r="B33" s="13">
        <f>B31*0.5/(3.14*B32^2/4)</f>
        <v>63.75</v>
      </c>
      <c r="C33" s="13" t="s">
        <v>8</v>
      </c>
      <c r="D33" s="13">
        <f>ROUNDUP(B33,0)</f>
        <v>64</v>
      </c>
      <c r="E33" s="13"/>
      <c r="F33" s="13"/>
    </row>
    <row r="34" spans="1:7" ht="15.75" x14ac:dyDescent="0.25">
      <c r="A34" s="15" t="s">
        <v>31</v>
      </c>
      <c r="B34" s="13">
        <f>3.14*(B25-0.1)*1000/D33</f>
        <v>461.1875</v>
      </c>
      <c r="C34" s="13" t="s">
        <v>8</v>
      </c>
      <c r="D34" s="14">
        <v>420</v>
      </c>
      <c r="E34" s="13" t="s">
        <v>29</v>
      </c>
      <c r="F34" s="13"/>
    </row>
    <row r="35" spans="1:7" ht="15.75" x14ac:dyDescent="0.25">
      <c r="A35" s="35" t="str">
        <f xml:space="preserve"> " i.e.provide "&amp;B32&amp;"mm dia bars @"&amp;D34&amp;"c/c at each face"</f>
        <v xml:space="preserve"> i.e.provide 20mm dia bars @420c/c at each face</v>
      </c>
      <c r="B35" s="35"/>
      <c r="C35" s="17"/>
      <c r="D35" s="17"/>
      <c r="E35" s="17"/>
      <c r="F35" s="17"/>
      <c r="G35" s="2"/>
    </row>
    <row r="36" spans="1:7" ht="15.75" x14ac:dyDescent="0.25">
      <c r="A36" s="15" t="s">
        <v>32</v>
      </c>
      <c r="B36" s="13"/>
      <c r="C36" s="13"/>
      <c r="D36" s="13"/>
      <c r="E36" s="13"/>
      <c r="F36" s="13"/>
    </row>
    <row r="37" spans="1:7" ht="15.75" x14ac:dyDescent="0.25">
      <c r="A37" s="17" t="s">
        <v>161</v>
      </c>
      <c r="B37" s="17"/>
      <c r="C37" s="13"/>
      <c r="D37" s="14">
        <v>0.05</v>
      </c>
      <c r="E37" s="13" t="s">
        <v>33</v>
      </c>
      <c r="F37" s="13"/>
    </row>
    <row r="38" spans="1:7" ht="15.75" x14ac:dyDescent="0.25">
      <c r="A38" s="15" t="s">
        <v>34</v>
      </c>
      <c r="B38" s="13">
        <f>(B25*B25-B16*B16)*3.14/4*D37/100</f>
        <v>1.3345000000000003E-2</v>
      </c>
      <c r="C38" s="13" t="s">
        <v>139</v>
      </c>
      <c r="D38" s="13"/>
      <c r="E38" s="13"/>
      <c r="F38" s="13"/>
    </row>
    <row r="39" spans="1:7" ht="15.75" x14ac:dyDescent="0.25">
      <c r="A39" s="15" t="s">
        <v>28</v>
      </c>
      <c r="B39" s="14">
        <v>12</v>
      </c>
      <c r="C39" s="13" t="s">
        <v>29</v>
      </c>
      <c r="D39" s="13"/>
      <c r="E39" s="13"/>
      <c r="F39" s="13"/>
    </row>
    <row r="40" spans="1:7" ht="15.75" x14ac:dyDescent="0.25">
      <c r="A40" s="15" t="s">
        <v>35</v>
      </c>
      <c r="B40" s="13">
        <f>3.14*(B25-0.1)</f>
        <v>29.516000000000002</v>
      </c>
      <c r="C40" s="13" t="s">
        <v>4</v>
      </c>
      <c r="D40" s="13"/>
      <c r="E40" s="13"/>
      <c r="F40" s="13"/>
    </row>
    <row r="41" spans="1:7" ht="15.75" x14ac:dyDescent="0.25">
      <c r="A41" s="15" t="s">
        <v>37</v>
      </c>
      <c r="B41" s="13">
        <f>B38*7850</f>
        <v>104.75825000000002</v>
      </c>
      <c r="C41" s="13" t="s">
        <v>36</v>
      </c>
      <c r="D41" s="13"/>
      <c r="E41" s="13"/>
      <c r="F41" s="13"/>
    </row>
    <row r="42" spans="1:7" ht="15.75" x14ac:dyDescent="0.25">
      <c r="A42" s="15" t="s">
        <v>38</v>
      </c>
      <c r="B42" s="13">
        <f>3.14*(B39/1000)^2/4*B40*7850</f>
        <v>26.191435824000003</v>
      </c>
      <c r="C42" s="13"/>
      <c r="D42" s="13"/>
      <c r="E42" s="13"/>
      <c r="F42" s="13"/>
    </row>
    <row r="43" spans="1:7" ht="15.75" x14ac:dyDescent="0.25">
      <c r="A43" s="15" t="s">
        <v>39</v>
      </c>
      <c r="B43" s="13">
        <f>B41/B42</f>
        <v>3.9997139028173048</v>
      </c>
      <c r="C43" s="13" t="s">
        <v>8</v>
      </c>
      <c r="D43" s="13">
        <f>ROUNDUP(B43,0)</f>
        <v>4</v>
      </c>
      <c r="E43" s="13"/>
      <c r="F43" s="13"/>
    </row>
    <row r="44" spans="1:7" ht="15.75" x14ac:dyDescent="0.25">
      <c r="A44" s="35" t="str">
        <f>"i.e provide "&amp;D43 &amp; " hoops per 1 meter height at each face"</f>
        <v>i.e provide 4 hoops per 1 meter height at each face</v>
      </c>
      <c r="B44" s="35"/>
      <c r="C44" s="13"/>
      <c r="D44" s="13"/>
      <c r="E44" s="13"/>
      <c r="F44" s="13"/>
    </row>
    <row r="45" spans="1:7" ht="15.75" x14ac:dyDescent="0.25">
      <c r="A45" s="20" t="s">
        <v>40</v>
      </c>
      <c r="B45" s="13"/>
      <c r="C45" s="13"/>
      <c r="D45" s="13"/>
      <c r="E45" s="13"/>
      <c r="F45" s="13"/>
    </row>
    <row r="46" spans="1:7" ht="15.75" x14ac:dyDescent="0.25">
      <c r="A46" s="15" t="s">
        <v>41</v>
      </c>
      <c r="B46" s="13"/>
      <c r="C46" s="13"/>
      <c r="D46" s="13"/>
      <c r="E46" s="13"/>
      <c r="F46" s="13"/>
    </row>
    <row r="47" spans="1:7" ht="15.75" x14ac:dyDescent="0.25">
      <c r="A47" s="13"/>
      <c r="B47" s="13"/>
      <c r="C47" s="13"/>
      <c r="D47" s="13"/>
      <c r="E47" s="13"/>
      <c r="F47" s="13"/>
    </row>
    <row r="48" spans="1:7" ht="15.75" x14ac:dyDescent="0.25">
      <c r="A48" s="13"/>
      <c r="B48" s="13"/>
      <c r="C48" s="13"/>
      <c r="D48" s="13"/>
      <c r="E48" s="13"/>
      <c r="F48" s="13"/>
    </row>
    <row r="49" spans="1:6" ht="15.75" x14ac:dyDescent="0.25">
      <c r="A49" s="13"/>
      <c r="B49" s="13"/>
      <c r="C49" s="13"/>
      <c r="D49" s="13"/>
      <c r="E49" s="13"/>
      <c r="F49" s="13"/>
    </row>
    <row r="50" spans="1:6" ht="15.75" x14ac:dyDescent="0.25">
      <c r="A50" s="13" t="s">
        <v>59</v>
      </c>
      <c r="B50" s="13"/>
      <c r="C50" s="13"/>
      <c r="D50" s="13"/>
      <c r="E50" s="13"/>
      <c r="F50" s="13"/>
    </row>
    <row r="51" spans="1:6" ht="15.75" x14ac:dyDescent="0.25">
      <c r="A51" s="13" t="s">
        <v>60</v>
      </c>
      <c r="B51" s="13"/>
      <c r="C51" s="13"/>
      <c r="D51" s="13"/>
      <c r="E51" s="13"/>
      <c r="F51" s="13"/>
    </row>
    <row r="52" spans="1:6" ht="15.75" x14ac:dyDescent="0.25">
      <c r="A52" s="13" t="s">
        <v>61</v>
      </c>
      <c r="B52" s="13"/>
      <c r="C52" s="13"/>
      <c r="D52" s="13"/>
      <c r="E52" s="13"/>
      <c r="F52" s="13"/>
    </row>
    <row r="53" spans="1:6" ht="15.75" x14ac:dyDescent="0.25">
      <c r="A53" s="13" t="s">
        <v>62</v>
      </c>
      <c r="B53" s="13"/>
      <c r="C53" s="13"/>
      <c r="D53" s="13"/>
      <c r="E53" s="13"/>
      <c r="F53" s="13"/>
    </row>
    <row r="54" spans="1:6" ht="15.75" x14ac:dyDescent="0.25">
      <c r="A54" s="13"/>
      <c r="B54" s="13"/>
      <c r="C54" s="13"/>
      <c r="D54" s="13"/>
      <c r="E54" s="13"/>
      <c r="F54" s="13"/>
    </row>
    <row r="55" spans="1:6" ht="15.75" x14ac:dyDescent="0.25">
      <c r="A55" s="13"/>
      <c r="B55" s="13"/>
      <c r="C55" s="13"/>
      <c r="D55" s="13"/>
      <c r="E55" s="13"/>
      <c r="F55" s="13"/>
    </row>
    <row r="56" spans="1:6" ht="15.75" x14ac:dyDescent="0.25">
      <c r="A56" s="13" t="str">
        <f>"flexure strength of concrete  M"&amp;B10</f>
        <v>flexure strength of concrete  M30</v>
      </c>
      <c r="B56" s="14">
        <v>3834</v>
      </c>
      <c r="C56" s="13" t="s">
        <v>163</v>
      </c>
      <c r="D56" s="13"/>
      <c r="E56" s="13"/>
      <c r="F56" s="13"/>
    </row>
    <row r="57" spans="1:6" ht="15.75" x14ac:dyDescent="0.25">
      <c r="A57" s="15" t="s">
        <v>42</v>
      </c>
      <c r="B57" s="13">
        <f>SQRT(1.18*(0.5*B16)^2*B8/(B56*3.14*(B25*B25-B16*B16))*4)</f>
        <v>1.8008889281627654</v>
      </c>
      <c r="C57" s="13" t="s">
        <v>8</v>
      </c>
      <c r="D57" s="18">
        <f>ROUNDUP(B57,1)</f>
        <v>1.9000000000000001</v>
      </c>
      <c r="E57" s="13" t="s">
        <v>4</v>
      </c>
      <c r="F57" s="13"/>
    </row>
    <row r="58" spans="1:6" ht="15.75" x14ac:dyDescent="0.25">
      <c r="A58" s="13"/>
      <c r="B58" s="13"/>
      <c r="C58" s="13"/>
      <c r="D58" s="13"/>
      <c r="E58" s="13"/>
      <c r="F58" s="13"/>
    </row>
    <row r="59" spans="1:6" ht="15.75" x14ac:dyDescent="0.25">
      <c r="A59" s="13"/>
      <c r="B59" s="13"/>
      <c r="C59" s="13"/>
      <c r="D59" s="13"/>
      <c r="E59" s="13"/>
      <c r="F59" s="13"/>
    </row>
    <row r="60" spans="1:6" ht="15.75" x14ac:dyDescent="0.25">
      <c r="A60" s="37" t="s">
        <v>43</v>
      </c>
      <c r="B60" s="36"/>
      <c r="C60" s="36"/>
      <c r="D60" s="36"/>
      <c r="E60" s="36"/>
      <c r="F60" s="36"/>
    </row>
    <row r="61" spans="1:6" ht="15.75" x14ac:dyDescent="0.25">
      <c r="A61" s="13" t="s">
        <v>44</v>
      </c>
      <c r="B61" s="13"/>
      <c r="C61" s="13"/>
      <c r="D61" s="13"/>
      <c r="E61" s="13"/>
      <c r="F61" s="13"/>
    </row>
    <row r="62" spans="1:6" ht="15.75" x14ac:dyDescent="0.25">
      <c r="A62" s="13" t="s">
        <v>45</v>
      </c>
      <c r="B62" s="13" t="s">
        <v>8</v>
      </c>
      <c r="C62" s="21">
        <v>30</v>
      </c>
      <c r="D62" s="13" t="s">
        <v>46</v>
      </c>
      <c r="E62" s="13"/>
      <c r="F62" s="13"/>
    </row>
    <row r="63" spans="1:6" ht="15.75" x14ac:dyDescent="0.25">
      <c r="A63" s="13" t="s">
        <v>47</v>
      </c>
      <c r="B63" s="13" t="s">
        <v>8</v>
      </c>
      <c r="C63" s="13">
        <f>IF(2/3*C62&gt;22.5,22.5,2/3*C62)</f>
        <v>20</v>
      </c>
      <c r="D63" s="13" t="s">
        <v>46</v>
      </c>
      <c r="E63" s="13"/>
      <c r="F63" s="13"/>
    </row>
    <row r="64" spans="1:6" ht="15.75" x14ac:dyDescent="0.25">
      <c r="A64" s="13" t="s">
        <v>52</v>
      </c>
      <c r="B64" s="13"/>
      <c r="C64" s="14">
        <v>1</v>
      </c>
      <c r="D64" s="13"/>
      <c r="E64" s="13"/>
      <c r="F64" s="13"/>
    </row>
    <row r="65" spans="1:6" ht="15.75" x14ac:dyDescent="0.25">
      <c r="A65" s="13" t="s">
        <v>135</v>
      </c>
      <c r="B65" s="13" t="s">
        <v>8</v>
      </c>
      <c r="C65" s="13">
        <f>COS(C62*3.14/180)</f>
        <v>0.86615809440546299</v>
      </c>
      <c r="D65" s="13"/>
      <c r="E65" s="13"/>
      <c r="F65" s="13"/>
    </row>
    <row r="66" spans="1:6" ht="15.75" x14ac:dyDescent="0.25">
      <c r="A66" s="13" t="s">
        <v>136</v>
      </c>
      <c r="B66" s="13" t="s">
        <v>8</v>
      </c>
      <c r="C66" s="13">
        <f>COS(C63*3.14/180)</f>
        <v>0.9397531304731841</v>
      </c>
      <c r="D66" s="13"/>
      <c r="E66" s="13"/>
      <c r="F66" s="13"/>
    </row>
    <row r="67" spans="1:6" ht="15.75" x14ac:dyDescent="0.25">
      <c r="A67" s="13" t="s">
        <v>137</v>
      </c>
      <c r="B67" s="13" t="s">
        <v>8</v>
      </c>
      <c r="C67" s="13">
        <f>SIN((C62+C63)*3.14/180)</f>
        <v>0.76575999649771331</v>
      </c>
      <c r="D67" s="13"/>
      <c r="E67" s="13"/>
      <c r="F67" s="13"/>
    </row>
    <row r="68" spans="1:6" ht="15.75" x14ac:dyDescent="0.25">
      <c r="A68" s="13" t="s">
        <v>50</v>
      </c>
      <c r="B68" s="13" t="s">
        <v>8</v>
      </c>
      <c r="C68" s="13">
        <f>SIN(C62*3.14/180)</f>
        <v>0.4997701026431024</v>
      </c>
      <c r="D68" s="13"/>
      <c r="E68" s="13"/>
      <c r="F68" s="13"/>
    </row>
    <row r="69" spans="1:6" ht="15.75" x14ac:dyDescent="0.25">
      <c r="A69" s="13"/>
      <c r="B69" s="13"/>
      <c r="C69" s="13"/>
      <c r="D69" s="13"/>
      <c r="E69" s="13"/>
      <c r="F69" s="13"/>
    </row>
    <row r="70" spans="1:6" ht="15.75" x14ac:dyDescent="0.25">
      <c r="A70" s="13" t="s">
        <v>48</v>
      </c>
      <c r="B70" s="13" t="s">
        <v>8</v>
      </c>
      <c r="C70" s="13">
        <f>(C65/(SQRT(C66)+SQRT(C67*C68)))^2</f>
        <v>0.29748961761533776</v>
      </c>
      <c r="D70" s="13"/>
      <c r="E70" s="13"/>
      <c r="F70" s="13"/>
    </row>
    <row r="71" spans="1:6" ht="15.75" x14ac:dyDescent="0.25">
      <c r="A71" s="13" t="s">
        <v>49</v>
      </c>
      <c r="B71" s="13" t="s">
        <v>8</v>
      </c>
      <c r="C71" s="13">
        <f>(C65/(SQRT(C66)-SQRT(C67*C68)))^2</f>
        <v>6.0971907721631071</v>
      </c>
      <c r="D71" s="13"/>
      <c r="E71" s="13"/>
      <c r="F71" s="13"/>
    </row>
    <row r="72" spans="1:6" ht="15.75" x14ac:dyDescent="0.25">
      <c r="A72" s="13" t="s">
        <v>51</v>
      </c>
      <c r="B72" s="13" t="s">
        <v>8</v>
      </c>
      <c r="C72" s="13">
        <f>SQRT(2*C64*B9/(B7*(C71-C70)*B25))</f>
        <v>1.2362849439645081</v>
      </c>
      <c r="D72" s="13"/>
      <c r="E72" s="13"/>
      <c r="F72" s="13"/>
    </row>
    <row r="73" spans="1:6" ht="15.75" x14ac:dyDescent="0.25">
      <c r="A73" s="13"/>
      <c r="B73" s="13"/>
      <c r="C73" s="13"/>
      <c r="D73" s="13"/>
      <c r="E73" s="13"/>
      <c r="F73" s="13"/>
    </row>
    <row r="74" spans="1:6" ht="15.75" x14ac:dyDescent="0.25">
      <c r="A74" s="13" t="s">
        <v>53</v>
      </c>
      <c r="B74" s="13" t="s">
        <v>8</v>
      </c>
      <c r="C74" s="13">
        <f>B9*C72</f>
        <v>494.51397758580322</v>
      </c>
      <c r="D74" s="13" t="s">
        <v>164</v>
      </c>
      <c r="E74" s="13"/>
      <c r="F74" s="13"/>
    </row>
    <row r="75" spans="1:6" ht="15.75" x14ac:dyDescent="0.25">
      <c r="A75" s="13" t="s">
        <v>54</v>
      </c>
      <c r="B75" s="13" t="s">
        <v>8</v>
      </c>
      <c r="C75" s="36">
        <f>3.14*(B25*B25-B16*B16)/4</f>
        <v>26.69</v>
      </c>
      <c r="D75" s="36"/>
      <c r="E75" s="13" t="s">
        <v>26</v>
      </c>
      <c r="F75" s="13"/>
    </row>
    <row r="76" spans="1:6" ht="15.75" x14ac:dyDescent="0.25">
      <c r="A76" s="13" t="s">
        <v>55</v>
      </c>
      <c r="B76" s="13" t="s">
        <v>8</v>
      </c>
      <c r="C76" s="36">
        <f>3.14/64*(B25^4-B16^4)</f>
        <v>244.3803125</v>
      </c>
      <c r="D76" s="36"/>
      <c r="E76" s="13" t="s">
        <v>56</v>
      </c>
      <c r="F76" s="13"/>
    </row>
    <row r="77" spans="1:6" ht="15.75" x14ac:dyDescent="0.25">
      <c r="A77" s="13" t="s">
        <v>57</v>
      </c>
      <c r="B77" s="13"/>
      <c r="C77" s="13"/>
      <c r="D77" s="13"/>
      <c r="E77" s="13"/>
      <c r="F77" s="13"/>
    </row>
    <row r="78" spans="1:6" ht="15.75" x14ac:dyDescent="0.25">
      <c r="A78" s="13"/>
      <c r="B78" s="18">
        <f>B8/C75+(C74/C76*B25*0.5)</f>
        <v>758.95615115694955</v>
      </c>
      <c r="C78" s="13" t="s">
        <v>163</v>
      </c>
      <c r="D78" s="13"/>
      <c r="E78" s="13"/>
      <c r="F78" s="13"/>
    </row>
    <row r="79" spans="1:6" ht="15.75" x14ac:dyDescent="0.25">
      <c r="A79" s="13"/>
      <c r="B79" s="13">
        <f>B78/1000</f>
        <v>0.75895615115694959</v>
      </c>
      <c r="C79" s="15" t="s">
        <v>58</v>
      </c>
      <c r="D79" s="13">
        <f>0.7*SQRT(B10)</f>
        <v>3.8340579025361627</v>
      </c>
      <c r="E79" s="13"/>
      <c r="F79" s="13"/>
    </row>
    <row r="80" spans="1:6" ht="15.75" x14ac:dyDescent="0.25">
      <c r="A80" s="13"/>
      <c r="B80" s="22" t="str">
        <f>IF(B79&lt;D79,"SAFE","NOT SAFE INCREASE DIAMETER OF WELL")</f>
        <v>SAFE</v>
      </c>
      <c r="C80" s="13"/>
      <c r="D80" s="13"/>
      <c r="E80" s="13"/>
      <c r="F80" s="13"/>
    </row>
    <row r="81" spans="1:6" ht="15.75" x14ac:dyDescent="0.25">
      <c r="A81" s="13"/>
      <c r="B81" s="13"/>
      <c r="C81" s="13"/>
      <c r="D81" s="13"/>
      <c r="E81" s="13"/>
      <c r="F81" s="13"/>
    </row>
    <row r="82" spans="1:6" ht="15.75" x14ac:dyDescent="0.25">
      <c r="A82" s="16" t="s">
        <v>63</v>
      </c>
      <c r="B82" s="13"/>
      <c r="C82" s="13"/>
      <c r="D82" s="13"/>
      <c r="E82" s="13"/>
      <c r="F82" s="13"/>
    </row>
    <row r="83" spans="1:6" ht="15.75" x14ac:dyDescent="0.25">
      <c r="A83" s="13" t="s">
        <v>157</v>
      </c>
      <c r="B83" s="13" t="s">
        <v>8</v>
      </c>
      <c r="C83" s="14">
        <v>1200</v>
      </c>
      <c r="D83" s="13" t="s">
        <v>29</v>
      </c>
      <c r="E83" s="13"/>
      <c r="F83" s="13"/>
    </row>
    <row r="84" spans="1:6" ht="15.75" x14ac:dyDescent="0.25">
      <c r="A84" s="13" t="s">
        <v>158</v>
      </c>
      <c r="B84" s="13" t="s">
        <v>8</v>
      </c>
      <c r="C84" s="13">
        <f>28</f>
        <v>28</v>
      </c>
      <c r="D84" s="13" t="s">
        <v>29</v>
      </c>
      <c r="E84" s="13"/>
      <c r="F84" s="13"/>
    </row>
    <row r="85" spans="1:6" ht="15.75" x14ac:dyDescent="0.25">
      <c r="A85" s="13" t="s">
        <v>159</v>
      </c>
      <c r="B85" s="13" t="s">
        <v>8</v>
      </c>
      <c r="C85" s="23">
        <f>C83-50-0.5*C84</f>
        <v>1136</v>
      </c>
      <c r="D85" s="13" t="s">
        <v>29</v>
      </c>
      <c r="E85" s="13"/>
      <c r="F85" s="13"/>
    </row>
    <row r="86" spans="1:6" ht="15.75" x14ac:dyDescent="0.25">
      <c r="A86" s="13" t="s">
        <v>160</v>
      </c>
      <c r="B86" s="13"/>
      <c r="C86" s="13"/>
      <c r="D86" s="13"/>
      <c r="E86" s="13"/>
      <c r="F86" s="13"/>
    </row>
    <row r="87" spans="1:6" ht="15.75" x14ac:dyDescent="0.25">
      <c r="A87" s="13" t="s">
        <v>64</v>
      </c>
      <c r="B87" s="13" t="s">
        <v>8</v>
      </c>
      <c r="C87" s="14">
        <v>7325</v>
      </c>
      <c r="D87" s="13" t="s">
        <v>141</v>
      </c>
      <c r="E87" s="13"/>
      <c r="F87" s="13"/>
    </row>
    <row r="88" spans="1:6" ht="15.75" x14ac:dyDescent="0.25">
      <c r="A88" s="13" t="s">
        <v>65</v>
      </c>
      <c r="B88" s="13" t="s">
        <v>8</v>
      </c>
      <c r="C88" s="14">
        <v>8768</v>
      </c>
      <c r="D88" s="13" t="s">
        <v>164</v>
      </c>
      <c r="E88" s="13"/>
      <c r="F88" s="13"/>
    </row>
    <row r="89" spans="1:6" ht="15.75" x14ac:dyDescent="0.25">
      <c r="A89" s="13" t="s">
        <v>66</v>
      </c>
      <c r="B89" s="13" t="s">
        <v>8</v>
      </c>
      <c r="C89" s="14">
        <v>1309</v>
      </c>
      <c r="D89" s="13" t="s">
        <v>164</v>
      </c>
      <c r="E89" s="13"/>
      <c r="F89" s="13"/>
    </row>
    <row r="90" spans="1:6" ht="15.75" x14ac:dyDescent="0.25">
      <c r="A90" s="13"/>
      <c r="B90" s="13"/>
      <c r="C90" s="13"/>
      <c r="D90" s="13"/>
      <c r="E90" s="13"/>
      <c r="F90" s="13"/>
    </row>
    <row r="91" spans="1:6" ht="15.75" x14ac:dyDescent="0.25">
      <c r="A91" s="13" t="s">
        <v>69</v>
      </c>
      <c r="B91" s="13"/>
      <c r="C91" s="13"/>
      <c r="D91" s="13"/>
      <c r="E91" s="13"/>
      <c r="F91" s="13"/>
    </row>
    <row r="92" spans="1:6" ht="15.75" x14ac:dyDescent="0.25">
      <c r="A92" s="13" t="s">
        <v>67</v>
      </c>
      <c r="B92" s="13" t="s">
        <v>8</v>
      </c>
      <c r="C92" s="13">
        <f>D4*1000</f>
        <v>5000</v>
      </c>
      <c r="D92" s="13" t="s">
        <v>29</v>
      </c>
      <c r="E92" s="13"/>
      <c r="F92" s="13"/>
    </row>
    <row r="93" spans="1:6" ht="15.75" x14ac:dyDescent="0.25">
      <c r="A93" s="13" t="s">
        <v>68</v>
      </c>
      <c r="B93" s="13" t="s">
        <v>8</v>
      </c>
      <c r="C93" s="13">
        <f>B4*1000</f>
        <v>7000</v>
      </c>
      <c r="D93" s="13" t="s">
        <v>29</v>
      </c>
      <c r="E93" s="13"/>
      <c r="F93" s="13"/>
    </row>
    <row r="94" spans="1:6" ht="15.75" x14ac:dyDescent="0.25">
      <c r="A94" s="13" t="s">
        <v>70</v>
      </c>
      <c r="B94" s="13"/>
      <c r="C94" s="13"/>
      <c r="D94" s="13"/>
      <c r="E94" s="13"/>
      <c r="F94" s="13"/>
    </row>
    <row r="95" spans="1:6" ht="15.75" x14ac:dyDescent="0.25">
      <c r="A95" s="13" t="s">
        <v>67</v>
      </c>
      <c r="B95" s="13" t="s">
        <v>8</v>
      </c>
      <c r="C95" s="13">
        <f>C92+2*C85</f>
        <v>7272</v>
      </c>
      <c r="D95" s="13" t="s">
        <v>29</v>
      </c>
      <c r="E95" s="13"/>
      <c r="F95" s="13"/>
    </row>
    <row r="96" spans="1:6" ht="15.75" x14ac:dyDescent="0.25">
      <c r="A96" s="13" t="s">
        <v>68</v>
      </c>
      <c r="B96" s="13" t="s">
        <v>8</v>
      </c>
      <c r="C96" s="13">
        <f>C93+2*C85</f>
        <v>9272</v>
      </c>
      <c r="D96" s="13" t="s">
        <v>29</v>
      </c>
      <c r="E96" s="13"/>
      <c r="F96" s="13"/>
    </row>
    <row r="97" spans="1:6" ht="15.75" x14ac:dyDescent="0.25">
      <c r="A97" s="13"/>
      <c r="B97" s="13"/>
      <c r="C97" s="23" t="str">
        <f>IF(C96&lt;B25*1000,"ok","not ok increase well diameter ")</f>
        <v>ok</v>
      </c>
      <c r="D97" s="13"/>
      <c r="E97" s="13"/>
      <c r="F97" s="13"/>
    </row>
    <row r="98" spans="1:6" ht="15.75" x14ac:dyDescent="0.25">
      <c r="A98" s="13" t="s">
        <v>121</v>
      </c>
      <c r="B98" s="13" t="s">
        <v>8</v>
      </c>
      <c r="C98" s="13">
        <f>SQRT(C95*C96*4/3.14)</f>
        <v>9267.8462033207943</v>
      </c>
      <c r="D98" s="13" t="s">
        <v>29</v>
      </c>
      <c r="E98" s="13"/>
      <c r="F98" s="13"/>
    </row>
    <row r="99" spans="1:6" ht="15.75" x14ac:dyDescent="0.25">
      <c r="A99" s="13" t="s">
        <v>100</v>
      </c>
      <c r="B99" s="13"/>
      <c r="C99" s="13"/>
      <c r="D99" s="13"/>
      <c r="E99" s="13"/>
      <c r="F99" s="13"/>
    </row>
    <row r="100" spans="1:6" ht="15.75" x14ac:dyDescent="0.25">
      <c r="A100" s="13" t="s">
        <v>101</v>
      </c>
      <c r="B100" s="13" t="s">
        <v>8</v>
      </c>
      <c r="C100" s="13">
        <v>1</v>
      </c>
      <c r="D100" s="13"/>
      <c r="E100" s="13"/>
      <c r="F100" s="13"/>
    </row>
    <row r="101" spans="1:6" ht="15.75" x14ac:dyDescent="0.25">
      <c r="A101" s="13" t="s">
        <v>102</v>
      </c>
      <c r="B101" s="13" t="s">
        <v>8</v>
      </c>
      <c r="C101" s="13">
        <v>2</v>
      </c>
      <c r="D101" s="13"/>
      <c r="E101" s="13"/>
      <c r="F101" s="13"/>
    </row>
    <row r="102" spans="1:6" ht="15.75" x14ac:dyDescent="0.25">
      <c r="A102" s="15" t="s">
        <v>100</v>
      </c>
      <c r="B102" s="13">
        <v>2</v>
      </c>
      <c r="C102" s="13"/>
      <c r="D102" s="13"/>
      <c r="E102" s="13"/>
      <c r="F102" s="13"/>
    </row>
    <row r="103" spans="1:6" ht="15.75" x14ac:dyDescent="0.25">
      <c r="A103" s="13"/>
      <c r="B103" s="13"/>
      <c r="C103" s="13"/>
      <c r="D103" s="13"/>
      <c r="E103" s="13"/>
      <c r="F103" s="13"/>
    </row>
    <row r="104" spans="1:6" ht="15.75" x14ac:dyDescent="0.25">
      <c r="A104" s="13"/>
      <c r="B104" s="13"/>
      <c r="C104" s="13" t="s">
        <v>103</v>
      </c>
      <c r="D104" s="13" t="s">
        <v>104</v>
      </c>
      <c r="E104" s="13"/>
      <c r="F104" s="13"/>
    </row>
    <row r="105" spans="1:6" ht="15.75" x14ac:dyDescent="0.25">
      <c r="A105" s="13" t="s">
        <v>105</v>
      </c>
      <c r="B105" s="13" t="s">
        <v>8</v>
      </c>
      <c r="C105" s="13">
        <f>IF(B102=1,C87/(4*3.14)*(1+(1+0.15)*LN(B25/(0.001*C98))),C87/(4*3.14)*((1+0.15)*LN(B25/(0.001*C98))))</f>
        <v>16.593168845798466</v>
      </c>
      <c r="D105" s="13">
        <f>IF(B102=1,C87/(4*3.14)*(1+(1+0.15)*LN(B25/(0.001*C98))),C87/(4*3.14)*((1+0.15)*LN(B25/(0.001*C98))))</f>
        <v>16.593168845798466</v>
      </c>
      <c r="E105" s="26">
        <f>IF(B102=2,C87/(4*3.14)*(1+(1+0.15)*LN(B25/8)),C87/(4*3.14)*((1+0.15)*LN(B25/8)))</f>
        <v>698.45729313582365</v>
      </c>
      <c r="F105" s="13">
        <f>IF(B102=2,C87/(4*3.14)*(1+(1+0.15)*LN(B25/8)),C87/(4*3.14)*((1+0.15)*LN(B25/8)))</f>
        <v>698.45729313582365</v>
      </c>
    </row>
    <row r="106" spans="1:6" ht="15.75" x14ac:dyDescent="0.25">
      <c r="A106" s="13" t="s">
        <v>106</v>
      </c>
      <c r="B106" s="24" t="s">
        <v>8</v>
      </c>
      <c r="C106" s="13">
        <f>IF(B102=1,0,C87/(4*3.14)*((8/(2*B25))^2*(1-0.15)-(1+0.15)*LN(1)-1))</f>
        <v>-495.31666284383437</v>
      </c>
      <c r="D106" s="13">
        <f>IF(B102=1,-C87/(4*3.14)*((1-0.15)-(1+0.15)*LN(1)),C87/(4*3.14)*((8/(2*B25))^2*0.15*(1-0.15)-(1+0.15)*LN(1)-0.15))</f>
        <v>-74.297499426575158</v>
      </c>
      <c r="E106" s="26">
        <f>IF(B102=2,0,C87/(4*3.14)*((8/(2*B25))^2*(1-0.15)-(1+0.15)*LN(1)-1))</f>
        <v>0</v>
      </c>
      <c r="F106" s="13">
        <f>IF(B102=2,-C87/(4*3.14)*((1-0.15)-(1+0.15)*LN(1)),C87/(4*3.14)*((8/(2*B25))^2*0.15*(1-0.15)-(1+0.15)*LN(1)-0.15))</f>
        <v>-495.72054140127386</v>
      </c>
    </row>
    <row r="107" spans="1:6" ht="15.75" x14ac:dyDescent="0.25">
      <c r="A107" s="13" t="s">
        <v>107</v>
      </c>
      <c r="B107" s="13" t="s">
        <v>8</v>
      </c>
      <c r="C107" s="13">
        <f>IF(B102=1,C83/1000*25*B25*B25/64*(3+0.15),C83/1000*25*B25*B25/64*(1+0.15))</f>
        <v>48.650390624999993</v>
      </c>
      <c r="D107" s="13">
        <f>IF(B102=1,C83/1000*25*B25*B25/64*(3+0.15),C83/1000*25*B25*B25/64*(1+0.15))</f>
        <v>48.650390624999993</v>
      </c>
      <c r="E107" s="26">
        <f>IF(B102=2,C83/1000*25*B25*B25/64*(3+0.15),C83/1000*25*B25*B25/64*(1+0.15))</f>
        <v>133.259765625</v>
      </c>
      <c r="F107" s="13">
        <f>IF(B102=2,C83/1000*25*B25*B25/64*(3+0.15),C83/1000*25*B25*B25/64*(1+0.15))</f>
        <v>133.259765625</v>
      </c>
    </row>
    <row r="108" spans="1:6" ht="15.75" x14ac:dyDescent="0.25">
      <c r="A108" s="13" t="s">
        <v>108</v>
      </c>
      <c r="B108" s="13" t="s">
        <v>8</v>
      </c>
      <c r="C108" s="13">
        <f>IF(B102=1,0,C83/1000*25*B25*B25/64*((1+0.15)-(3+0.15)*1))</f>
        <v>-84.609375</v>
      </c>
      <c r="D108" s="13">
        <f>IF(B102=1,25*C83/1000*B25*B25/64*((3+0.15)-(1+3*0.15)*1),25*C83/1000*B25*B25/64*((1+0.15)-(1+3*0.15)*1))</f>
        <v>-12.691406250000002</v>
      </c>
      <c r="E108" s="26">
        <f>IF(B102=2,0,C83/1000*25*B25*B25/64*((1+0.15)-(3+0.15)*1))</f>
        <v>0</v>
      </c>
      <c r="F108" s="13">
        <f>IF(B102=2,25*C83/1000*B25*B25/64*((3+0.15)-(1+3*0.15)*1),25*C83/1000*B25*B25/64*((1+0.15)-(1+3*0.15)*1))</f>
        <v>71.91796875</v>
      </c>
    </row>
    <row r="109" spans="1:6" ht="15.75" x14ac:dyDescent="0.25">
      <c r="A109" s="13" t="s">
        <v>109</v>
      </c>
      <c r="B109" s="13" t="s">
        <v>8</v>
      </c>
      <c r="C109" s="13">
        <f>5*SQRT(C88*C88+C89*C89)/B4/8</f>
        <v>791.53336742518252</v>
      </c>
      <c r="D109" s="13" t="s">
        <v>111</v>
      </c>
      <c r="E109" s="13"/>
      <c r="F109" s="13"/>
    </row>
    <row r="110" spans="1:6" ht="15.75" x14ac:dyDescent="0.25">
      <c r="A110" s="13" t="s">
        <v>110</v>
      </c>
      <c r="B110" s="13" t="s">
        <v>8</v>
      </c>
      <c r="C110" s="13">
        <f>SQRT(C88*C88+C89*C89)/B4</f>
        <v>1266.453387880292</v>
      </c>
      <c r="D110" s="13" t="s">
        <v>111</v>
      </c>
      <c r="E110" s="13"/>
      <c r="F110" s="13"/>
    </row>
    <row r="111" spans="1:6" ht="15.75" x14ac:dyDescent="0.25">
      <c r="A111" s="13"/>
      <c r="B111" s="13"/>
      <c r="C111" s="13"/>
      <c r="D111" s="13"/>
      <c r="E111" s="13"/>
      <c r="F111" s="13"/>
    </row>
    <row r="112" spans="1:6" ht="15.75" x14ac:dyDescent="0.25">
      <c r="A112" s="15" t="s">
        <v>112</v>
      </c>
      <c r="B112" s="13" t="s">
        <v>8</v>
      </c>
      <c r="C112" s="13">
        <f>0.5*(C105+E105)</f>
        <v>357.52523099081105</v>
      </c>
      <c r="D112" s="13"/>
      <c r="E112" s="13"/>
      <c r="F112" s="13"/>
    </row>
    <row r="113" spans="1:6" ht="15.75" x14ac:dyDescent="0.25">
      <c r="A113" s="15" t="s">
        <v>113</v>
      </c>
      <c r="B113" s="13"/>
      <c r="C113" s="13">
        <f>0.5*(C107+E107)</f>
        <v>90.955078125</v>
      </c>
      <c r="D113" s="13"/>
      <c r="E113" s="13"/>
      <c r="F113" s="13"/>
    </row>
    <row r="114" spans="1:6" ht="15.75" x14ac:dyDescent="0.25">
      <c r="A114" s="15" t="s">
        <v>114</v>
      </c>
      <c r="B114" s="13"/>
      <c r="C114" s="13">
        <f>C109</f>
        <v>791.53336742518252</v>
      </c>
      <c r="D114" s="13"/>
      <c r="E114" s="13"/>
      <c r="F114" s="13"/>
    </row>
    <row r="115" spans="1:6" ht="15.75" x14ac:dyDescent="0.25">
      <c r="A115" s="15" t="s">
        <v>119</v>
      </c>
      <c r="B115" s="13"/>
      <c r="C115" s="18">
        <f>SUM(C112:C114)</f>
        <v>1240.0136765409936</v>
      </c>
      <c r="D115" s="13" t="s">
        <v>164</v>
      </c>
      <c r="E115" s="13" t="s">
        <v>120</v>
      </c>
      <c r="F115" s="18">
        <f>-C114</f>
        <v>-791.53336742518252</v>
      </c>
    </row>
    <row r="116" spans="1:6" ht="15.75" x14ac:dyDescent="0.25">
      <c r="A116" s="15" t="s">
        <v>115</v>
      </c>
      <c r="B116" s="13" t="s">
        <v>8</v>
      </c>
      <c r="C116" s="13">
        <f>0.5*(E106+C106)</f>
        <v>-247.65833142191718</v>
      </c>
      <c r="D116" s="13"/>
      <c r="E116" s="13"/>
      <c r="F116" s="13"/>
    </row>
    <row r="117" spans="1:6" ht="15.75" x14ac:dyDescent="0.25">
      <c r="A117" s="15" t="s">
        <v>116</v>
      </c>
      <c r="B117" s="13"/>
      <c r="C117" s="13">
        <f>0.5*(E108+C108)</f>
        <v>-42.3046875</v>
      </c>
      <c r="D117" s="13"/>
      <c r="E117" s="13"/>
      <c r="F117" s="13"/>
    </row>
    <row r="118" spans="1:6" ht="15.75" x14ac:dyDescent="0.25">
      <c r="A118" s="15" t="s">
        <v>117</v>
      </c>
      <c r="B118" s="13"/>
      <c r="C118" s="13">
        <f>-C110</f>
        <v>-1266.453387880292</v>
      </c>
      <c r="D118" s="13"/>
      <c r="E118" s="13"/>
      <c r="F118" s="13"/>
    </row>
    <row r="119" spans="1:6" ht="15.75" x14ac:dyDescent="0.25">
      <c r="A119" s="15" t="s">
        <v>118</v>
      </c>
      <c r="B119" s="13"/>
      <c r="C119" s="18">
        <f>SUM(C116:C118)</f>
        <v>-1556.4164068022092</v>
      </c>
      <c r="D119" s="13" t="s">
        <v>164</v>
      </c>
      <c r="E119" s="13"/>
      <c r="F119" s="13"/>
    </row>
    <row r="120" spans="1:6" ht="15.75" x14ac:dyDescent="0.25">
      <c r="A120" s="13"/>
      <c r="B120" s="13"/>
      <c r="C120" s="13"/>
      <c r="D120" s="13"/>
      <c r="E120" s="13"/>
      <c r="F120" s="13"/>
    </row>
    <row r="121" spans="1:6" ht="15.75" x14ac:dyDescent="0.25">
      <c r="A121" s="15" t="s">
        <v>122</v>
      </c>
      <c r="B121" s="13" t="s">
        <v>8</v>
      </c>
      <c r="C121" s="13">
        <f>1.5*(C115*10^6)/(1000*C85*C85)</f>
        <v>1.441322185277204</v>
      </c>
      <c r="D121" s="13"/>
      <c r="E121" s="13"/>
      <c r="F121" s="13"/>
    </row>
    <row r="122" spans="1:6" ht="15.75" x14ac:dyDescent="0.25">
      <c r="A122" s="15" t="s">
        <v>123</v>
      </c>
      <c r="B122" s="13" t="s">
        <v>8</v>
      </c>
      <c r="C122" s="13">
        <f>IF(F115&gt;C119,-1.5*(C119*10^6)/(1000*C85*C85),-1.5*(F115*10^6)/(1000*C85*C85))</f>
        <v>1.8090909310864303</v>
      </c>
      <c r="D122" s="13"/>
      <c r="E122" s="13"/>
      <c r="F122" s="13"/>
    </row>
    <row r="123" spans="1:6" ht="15.75" x14ac:dyDescent="0.25">
      <c r="A123" s="13"/>
      <c r="B123" s="13"/>
      <c r="C123" s="13"/>
      <c r="D123" s="13"/>
      <c r="E123" s="13"/>
      <c r="F123" s="13"/>
    </row>
    <row r="124" spans="1:6" ht="15.75" x14ac:dyDescent="0.25">
      <c r="A124" s="25"/>
      <c r="B124" s="13" t="s">
        <v>8</v>
      </c>
      <c r="C124" s="13">
        <f>50*(1-SQRT(1-4.6*C121/B10))/(C27/B10)</f>
        <v>0.35217534864608935</v>
      </c>
      <c r="D124" s="13" t="s">
        <v>33</v>
      </c>
      <c r="E124" s="13"/>
      <c r="F124" s="13"/>
    </row>
    <row r="125" spans="1:6" ht="15.75" x14ac:dyDescent="0.25">
      <c r="A125" s="13"/>
      <c r="B125" s="13" t="s">
        <v>8</v>
      </c>
      <c r="C125" s="13">
        <f>50*(1-SQRT(1-4.6*C122/B10))/(C27/B10)</f>
        <v>0.44981284704421615</v>
      </c>
      <c r="D125" s="13" t="s">
        <v>33</v>
      </c>
      <c r="E125" s="13"/>
      <c r="F125" s="13"/>
    </row>
    <row r="126" spans="1:6" ht="15.75" x14ac:dyDescent="0.25">
      <c r="A126" s="13"/>
      <c r="B126" s="13"/>
      <c r="C126" s="13"/>
      <c r="D126" s="13"/>
      <c r="E126" s="13"/>
      <c r="F126" s="13"/>
    </row>
    <row r="127" spans="1:6" ht="15.75" x14ac:dyDescent="0.25">
      <c r="A127" s="13"/>
      <c r="B127" s="13"/>
      <c r="C127" s="13"/>
      <c r="D127" s="13"/>
      <c r="E127" s="13"/>
      <c r="F127" s="13"/>
    </row>
    <row r="128" spans="1:6" ht="15.75" x14ac:dyDescent="0.25">
      <c r="A128" s="13" t="s">
        <v>125</v>
      </c>
      <c r="B128" s="13" t="s">
        <v>8</v>
      </c>
      <c r="C128" s="13">
        <f>C124*1000*C85/100</f>
        <v>4000.7119606195752</v>
      </c>
      <c r="D128" s="13" t="s">
        <v>27</v>
      </c>
      <c r="E128" s="13"/>
      <c r="F128" s="13"/>
    </row>
    <row r="129" spans="1:6" ht="15.75" x14ac:dyDescent="0.25">
      <c r="A129" s="13" t="s">
        <v>126</v>
      </c>
      <c r="B129" s="13" t="s">
        <v>8</v>
      </c>
      <c r="C129" s="13">
        <f>C125*1000*C85/100</f>
        <v>5109.8739424222949</v>
      </c>
      <c r="D129" s="13" t="s">
        <v>27</v>
      </c>
      <c r="E129" s="13"/>
      <c r="F129" s="13"/>
    </row>
    <row r="130" spans="1:6" ht="15.75" x14ac:dyDescent="0.25">
      <c r="A130" s="13" t="s">
        <v>129</v>
      </c>
      <c r="B130" s="13" t="s">
        <v>8</v>
      </c>
      <c r="C130" s="14">
        <v>25</v>
      </c>
      <c r="D130" s="13" t="s">
        <v>29</v>
      </c>
      <c r="E130" s="13"/>
      <c r="F130" s="13"/>
    </row>
    <row r="131" spans="1:6" ht="15.75" x14ac:dyDescent="0.25">
      <c r="A131" s="13" t="s">
        <v>130</v>
      </c>
      <c r="B131" s="13" t="s">
        <v>8</v>
      </c>
      <c r="C131" s="14">
        <v>25</v>
      </c>
      <c r="D131" s="13" t="s">
        <v>29</v>
      </c>
      <c r="E131" s="13"/>
      <c r="F131" s="13"/>
    </row>
    <row r="132" spans="1:6" ht="15.75" x14ac:dyDescent="0.25">
      <c r="A132" s="13" t="s">
        <v>128</v>
      </c>
      <c r="B132" s="13" t="s">
        <v>8</v>
      </c>
      <c r="C132" s="13">
        <f>ROUNDUP(3.14*C130*C130/(4*C128)*1000,0)</f>
        <v>123</v>
      </c>
      <c r="D132" s="13" t="s">
        <v>29</v>
      </c>
      <c r="E132" s="13"/>
      <c r="F132" s="13"/>
    </row>
    <row r="133" spans="1:6" ht="15.75" x14ac:dyDescent="0.25">
      <c r="A133" s="13" t="s">
        <v>127</v>
      </c>
      <c r="B133" s="13" t="s">
        <v>8</v>
      </c>
      <c r="C133" s="13">
        <f>ROUNDUP(3.14*C130*C130/(4*C129)*1000,0)</f>
        <v>97</v>
      </c>
      <c r="D133" s="13" t="s">
        <v>29</v>
      </c>
      <c r="E133" s="13"/>
      <c r="F133" s="13"/>
    </row>
    <row r="134" spans="1:6" ht="15.75" x14ac:dyDescent="0.25">
      <c r="A134" s="33" t="str">
        <f>"provide   "&amp;C130&amp;"   dia bars @ "&amp; C132&amp; "   c/c at bottom"</f>
        <v>provide   25   dia bars @ 123   c/c at bottom</v>
      </c>
      <c r="B134" s="33"/>
      <c r="C134" s="33"/>
      <c r="D134" s="33"/>
      <c r="E134" s="13"/>
      <c r="F134" s="13"/>
    </row>
    <row r="135" spans="1:6" ht="15.75" x14ac:dyDescent="0.25">
      <c r="A135" s="33" t="str">
        <f>"provide   "&amp;C131&amp;"   dia bars @ "&amp; C133&amp; "   c/c at top"</f>
        <v>provide   25   dia bars @ 97   c/c at top</v>
      </c>
      <c r="B135" s="33"/>
      <c r="C135" s="33"/>
      <c r="D135" s="33"/>
      <c r="E135" s="13"/>
      <c r="F135" s="13"/>
    </row>
    <row r="136" spans="1:6" ht="15.75" x14ac:dyDescent="0.25">
      <c r="A136" s="13"/>
      <c r="B136" s="13"/>
      <c r="C136" s="13"/>
      <c r="D136" s="13"/>
      <c r="E136" s="13"/>
      <c r="F136" s="13"/>
    </row>
    <row r="137" spans="1:6" x14ac:dyDescent="0.25">
      <c r="A137" s="27" t="s">
        <v>142</v>
      </c>
    </row>
    <row r="140" spans="1:6" x14ac:dyDescent="0.25">
      <c r="E140" s="5" t="str">
        <f>D24*1000+75 &amp; " mm"</f>
        <v>1075 mm</v>
      </c>
    </row>
    <row r="142" spans="1:6" ht="15.75" x14ac:dyDescent="0.25">
      <c r="A142" s="13" t="s">
        <v>143</v>
      </c>
      <c r="B142" s="13">
        <f>(3.14*0.25*(B25*B25-B16*B16)*(B12-C83/1000)*25)/(3.14*0.5*(B25+B16))</f>
        <v>351.25</v>
      </c>
      <c r="C142" s="13"/>
      <c r="D142" s="13"/>
    </row>
    <row r="143" spans="1:6" ht="15.75" x14ac:dyDescent="0.25">
      <c r="A143" s="13" t="s">
        <v>145</v>
      </c>
      <c r="B143" s="13">
        <f>0.5*(B25+B16)</f>
        <v>8.5</v>
      </c>
      <c r="C143" s="13"/>
      <c r="D143" s="13"/>
      <c r="F143" t="str">
        <f>B148 &amp; "m"</f>
        <v>2.75m</v>
      </c>
    </row>
    <row r="144" spans="1:6" ht="15.75" x14ac:dyDescent="0.25">
      <c r="A144" s="13" t="s">
        <v>146</v>
      </c>
      <c r="B144" s="30">
        <v>60</v>
      </c>
      <c r="C144" s="13">
        <f>B144/180*3.14</f>
        <v>1.0466666666666666</v>
      </c>
      <c r="D144" s="13"/>
    </row>
    <row r="145" spans="1:5" ht="15.75" x14ac:dyDescent="0.25">
      <c r="A145" s="13" t="s">
        <v>144</v>
      </c>
      <c r="B145" s="30">
        <v>0.3</v>
      </c>
      <c r="C145" s="13"/>
      <c r="D145" s="13"/>
    </row>
    <row r="146" spans="1:5" ht="15.75" x14ac:dyDescent="0.25">
      <c r="A146" s="13" t="s">
        <v>147</v>
      </c>
      <c r="B146" s="13">
        <f>0.75*B142*((SIN(C144)-B145*COS(C144))/(B145*SIN(C144)+COS(C144)))*B143</f>
        <v>2107.9454120171372</v>
      </c>
      <c r="C146" s="13" t="s">
        <v>141</v>
      </c>
      <c r="D146" s="13"/>
    </row>
    <row r="147" spans="1:5" ht="15.75" x14ac:dyDescent="0.25">
      <c r="A147" s="13" t="s">
        <v>148</v>
      </c>
      <c r="B147" s="30">
        <v>25</v>
      </c>
      <c r="C147" s="13"/>
      <c r="D147" s="13"/>
      <c r="E147" s="28" t="str">
        <f>250&amp;" mm"</f>
        <v>250 mm</v>
      </c>
    </row>
    <row r="148" spans="1:5" ht="15.75" x14ac:dyDescent="0.25">
      <c r="A148" s="13" t="s">
        <v>149</v>
      </c>
      <c r="B148" s="30">
        <f>2.75</f>
        <v>2.75</v>
      </c>
      <c r="C148" s="13" t="s">
        <v>4</v>
      </c>
      <c r="D148" s="13"/>
    </row>
    <row r="149" spans="1:5" ht="15.75" x14ac:dyDescent="0.25">
      <c r="A149" s="13" t="s">
        <v>150</v>
      </c>
      <c r="B149" s="13">
        <f>((250*B148*1000)+((D24*1000+75)*0.5*B148*1000))*3.14*0.5*1000*(B25+B16)/(10^9)</f>
        <v>57.800531249999999</v>
      </c>
      <c r="C149" s="13" t="s">
        <v>151</v>
      </c>
      <c r="D149" s="13"/>
    </row>
    <row r="150" spans="1:5" ht="15.75" x14ac:dyDescent="0.25">
      <c r="A150" s="13" t="s">
        <v>152</v>
      </c>
      <c r="B150" s="13">
        <f>ROUNDUP(B146*1000/(500*3.14*B147*B147*0.25),0)</f>
        <v>9</v>
      </c>
      <c r="C150" s="13"/>
      <c r="D150" s="13"/>
    </row>
    <row r="151" spans="1:5" ht="15.75" x14ac:dyDescent="0.25">
      <c r="A151" s="13" t="s">
        <v>153</v>
      </c>
      <c r="B151" s="13">
        <f>ROUND(72*B149/(7850*3.14*B147*B147*0.25*10^(-6)*3.14*0.5*(B25+B16)),0)</f>
        <v>40</v>
      </c>
      <c r="C151" s="13"/>
      <c r="D151" s="13"/>
    </row>
    <row r="152" spans="1:5" ht="15.75" x14ac:dyDescent="0.25">
      <c r="A152" s="13"/>
      <c r="B152" s="13"/>
      <c r="C152" s="13"/>
      <c r="D152" s="13"/>
    </row>
    <row r="153" spans="1:5" ht="15.75" x14ac:dyDescent="0.25">
      <c r="A153" s="31" t="str">
        <f>"Provide  "&amp;IF(B151&lt;B150,B150,B151)&amp;"  no's of "&amp;B147&amp;" mm dia bars along perimeter"</f>
        <v>Provide  40  no's of 25 mm dia bars along perimeter</v>
      </c>
      <c r="B153" s="31"/>
      <c r="C153" s="31"/>
      <c r="D153" s="31"/>
    </row>
  </sheetData>
  <mergeCells count="12">
    <mergeCell ref="A153:D153"/>
    <mergeCell ref="A1:C1"/>
    <mergeCell ref="A134:D134"/>
    <mergeCell ref="A135:D135"/>
    <mergeCell ref="N2:Q2"/>
    <mergeCell ref="A35:B35"/>
    <mergeCell ref="H2:K2"/>
    <mergeCell ref="C75:D75"/>
    <mergeCell ref="C76:D76"/>
    <mergeCell ref="A44:B44"/>
    <mergeCell ref="A60:F60"/>
    <mergeCell ref="J25:L25"/>
  </mergeCells>
  <dataValidations count="1">
    <dataValidation type="list" allowBlank="1" showInputMessage="1" showErrorMessage="1" sqref="B102">
      <formula1>$C$100:$C$101</formula1>
    </dataValidation>
  </dataValidations>
  <hyperlinks>
    <hyperlink ref="A128" r:id="rId1"/>
    <hyperlink ref="A129" r:id="rId2"/>
  </hyperlinks>
  <pageMargins left="1.5" right="0.8" top="1" bottom="1.25" header="0.31496062992125984" footer="0.31496062992125984"/>
  <pageSetup scale="71" orientation="portrait" horizontalDpi="90" verticalDpi="90" r:id="rId3"/>
  <colBreaks count="2" manualBreakCount="2">
    <brk id="6" max="168" man="1"/>
    <brk id="14" max="1048575" man="1"/>
  </colBreaks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6"/>
  <sheetViews>
    <sheetView view="pageBreakPreview" zoomScaleNormal="100" zoomScaleSheetLayoutView="100" workbookViewId="0">
      <selection activeCell="O10" sqref="O10"/>
    </sheetView>
  </sheetViews>
  <sheetFormatPr defaultRowHeight="15" x14ac:dyDescent="0.25"/>
  <cols>
    <col min="9" max="9" width="14.5703125" customWidth="1"/>
    <col min="18" max="18" width="30" customWidth="1"/>
  </cols>
  <sheetData>
    <row r="1" spans="1:17" ht="18.75" x14ac:dyDescent="0.3">
      <c r="A1" s="32" t="s">
        <v>132</v>
      </c>
      <c r="B1" s="32"/>
      <c r="C1" s="32"/>
      <c r="D1" s="32"/>
      <c r="E1" s="32"/>
      <c r="F1" s="32"/>
      <c r="G1" s="32"/>
      <c r="J1" s="39" t="s">
        <v>93</v>
      </c>
      <c r="K1" s="39"/>
      <c r="L1" s="39"/>
      <c r="M1" s="39"/>
      <c r="N1" s="39"/>
      <c r="O1" s="39"/>
      <c r="P1" s="39"/>
    </row>
    <row r="2" spans="1:17" ht="18.75" x14ac:dyDescent="0.3">
      <c r="A2" s="39" t="s">
        <v>72</v>
      </c>
      <c r="B2" s="39"/>
      <c r="C2" s="39"/>
      <c r="D2" s="39"/>
      <c r="E2" s="39"/>
      <c r="F2" s="39"/>
      <c r="G2" s="11"/>
      <c r="J2" s="11"/>
      <c r="K2" s="11"/>
      <c r="L2" s="11"/>
      <c r="M2" s="11"/>
      <c r="N2" s="11"/>
      <c r="O2" s="11"/>
      <c r="P2" s="11"/>
    </row>
    <row r="3" spans="1:17" x14ac:dyDescent="0.25">
      <c r="J3" s="6" t="s">
        <v>71</v>
      </c>
      <c r="K3" s="6" t="s">
        <v>8</v>
      </c>
      <c r="L3" s="7">
        <f>C8</f>
        <v>1000</v>
      </c>
      <c r="M3" t="s">
        <v>164</v>
      </c>
      <c r="N3" t="s">
        <v>98</v>
      </c>
    </row>
    <row r="4" spans="1:17" x14ac:dyDescent="0.25">
      <c r="A4" s="34" t="s">
        <v>92</v>
      </c>
      <c r="B4" s="34"/>
      <c r="C4" s="34"/>
      <c r="D4" s="34"/>
      <c r="E4" s="34"/>
      <c r="J4" s="4"/>
      <c r="K4" s="6" t="s">
        <v>8</v>
      </c>
      <c r="L4" s="7">
        <v>700</v>
      </c>
      <c r="M4" t="s">
        <v>163</v>
      </c>
    </row>
    <row r="5" spans="1:17" x14ac:dyDescent="0.25">
      <c r="J5" s="6" t="s">
        <v>73</v>
      </c>
      <c r="K5" s="6" t="s">
        <v>8</v>
      </c>
      <c r="L5" s="7">
        <v>10000</v>
      </c>
      <c r="M5" t="s">
        <v>141</v>
      </c>
      <c r="N5" t="s">
        <v>97</v>
      </c>
    </row>
    <row r="6" spans="1:17" x14ac:dyDescent="0.25">
      <c r="A6" s="6" t="s">
        <v>73</v>
      </c>
      <c r="B6" s="6" t="s">
        <v>8</v>
      </c>
      <c r="C6" s="7">
        <v>10000</v>
      </c>
      <c r="D6" t="s">
        <v>141</v>
      </c>
      <c r="E6" s="40" t="s">
        <v>75</v>
      </c>
      <c r="F6" s="40"/>
      <c r="G6" s="40"/>
      <c r="H6" s="40"/>
      <c r="I6" s="40"/>
    </row>
    <row r="7" spans="1:17" x14ac:dyDescent="0.25">
      <c r="A7" s="6" t="s">
        <v>74</v>
      </c>
      <c r="B7" s="6" t="s">
        <v>8</v>
      </c>
      <c r="C7" s="7">
        <v>400</v>
      </c>
      <c r="D7" t="s">
        <v>141</v>
      </c>
      <c r="E7" s="40" t="s">
        <v>76</v>
      </c>
      <c r="F7" s="40"/>
      <c r="G7" s="40"/>
      <c r="H7" s="40"/>
      <c r="I7" s="40"/>
      <c r="L7" t="s">
        <v>8</v>
      </c>
      <c r="M7">
        <f>C6/Sheet1!C75</f>
        <v>374.6721618583739</v>
      </c>
      <c r="N7" s="43" t="str">
        <f>IF(M7&gt;L4/2,"NOT OK","OK")</f>
        <v>NOT OK</v>
      </c>
      <c r="O7" s="44"/>
      <c r="P7" s="44"/>
    </row>
    <row r="8" spans="1:17" x14ac:dyDescent="0.25">
      <c r="A8" s="6" t="s">
        <v>71</v>
      </c>
      <c r="B8" s="6" t="s">
        <v>8</v>
      </c>
      <c r="C8" s="7">
        <v>1000</v>
      </c>
      <c r="D8" t="s">
        <v>166</v>
      </c>
      <c r="E8" s="40" t="s">
        <v>77</v>
      </c>
      <c r="F8" s="40"/>
      <c r="G8" s="40"/>
      <c r="H8" s="40"/>
      <c r="I8" s="40"/>
    </row>
    <row r="9" spans="1:17" x14ac:dyDescent="0.25">
      <c r="A9" s="6"/>
      <c r="B9" s="8" t="s">
        <v>8</v>
      </c>
      <c r="C9" s="7">
        <v>400</v>
      </c>
      <c r="D9" t="s">
        <v>163</v>
      </c>
      <c r="E9" s="34" t="s">
        <v>99</v>
      </c>
      <c r="F9" s="34"/>
      <c r="G9" s="34"/>
      <c r="H9" s="34"/>
      <c r="I9" s="34"/>
      <c r="J9" s="2" t="s">
        <v>94</v>
      </c>
      <c r="K9" s="2"/>
      <c r="L9" s="2"/>
    </row>
    <row r="10" spans="1:17" x14ac:dyDescent="0.25">
      <c r="A10" s="6" t="s">
        <v>78</v>
      </c>
      <c r="B10" s="8" t="s">
        <v>8</v>
      </c>
      <c r="C10" s="9">
        <f>0.9*Sheet1!B25</f>
        <v>8.5500000000000007</v>
      </c>
      <c r="D10" t="s">
        <v>4</v>
      </c>
      <c r="E10" s="34" t="s">
        <v>131</v>
      </c>
      <c r="F10" s="34"/>
      <c r="G10" s="34"/>
      <c r="H10" s="34"/>
      <c r="I10" s="34"/>
    </row>
    <row r="11" spans="1:17" x14ac:dyDescent="0.25">
      <c r="A11" s="6" t="s">
        <v>79</v>
      </c>
      <c r="B11" s="8" t="s">
        <v>8</v>
      </c>
      <c r="C11" s="9">
        <f>Sheet1!D11</f>
        <v>8</v>
      </c>
      <c r="D11" t="s">
        <v>4</v>
      </c>
      <c r="E11" s="34" t="s">
        <v>80</v>
      </c>
      <c r="F11" s="34"/>
      <c r="G11" s="34"/>
      <c r="H11" s="34"/>
      <c r="I11" s="34"/>
      <c r="K11" s="6" t="s">
        <v>8</v>
      </c>
    </row>
    <row r="12" spans="1:17" x14ac:dyDescent="0.25">
      <c r="B12" s="8" t="s">
        <v>8</v>
      </c>
      <c r="K12" s="6" t="s">
        <v>8</v>
      </c>
      <c r="L12" s="9">
        <f>0.6*L5*Sheet1!B25*E16</f>
        <v>32888.794822393771</v>
      </c>
    </row>
    <row r="13" spans="1:17" ht="18" x14ac:dyDescent="0.35">
      <c r="A13" s="6" t="s">
        <v>81</v>
      </c>
      <c r="B13" s="8" t="s">
        <v>8</v>
      </c>
      <c r="C13">
        <f>Sheet1!C76</f>
        <v>244.3803125</v>
      </c>
      <c r="D13" t="s">
        <v>167</v>
      </c>
    </row>
    <row r="14" spans="1:17" ht="18" x14ac:dyDescent="0.35">
      <c r="A14" s="6" t="s">
        <v>82</v>
      </c>
      <c r="B14" s="8" t="s">
        <v>8</v>
      </c>
      <c r="C14">
        <f>C10*C11^3/12</f>
        <v>364.8</v>
      </c>
      <c r="D14" t="s">
        <v>167</v>
      </c>
      <c r="J14" s="2" t="s">
        <v>95</v>
      </c>
      <c r="K14" s="2"/>
      <c r="L14" s="2"/>
      <c r="M14" s="2"/>
      <c r="N14" s="2"/>
      <c r="O14" s="2"/>
      <c r="P14" s="2"/>
      <c r="Q14" s="2"/>
    </row>
    <row r="15" spans="1:17" ht="18" x14ac:dyDescent="0.35">
      <c r="A15" s="6" t="s">
        <v>4</v>
      </c>
      <c r="B15" s="8" t="s">
        <v>8</v>
      </c>
      <c r="C15" t="s">
        <v>83</v>
      </c>
      <c r="D15" t="s">
        <v>8</v>
      </c>
      <c r="E15" s="6">
        <v>1</v>
      </c>
    </row>
    <row r="16" spans="1:17" x14ac:dyDescent="0.25">
      <c r="A16" s="10" t="s">
        <v>87</v>
      </c>
      <c r="B16" s="8" t="s">
        <v>8</v>
      </c>
      <c r="C16" s="3">
        <f>TAN(3.14/180*Sheet1!C63)</f>
        <v>0.36376984280336827</v>
      </c>
      <c r="D16" s="6" t="s">
        <v>88</v>
      </c>
      <c r="E16" s="3">
        <f>TAN(3.14/180*Sheet1!C62)</f>
        <v>0.57699640039287314</v>
      </c>
      <c r="K16" s="6" t="s">
        <v>8</v>
      </c>
    </row>
    <row r="17" spans="1:17" x14ac:dyDescent="0.25">
      <c r="A17" s="10" t="s">
        <v>84</v>
      </c>
      <c r="B17" s="8" t="s">
        <v>8</v>
      </c>
      <c r="C17" s="3">
        <f>Sheet1!B25/(3.14*Sheet1!D11)</f>
        <v>0.37818471337579618</v>
      </c>
      <c r="K17" s="6" t="s">
        <v>8</v>
      </c>
      <c r="L17" s="9">
        <f>0.1*C11^3*(Sheet1!C71-Sheet1!C70)*0.9*Sheet1!B25</f>
        <v>2538.8771774148317</v>
      </c>
    </row>
    <row r="18" spans="1:17" x14ac:dyDescent="0.25">
      <c r="A18" s="10" t="s">
        <v>86</v>
      </c>
      <c r="B18" s="8" t="s">
        <v>8</v>
      </c>
      <c r="C18" s="3">
        <f>C13+E15*C14*(1+2*C16*C17)</f>
        <v>709.55298504931147</v>
      </c>
    </row>
    <row r="19" spans="1:17" x14ac:dyDescent="0.25">
      <c r="A19" s="10" t="s">
        <v>85</v>
      </c>
      <c r="B19" s="8" t="s">
        <v>8</v>
      </c>
      <c r="C19" s="3">
        <f>0.5*C11*C18/(E15*C14)</f>
        <v>7.7801862395757837</v>
      </c>
      <c r="J19" s="34" t="s">
        <v>96</v>
      </c>
      <c r="K19" s="34"/>
      <c r="L19" s="34"/>
      <c r="M19" s="34"/>
      <c r="N19" s="34"/>
      <c r="O19" s="34"/>
      <c r="P19" s="34"/>
      <c r="Q19" s="34"/>
    </row>
    <row r="21" spans="1:17" x14ac:dyDescent="0.25">
      <c r="D21" s="34" t="s">
        <v>8</v>
      </c>
      <c r="E21" s="34">
        <f>C8*(1+E16*C16)/C19+E16*C8</f>
        <v>732.50603121823951</v>
      </c>
      <c r="K21" s="6" t="s">
        <v>8</v>
      </c>
    </row>
    <row r="22" spans="1:17" x14ac:dyDescent="0.25">
      <c r="D22" s="34"/>
      <c r="E22" s="34"/>
      <c r="F22" s="41" t="str">
        <f>IF(E21&gt;C7,"OK","NOT OK REVISE GRIP LENGTH")</f>
        <v>OK</v>
      </c>
      <c r="G22" s="41"/>
      <c r="H22" s="41"/>
      <c r="K22" s="6" t="s">
        <v>8</v>
      </c>
      <c r="L22" s="3">
        <f>0.11*Sheet1!B7*(Sheet1!C71-Sheet1!C70)*Sheet1!B25^2*Sheet1!D11^2*SIN(3.14/180*Sheet1!C63)</f>
        <v>11967.117754350877</v>
      </c>
    </row>
    <row r="23" spans="1:17" x14ac:dyDescent="0.25">
      <c r="J23" s="34"/>
      <c r="K23" s="34"/>
      <c r="L23" s="34"/>
      <c r="M23" s="34"/>
      <c r="N23" s="34"/>
      <c r="O23" s="34"/>
      <c r="P23" s="34"/>
      <c r="Q23" s="34"/>
    </row>
    <row r="24" spans="1:17" x14ac:dyDescent="0.25">
      <c r="D24" s="34" t="s">
        <v>8</v>
      </c>
      <c r="E24" s="34">
        <f>C8*(1+E16*C16)/C19-E16*C8</f>
        <v>-421.48676956750688</v>
      </c>
    </row>
    <row r="25" spans="1:17" x14ac:dyDescent="0.25">
      <c r="D25" s="34"/>
      <c r="E25" s="34"/>
      <c r="F25" s="42" t="str">
        <f>IF(E24&lt;C7,"OK","NOT OK REVISE GRIP LENGTH")</f>
        <v>OK</v>
      </c>
      <c r="G25" s="42"/>
      <c r="H25" s="42"/>
    </row>
    <row r="26" spans="1:17" x14ac:dyDescent="0.25">
      <c r="L26">
        <f>0.7*(L22+L17+L12)</f>
        <v>33176.352827911636</v>
      </c>
      <c r="M26" s="5" t="str">
        <f>IF(L26&gt;L5,"OK","NOT OK")</f>
        <v>OK</v>
      </c>
    </row>
    <row r="27" spans="1:17" x14ac:dyDescent="0.25">
      <c r="B27" s="38" t="s">
        <v>89</v>
      </c>
      <c r="C27" s="38"/>
      <c r="D27" s="38"/>
      <c r="E27" s="38"/>
      <c r="F27" s="38"/>
    </row>
    <row r="30" spans="1:17" x14ac:dyDescent="0.25">
      <c r="D30" s="41" t="str">
        <f>IF(E15*C8/C18&gt;Sheet1!B7*(Sheet1!C71-Sheet1!C70),"NOT OK REVISE GRIP LENGTH","OK")</f>
        <v>OK</v>
      </c>
      <c r="E30" s="41"/>
      <c r="F30" s="41"/>
    </row>
    <row r="35" spans="1:6" x14ac:dyDescent="0.25">
      <c r="A35" s="10" t="s">
        <v>90</v>
      </c>
      <c r="B35" s="6" t="s">
        <v>8</v>
      </c>
      <c r="C35" s="3">
        <f>(C6-C16*C8/C19)/Sheet1!C75+(C8*C10)/(2*C18)</f>
        <v>378.94526736434324</v>
      </c>
      <c r="D35" s="41" t="str">
        <f>IF(C35&lt;C9,"OK","NOT OK REVISE GRIP LENGTH OR DIA OF WELL")</f>
        <v>OK</v>
      </c>
      <c r="E35" s="41"/>
      <c r="F35" s="41"/>
    </row>
    <row r="36" spans="1:6" x14ac:dyDescent="0.25">
      <c r="A36" s="10" t="s">
        <v>91</v>
      </c>
      <c r="B36" s="6" t="s">
        <v>8</v>
      </c>
      <c r="C36" s="3">
        <f>(C6-C16*C8/C19)/Sheet1!C75-(C8*C10)/(2*C18)</f>
        <v>366.89542728170892</v>
      </c>
      <c r="D36" s="41" t="str">
        <f>IF(C36&lt;0," NOT OK REVISE GRIP LENGTH OR DIA OF WELL","OK")</f>
        <v>OK</v>
      </c>
      <c r="E36" s="41"/>
      <c r="F36" s="41"/>
    </row>
  </sheetData>
  <mergeCells count="23">
    <mergeCell ref="D36:F36"/>
    <mergeCell ref="D30:F30"/>
    <mergeCell ref="F25:H25"/>
    <mergeCell ref="F22:H22"/>
    <mergeCell ref="N7:P7"/>
    <mergeCell ref="E9:I9"/>
    <mergeCell ref="D35:F35"/>
    <mergeCell ref="B27:F27"/>
    <mergeCell ref="E10:I10"/>
    <mergeCell ref="E11:I11"/>
    <mergeCell ref="D21:D22"/>
    <mergeCell ref="E21:E22"/>
    <mergeCell ref="D24:D25"/>
    <mergeCell ref="E7:I7"/>
    <mergeCell ref="E8:I8"/>
    <mergeCell ref="E24:E25"/>
    <mergeCell ref="J1:P1"/>
    <mergeCell ref="J19:Q19"/>
    <mergeCell ref="J23:Q23"/>
    <mergeCell ref="A1:G1"/>
    <mergeCell ref="A4:E4"/>
    <mergeCell ref="E6:I6"/>
    <mergeCell ref="A2:F2"/>
  </mergeCells>
  <phoneticPr fontId="4" type="noConversion"/>
  <hyperlinks>
    <hyperlink ref="E8" r:id="rId1"/>
  </hyperlinks>
  <pageMargins left="1.5" right="0.8" top="1" bottom="1.25" header="0.31496062992125984" footer="0.31496062992125984"/>
  <pageSetup scale="76" orientation="portrait" r:id="rId2"/>
  <colBreaks count="1" manualBreakCount="1">
    <brk id="9" max="35" man="1"/>
  </colBreak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stability analysis</vt:lpstr>
      <vt:lpstr>Sheet1!Print_Area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DELL</cp:lastModifiedBy>
  <cp:lastPrinted>2021-05-31T08:09:27Z</cp:lastPrinted>
  <dcterms:created xsi:type="dcterms:W3CDTF">2020-10-20T11:30:49Z</dcterms:created>
  <dcterms:modified xsi:type="dcterms:W3CDTF">2021-06-01T12:19:40Z</dcterms:modified>
</cp:coreProperties>
</file>