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BudgWS" sheetId="1" r:id="rId4"/>
    <sheet state="visible" name="capBudgWS-INITIAL INVESTMENT" sheetId="2" r:id="rId5"/>
    <sheet state="visible" name="BOOK VALUE &amp; DEPRECLATION" sheetId="3" r:id="rId6"/>
    <sheet state="visible" name="INVESTMENT MEASURES" sheetId="4" r:id="rId7"/>
    <sheet state="visible" name="OPERATING CASHFLOWS" sheetId="5" r:id="rId8"/>
    <sheet state="visible" name="SALVAGE VALUE" sheetId="6" r:id="rId9"/>
    <sheet state="visible" name="INITIAL INVESTMENT" sheetId="7" r:id="rId10"/>
    <sheet state="visible" name="GROWTH RATES" sheetId="8" r:id="rId11"/>
    <sheet state="visible" name="WORKING CAPITAL" sheetId="9" r:id="rId12"/>
    <sheet state="visible" name="CASHFLOW DETAILS" sheetId="10" r:id="rId13"/>
    <sheet state="visible" name="DISCOUNT RATE" sheetId="11" r:id="rId14"/>
  </sheets>
  <definedNames/>
  <calcPr/>
</workbook>
</file>

<file path=xl/sharedStrings.xml><?xml version="1.0" encoding="utf-8"?>
<sst xmlns="http://schemas.openxmlformats.org/spreadsheetml/2006/main" count="138" uniqueCount="68">
  <si>
    <t>Equity Analysis of a Project</t>
  </si>
  <si>
    <t>INPUT SHEET: USER ENTERS ALL BOLD NUMBERS</t>
  </si>
  <si>
    <t>INITIAL INVESTMENT</t>
  </si>
  <si>
    <t>CASHFLOW DETAILS</t>
  </si>
  <si>
    <t>DISCOUNT RATE</t>
  </si>
  <si>
    <t>Initial Investment=</t>
  </si>
  <si>
    <t>Revenues in  year 1=</t>
  </si>
  <si>
    <t>Approach(1:Direct;2:CAPM)=</t>
  </si>
  <si>
    <t>Opportunity cost (if any)=</t>
  </si>
  <si>
    <t>Var. Expenses as % of Rev=</t>
  </si>
  <si>
    <t>1. Discount rate =</t>
  </si>
  <si>
    <t>Lifetime of the investment</t>
  </si>
  <si>
    <t>Fixed expenses in year 1=</t>
  </si>
  <si>
    <t>2a. Beta</t>
  </si>
  <si>
    <t>Salvage Value at end of project=</t>
  </si>
  <si>
    <t>Tax rate on net income=</t>
  </si>
  <si>
    <t xml:space="preserve"> b. Riskless rate=</t>
  </si>
  <si>
    <t>Deprec. method(1:St.line;2:DDB)=</t>
  </si>
  <si>
    <t>If you do not have the breakdown of fixed and variable</t>
  </si>
  <si>
    <t xml:space="preserve"> c. Market risk premium =</t>
  </si>
  <si>
    <t>Tax Credit (if any )=</t>
  </si>
  <si>
    <t>expenses, input the entire expense as a % of revenues.</t>
  </si>
  <si>
    <t xml:space="preserve"> d. Debt Ratio =</t>
  </si>
  <si>
    <t>Other invest.(non-depreciable)=</t>
  </si>
  <si>
    <t xml:space="preserve"> e. Cost of Borrowing =</t>
  </si>
  <si>
    <t>Discount rate used=</t>
  </si>
  <si>
    <t>WORKING CAPITAL</t>
  </si>
  <si>
    <t>Initial Investment in Work. Cap=</t>
  </si>
  <si>
    <t>Working Capital as % of Rev=</t>
  </si>
  <si>
    <t>Salvageable fraction at end=</t>
  </si>
  <si>
    <t>GROWTH RATES</t>
  </si>
  <si>
    <t>Revenues</t>
  </si>
  <si>
    <t>Do not enter</t>
  </si>
  <si>
    <t>Fixed Expenses</t>
  </si>
  <si>
    <t>Default: The fixed expense growth rate is set equal to the growth rate in revenues by default.</t>
  </si>
  <si>
    <t>YEAR</t>
  </si>
  <si>
    <t>Investment</t>
  </si>
  <si>
    <t xml:space="preserve"> - Tax Credit</t>
  </si>
  <si>
    <t>Net Investment</t>
  </si>
  <si>
    <t xml:space="preserve"> + Working Cap</t>
  </si>
  <si>
    <t xml:space="preserve"> + Opp. Cost</t>
  </si>
  <si>
    <t xml:space="preserve"> + Other invest.</t>
  </si>
  <si>
    <t>Initial Investment</t>
  </si>
  <si>
    <t>SALVAGE VALUE</t>
  </si>
  <si>
    <t>Equipment</t>
  </si>
  <si>
    <t>Working Capital</t>
  </si>
  <si>
    <t>OPERATING CASHFLOWS</t>
  </si>
  <si>
    <t>Lifetime Index</t>
  </si>
  <si>
    <t xml:space="preserve"> -Var. Expenses</t>
  </si>
  <si>
    <t xml:space="preserve"> - Fixed Expenses</t>
  </si>
  <si>
    <t>EBITDA</t>
  </si>
  <si>
    <t xml:space="preserve"> - Depreciation</t>
  </si>
  <si>
    <t>EBIT</t>
  </si>
  <si>
    <t xml:space="preserve"> -Tax</t>
  </si>
  <si>
    <t>EBIT(1-t)</t>
  </si>
  <si>
    <t xml:space="preserve"> + Depreciation</t>
  </si>
  <si>
    <t xml:space="preserve"> - ∂ Work. Cap</t>
  </si>
  <si>
    <t>NATCF</t>
  </si>
  <si>
    <t>Discount Factor</t>
  </si>
  <si>
    <t>Discounted CF</t>
  </si>
  <si>
    <t>INVESTMENT MEASURES</t>
  </si>
  <si>
    <t>NPV =</t>
  </si>
  <si>
    <t>IRR =</t>
  </si>
  <si>
    <t>ROC =</t>
  </si>
  <si>
    <t>BOOK VALUE &amp; DEPRECIATION</t>
  </si>
  <si>
    <t>Book Value (beginning)</t>
  </si>
  <si>
    <t>Depreciation</t>
  </si>
  <si>
    <t>BV(ending)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</si>
</sst>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_);\(&quot;$&quot;#,##0\)"/>
  </numFmts>
  <fonts count="14">
    <font>
      <sz val="10.0"/>
      <color rgb="FF000000"/>
      <name val="Arimo"/>
      <scheme val="minor"/>
    </font>
    <font>
      <b/>
      <i/>
      <sz val="18.0"/>
      <color theme="1"/>
      <name val="Arimo"/>
    </font>
    <font>
      <b/>
      <i/>
      <sz val="10.0"/>
      <color theme="1"/>
      <name val="Arimo"/>
    </font>
    <font>
      <sz val="10.0"/>
      <color theme="1"/>
      <name val="Times"/>
    </font>
    <font>
      <b/>
      <sz val="10.0"/>
      <color theme="1"/>
      <name val="Times"/>
    </font>
    <font>
      <sz val="10.0"/>
      <color theme="1"/>
      <name val="Arimo"/>
    </font>
    <font>
      <i/>
      <sz val="10.0"/>
      <color theme="1"/>
      <name val="Times"/>
    </font>
    <font>
      <i/>
      <color theme="1"/>
      <name val="Times"/>
    </font>
    <font>
      <color theme="1"/>
      <name val="Arimo"/>
    </font>
    <font>
      <b/>
      <color theme="1"/>
      <name val="Times"/>
    </font>
    <font>
      <color theme="1"/>
      <name val="Times"/>
    </font>
    <font>
      <i/>
      <sz val="10.0"/>
      <color theme="1"/>
      <name val="Arimo"/>
    </font>
    <font/>
    <font>
      <sz val="12.0"/>
      <color theme="1"/>
      <name val="Times"/>
    </font>
  </fonts>
  <fills count="2">
    <fill>
      <patternFill patternType="none"/>
    </fill>
    <fill>
      <patternFill patternType="lightGray"/>
    </fill>
  </fills>
  <borders count="27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double">
        <color rgb="FF000000"/>
      </left>
      <top style="double">
        <color rgb="FF000000"/>
      </top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bottom style="double">
        <color rgb="FF000000"/>
      </bottom>
    </border>
    <border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1" fillId="0" fontId="6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shrinkToFit="0" vertical="bottom" wrapText="0"/>
    </xf>
    <xf borderId="3" fillId="0" fontId="3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1" fillId="0" fontId="7" numFmtId="0" xfId="0" applyAlignment="1" applyBorder="1" applyFont="1">
      <alignment vertical="bottom"/>
    </xf>
    <xf borderId="2" fillId="0" fontId="8" numFmtId="0" xfId="0" applyAlignment="1" applyBorder="1" applyFont="1">
      <alignment vertical="bottom"/>
    </xf>
    <xf borderId="3" fillId="0" fontId="8" numFmtId="0" xfId="0" applyAlignment="1" applyBorder="1" applyFont="1">
      <alignment vertical="bottom"/>
    </xf>
    <xf borderId="4" fillId="0" fontId="3" numFmtId="0" xfId="0" applyAlignment="1" applyBorder="1" applyFont="1">
      <alignment shrinkToFit="0" vertical="bottom" wrapText="0"/>
    </xf>
    <xf borderId="5" fillId="0" fontId="4" numFmtId="164" xfId="0" applyAlignment="1" applyBorder="1" applyFont="1" applyNumberForma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4" fillId="0" fontId="7" numFmtId="0" xfId="0" applyAlignment="1" applyBorder="1" applyFont="1">
      <alignment vertical="bottom"/>
    </xf>
    <xf borderId="0" fillId="0" fontId="8" numFmtId="0" xfId="0" applyAlignment="1" applyFont="1">
      <alignment vertical="bottom"/>
    </xf>
    <xf borderId="5" fillId="0" fontId="9" numFmtId="0" xfId="0" applyAlignment="1" applyBorder="1" applyFont="1">
      <alignment horizontal="center" vertical="bottom"/>
    </xf>
    <xf borderId="5" fillId="0" fontId="4" numFmtId="9" xfId="0" applyAlignment="1" applyBorder="1" applyFont="1" applyNumberFormat="1">
      <alignment horizontal="center" shrinkToFit="0" vertical="bottom" wrapText="0"/>
    </xf>
    <xf borderId="0" fillId="0" fontId="4" numFmtId="9" xfId="0" applyAlignment="1" applyFont="1" applyNumberFormat="1">
      <alignment horizontal="center" shrinkToFit="0" vertical="bottom" wrapText="0"/>
    </xf>
    <xf borderId="4" fillId="0" fontId="10" numFmtId="0" xfId="0" applyAlignment="1" applyBorder="1" applyFont="1">
      <alignment vertical="bottom"/>
    </xf>
    <xf borderId="5" fillId="0" fontId="9" numFmtId="9" xfId="0" applyAlignment="1" applyBorder="1" applyFont="1" applyNumberFormat="1">
      <alignment horizontal="center" vertical="bottom"/>
    </xf>
    <xf borderId="5" fillId="0" fontId="4" numFmtId="0" xfId="0" applyAlignment="1" applyBorder="1" applyFont="1">
      <alignment horizontal="center" shrinkToFit="0" vertical="bottom" wrapText="0"/>
    </xf>
    <xf borderId="6" fillId="0" fontId="3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shrinkToFit="0" vertical="bottom" wrapText="0"/>
    </xf>
    <xf borderId="8" fillId="0" fontId="4" numFmtId="9" xfId="0" applyAlignment="1" applyBorder="1" applyFont="1" applyNumberFormat="1">
      <alignment horizontal="center" shrinkToFit="0" vertical="bottom" wrapText="0"/>
    </xf>
    <xf borderId="0" fillId="0" fontId="4" numFmtId="10" xfId="0" applyAlignment="1" applyFont="1" applyNumberFormat="1">
      <alignment horizontal="center" shrinkToFit="0" vertical="bottom" wrapText="0"/>
    </xf>
    <xf borderId="5" fillId="0" fontId="9" numFmtId="10" xfId="0" applyAlignment="1" applyBorder="1" applyFont="1" applyNumberFormat="1">
      <alignment horizontal="center" vertical="bottom"/>
    </xf>
    <xf borderId="0" fillId="0" fontId="3" numFmtId="0" xfId="0" applyAlignment="1" applyFont="1">
      <alignment horizontal="center" shrinkToFit="0" vertical="bottom" wrapText="0"/>
    </xf>
    <xf borderId="0" fillId="0" fontId="3" numFmtId="10" xfId="0" applyAlignment="1" applyFont="1" applyNumberFormat="1">
      <alignment horizontal="center" shrinkToFit="0" vertical="bottom" wrapText="0"/>
    </xf>
    <xf borderId="5" fillId="0" fontId="10" numFmtId="10" xfId="0" applyAlignment="1" applyBorder="1" applyFont="1" applyNumberFormat="1">
      <alignment horizontal="center" vertical="bottom"/>
    </xf>
    <xf borderId="8" fillId="0" fontId="4" numFmtId="0" xfId="0" applyAlignment="1" applyBorder="1" applyFont="1">
      <alignment horizontal="center" shrinkToFit="0" vertical="bottom" wrapText="0"/>
    </xf>
    <xf borderId="6" fillId="0" fontId="10" numFmtId="0" xfId="0" applyAlignment="1" applyBorder="1" applyFont="1">
      <alignment vertical="bottom"/>
    </xf>
    <xf borderId="7" fillId="0" fontId="8" numFmtId="0" xfId="0" applyAlignment="1" applyBorder="1" applyFont="1">
      <alignment vertical="bottom"/>
    </xf>
    <xf borderId="8" fillId="0" fontId="10" numFmtId="10" xfId="0" applyAlignment="1" applyBorder="1" applyFont="1" applyNumberFormat="1">
      <alignment horizontal="center" vertical="bottom"/>
    </xf>
    <xf borderId="3" fillId="0" fontId="3" numFmtId="0" xfId="0" applyAlignment="1" applyBorder="1" applyFont="1">
      <alignment horizontal="center" shrinkToFit="0" vertical="bottom" wrapText="0"/>
    </xf>
    <xf borderId="4" fillId="0" fontId="6" numFmtId="0" xfId="0" applyAlignment="1" applyBorder="1" applyFont="1">
      <alignment shrinkToFit="0" vertical="bottom" wrapText="0"/>
    </xf>
    <xf borderId="5" fillId="0" fontId="6" numFmtId="0" xfId="0" applyAlignment="1" applyBorder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0" fillId="0" fontId="4" numFmtId="10" xfId="0" applyAlignment="1" applyFont="1" applyNumberFormat="1">
      <alignment shrinkToFit="0" vertical="bottom" wrapText="0"/>
    </xf>
    <xf borderId="5" fillId="0" fontId="4" numFmtId="10" xfId="0" applyAlignment="1" applyBorder="1" applyFont="1" applyNumberFormat="1">
      <alignment shrinkToFit="0" vertical="bottom" wrapText="0"/>
    </xf>
    <xf borderId="8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5" fillId="0" fontId="3" numFmtId="164" xfId="0" applyAlignment="1" applyBorder="1" applyFont="1" applyNumberFormat="1">
      <alignment shrinkToFit="0" vertical="bottom" wrapText="0"/>
    </xf>
    <xf borderId="8" fillId="0" fontId="3" numFmtId="164" xfId="0" applyAlignment="1" applyBorder="1" applyFont="1" applyNumberFormat="1">
      <alignment shrinkToFit="0" vertical="bottom" wrapText="0"/>
    </xf>
    <xf borderId="0" fillId="0" fontId="3" numFmtId="164" xfId="0" applyAlignment="1" applyFont="1" applyNumberFormat="1">
      <alignment shrinkToFit="0" vertical="bottom" wrapText="0"/>
    </xf>
    <xf borderId="7" fillId="0" fontId="3" numFmtId="164" xfId="0" applyAlignment="1" applyBorder="1" applyFont="1" applyNumberFormat="1">
      <alignment shrinkToFit="0" vertical="bottom" wrapText="0"/>
    </xf>
    <xf borderId="5" fillId="0" fontId="3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horizontal="center" readingOrder="0" shrinkToFit="0" vertical="bottom" wrapText="0"/>
    </xf>
    <xf borderId="3" fillId="0" fontId="12" numFmtId="0" xfId="0" applyBorder="1" applyFont="1"/>
    <xf borderId="4" fillId="0" fontId="4" numFmtId="0" xfId="0" applyAlignment="1" applyBorder="1" applyFont="1">
      <alignment shrinkToFit="0" vertical="bottom" wrapText="0"/>
    </xf>
    <xf borderId="5" fillId="0" fontId="4" numFmtId="164" xfId="0" applyAlignment="1" applyBorder="1" applyFont="1" applyNumberFormat="1">
      <alignment shrinkToFit="0" vertical="bottom" wrapText="0"/>
    </xf>
    <xf borderId="6" fillId="0" fontId="4" numFmtId="0" xfId="0" applyAlignment="1" applyBorder="1" applyFont="1">
      <alignment shrinkToFit="0" vertical="bottom" wrapText="0"/>
    </xf>
    <xf borderId="8" fillId="0" fontId="4" numFmtId="10" xfId="0" applyAlignment="1" applyBorder="1" applyFont="1" applyNumberFormat="1">
      <alignment shrinkToFit="0" vertical="bottom" wrapText="0"/>
    </xf>
    <xf borderId="0" fillId="0" fontId="13" numFmtId="0" xfId="0" applyAlignment="1" applyFont="1">
      <alignment shrinkToFit="0" vertical="bottom" wrapText="0"/>
    </xf>
    <xf borderId="9" fillId="0" fontId="6" numFmtId="0" xfId="0" applyAlignment="1" applyBorder="1" applyFont="1">
      <alignment shrinkToFit="0" vertical="bottom" wrapText="0"/>
    </xf>
    <xf borderId="10" fillId="0" fontId="3" numFmtId="0" xfId="0" applyAlignment="1" applyBorder="1" applyFont="1">
      <alignment shrinkToFit="0" vertical="bottom" wrapText="0"/>
    </xf>
    <xf borderId="11" fillId="0" fontId="3" numFmtId="0" xfId="0" applyAlignment="1" applyBorder="1" applyFont="1">
      <alignment horizontal="center" shrinkToFit="0" vertical="bottom" wrapText="0"/>
    </xf>
    <xf borderId="12" fillId="0" fontId="3" numFmtId="0" xfId="0" applyAlignment="1" applyBorder="1" applyFont="1">
      <alignment shrinkToFit="0" vertical="bottom" wrapText="0"/>
    </xf>
    <xf borderId="13" fillId="0" fontId="4" numFmtId="164" xfId="0" applyAlignment="1" applyBorder="1" applyFont="1" applyNumberFormat="1">
      <alignment horizontal="center" shrinkToFit="0" vertical="bottom" wrapText="0"/>
    </xf>
    <xf borderId="13" fillId="0" fontId="4" numFmtId="9" xfId="0" applyAlignment="1" applyBorder="1" applyFont="1" applyNumberFormat="1">
      <alignment horizontal="center" shrinkToFit="0" vertical="bottom" wrapText="0"/>
    </xf>
    <xf borderId="14" fillId="0" fontId="3" numFmtId="0" xfId="0" applyAlignment="1" applyBorder="1" applyFont="1">
      <alignment shrinkToFit="0" vertical="bottom" wrapText="0"/>
    </xf>
    <xf borderId="15" fillId="0" fontId="3" numFmtId="0" xfId="0" applyAlignment="1" applyBorder="1" applyFont="1">
      <alignment shrinkToFit="0" vertical="bottom" wrapText="0"/>
    </xf>
    <xf borderId="16" fillId="0" fontId="4" numFmtId="9" xfId="0" applyAlignment="1" applyBorder="1" applyFont="1" applyNumberFormat="1">
      <alignment horizontal="center" shrinkToFit="0" vertical="bottom" wrapText="0"/>
    </xf>
    <xf borderId="11" fillId="0" fontId="3" numFmtId="0" xfId="0" applyAlignment="1" applyBorder="1" applyFont="1">
      <alignment shrinkToFit="0" vertical="bottom" wrapText="0"/>
    </xf>
    <xf borderId="17" fillId="0" fontId="4" numFmtId="164" xfId="0" applyAlignment="1" applyBorder="1" applyFont="1" applyNumberFormat="1">
      <alignment horizontal="center" shrinkToFit="0" vertical="bottom" wrapText="0"/>
    </xf>
    <xf borderId="17" fillId="0" fontId="4" numFmtId="9" xfId="0" applyAlignment="1" applyBorder="1" applyFont="1" applyNumberFormat="1">
      <alignment horizontal="center" shrinkToFit="0" vertical="bottom" wrapText="0"/>
    </xf>
    <xf borderId="17" fillId="0" fontId="4" numFmtId="0" xfId="0" applyAlignment="1" applyBorder="1" applyFont="1">
      <alignment horizontal="center" shrinkToFit="0" vertical="bottom" wrapText="0"/>
    </xf>
    <xf borderId="18" fillId="0" fontId="6" numFmtId="0" xfId="0" applyAlignment="1" applyBorder="1" applyFont="1">
      <alignment shrinkToFit="0" vertical="bottom" wrapText="0"/>
    </xf>
    <xf borderId="19" fillId="0" fontId="3" numFmtId="0" xfId="0" applyAlignment="1" applyBorder="1" applyFont="1">
      <alignment shrinkToFit="0" vertical="bottom" wrapText="0"/>
    </xf>
    <xf borderId="20" fillId="0" fontId="3" numFmtId="0" xfId="0" applyAlignment="1" applyBorder="1" applyFont="1">
      <alignment shrinkToFit="0" vertical="bottom" wrapText="0"/>
    </xf>
    <xf borderId="21" fillId="0" fontId="6" numFmtId="0" xfId="0" applyAlignment="1" applyBorder="1" applyFont="1">
      <alignment shrinkToFit="0" vertical="bottom" wrapText="0"/>
    </xf>
    <xf borderId="22" fillId="0" fontId="4" numFmtId="0" xfId="0" applyAlignment="1" applyBorder="1" applyFont="1">
      <alignment horizontal="center" shrinkToFit="0" vertical="bottom" wrapText="0"/>
    </xf>
    <xf borderId="21" fillId="0" fontId="3" numFmtId="0" xfId="0" applyAlignment="1" applyBorder="1" applyFont="1">
      <alignment shrinkToFit="0" vertical="bottom" wrapText="0"/>
    </xf>
    <xf borderId="22" fillId="0" fontId="4" numFmtId="9" xfId="0" applyAlignment="1" applyBorder="1" applyFont="1" applyNumberFormat="1">
      <alignment horizontal="center" shrinkToFit="0" vertical="bottom" wrapText="0"/>
    </xf>
    <xf borderId="22" fillId="0" fontId="4" numFmtId="10" xfId="0" applyAlignment="1" applyBorder="1" applyFont="1" applyNumberFormat="1">
      <alignment horizontal="center" shrinkToFit="0" vertical="bottom" wrapText="0"/>
    </xf>
    <xf borderId="22" fillId="0" fontId="3" numFmtId="10" xfId="0" applyAlignment="1" applyBorder="1" applyFont="1" applyNumberFormat="1">
      <alignment horizontal="center" shrinkToFit="0" vertical="bottom" wrapText="0"/>
    </xf>
    <xf borderId="23" fillId="0" fontId="3" numFmtId="0" xfId="0" applyAlignment="1" applyBorder="1" applyFont="1">
      <alignment shrinkToFit="0" vertical="bottom" wrapText="0"/>
    </xf>
    <xf borderId="24" fillId="0" fontId="3" numFmtId="0" xfId="0" applyAlignment="1" applyBorder="1" applyFont="1">
      <alignment shrinkToFit="0" vertical="bottom" wrapText="0"/>
    </xf>
    <xf borderId="25" fillId="0" fontId="3" numFmtId="10" xfId="0" applyAlignment="1" applyBorder="1" applyFont="1" applyNumberFormat="1">
      <alignment horizontal="center" shrinkToFit="0" vertical="bottom" wrapText="0"/>
    </xf>
    <xf borderId="26" fillId="0" fontId="3" numFmtId="10" xfId="0" applyAlignment="1" applyBorder="1" applyFont="1" applyNumberForma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mo"/>
        <a:ea typeface="Arimo"/>
        <a:cs typeface="Arimo"/>
      </a:majorFont>
      <a:minorFont>
        <a:latin typeface="Arimo"/>
        <a:ea typeface="Arimo"/>
        <a:cs typeface="Arim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2.71"/>
    <col customWidth="1" min="2" max="2" width="10.0"/>
    <col customWidth="1" min="3" max="3" width="18.29"/>
    <col customWidth="1" min="4" max="7" width="10.0"/>
    <col customWidth="1" min="8" max="8" width="14.14"/>
    <col customWidth="1" min="9" max="26" width="10.0"/>
  </cols>
  <sheetData>
    <row r="1" ht="24.75" customHeight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9.5" customHeight="1">
      <c r="A2" s="3"/>
      <c r="B2" s="3"/>
      <c r="C2" s="3"/>
      <c r="D2" s="3"/>
      <c r="E2" s="4" t="s">
        <v>1</v>
      </c>
      <c r="F2" s="3"/>
      <c r="G2" s="3"/>
      <c r="H2" s="3"/>
      <c r="I2" s="3"/>
      <c r="J2" s="3"/>
      <c r="K2" s="3"/>
      <c r="L2" s="3"/>
      <c r="M2" s="3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9.5" customHeight="1">
      <c r="A3" s="6" t="s">
        <v>2</v>
      </c>
      <c r="B3" s="7"/>
      <c r="C3" s="8"/>
      <c r="D3" s="3"/>
      <c r="E3" s="6" t="s">
        <v>3</v>
      </c>
      <c r="F3" s="7"/>
      <c r="G3" s="8"/>
      <c r="I3" s="9"/>
      <c r="J3" s="3"/>
      <c r="K3" s="3"/>
      <c r="L3" s="10" t="s">
        <v>4</v>
      </c>
      <c r="M3" s="11"/>
      <c r="N3" s="12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9.5" customHeight="1">
      <c r="A4" s="13" t="s">
        <v>5</v>
      </c>
      <c r="B4" s="3"/>
      <c r="C4" s="14">
        <v>50000.0</v>
      </c>
      <c r="D4" s="3"/>
      <c r="E4" s="13" t="s">
        <v>6</v>
      </c>
      <c r="F4" s="3"/>
      <c r="G4" s="14">
        <v>40000.0</v>
      </c>
      <c r="H4" s="3"/>
      <c r="I4" s="9"/>
      <c r="J4" s="3"/>
      <c r="K4" s="15"/>
      <c r="L4" s="16" t="s">
        <v>7</v>
      </c>
      <c r="M4" s="17"/>
      <c r="N4" s="18">
        <v>2.0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9.5" customHeight="1">
      <c r="A5" s="13" t="s">
        <v>8</v>
      </c>
      <c r="B5" s="3"/>
      <c r="C5" s="14">
        <v>7484.0</v>
      </c>
      <c r="D5" s="3"/>
      <c r="E5" s="13" t="s">
        <v>9</v>
      </c>
      <c r="F5" s="3"/>
      <c r="G5" s="19">
        <v>0.5</v>
      </c>
      <c r="H5" s="3"/>
      <c r="I5" s="3"/>
      <c r="J5" s="3"/>
      <c r="K5" s="20"/>
      <c r="L5" s="21" t="s">
        <v>10</v>
      </c>
      <c r="M5" s="17"/>
      <c r="N5" s="22">
        <v>0.1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9.5" customHeight="1">
      <c r="A6" s="13" t="s">
        <v>11</v>
      </c>
      <c r="B6" s="3"/>
      <c r="C6" s="23">
        <v>10.0</v>
      </c>
      <c r="D6" s="3"/>
      <c r="E6" s="13" t="s">
        <v>12</v>
      </c>
      <c r="F6" s="3"/>
      <c r="G6" s="23">
        <v>0.0</v>
      </c>
      <c r="H6" s="3"/>
      <c r="I6" s="3"/>
      <c r="J6" s="3"/>
      <c r="K6" s="15"/>
      <c r="L6" s="21" t="s">
        <v>13</v>
      </c>
      <c r="M6" s="17"/>
      <c r="N6" s="18">
        <v>0.9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9.5" customHeight="1">
      <c r="A7" s="13" t="s">
        <v>14</v>
      </c>
      <c r="B7" s="3"/>
      <c r="C7" s="14">
        <v>10000.0</v>
      </c>
      <c r="D7" s="3"/>
      <c r="E7" s="24" t="s">
        <v>15</v>
      </c>
      <c r="F7" s="25"/>
      <c r="G7" s="26">
        <v>0.4</v>
      </c>
      <c r="H7" s="3"/>
      <c r="I7" s="3"/>
      <c r="J7" s="3"/>
      <c r="K7" s="27"/>
      <c r="L7" s="21" t="s">
        <v>16</v>
      </c>
      <c r="M7" s="17"/>
      <c r="N7" s="28">
        <v>0.08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13" t="s">
        <v>17</v>
      </c>
      <c r="B8" s="3"/>
      <c r="C8" s="23">
        <v>2.0</v>
      </c>
      <c r="D8" s="3"/>
      <c r="E8" s="3" t="s">
        <v>18</v>
      </c>
      <c r="F8" s="3"/>
      <c r="G8" s="29"/>
      <c r="H8" s="3"/>
      <c r="I8" s="3"/>
      <c r="J8" s="3"/>
      <c r="K8" s="27"/>
      <c r="L8" s="21" t="s">
        <v>19</v>
      </c>
      <c r="M8" s="17"/>
      <c r="N8" s="28">
        <v>0.055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13" t="s">
        <v>20</v>
      </c>
      <c r="B9" s="3"/>
      <c r="C9" s="19">
        <v>0.1</v>
      </c>
      <c r="D9" s="3"/>
      <c r="E9" s="3" t="s">
        <v>21</v>
      </c>
      <c r="F9" s="3"/>
      <c r="G9" s="29"/>
      <c r="H9" s="3"/>
      <c r="I9" s="3"/>
      <c r="J9" s="3"/>
      <c r="K9" s="30"/>
      <c r="L9" s="21" t="s">
        <v>22</v>
      </c>
      <c r="M9" s="17"/>
      <c r="N9" s="31">
        <v>0.3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24" t="s">
        <v>23</v>
      </c>
      <c r="B10" s="25"/>
      <c r="C10" s="32">
        <v>0.0</v>
      </c>
      <c r="D10" s="3"/>
      <c r="E10" s="3"/>
      <c r="F10" s="3"/>
      <c r="G10" s="29"/>
      <c r="H10" s="3"/>
      <c r="I10" s="3"/>
      <c r="J10" s="3"/>
      <c r="K10" s="30"/>
      <c r="L10" s="21" t="s">
        <v>24</v>
      </c>
      <c r="M10" s="17"/>
      <c r="N10" s="31">
        <v>0.09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3"/>
      <c r="B11" s="3"/>
      <c r="C11" s="29"/>
      <c r="D11" s="3"/>
      <c r="I11" s="3"/>
      <c r="J11" s="3"/>
      <c r="K11" s="30"/>
      <c r="L11" s="33" t="s">
        <v>25</v>
      </c>
      <c r="M11" s="34"/>
      <c r="N11" s="35">
        <f>IF(N4=1,N5,(N7+N6*N8)*(1-N9)+N10*(1-J7)*N9)</f>
        <v>0.11765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6" t="s">
        <v>26</v>
      </c>
      <c r="B12" s="7"/>
      <c r="C12" s="36"/>
      <c r="D12" s="3"/>
      <c r="J12" s="3"/>
      <c r="K12" s="3"/>
      <c r="L12" s="3"/>
      <c r="M12" s="3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13" t="s">
        <v>27</v>
      </c>
      <c r="B13" s="3"/>
      <c r="C13" s="14">
        <v>10000.0</v>
      </c>
      <c r="D13" s="3"/>
      <c r="J13" s="3"/>
      <c r="K13" s="3"/>
      <c r="L13" s="3"/>
      <c r="M13" s="3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13" t="s">
        <v>28</v>
      </c>
      <c r="B14" s="3"/>
      <c r="C14" s="19">
        <v>0.25</v>
      </c>
      <c r="D14" s="3"/>
      <c r="J14" s="3"/>
      <c r="K14" s="3"/>
      <c r="L14" s="3"/>
      <c r="M14" s="3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24" t="s">
        <v>29</v>
      </c>
      <c r="B15" s="25"/>
      <c r="C15" s="26">
        <v>1.0</v>
      </c>
      <c r="D15" s="3"/>
      <c r="J15" s="3"/>
      <c r="K15" s="3"/>
      <c r="L15" s="3"/>
      <c r="M15" s="3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3"/>
      <c r="B16" s="3"/>
      <c r="C16" s="3"/>
      <c r="D16" s="3"/>
      <c r="E16" s="3"/>
      <c r="F16" s="3"/>
      <c r="G16" s="3"/>
      <c r="H16" s="3"/>
      <c r="J16" s="3"/>
      <c r="K16" s="3"/>
      <c r="L16" s="3"/>
      <c r="M16" s="3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6" t="s">
        <v>30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8"/>
      <c r="M17" s="3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37"/>
      <c r="B18" s="9"/>
      <c r="C18" s="9">
        <v>1.0</v>
      </c>
      <c r="D18" s="9">
        <v>2.0</v>
      </c>
      <c r="E18" s="9">
        <v>3.0</v>
      </c>
      <c r="F18" s="9">
        <v>4.0</v>
      </c>
      <c r="G18" s="9">
        <v>5.0</v>
      </c>
      <c r="H18" s="9">
        <v>6.0</v>
      </c>
      <c r="I18" s="9">
        <v>7.0</v>
      </c>
      <c r="J18" s="9">
        <v>8.0</v>
      </c>
      <c r="K18" s="9">
        <v>9.0</v>
      </c>
      <c r="L18" s="38">
        <v>10.0</v>
      </c>
      <c r="M18" s="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ht="19.5" customHeight="1">
      <c r="A19" s="13" t="s">
        <v>31</v>
      </c>
      <c r="B19" s="3"/>
      <c r="C19" s="3" t="s">
        <v>32</v>
      </c>
      <c r="D19" s="40">
        <v>0.1</v>
      </c>
      <c r="E19" s="40">
        <v>0.1</v>
      </c>
      <c r="F19" s="40">
        <v>0.1</v>
      </c>
      <c r="G19" s="40">
        <v>0.1</v>
      </c>
      <c r="H19" s="40">
        <v>0.0</v>
      </c>
      <c r="I19" s="40">
        <v>0.0</v>
      </c>
      <c r="J19" s="40">
        <v>0.0</v>
      </c>
      <c r="K19" s="40">
        <v>0.0</v>
      </c>
      <c r="L19" s="41">
        <v>0.0</v>
      </c>
      <c r="M19" s="3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13" t="s">
        <v>33</v>
      </c>
      <c r="B20" s="3"/>
      <c r="C20" s="3" t="s">
        <v>32</v>
      </c>
      <c r="D20" s="40">
        <f t="shared" ref="D20:L20" si="1">D19</f>
        <v>0.1</v>
      </c>
      <c r="E20" s="40">
        <f t="shared" si="1"/>
        <v>0.1</v>
      </c>
      <c r="F20" s="40">
        <f t="shared" si="1"/>
        <v>0.1</v>
      </c>
      <c r="G20" s="40">
        <f t="shared" si="1"/>
        <v>0.1</v>
      </c>
      <c r="H20" s="40">
        <f t="shared" si="1"/>
        <v>0</v>
      </c>
      <c r="I20" s="40">
        <f t="shared" si="1"/>
        <v>0</v>
      </c>
      <c r="J20" s="40">
        <f t="shared" si="1"/>
        <v>0</v>
      </c>
      <c r="K20" s="40">
        <f t="shared" si="1"/>
        <v>0</v>
      </c>
      <c r="L20" s="41">
        <f t="shared" si="1"/>
        <v>0</v>
      </c>
      <c r="M20" s="3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24" t="s">
        <v>34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42"/>
      <c r="M21" s="3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3.5" customHeight="1">
      <c r="A22" s="3"/>
      <c r="B22" s="3"/>
      <c r="C22" s="3"/>
      <c r="D22" s="3"/>
      <c r="E22" s="3"/>
      <c r="F22" s="3" t="s">
        <v>35</v>
      </c>
      <c r="G22" s="3"/>
      <c r="H22" s="3"/>
      <c r="I22" s="3"/>
      <c r="J22" s="3"/>
      <c r="K22" s="3"/>
      <c r="L22" s="3"/>
      <c r="M22" s="3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2.75" customHeight="1">
      <c r="A23" s="3"/>
      <c r="B23" s="3">
        <v>0.0</v>
      </c>
      <c r="C23" s="3">
        <v>1.0</v>
      </c>
      <c r="D23" s="3">
        <v>2.0</v>
      </c>
      <c r="E23" s="3">
        <v>3.0</v>
      </c>
      <c r="F23" s="3">
        <v>4.0</v>
      </c>
      <c r="G23" s="3">
        <v>5.0</v>
      </c>
      <c r="H23" s="3">
        <v>6.0</v>
      </c>
      <c r="I23" s="3">
        <v>7.0</v>
      </c>
      <c r="J23" s="3">
        <v>8.0</v>
      </c>
      <c r="K23" s="3">
        <v>9.0</v>
      </c>
      <c r="L23" s="3">
        <v>10.0</v>
      </c>
      <c r="M23" s="3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2.75" customHeight="1">
      <c r="A24" s="43" t="s">
        <v>2</v>
      </c>
      <c r="B24" s="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2.75" customHeight="1">
      <c r="A25" s="13" t="s">
        <v>36</v>
      </c>
      <c r="B25" s="44">
        <f>C4</f>
        <v>50000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2.75" customHeight="1">
      <c r="A26" s="13" t="s">
        <v>37</v>
      </c>
      <c r="B26" s="44">
        <f>C4*C9</f>
        <v>5000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2.75" customHeight="1">
      <c r="A27" s="13" t="s">
        <v>38</v>
      </c>
      <c r="B27" s="44">
        <f>B25-B26</f>
        <v>45000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2.75" customHeight="1">
      <c r="A28" s="13" t="s">
        <v>39</v>
      </c>
      <c r="B28" s="44">
        <f>C13</f>
        <v>10000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2.75" customHeight="1">
      <c r="A29" s="13" t="s">
        <v>40</v>
      </c>
      <c r="B29" s="44">
        <f>C5</f>
        <v>7484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2.75" customHeight="1">
      <c r="A30" s="13" t="s">
        <v>41</v>
      </c>
      <c r="B30" s="44">
        <f>C10</f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2.75" customHeight="1">
      <c r="A31" s="24" t="s">
        <v>42</v>
      </c>
      <c r="B31" s="45">
        <f>B27+B28+B29+B30</f>
        <v>62484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2.75" customHeight="1">
      <c r="A33" s="43" t="s">
        <v>43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8"/>
      <c r="M33" s="3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2.75" customHeight="1">
      <c r="A34" s="13" t="s">
        <v>44</v>
      </c>
      <c r="B34" s="3"/>
      <c r="C34" s="46">
        <f>IF(C23=C6,C7,0)</f>
        <v>0</v>
      </c>
      <c r="D34" s="46">
        <f>IF(D23=C6,C7,0)</f>
        <v>0</v>
      </c>
      <c r="E34" s="46">
        <f>IF(E23=C6,C7,0)</f>
        <v>0</v>
      </c>
      <c r="F34" s="46">
        <f>IF(F23=C6,C7,0)</f>
        <v>0</v>
      </c>
      <c r="G34" s="46">
        <f>IF(G23=C6,C7,0)</f>
        <v>0</v>
      </c>
      <c r="H34" s="46">
        <f>IF(H23=C6,C7,0)</f>
        <v>0</v>
      </c>
      <c r="I34" s="46">
        <f>IF(I23=C6,C7,0)</f>
        <v>0</v>
      </c>
      <c r="J34" s="46">
        <f>IF(J23=C6,C7,0)</f>
        <v>0</v>
      </c>
      <c r="K34" s="46">
        <f>IF(K23=C6,C7,0)</f>
        <v>0</v>
      </c>
      <c r="L34" s="44">
        <f>IF(L23=C6,C7,0)</f>
        <v>10000</v>
      </c>
      <c r="M34" s="3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2.75" customHeight="1">
      <c r="A35" s="24" t="s">
        <v>45</v>
      </c>
      <c r="B35" s="25"/>
      <c r="C35" s="47">
        <f>IF(C23=C6,(C13+SUM(C48:L48))*C15,0)</f>
        <v>0</v>
      </c>
      <c r="D35" s="47">
        <f>IF(D23=C6,(C13+SUM(C48:L48))*C15,0)</f>
        <v>0</v>
      </c>
      <c r="E35" s="47">
        <f>IF(E23=C6,(C13+SUM(C48:L48))*C15,0)</f>
        <v>0</v>
      </c>
      <c r="F35" s="47">
        <f>IF(F23=C6,(C13+SUM(C48:L48))*C15,0)</f>
        <v>0</v>
      </c>
      <c r="G35" s="47">
        <f>IF(G23=C6,(C13+SUM(C48:L48))*C15,0)</f>
        <v>0</v>
      </c>
      <c r="H35" s="47">
        <f>IF(21=C6,(C13+SUM(C48:L48))*C15,0)</f>
        <v>0</v>
      </c>
      <c r="I35" s="47">
        <f>IF(I23=C6,(C13+SUM(C48:L48))*C15,0)</f>
        <v>0</v>
      </c>
      <c r="J35" s="47">
        <f>IF(J23=C6,(C13+SUM(C48:L48))*C15,0)</f>
        <v>0</v>
      </c>
      <c r="K35" s="47">
        <f>IF(K23=C6,(C13+SUM(C48:L48))*C15,0)</f>
        <v>0</v>
      </c>
      <c r="L35" s="45">
        <f>IF(L23=C6,(C13+SUM(C48:L48))*C15,0)</f>
        <v>14641</v>
      </c>
      <c r="M35" s="3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3.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2.75" customHeight="1">
      <c r="A37" s="43" t="s">
        <v>46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8"/>
      <c r="M37" s="3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2.75" customHeight="1">
      <c r="A38" s="13" t="s">
        <v>47</v>
      </c>
      <c r="B38" s="3"/>
      <c r="C38" s="3">
        <f>IF(C23&gt;C6,0,1)</f>
        <v>1</v>
      </c>
      <c r="D38" s="3">
        <f>IF(D23&gt;C6,0,1)</f>
        <v>1</v>
      </c>
      <c r="E38" s="3">
        <f>IF(E23&gt;C6,0,1)</f>
        <v>1</v>
      </c>
      <c r="F38" s="3">
        <f>IF(F23&gt;C6,0,1)</f>
        <v>1</v>
      </c>
      <c r="G38" s="3">
        <f>IF(G23&gt;C6,0,1)</f>
        <v>1</v>
      </c>
      <c r="H38" s="3">
        <f>IF(H23&gt;C6,0,1)</f>
        <v>1</v>
      </c>
      <c r="I38" s="3">
        <f>IF(I23&gt;C6,0,1)</f>
        <v>1</v>
      </c>
      <c r="J38" s="3">
        <f>IF(J23&gt;C6,0,1)</f>
        <v>1</v>
      </c>
      <c r="K38" s="3">
        <f>IF(K23&gt;C6,0,1)</f>
        <v>1</v>
      </c>
      <c r="L38" s="48">
        <f>IF(L23&gt;C6,0,1)</f>
        <v>1</v>
      </c>
      <c r="M38" s="3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2.75" customHeight="1">
      <c r="A39" s="13" t="s">
        <v>31</v>
      </c>
      <c r="B39" s="46"/>
      <c r="C39" s="46">
        <f>G4</f>
        <v>40000</v>
      </c>
      <c r="D39" s="46">
        <f t="shared" ref="D39:L39" si="2">C39*(1+D19)*D38</f>
        <v>44000</v>
      </c>
      <c r="E39" s="46">
        <f t="shared" si="2"/>
        <v>48400</v>
      </c>
      <c r="F39" s="46">
        <f t="shared" si="2"/>
        <v>53240</v>
      </c>
      <c r="G39" s="46">
        <f t="shared" si="2"/>
        <v>58564</v>
      </c>
      <c r="H39" s="46">
        <f t="shared" si="2"/>
        <v>58564</v>
      </c>
      <c r="I39" s="46">
        <f t="shared" si="2"/>
        <v>58564</v>
      </c>
      <c r="J39" s="46">
        <f t="shared" si="2"/>
        <v>58564</v>
      </c>
      <c r="K39" s="46">
        <f t="shared" si="2"/>
        <v>58564</v>
      </c>
      <c r="L39" s="44">
        <f t="shared" si="2"/>
        <v>58564</v>
      </c>
      <c r="M39" s="3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2.75" customHeight="1">
      <c r="A40" s="13" t="s">
        <v>48</v>
      </c>
      <c r="B40" s="46"/>
      <c r="C40" s="46">
        <f>C39*G5</f>
        <v>20000</v>
      </c>
      <c r="D40" s="46">
        <f>D39*G5</f>
        <v>22000</v>
      </c>
      <c r="E40" s="46">
        <f>E39*G5</f>
        <v>24200</v>
      </c>
      <c r="F40" s="46">
        <f>F39*G5</f>
        <v>26620</v>
      </c>
      <c r="G40" s="46">
        <f>G39*G5</f>
        <v>29282</v>
      </c>
      <c r="H40" s="46">
        <f>H39*G5</f>
        <v>29282</v>
      </c>
      <c r="I40" s="46">
        <f>I39*G5</f>
        <v>29282</v>
      </c>
      <c r="J40" s="46">
        <f>J39*G5</f>
        <v>29282</v>
      </c>
      <c r="K40" s="46">
        <f>K39*G5</f>
        <v>29282</v>
      </c>
      <c r="L40" s="44">
        <f>L39*G5</f>
        <v>29282</v>
      </c>
      <c r="M40" s="3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2.75" customHeight="1">
      <c r="A41" s="13" t="s">
        <v>49</v>
      </c>
      <c r="B41" s="46"/>
      <c r="C41" s="46">
        <f>G6</f>
        <v>0</v>
      </c>
      <c r="D41" s="46">
        <f t="shared" ref="D41:L41" si="3">C41*(1+D20)*D38</f>
        <v>0</v>
      </c>
      <c r="E41" s="46">
        <f t="shared" si="3"/>
        <v>0</v>
      </c>
      <c r="F41" s="46">
        <f t="shared" si="3"/>
        <v>0</v>
      </c>
      <c r="G41" s="46">
        <f t="shared" si="3"/>
        <v>0</v>
      </c>
      <c r="H41" s="46">
        <f t="shared" si="3"/>
        <v>0</v>
      </c>
      <c r="I41" s="46">
        <f t="shared" si="3"/>
        <v>0</v>
      </c>
      <c r="J41" s="46">
        <f t="shared" si="3"/>
        <v>0</v>
      </c>
      <c r="K41" s="46">
        <f t="shared" si="3"/>
        <v>0</v>
      </c>
      <c r="L41" s="44">
        <f t="shared" si="3"/>
        <v>0</v>
      </c>
      <c r="M41" s="3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2.75" customHeight="1">
      <c r="A42" s="13" t="s">
        <v>50</v>
      </c>
      <c r="B42" s="46"/>
      <c r="C42" s="46">
        <f t="shared" ref="C42:L42" si="4">C39-C40-C41</f>
        <v>20000</v>
      </c>
      <c r="D42" s="46">
        <f t="shared" si="4"/>
        <v>22000</v>
      </c>
      <c r="E42" s="46">
        <f t="shared" si="4"/>
        <v>24200</v>
      </c>
      <c r="F42" s="46">
        <f t="shared" si="4"/>
        <v>26620</v>
      </c>
      <c r="G42" s="46">
        <f t="shared" si="4"/>
        <v>29282</v>
      </c>
      <c r="H42" s="46">
        <f t="shared" si="4"/>
        <v>29282</v>
      </c>
      <c r="I42" s="46">
        <f t="shared" si="4"/>
        <v>29282</v>
      </c>
      <c r="J42" s="46">
        <f t="shared" si="4"/>
        <v>29282</v>
      </c>
      <c r="K42" s="46">
        <f t="shared" si="4"/>
        <v>29282</v>
      </c>
      <c r="L42" s="44">
        <f t="shared" si="4"/>
        <v>29282</v>
      </c>
      <c r="M42" s="3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2.75" customHeight="1">
      <c r="A43" s="13" t="s">
        <v>51</v>
      </c>
      <c r="B43" s="46"/>
      <c r="C43" s="46">
        <f t="shared" ref="C43:L43" si="5">C61</f>
        <v>10000</v>
      </c>
      <c r="D43" s="46">
        <f t="shared" si="5"/>
        <v>8000</v>
      </c>
      <c r="E43" s="46">
        <f t="shared" si="5"/>
        <v>6400</v>
      </c>
      <c r="F43" s="46">
        <f t="shared" si="5"/>
        <v>5120</v>
      </c>
      <c r="G43" s="46">
        <f t="shared" si="5"/>
        <v>4096</v>
      </c>
      <c r="H43" s="46">
        <f t="shared" si="5"/>
        <v>3276.8</v>
      </c>
      <c r="I43" s="46">
        <f t="shared" si="5"/>
        <v>2621.44</v>
      </c>
      <c r="J43" s="46">
        <f t="shared" si="5"/>
        <v>485.76</v>
      </c>
      <c r="K43" s="46">
        <f t="shared" si="5"/>
        <v>0</v>
      </c>
      <c r="L43" s="44">
        <f t="shared" si="5"/>
        <v>0</v>
      </c>
      <c r="M43" s="3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2.75" customHeight="1">
      <c r="A44" s="13" t="s">
        <v>52</v>
      </c>
      <c r="B44" s="46"/>
      <c r="C44" s="46">
        <f t="shared" ref="C44:L44" si="6">C42-C43</f>
        <v>10000</v>
      </c>
      <c r="D44" s="46">
        <f t="shared" si="6"/>
        <v>14000</v>
      </c>
      <c r="E44" s="46">
        <f t="shared" si="6"/>
        <v>17800</v>
      </c>
      <c r="F44" s="46">
        <f t="shared" si="6"/>
        <v>21500</v>
      </c>
      <c r="G44" s="46">
        <f t="shared" si="6"/>
        <v>25186</v>
      </c>
      <c r="H44" s="46">
        <f t="shared" si="6"/>
        <v>26005.2</v>
      </c>
      <c r="I44" s="46">
        <f t="shared" si="6"/>
        <v>26660.56</v>
      </c>
      <c r="J44" s="46">
        <f t="shared" si="6"/>
        <v>28796.24</v>
      </c>
      <c r="K44" s="46">
        <f t="shared" si="6"/>
        <v>29282</v>
      </c>
      <c r="L44" s="44">
        <f t="shared" si="6"/>
        <v>29282</v>
      </c>
      <c r="M44" s="3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2.75" customHeight="1">
      <c r="A45" s="13" t="s">
        <v>53</v>
      </c>
      <c r="B45" s="46"/>
      <c r="C45" s="46">
        <f>C44*G7</f>
        <v>4000</v>
      </c>
      <c r="D45" s="46">
        <f>D44*G7</f>
        <v>5600</v>
      </c>
      <c r="E45" s="46">
        <f>E44*G7</f>
        <v>7120</v>
      </c>
      <c r="F45" s="46">
        <f>F44*G7</f>
        <v>8600</v>
      </c>
      <c r="G45" s="46">
        <f>G44*G7</f>
        <v>10074.4</v>
      </c>
      <c r="H45" s="46">
        <f>H44*G7</f>
        <v>10402.08</v>
      </c>
      <c r="I45" s="46">
        <f>I44*G7</f>
        <v>10664.224</v>
      </c>
      <c r="J45" s="46">
        <f>J44*G7</f>
        <v>11518.496</v>
      </c>
      <c r="K45" s="46">
        <f>K44*G7</f>
        <v>11712.8</v>
      </c>
      <c r="L45" s="44">
        <f>L44*G7</f>
        <v>11712.8</v>
      </c>
      <c r="M45" s="3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2.75" customHeight="1">
      <c r="A46" s="13" t="s">
        <v>54</v>
      </c>
      <c r="B46" s="46"/>
      <c r="C46" s="46">
        <f t="shared" ref="C46:L46" si="7">C44-C45</f>
        <v>6000</v>
      </c>
      <c r="D46" s="46">
        <f t="shared" si="7"/>
        <v>8400</v>
      </c>
      <c r="E46" s="46">
        <f t="shared" si="7"/>
        <v>10680</v>
      </c>
      <c r="F46" s="46">
        <f t="shared" si="7"/>
        <v>12900</v>
      </c>
      <c r="G46" s="46">
        <f t="shared" si="7"/>
        <v>15111.6</v>
      </c>
      <c r="H46" s="46">
        <f t="shared" si="7"/>
        <v>15603.12</v>
      </c>
      <c r="I46" s="46">
        <f t="shared" si="7"/>
        <v>15996.336</v>
      </c>
      <c r="J46" s="46">
        <f t="shared" si="7"/>
        <v>17277.744</v>
      </c>
      <c r="K46" s="46">
        <f t="shared" si="7"/>
        <v>17569.2</v>
      </c>
      <c r="L46" s="44">
        <f t="shared" si="7"/>
        <v>17569.2</v>
      </c>
      <c r="M46" s="3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2.75" customHeight="1">
      <c r="A47" s="13" t="s">
        <v>55</v>
      </c>
      <c r="B47" s="46"/>
      <c r="C47" s="46">
        <f t="shared" ref="C47:L47" si="8">C43</f>
        <v>10000</v>
      </c>
      <c r="D47" s="46">
        <f t="shared" si="8"/>
        <v>8000</v>
      </c>
      <c r="E47" s="46">
        <f t="shared" si="8"/>
        <v>6400</v>
      </c>
      <c r="F47" s="46">
        <f t="shared" si="8"/>
        <v>5120</v>
      </c>
      <c r="G47" s="46">
        <f t="shared" si="8"/>
        <v>4096</v>
      </c>
      <c r="H47" s="46">
        <f t="shared" si="8"/>
        <v>3276.8</v>
      </c>
      <c r="I47" s="46">
        <f t="shared" si="8"/>
        <v>2621.44</v>
      </c>
      <c r="J47" s="46">
        <f t="shared" si="8"/>
        <v>485.76</v>
      </c>
      <c r="K47" s="46">
        <f t="shared" si="8"/>
        <v>0</v>
      </c>
      <c r="L47" s="44">
        <f t="shared" si="8"/>
        <v>0</v>
      </c>
      <c r="M47" s="3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2.75" customHeight="1">
      <c r="A48" s="13" t="s">
        <v>56</v>
      </c>
      <c r="B48" s="46"/>
      <c r="C48" s="46">
        <f>(C14*C39-B28)*C38</f>
        <v>0</v>
      </c>
      <c r="D48" s="46">
        <f>(C14*D39-B28)*D38</f>
        <v>1000</v>
      </c>
      <c r="E48" s="46">
        <f>(C14*E39-B28-SUM(C48,D48))*E38</f>
        <v>1100</v>
      </c>
      <c r="F48" s="46">
        <f>(C14*F39-B28-SUM(C48:E48))*F38</f>
        <v>1210</v>
      </c>
      <c r="G48" s="46">
        <f>(C14*G39-B28-SUM(C48:F48))*G38</f>
        <v>1331</v>
      </c>
      <c r="H48" s="46">
        <f>(C14*H39-B28-SUM(C48:G48))*H38</f>
        <v>0</v>
      </c>
      <c r="I48" s="46">
        <f>(C14*I39-B28-SUM(C48:H48))*I38</f>
        <v>0</v>
      </c>
      <c r="J48" s="46">
        <f>(C14*J39-B28-SUM(C48:I48))*J38</f>
        <v>0</v>
      </c>
      <c r="K48" s="46">
        <f>(C14*K39-B28-SUM(C48:J48))*K38</f>
        <v>0</v>
      </c>
      <c r="L48" s="44">
        <f>(C14*L39-B28-SUM(C48:K48))*L38</f>
        <v>0</v>
      </c>
      <c r="M48" s="3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2.75" customHeight="1">
      <c r="A49" s="13" t="s">
        <v>57</v>
      </c>
      <c r="B49" s="46">
        <f>0-B31</f>
        <v>-62484</v>
      </c>
      <c r="C49" s="46">
        <f t="shared" ref="C49:L49" si="9">C46+C47-C48</f>
        <v>16000</v>
      </c>
      <c r="D49" s="46">
        <f t="shared" si="9"/>
        <v>15400</v>
      </c>
      <c r="E49" s="46">
        <f t="shared" si="9"/>
        <v>15980</v>
      </c>
      <c r="F49" s="46">
        <f t="shared" si="9"/>
        <v>16810</v>
      </c>
      <c r="G49" s="46">
        <f t="shared" si="9"/>
        <v>17876.6</v>
      </c>
      <c r="H49" s="46">
        <f t="shared" si="9"/>
        <v>18879.92</v>
      </c>
      <c r="I49" s="46">
        <f t="shared" si="9"/>
        <v>18617.776</v>
      </c>
      <c r="J49" s="46">
        <f t="shared" si="9"/>
        <v>17763.504</v>
      </c>
      <c r="K49" s="46">
        <f t="shared" si="9"/>
        <v>17569.2</v>
      </c>
      <c r="L49" s="44">
        <f t="shared" si="9"/>
        <v>17569.2</v>
      </c>
      <c r="M49" s="3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2.75" customHeight="1">
      <c r="A50" s="13" t="s">
        <v>58</v>
      </c>
      <c r="B50" s="3">
        <f>1</f>
        <v>1</v>
      </c>
      <c r="C50" s="3">
        <f>C38*(1+K11)^C23</f>
        <v>1</v>
      </c>
      <c r="D50" s="3">
        <f>D38*(1+K11)^D23</f>
        <v>1</v>
      </c>
      <c r="E50" s="3">
        <f>E38*(1+K11)^E23</f>
        <v>1</v>
      </c>
      <c r="F50" s="3">
        <f>F38*(1+K11)^F23</f>
        <v>1</v>
      </c>
      <c r="G50" s="3">
        <f>G38*(1+K11)^G23</f>
        <v>1</v>
      </c>
      <c r="H50" s="3">
        <f>H38*(1+K11)^H23</f>
        <v>1</v>
      </c>
      <c r="I50" s="3">
        <f>I38*(1+K11)^I23</f>
        <v>1</v>
      </c>
      <c r="J50" s="3">
        <f>J38*(1+K11)^J23</f>
        <v>1</v>
      </c>
      <c r="K50" s="3">
        <f>K38*(1+K11)^K23</f>
        <v>1</v>
      </c>
      <c r="L50" s="48">
        <f>L38*(1+K11)^L23</f>
        <v>1</v>
      </c>
      <c r="M50" s="3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3.5" customHeight="1">
      <c r="A51" s="24" t="s">
        <v>59</v>
      </c>
      <c r="B51" s="47">
        <f>0-B31</f>
        <v>-62484</v>
      </c>
      <c r="C51" s="47">
        <f>(C49+C34+C35)/(1+K11)^C23</f>
        <v>16000</v>
      </c>
      <c r="D51" s="47">
        <f>(D49+D34+D35)/(1+K11)^D23</f>
        <v>15400</v>
      </c>
      <c r="E51" s="47">
        <f>(E49+E34+E35)/(1+K11)^E23</f>
        <v>15980</v>
      </c>
      <c r="F51" s="47">
        <f>(F49+F34+F35)/(1+K11)^F23</f>
        <v>16810</v>
      </c>
      <c r="G51" s="47">
        <f>(G49+G34+G35)/(1+K11)^G23</f>
        <v>17876.6</v>
      </c>
      <c r="H51" s="47">
        <f>(H49+H34+H35)/(1+K11)^H23</f>
        <v>18879.92</v>
      </c>
      <c r="I51" s="47">
        <f>(I49+I34+I35)/(1+K11)^I23</f>
        <v>18617.776</v>
      </c>
      <c r="J51" s="47">
        <f>(J49+J34+J35)/(1+K11)^J23</f>
        <v>17763.504</v>
      </c>
      <c r="K51" s="47">
        <f>(K49+K34+K35)/(1+K11)^K23</f>
        <v>17569.2</v>
      </c>
      <c r="L51" s="45">
        <f>(L49+L34+L35)/(1+K11)^L23</f>
        <v>42210.2</v>
      </c>
      <c r="M51" s="3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3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3.5" customHeight="1">
      <c r="A53" s="3"/>
      <c r="B53" s="49" t="s">
        <v>60</v>
      </c>
      <c r="C53" s="50"/>
      <c r="D53" s="3"/>
      <c r="E53" s="3"/>
      <c r="F53" s="3"/>
      <c r="G53" s="3"/>
      <c r="H53" s="3"/>
      <c r="I53" s="3"/>
      <c r="J53" s="3"/>
      <c r="K53" s="3"/>
      <c r="L53" s="3"/>
      <c r="M53" s="3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2.75" customHeight="1">
      <c r="A54" s="3"/>
      <c r="B54" s="51" t="s">
        <v>61</v>
      </c>
      <c r="C54" s="52">
        <f>SUM(B51:L51)</f>
        <v>134623.2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2.75" customHeight="1">
      <c r="A55" s="3"/>
      <c r="B55" s="51" t="s">
        <v>62</v>
      </c>
      <c r="C55" s="41">
        <f>IRR(B49:L49,K11)</f>
        <v>0.2355393602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3.5" customHeight="1">
      <c r="A56" s="3"/>
      <c r="B56" s="53" t="s">
        <v>63</v>
      </c>
      <c r="C56" s="54">
        <f>SUM(C46:L46)/SUM(B62:K62)</f>
        <v>0.6011971746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3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2.75" customHeight="1">
      <c r="A59" s="43"/>
      <c r="B59" s="7"/>
      <c r="C59" s="7"/>
      <c r="D59" s="7"/>
      <c r="E59" s="7" t="s">
        <v>64</v>
      </c>
      <c r="F59" s="7"/>
      <c r="G59" s="7"/>
      <c r="H59" s="7"/>
      <c r="I59" s="7"/>
      <c r="J59" s="7"/>
      <c r="K59" s="7"/>
      <c r="L59" s="8"/>
      <c r="M59" s="3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2.75" customHeight="1">
      <c r="A60" s="13" t="s">
        <v>65</v>
      </c>
      <c r="B60" s="3"/>
      <c r="C60" s="46">
        <f>C4</f>
        <v>50000</v>
      </c>
      <c r="D60" s="46">
        <f t="shared" ref="D60:L60" si="10">(C60-C61)*D38</f>
        <v>40000</v>
      </c>
      <c r="E60" s="46">
        <f t="shared" si="10"/>
        <v>32000</v>
      </c>
      <c r="F60" s="46">
        <f t="shared" si="10"/>
        <v>25600</v>
      </c>
      <c r="G60" s="46">
        <f t="shared" si="10"/>
        <v>20480</v>
      </c>
      <c r="H60" s="46">
        <f t="shared" si="10"/>
        <v>16384</v>
      </c>
      <c r="I60" s="46">
        <f t="shared" si="10"/>
        <v>13107.2</v>
      </c>
      <c r="J60" s="46">
        <f t="shared" si="10"/>
        <v>10485.76</v>
      </c>
      <c r="K60" s="46">
        <f t="shared" si="10"/>
        <v>10000</v>
      </c>
      <c r="L60" s="44">
        <f t="shared" si="10"/>
        <v>10000</v>
      </c>
      <c r="M60" s="3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2.75" customHeight="1">
      <c r="A61" s="13" t="s">
        <v>66</v>
      </c>
      <c r="B61" s="3"/>
      <c r="C61" s="46">
        <f>IF(C8=1,((C4-C7)/C6)*C38,(IF(C7&lt;C4*(1-2/C6)^(C23),C4*(1-2/C6)^(C23-1)*(2/C6)*C38,(IF(0&lt;(C4*(1-2/C6)^(C23-1))-C7,0,C4*C38*(1-2/C6)^(C23-1)-C7)))))</f>
        <v>10000</v>
      </c>
      <c r="D61" s="46">
        <f>IF(C8=1,((C4-C7)/C6)*D38,(IF(C7&lt;C4*(1-2/C6)^(D23),C4*(1-2/C6)^(D23-1)*(2/C6)*D38,(IF(0&lt;(C4*(1-2/C6)^(D23-1))-C7,0,C4*D38*(1-2/C6)^(D23-1)-C7)))))</f>
        <v>8000</v>
      </c>
      <c r="E61" s="46">
        <f>IF(C8=1,((C4-C7)/C6)*E38,(IF(C7&lt;C4*(1-2/C6)^(E23),C4*(1-2/C6)^(E23-1)*(2/C6)*E38,(IF(0&lt;(C4*(1-2/C6)^(E23-1))-C7,0,C4*E38*(1-2/C6)^(E23-1)-C7)))))</f>
        <v>6400</v>
      </c>
      <c r="F61" s="46">
        <f>IF(C8=1,((C4-C7)/C6)*F38,(IF(C7&lt;C4*(1-2/C6)^(F23),C4*(1-2/C6)^(F23-1)*(2/C6)*F38,(IF(0&gt;(C4*(1-2/C6)^(F23-1))-C7,0,C4*F38*(1-2/C6)^(F23-1)-C7)))))</f>
        <v>5120</v>
      </c>
      <c r="G61" s="46">
        <f>IF(C8=1,((C4-C7)/C6)*F38,(IF(C7&lt;C4*(1-2/C6)^(G23),C4*(1-2/C6)^(G23-1)*(2/C6)*G38,(IF(0&gt;(C4*(1-2/C6)^(G23-1))-C7,0,C4*G38*(1-2/C6)^(G23-1)-C7)))))</f>
        <v>4096</v>
      </c>
      <c r="H61" s="46">
        <f>IF(C8=1,((C4-C7)/C6)*H38,(IF(C7&lt;C4*(1-2/C6)^(H23),C4*(1-2/C6)^(H23-1)*(2/C6)*H38,(IF(0&gt;(C4*(1-2/C6)^(H23-1))-C7,0,C4*H38*(1-2/C6)^(H23-1)-C7)))))</f>
        <v>3276.8</v>
      </c>
      <c r="I61" s="46">
        <f>IF(C8=1,((C4-C7)/C6)*I38,(IF(C7&lt;C4*(1-2/C6)^(I23),C4*(1-2/C6)^(I23-1)*(2/C6)*I38,(IF(0&gt;(C4*(1-2/C6)^(I23-1))-C7,0,C4*I38*(1-2/C6)^(I23-1)-C7)))))</f>
        <v>2621.44</v>
      </c>
      <c r="J61" s="46">
        <f>IF(C8=1,((C4-C7)/C6)*J38,(IF(C7&lt;C4*(1-2/C6)^(J23),C4*(1-2/C6)^(J23-1)*(2/C6)*J38,(IF(0&gt;(C4*(1-2/C6)^(J23-1))-C7,0,C4*J38*(1-2/C6)^(J23-1)-C7)))))</f>
        <v>485.76</v>
      </c>
      <c r="K61" s="46">
        <f>IF(C8=1,((C4-C7)/C6)*K38,(IF(C7&lt;C4*(1-2/C6)^(K23),C4*(1-2/C6)^(K23-1)*(2/C6)*K38,(IF(0&gt;(C4*(1-2/C6)^(K23-1))-C7,0,C4*K38*(1-2/C6)^(K23-1)-C7)))))</f>
        <v>0</v>
      </c>
      <c r="L61" s="44">
        <f>IF(C8=1,((C4-C7)/C6)*L38,(IF(C7&lt;C4*(1-2/C6)^(L23),C4*(1-2/C6)^(L23-1)*(2/C6)*L38,(IF(0&gt;(C4*(1-2/C6)^(L23-1))-C7,0,C4*L38*(1-2/C6)^(L23-1)-C7)))))</f>
        <v>0</v>
      </c>
      <c r="M61" s="3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2.75" customHeight="1">
      <c r="A62" s="24" t="s">
        <v>67</v>
      </c>
      <c r="B62" s="47">
        <f>C4</f>
        <v>50000</v>
      </c>
      <c r="C62" s="47">
        <f t="shared" ref="C62:L62" si="11">C60-C61</f>
        <v>40000</v>
      </c>
      <c r="D62" s="47">
        <f t="shared" si="11"/>
        <v>32000</v>
      </c>
      <c r="E62" s="47">
        <f t="shared" si="11"/>
        <v>25600</v>
      </c>
      <c r="F62" s="47">
        <f t="shared" si="11"/>
        <v>20480</v>
      </c>
      <c r="G62" s="47">
        <f t="shared" si="11"/>
        <v>16384</v>
      </c>
      <c r="H62" s="47">
        <f t="shared" si="11"/>
        <v>13107.2</v>
      </c>
      <c r="I62" s="47">
        <f t="shared" si="11"/>
        <v>10485.76</v>
      </c>
      <c r="J62" s="47">
        <f t="shared" si="11"/>
        <v>10000</v>
      </c>
      <c r="K62" s="47">
        <f t="shared" si="11"/>
        <v>10000</v>
      </c>
      <c r="L62" s="45">
        <f t="shared" si="11"/>
        <v>10000</v>
      </c>
      <c r="M62" s="3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3.5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</row>
    <row r="68" ht="13.5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</row>
    <row r="69" ht="13.5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</row>
    <row r="70" ht="13.5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</row>
    <row r="71" ht="13.5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</row>
    <row r="72" ht="13.5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</row>
    <row r="73" ht="13.5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</row>
    <row r="74" ht="13.5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</row>
    <row r="75" ht="13.5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</row>
    <row r="76" ht="13.5" customHeight="1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</row>
    <row r="77" ht="13.5" customHeight="1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</row>
    <row r="78" ht="13.5" customHeight="1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</row>
    <row r="79" ht="13.5" customHeight="1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</row>
    <row r="80" ht="13.5" customHeight="1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</row>
    <row r="81" ht="13.5" customHeight="1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</row>
    <row r="82" ht="13.5" customHeight="1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</row>
    <row r="83" ht="13.5" customHeight="1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</row>
    <row r="84" ht="13.5" customHeight="1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</row>
    <row r="85" ht="13.5" customHeight="1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</row>
    <row r="86" ht="13.5" customHeight="1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</row>
    <row r="87" ht="13.5" customHeight="1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</row>
    <row r="88" ht="13.5" customHeight="1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</row>
    <row r="89" ht="13.5" customHeight="1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</row>
    <row r="90" ht="13.5" customHeight="1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</row>
    <row r="91" ht="13.5" customHeight="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</row>
    <row r="92" ht="13.5" customHeight="1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</row>
    <row r="93" ht="13.5" customHeight="1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</row>
    <row r="94" ht="13.5" customHeight="1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</row>
    <row r="95" ht="13.5" customHeight="1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</row>
    <row r="96" ht="13.5" customHeight="1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</row>
    <row r="97" ht="13.5" customHeight="1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</row>
    <row r="98" ht="13.5" customHeight="1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</row>
    <row r="99" ht="13.5" customHeight="1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</row>
    <row r="100" ht="13.5" customHeight="1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</row>
    <row r="101" ht="13.5" customHeight="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</row>
    <row r="102" ht="13.5" customHeight="1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</row>
    <row r="103" ht="13.5" customHeight="1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</row>
    <row r="104" ht="13.5" customHeight="1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</row>
    <row r="105" ht="13.5" customHeight="1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</row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A1:K1"/>
    <mergeCell ref="B53:C53"/>
  </mergeCells>
  <printOptions/>
  <pageMargins bottom="0.75" footer="0.0" header="0.0" left="0.7" right="0.7" top="0.75"/>
  <pageSetup orientation="landscape"/>
  <headerFooter>
    <oddHeader>&amp;CCAPITAL BUDGETING WORKSHEET&amp;R&amp;P</oddHead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86"/>
  </cols>
  <sheetData>
    <row r="1">
      <c r="A1" s="56" t="s">
        <v>3</v>
      </c>
      <c r="B1" s="57"/>
      <c r="C1" s="65"/>
    </row>
    <row r="2">
      <c r="A2" s="59" t="s">
        <v>6</v>
      </c>
      <c r="B2" s="3"/>
      <c r="C2" s="66">
        <v>40000.0</v>
      </c>
    </row>
    <row r="3">
      <c r="A3" s="59" t="s">
        <v>9</v>
      </c>
      <c r="B3" s="3"/>
      <c r="C3" s="67">
        <v>0.5</v>
      </c>
    </row>
    <row r="4">
      <c r="A4" s="59" t="s">
        <v>12</v>
      </c>
      <c r="B4" s="3"/>
      <c r="C4" s="68">
        <v>0.0</v>
      </c>
    </row>
    <row r="5">
      <c r="A5" s="62" t="s">
        <v>15</v>
      </c>
      <c r="B5" s="63"/>
      <c r="C5" s="67">
        <v>0.4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4.14"/>
    <col customWidth="1" min="3" max="3" width="18.0"/>
  </cols>
  <sheetData>
    <row r="1">
      <c r="A1" s="69" t="s">
        <v>4</v>
      </c>
      <c r="B1" s="70"/>
      <c r="C1" s="71"/>
    </row>
    <row r="2">
      <c r="A2" s="72" t="s">
        <v>7</v>
      </c>
      <c r="B2" s="3"/>
      <c r="C2" s="73">
        <v>2.0</v>
      </c>
    </row>
    <row r="3">
      <c r="A3" s="74" t="s">
        <v>10</v>
      </c>
      <c r="B3" s="3"/>
      <c r="C3" s="75">
        <v>0.1</v>
      </c>
    </row>
    <row r="4">
      <c r="A4" s="74" t="s">
        <v>13</v>
      </c>
      <c r="B4" s="3"/>
      <c r="C4" s="73">
        <v>0.9</v>
      </c>
    </row>
    <row r="5">
      <c r="A5" s="74" t="s">
        <v>16</v>
      </c>
      <c r="B5" s="3"/>
      <c r="C5" s="76">
        <v>0.08</v>
      </c>
    </row>
    <row r="6">
      <c r="A6" s="74" t="s">
        <v>19</v>
      </c>
      <c r="B6" s="3"/>
      <c r="C6" s="76">
        <v>0.055</v>
      </c>
    </row>
    <row r="7">
      <c r="A7" s="74" t="s">
        <v>22</v>
      </c>
      <c r="B7" s="3"/>
      <c r="C7" s="77">
        <v>0.3</v>
      </c>
    </row>
    <row r="8">
      <c r="A8" s="78" t="s">
        <v>24</v>
      </c>
      <c r="B8" s="79"/>
      <c r="C8" s="80">
        <v>0.09</v>
      </c>
    </row>
    <row r="9">
      <c r="A9" s="3" t="s">
        <v>25</v>
      </c>
      <c r="B9" s="3"/>
      <c r="C9" s="81">
        <v>0.1069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" t="s">
        <v>2</v>
      </c>
      <c r="B1" s="7"/>
      <c r="C1" s="8"/>
    </row>
    <row r="2">
      <c r="A2" s="13" t="s">
        <v>5</v>
      </c>
      <c r="B2" s="3"/>
      <c r="C2" s="14">
        <v>50000.0</v>
      </c>
    </row>
    <row r="3">
      <c r="A3" s="13" t="s">
        <v>8</v>
      </c>
      <c r="B3" s="3"/>
      <c r="C3" s="14">
        <v>7484.0</v>
      </c>
    </row>
    <row r="4">
      <c r="A4" s="13" t="s">
        <v>11</v>
      </c>
      <c r="B4" s="3"/>
      <c r="C4" s="23">
        <v>10.0</v>
      </c>
    </row>
    <row r="5">
      <c r="A5" s="13" t="s">
        <v>14</v>
      </c>
      <c r="B5" s="3"/>
      <c r="C5" s="14">
        <v>10000.0</v>
      </c>
    </row>
    <row r="6">
      <c r="A6" s="13" t="s">
        <v>17</v>
      </c>
      <c r="B6" s="3"/>
      <c r="C6" s="23">
        <v>2.0</v>
      </c>
    </row>
    <row r="7">
      <c r="A7" s="13" t="s">
        <v>20</v>
      </c>
      <c r="B7" s="3"/>
      <c r="C7" s="19">
        <v>0.1</v>
      </c>
    </row>
    <row r="8">
      <c r="A8" s="24" t="s">
        <v>23</v>
      </c>
      <c r="B8" s="25"/>
      <c r="C8" s="32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3"/>
      <c r="B1" s="7"/>
      <c r="C1" s="7"/>
      <c r="D1" s="7"/>
      <c r="E1" s="7" t="s">
        <v>64</v>
      </c>
      <c r="F1" s="7"/>
      <c r="G1" s="7"/>
      <c r="H1" s="7"/>
      <c r="I1" s="7"/>
      <c r="J1" s="7"/>
      <c r="K1" s="7"/>
      <c r="L1" s="8"/>
    </row>
    <row r="2">
      <c r="A2" s="13" t="s">
        <v>65</v>
      </c>
      <c r="B2" s="3"/>
      <c r="C2" s="46">
        <v>50000.0</v>
      </c>
      <c r="D2" s="46">
        <v>40000.0</v>
      </c>
      <c r="E2" s="46">
        <v>32000.0</v>
      </c>
      <c r="F2" s="46">
        <v>25600.0</v>
      </c>
      <c r="G2" s="46">
        <v>20480.0</v>
      </c>
      <c r="H2" s="46">
        <v>16384.0</v>
      </c>
      <c r="I2" s="46">
        <v>13107.199999999999</v>
      </c>
      <c r="J2" s="46">
        <v>10485.759999999998</v>
      </c>
      <c r="K2" s="46">
        <v>9999.999999999995</v>
      </c>
      <c r="L2" s="44">
        <v>9999.999999999995</v>
      </c>
    </row>
    <row r="3">
      <c r="A3" s="13" t="s">
        <v>66</v>
      </c>
      <c r="B3" s="3"/>
      <c r="C3" s="46">
        <v>10000.0</v>
      </c>
      <c r="D3" s="46">
        <v>8000.0</v>
      </c>
      <c r="E3" s="46">
        <v>6400.000000000002</v>
      </c>
      <c r="F3" s="46">
        <v>5120.000000000002</v>
      </c>
      <c r="G3" s="46">
        <v>4096.000000000001</v>
      </c>
      <c r="H3" s="46">
        <v>3276.800000000001</v>
      </c>
      <c r="I3" s="46">
        <v>2621.440000000001</v>
      </c>
      <c r="J3" s="46">
        <v>485.76000000000386</v>
      </c>
      <c r="K3" s="46">
        <v>0.0</v>
      </c>
      <c r="L3" s="44">
        <v>0.0</v>
      </c>
    </row>
    <row r="4">
      <c r="A4" s="24" t="s">
        <v>67</v>
      </c>
      <c r="B4" s="47">
        <v>50000.0</v>
      </c>
      <c r="C4" s="47">
        <v>40000.0</v>
      </c>
      <c r="D4" s="47">
        <v>32000.0</v>
      </c>
      <c r="E4" s="47">
        <v>25600.0</v>
      </c>
      <c r="F4" s="47">
        <v>20480.0</v>
      </c>
      <c r="G4" s="47">
        <v>16384.0</v>
      </c>
      <c r="H4" s="47">
        <v>13107.199999999999</v>
      </c>
      <c r="I4" s="47">
        <v>10485.759999999998</v>
      </c>
      <c r="J4" s="47">
        <v>9999.999999999995</v>
      </c>
      <c r="K4" s="47">
        <v>9999.999999999995</v>
      </c>
      <c r="L4" s="45">
        <v>9999.999999999995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9" t="s">
        <v>60</v>
      </c>
      <c r="B1" s="50"/>
    </row>
    <row r="2">
      <c r="A2" s="51" t="s">
        <v>61</v>
      </c>
      <c r="B2" s="52" t="str">
        <f>SUM(#REF!)</f>
        <v>#REF!</v>
      </c>
    </row>
    <row r="3">
      <c r="A3" s="51" t="s">
        <v>62</v>
      </c>
      <c r="B3" s="41" t="str">
        <f>IRR(#REF!,#REF!)</f>
        <v>#REF!</v>
      </c>
    </row>
    <row r="4">
      <c r="A4" s="53" t="s">
        <v>63</v>
      </c>
      <c r="B4" s="54" t="str">
        <f>SUM(#REF!)/SUM(A10:J10)</f>
        <v>#REF!</v>
      </c>
    </row>
  </sheetData>
  <mergeCells count="1">
    <mergeCell ref="A1:B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3" t="s">
        <v>46</v>
      </c>
      <c r="B1" s="7"/>
      <c r="C1" s="7"/>
      <c r="D1" s="7"/>
      <c r="E1" s="7"/>
      <c r="F1" s="7"/>
      <c r="G1" s="7"/>
      <c r="H1" s="7"/>
      <c r="I1" s="7"/>
      <c r="J1" s="7"/>
      <c r="K1" s="7"/>
      <c r="L1" s="8"/>
    </row>
    <row r="2">
      <c r="A2" s="13" t="s">
        <v>47</v>
      </c>
      <c r="B2" s="3"/>
      <c r="C2" s="3" t="str">
        <f t="shared" ref="C2:L2" si="1">IF(#REF!&gt;#REF!,0,1)</f>
        <v>#REF!</v>
      </c>
      <c r="D2" s="3" t="str">
        <f t="shared" si="1"/>
        <v>#REF!</v>
      </c>
      <c r="E2" s="3" t="str">
        <f t="shared" si="1"/>
        <v>#REF!</v>
      </c>
      <c r="F2" s="3" t="str">
        <f t="shared" si="1"/>
        <v>#REF!</v>
      </c>
      <c r="G2" s="3" t="str">
        <f t="shared" si="1"/>
        <v>#REF!</v>
      </c>
      <c r="H2" s="3" t="str">
        <f t="shared" si="1"/>
        <v>#REF!</v>
      </c>
      <c r="I2" s="3" t="str">
        <f t="shared" si="1"/>
        <v>#REF!</v>
      </c>
      <c r="J2" s="3" t="str">
        <f t="shared" si="1"/>
        <v>#REF!</v>
      </c>
      <c r="K2" s="3" t="str">
        <f t="shared" si="1"/>
        <v>#REF!</v>
      </c>
      <c r="L2" s="48" t="str">
        <f t="shared" si="1"/>
        <v>#REF!</v>
      </c>
    </row>
    <row r="3">
      <c r="A3" s="13" t="s">
        <v>31</v>
      </c>
      <c r="B3" s="46"/>
      <c r="C3" s="46" t="str">
        <f>#REF!</f>
        <v>#REF!</v>
      </c>
      <c r="D3" s="46" t="str">
        <f t="shared" ref="D3:L3" si="2">C3*(1+#REF!)*D2</f>
        <v>#REF!</v>
      </c>
      <c r="E3" s="46" t="str">
        <f t="shared" si="2"/>
        <v>#REF!</v>
      </c>
      <c r="F3" s="46" t="str">
        <f t="shared" si="2"/>
        <v>#REF!</v>
      </c>
      <c r="G3" s="46" t="str">
        <f t="shared" si="2"/>
        <v>#REF!</v>
      </c>
      <c r="H3" s="46" t="str">
        <f t="shared" si="2"/>
        <v>#REF!</v>
      </c>
      <c r="I3" s="46" t="str">
        <f t="shared" si="2"/>
        <v>#REF!</v>
      </c>
      <c r="J3" s="46" t="str">
        <f t="shared" si="2"/>
        <v>#REF!</v>
      </c>
      <c r="K3" s="46" t="str">
        <f t="shared" si="2"/>
        <v>#REF!</v>
      </c>
      <c r="L3" s="44" t="str">
        <f t="shared" si="2"/>
        <v>#REF!</v>
      </c>
    </row>
    <row r="4">
      <c r="A4" s="13" t="s">
        <v>48</v>
      </c>
      <c r="B4" s="46"/>
      <c r="C4" s="46" t="str">
        <f t="shared" ref="C4:L4" si="3">C3*#REF!</f>
        <v>#REF!</v>
      </c>
      <c r="D4" s="46" t="str">
        <f t="shared" si="3"/>
        <v>#REF!</v>
      </c>
      <c r="E4" s="46" t="str">
        <f t="shared" si="3"/>
        <v>#REF!</v>
      </c>
      <c r="F4" s="46" t="str">
        <f t="shared" si="3"/>
        <v>#REF!</v>
      </c>
      <c r="G4" s="46" t="str">
        <f t="shared" si="3"/>
        <v>#REF!</v>
      </c>
      <c r="H4" s="46" t="str">
        <f t="shared" si="3"/>
        <v>#REF!</v>
      </c>
      <c r="I4" s="46" t="str">
        <f t="shared" si="3"/>
        <v>#REF!</v>
      </c>
      <c r="J4" s="46" t="str">
        <f t="shared" si="3"/>
        <v>#REF!</v>
      </c>
      <c r="K4" s="46" t="str">
        <f t="shared" si="3"/>
        <v>#REF!</v>
      </c>
      <c r="L4" s="44" t="str">
        <f t="shared" si="3"/>
        <v>#REF!</v>
      </c>
    </row>
    <row r="5">
      <c r="A5" s="13" t="s">
        <v>49</v>
      </c>
      <c r="B5" s="46"/>
      <c r="C5" s="46" t="str">
        <f>#REF!</f>
        <v>#REF!</v>
      </c>
      <c r="D5" s="46" t="str">
        <f t="shared" ref="D5:L5" si="4">C5*(1+#REF!)*D2</f>
        <v>#REF!</v>
      </c>
      <c r="E5" s="46" t="str">
        <f t="shared" si="4"/>
        <v>#REF!</v>
      </c>
      <c r="F5" s="46" t="str">
        <f t="shared" si="4"/>
        <v>#REF!</v>
      </c>
      <c r="G5" s="46" t="str">
        <f t="shared" si="4"/>
        <v>#REF!</v>
      </c>
      <c r="H5" s="46" t="str">
        <f t="shared" si="4"/>
        <v>#REF!</v>
      </c>
      <c r="I5" s="46" t="str">
        <f t="shared" si="4"/>
        <v>#REF!</v>
      </c>
      <c r="J5" s="46" t="str">
        <f t="shared" si="4"/>
        <v>#REF!</v>
      </c>
      <c r="K5" s="46" t="str">
        <f t="shared" si="4"/>
        <v>#REF!</v>
      </c>
      <c r="L5" s="44" t="str">
        <f t="shared" si="4"/>
        <v>#REF!</v>
      </c>
    </row>
    <row r="6">
      <c r="A6" s="13" t="s">
        <v>50</v>
      </c>
      <c r="B6" s="46"/>
      <c r="C6" s="46" t="str">
        <f t="shared" ref="C6:L6" si="5">C3-C4-C5</f>
        <v>#REF!</v>
      </c>
      <c r="D6" s="46" t="str">
        <f t="shared" si="5"/>
        <v>#REF!</v>
      </c>
      <c r="E6" s="46" t="str">
        <f t="shared" si="5"/>
        <v>#REF!</v>
      </c>
      <c r="F6" s="46" t="str">
        <f t="shared" si="5"/>
        <v>#REF!</v>
      </c>
      <c r="G6" s="46" t="str">
        <f t="shared" si="5"/>
        <v>#REF!</v>
      </c>
      <c r="H6" s="46" t="str">
        <f t="shared" si="5"/>
        <v>#REF!</v>
      </c>
      <c r="I6" s="46" t="str">
        <f t="shared" si="5"/>
        <v>#REF!</v>
      </c>
      <c r="J6" s="46" t="str">
        <f t="shared" si="5"/>
        <v>#REF!</v>
      </c>
      <c r="K6" s="46" t="str">
        <f t="shared" si="5"/>
        <v>#REF!</v>
      </c>
      <c r="L6" s="44" t="str">
        <f t="shared" si="5"/>
        <v>#REF!</v>
      </c>
    </row>
    <row r="7">
      <c r="A7" s="13" t="s">
        <v>51</v>
      </c>
      <c r="B7" s="46"/>
      <c r="C7" s="46" t="str">
        <f t="shared" ref="C7:L7" si="6">C25</f>
        <v/>
      </c>
      <c r="D7" s="46" t="str">
        <f t="shared" si="6"/>
        <v/>
      </c>
      <c r="E7" s="46" t="str">
        <f t="shared" si="6"/>
        <v/>
      </c>
      <c r="F7" s="46" t="str">
        <f t="shared" si="6"/>
        <v/>
      </c>
      <c r="G7" s="46" t="str">
        <f t="shared" si="6"/>
        <v/>
      </c>
      <c r="H7" s="46" t="str">
        <f t="shared" si="6"/>
        <v/>
      </c>
      <c r="I7" s="46" t="str">
        <f t="shared" si="6"/>
        <v/>
      </c>
      <c r="J7" s="46" t="str">
        <f t="shared" si="6"/>
        <v/>
      </c>
      <c r="K7" s="46" t="str">
        <f t="shared" si="6"/>
        <v/>
      </c>
      <c r="L7" s="44" t="str">
        <f t="shared" si="6"/>
        <v/>
      </c>
    </row>
    <row r="8">
      <c r="A8" s="13" t="s">
        <v>52</v>
      </c>
      <c r="B8" s="46"/>
      <c r="C8" s="46" t="str">
        <f t="shared" ref="C8:L8" si="7">C6-C7</f>
        <v>#REF!</v>
      </c>
      <c r="D8" s="46" t="str">
        <f t="shared" si="7"/>
        <v>#REF!</v>
      </c>
      <c r="E8" s="46" t="str">
        <f t="shared" si="7"/>
        <v>#REF!</v>
      </c>
      <c r="F8" s="46" t="str">
        <f t="shared" si="7"/>
        <v>#REF!</v>
      </c>
      <c r="G8" s="46" t="str">
        <f t="shared" si="7"/>
        <v>#REF!</v>
      </c>
      <c r="H8" s="46" t="str">
        <f t="shared" si="7"/>
        <v>#REF!</v>
      </c>
      <c r="I8" s="46" t="str">
        <f t="shared" si="7"/>
        <v>#REF!</v>
      </c>
      <c r="J8" s="46" t="str">
        <f t="shared" si="7"/>
        <v>#REF!</v>
      </c>
      <c r="K8" s="46" t="str">
        <f t="shared" si="7"/>
        <v>#REF!</v>
      </c>
      <c r="L8" s="44" t="str">
        <f t="shared" si="7"/>
        <v>#REF!</v>
      </c>
    </row>
    <row r="9">
      <c r="A9" s="13" t="s">
        <v>53</v>
      </c>
      <c r="B9" s="46"/>
      <c r="C9" s="46" t="str">
        <f t="shared" ref="C9:L9" si="8">C8*#REF!</f>
        <v>#REF!</v>
      </c>
      <c r="D9" s="46" t="str">
        <f t="shared" si="8"/>
        <v>#REF!</v>
      </c>
      <c r="E9" s="46" t="str">
        <f t="shared" si="8"/>
        <v>#REF!</v>
      </c>
      <c r="F9" s="46" t="str">
        <f t="shared" si="8"/>
        <v>#REF!</v>
      </c>
      <c r="G9" s="46" t="str">
        <f t="shared" si="8"/>
        <v>#REF!</v>
      </c>
      <c r="H9" s="46" t="str">
        <f t="shared" si="8"/>
        <v>#REF!</v>
      </c>
      <c r="I9" s="46" t="str">
        <f t="shared" si="8"/>
        <v>#REF!</v>
      </c>
      <c r="J9" s="46" t="str">
        <f t="shared" si="8"/>
        <v>#REF!</v>
      </c>
      <c r="K9" s="46" t="str">
        <f t="shared" si="8"/>
        <v>#REF!</v>
      </c>
      <c r="L9" s="44" t="str">
        <f t="shared" si="8"/>
        <v>#REF!</v>
      </c>
    </row>
    <row r="10">
      <c r="A10" s="13" t="s">
        <v>54</v>
      </c>
      <c r="B10" s="46"/>
      <c r="C10" s="46" t="str">
        <f t="shared" ref="C10:L10" si="9">C8-C9</f>
        <v>#REF!</v>
      </c>
      <c r="D10" s="46" t="str">
        <f t="shared" si="9"/>
        <v>#REF!</v>
      </c>
      <c r="E10" s="46" t="str">
        <f t="shared" si="9"/>
        <v>#REF!</v>
      </c>
      <c r="F10" s="46" t="str">
        <f t="shared" si="9"/>
        <v>#REF!</v>
      </c>
      <c r="G10" s="46" t="str">
        <f t="shared" si="9"/>
        <v>#REF!</v>
      </c>
      <c r="H10" s="46" t="str">
        <f t="shared" si="9"/>
        <v>#REF!</v>
      </c>
      <c r="I10" s="46" t="str">
        <f t="shared" si="9"/>
        <v>#REF!</v>
      </c>
      <c r="J10" s="46" t="str">
        <f t="shared" si="9"/>
        <v>#REF!</v>
      </c>
      <c r="K10" s="46" t="str">
        <f t="shared" si="9"/>
        <v>#REF!</v>
      </c>
      <c r="L10" s="44" t="str">
        <f t="shared" si="9"/>
        <v>#REF!</v>
      </c>
    </row>
    <row r="11">
      <c r="A11" s="13" t="s">
        <v>55</v>
      </c>
      <c r="B11" s="46"/>
      <c r="C11" s="46" t="str">
        <f t="shared" ref="C11:L11" si="10">C7</f>
        <v/>
      </c>
      <c r="D11" s="46" t="str">
        <f t="shared" si="10"/>
        <v/>
      </c>
      <c r="E11" s="46" t="str">
        <f t="shared" si="10"/>
        <v/>
      </c>
      <c r="F11" s="46" t="str">
        <f t="shared" si="10"/>
        <v/>
      </c>
      <c r="G11" s="46" t="str">
        <f t="shared" si="10"/>
        <v/>
      </c>
      <c r="H11" s="46" t="str">
        <f t="shared" si="10"/>
        <v/>
      </c>
      <c r="I11" s="46" t="str">
        <f t="shared" si="10"/>
        <v/>
      </c>
      <c r="J11" s="46" t="str">
        <f t="shared" si="10"/>
        <v/>
      </c>
      <c r="K11" s="46" t="str">
        <f t="shared" si="10"/>
        <v/>
      </c>
      <c r="L11" s="44" t="str">
        <f t="shared" si="10"/>
        <v/>
      </c>
    </row>
    <row r="12">
      <c r="A12" s="13" t="s">
        <v>56</v>
      </c>
      <c r="B12" s="46"/>
      <c r="C12" s="46" t="str">
        <f t="shared" ref="C12:D12" si="11">(#REF!*C3-#REF!)*C2</f>
        <v>#REF!</v>
      </c>
      <c r="D12" s="46" t="str">
        <f t="shared" si="11"/>
        <v>#REF!</v>
      </c>
      <c r="E12" s="46" t="str">
        <f>(#REF!*E3-#REF!-SUM(C12,D12))*E2</f>
        <v>#REF!</v>
      </c>
      <c r="F12" s="46" t="str">
        <f>(#REF!*F3-#REF!-SUM(C12:E12))*F2</f>
        <v>#REF!</v>
      </c>
      <c r="G12" s="46" t="str">
        <f>(#REF!*G3-#REF!-SUM(C12:F12))*G2</f>
        <v>#REF!</v>
      </c>
      <c r="H12" s="46" t="str">
        <f>(#REF!*H3-#REF!-SUM(C12:G12))*H2</f>
        <v>#REF!</v>
      </c>
      <c r="I12" s="46" t="str">
        <f>(#REF!*I3-#REF!-SUM(C12:H12))*I2</f>
        <v>#REF!</v>
      </c>
      <c r="J12" s="46" t="str">
        <f>(#REF!*J3-#REF!-SUM(C12:I12))*J2</f>
        <v>#REF!</v>
      </c>
      <c r="K12" s="46" t="str">
        <f>(#REF!*K3-#REF!-SUM(C12:J12))*K2</f>
        <v>#REF!</v>
      </c>
      <c r="L12" s="44" t="str">
        <f>(#REF!*L3-#REF!-SUM(C12:K12))*L2</f>
        <v>#REF!</v>
      </c>
    </row>
    <row r="13">
      <c r="A13" s="13" t="s">
        <v>57</v>
      </c>
      <c r="B13" s="46" t="str">
        <f>0-#REF!</f>
        <v>#REF!</v>
      </c>
      <c r="C13" s="46" t="str">
        <f t="shared" ref="C13:L13" si="12">C10+C11-C12</f>
        <v>#REF!</v>
      </c>
      <c r="D13" s="46" t="str">
        <f t="shared" si="12"/>
        <v>#REF!</v>
      </c>
      <c r="E13" s="46" t="str">
        <f t="shared" si="12"/>
        <v>#REF!</v>
      </c>
      <c r="F13" s="46" t="str">
        <f t="shared" si="12"/>
        <v>#REF!</v>
      </c>
      <c r="G13" s="46" t="str">
        <f t="shared" si="12"/>
        <v>#REF!</v>
      </c>
      <c r="H13" s="46" t="str">
        <f t="shared" si="12"/>
        <v>#REF!</v>
      </c>
      <c r="I13" s="46" t="str">
        <f t="shared" si="12"/>
        <v>#REF!</v>
      </c>
      <c r="J13" s="46" t="str">
        <f t="shared" si="12"/>
        <v>#REF!</v>
      </c>
      <c r="K13" s="46" t="str">
        <f t="shared" si="12"/>
        <v>#REF!</v>
      </c>
      <c r="L13" s="44" t="str">
        <f t="shared" si="12"/>
        <v>#REF!</v>
      </c>
    </row>
    <row r="14">
      <c r="A14" s="13" t="s">
        <v>58</v>
      </c>
      <c r="B14" s="3">
        <f>1</f>
        <v>1</v>
      </c>
      <c r="C14" s="3" t="str">
        <f t="shared" ref="C14:L14" si="13">C2*(1+#REF!)^#REF!</f>
        <v>#REF!</v>
      </c>
      <c r="D14" s="3" t="str">
        <f t="shared" si="13"/>
        <v>#REF!</v>
      </c>
      <c r="E14" s="3" t="str">
        <f t="shared" si="13"/>
        <v>#REF!</v>
      </c>
      <c r="F14" s="3" t="str">
        <f t="shared" si="13"/>
        <v>#REF!</v>
      </c>
      <c r="G14" s="3" t="str">
        <f t="shared" si="13"/>
        <v>#REF!</v>
      </c>
      <c r="H14" s="3" t="str">
        <f t="shared" si="13"/>
        <v>#REF!</v>
      </c>
      <c r="I14" s="3" t="str">
        <f t="shared" si="13"/>
        <v>#REF!</v>
      </c>
      <c r="J14" s="3" t="str">
        <f t="shared" si="13"/>
        <v>#REF!</v>
      </c>
      <c r="K14" s="3" t="str">
        <f t="shared" si="13"/>
        <v>#REF!</v>
      </c>
      <c r="L14" s="48" t="str">
        <f t="shared" si="13"/>
        <v>#REF!</v>
      </c>
    </row>
    <row r="15">
      <c r="A15" s="24" t="s">
        <v>59</v>
      </c>
      <c r="B15" s="47" t="str">
        <f>0-#REF!</f>
        <v>#REF!</v>
      </c>
      <c r="C15" s="47" t="str">
        <f t="shared" ref="C15:L15" si="14">(C13+#REF!+#REF!)/(1+#REF!)^#REF!</f>
        <v>#REF!</v>
      </c>
      <c r="D15" s="47" t="str">
        <f t="shared" si="14"/>
        <v>#REF!</v>
      </c>
      <c r="E15" s="47" t="str">
        <f t="shared" si="14"/>
        <v>#REF!</v>
      </c>
      <c r="F15" s="47" t="str">
        <f t="shared" si="14"/>
        <v>#REF!</v>
      </c>
      <c r="G15" s="47" t="str">
        <f t="shared" si="14"/>
        <v>#REF!</v>
      </c>
      <c r="H15" s="47" t="str">
        <f t="shared" si="14"/>
        <v>#REF!</v>
      </c>
      <c r="I15" s="47" t="str">
        <f t="shared" si="14"/>
        <v>#REF!</v>
      </c>
      <c r="J15" s="47" t="str">
        <f t="shared" si="14"/>
        <v>#REF!</v>
      </c>
      <c r="K15" s="47" t="str">
        <f t="shared" si="14"/>
        <v>#REF!</v>
      </c>
      <c r="L15" s="45" t="str">
        <f t="shared" si="14"/>
        <v>#REF!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3" t="s">
        <v>43</v>
      </c>
      <c r="B1" s="7"/>
      <c r="C1" s="7"/>
      <c r="D1" s="7"/>
      <c r="E1" s="7"/>
      <c r="F1" s="7"/>
      <c r="G1" s="7"/>
      <c r="H1" s="7"/>
      <c r="I1" s="7"/>
      <c r="J1" s="7"/>
      <c r="K1" s="7"/>
      <c r="L1" s="8"/>
    </row>
    <row r="2">
      <c r="A2" s="13" t="s">
        <v>44</v>
      </c>
      <c r="B2" s="3"/>
      <c r="C2" s="46" t="str">
        <f t="shared" ref="C2:L2" si="1">IF(#REF!=#REF!,#REF!,0)</f>
        <v>#REF!</v>
      </c>
      <c r="D2" s="46" t="str">
        <f t="shared" si="1"/>
        <v>#REF!</v>
      </c>
      <c r="E2" s="46" t="str">
        <f t="shared" si="1"/>
        <v>#REF!</v>
      </c>
      <c r="F2" s="46" t="str">
        <f t="shared" si="1"/>
        <v>#REF!</v>
      </c>
      <c r="G2" s="46" t="str">
        <f t="shared" si="1"/>
        <v>#REF!</v>
      </c>
      <c r="H2" s="46" t="str">
        <f t="shared" si="1"/>
        <v>#REF!</v>
      </c>
      <c r="I2" s="46" t="str">
        <f t="shared" si="1"/>
        <v>#REF!</v>
      </c>
      <c r="J2" s="46" t="str">
        <f t="shared" si="1"/>
        <v>#REF!</v>
      </c>
      <c r="K2" s="46" t="str">
        <f t="shared" si="1"/>
        <v>#REF!</v>
      </c>
      <c r="L2" s="44" t="str">
        <f t="shared" si="1"/>
        <v>#REF!</v>
      </c>
    </row>
    <row r="3">
      <c r="A3" s="24" t="s">
        <v>45</v>
      </c>
      <c r="B3" s="25"/>
      <c r="C3" s="47" t="str">
        <f>IF(#REF!=#REF!,(#REF!+SUM(C16:L16))*#REF!,0)</f>
        <v>#REF!</v>
      </c>
      <c r="D3" s="47" t="str">
        <f>IF(#REF!=#REF!,(#REF!+SUM(C16:L16))*#REF!,0)</f>
        <v>#REF!</v>
      </c>
      <c r="E3" s="47" t="str">
        <f>IF(#REF!=#REF!,(#REF!+SUM(C16:L16))*#REF!,0)</f>
        <v>#REF!</v>
      </c>
      <c r="F3" s="47" t="str">
        <f>IF(#REF!=#REF!,(#REF!+SUM(C16:L16))*#REF!,0)</f>
        <v>#REF!</v>
      </c>
      <c r="G3" s="47" t="str">
        <f>IF(#REF!=#REF!,(#REF!+SUM(C16:L16))*#REF!,0)</f>
        <v>#REF!</v>
      </c>
      <c r="H3" s="47" t="str">
        <f>IF(21=#REF!,(#REF!+SUM(C16:L16))*#REF!,0)</f>
        <v>#REF!</v>
      </c>
      <c r="I3" s="47" t="str">
        <f>IF(#REF!=#REF!,(#REF!+SUM(C16:L16))*#REF!,0)</f>
        <v>#REF!</v>
      </c>
      <c r="J3" s="47" t="str">
        <f>IF(#REF!=#REF!,(#REF!+SUM(C16:L16))*#REF!,0)</f>
        <v>#REF!</v>
      </c>
      <c r="K3" s="47" t="str">
        <f>IF(#REF!=#REF!,(#REF!+SUM(C16:L16))*#REF!,0)</f>
        <v>#REF!</v>
      </c>
      <c r="L3" s="45" t="str">
        <f>IF(#REF!=#REF!,(#REF!+SUM(C16:L16))*#REF!,0)</f>
        <v>#REF!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14"/>
    <col customWidth="1" min="2" max="2" width="22.57"/>
  </cols>
  <sheetData>
    <row r="1">
      <c r="A1" s="43" t="s">
        <v>2</v>
      </c>
      <c r="B1" s="8"/>
    </row>
    <row r="2">
      <c r="A2" s="13" t="s">
        <v>36</v>
      </c>
      <c r="B2" s="44">
        <v>50000.0</v>
      </c>
    </row>
    <row r="3">
      <c r="A3" s="13" t="s">
        <v>37</v>
      </c>
      <c r="B3" s="44">
        <v>5000.0</v>
      </c>
    </row>
    <row r="4">
      <c r="A4" s="13" t="s">
        <v>38</v>
      </c>
      <c r="B4" s="44">
        <v>45000.0</v>
      </c>
    </row>
    <row r="5">
      <c r="A5" s="13" t="s">
        <v>39</v>
      </c>
      <c r="B5" s="44">
        <v>10000.0</v>
      </c>
    </row>
    <row r="6">
      <c r="A6" s="13" t="s">
        <v>40</v>
      </c>
      <c r="B6" s="44">
        <v>7484.0</v>
      </c>
    </row>
    <row r="7">
      <c r="A7" s="13" t="s">
        <v>41</v>
      </c>
      <c r="B7" s="44">
        <v>0.0</v>
      </c>
    </row>
    <row r="8">
      <c r="A8" s="24" t="s">
        <v>42</v>
      </c>
      <c r="B8" s="45">
        <v>62484.0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" t="s">
        <v>30</v>
      </c>
      <c r="B1" s="7"/>
      <c r="C1" s="7"/>
      <c r="D1" s="7"/>
      <c r="E1" s="7"/>
      <c r="F1" s="7"/>
      <c r="G1" s="7"/>
      <c r="H1" s="7"/>
      <c r="I1" s="7"/>
      <c r="J1" s="7"/>
      <c r="K1" s="7"/>
      <c r="L1" s="8"/>
    </row>
    <row r="2">
      <c r="A2" s="37"/>
      <c r="B2" s="9"/>
      <c r="C2" s="9">
        <v>1.0</v>
      </c>
      <c r="D2" s="9">
        <v>2.0</v>
      </c>
      <c r="E2" s="9">
        <v>3.0</v>
      </c>
      <c r="F2" s="9">
        <v>4.0</v>
      </c>
      <c r="G2" s="9">
        <v>5.0</v>
      </c>
      <c r="H2" s="9">
        <v>6.0</v>
      </c>
      <c r="I2" s="9">
        <v>7.0</v>
      </c>
      <c r="J2" s="9">
        <v>8.0</v>
      </c>
      <c r="K2" s="9">
        <v>9.0</v>
      </c>
      <c r="L2" s="38">
        <v>10.0</v>
      </c>
    </row>
    <row r="3">
      <c r="A3" s="13" t="s">
        <v>31</v>
      </c>
      <c r="B3" s="3"/>
      <c r="C3" s="3" t="s">
        <v>32</v>
      </c>
      <c r="D3" s="40">
        <v>0.1</v>
      </c>
      <c r="E3" s="40">
        <v>0.1</v>
      </c>
      <c r="F3" s="40">
        <v>0.1</v>
      </c>
      <c r="G3" s="40">
        <v>0.1</v>
      </c>
      <c r="H3" s="40">
        <v>0.0</v>
      </c>
      <c r="I3" s="40">
        <v>0.0</v>
      </c>
      <c r="J3" s="40">
        <v>0.0</v>
      </c>
      <c r="K3" s="40">
        <v>0.0</v>
      </c>
      <c r="L3" s="41">
        <v>0.0</v>
      </c>
    </row>
    <row r="4">
      <c r="A4" s="13" t="s">
        <v>33</v>
      </c>
      <c r="B4" s="3"/>
      <c r="C4" s="3" t="s">
        <v>32</v>
      </c>
      <c r="D4" s="40">
        <f t="shared" ref="D4:L4" si="1">D3</f>
        <v>0.1</v>
      </c>
      <c r="E4" s="40">
        <f t="shared" si="1"/>
        <v>0.1</v>
      </c>
      <c r="F4" s="40">
        <f t="shared" si="1"/>
        <v>0.1</v>
      </c>
      <c r="G4" s="40">
        <f t="shared" si="1"/>
        <v>0.1</v>
      </c>
      <c r="H4" s="40">
        <f t="shared" si="1"/>
        <v>0</v>
      </c>
      <c r="I4" s="40">
        <f t="shared" si="1"/>
        <v>0</v>
      </c>
      <c r="J4" s="40">
        <f t="shared" si="1"/>
        <v>0</v>
      </c>
      <c r="K4" s="40">
        <f t="shared" si="1"/>
        <v>0</v>
      </c>
      <c r="L4" s="41">
        <f t="shared" si="1"/>
        <v>0</v>
      </c>
    </row>
    <row r="5">
      <c r="A5" s="24" t="s">
        <v>34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42"/>
    </row>
    <row r="6">
      <c r="A6" s="3"/>
      <c r="B6" s="3"/>
      <c r="C6" s="3"/>
      <c r="D6" s="3"/>
      <c r="E6" s="3"/>
      <c r="F6" s="3" t="s">
        <v>35</v>
      </c>
      <c r="G6" s="3"/>
      <c r="H6" s="3"/>
      <c r="I6" s="3"/>
      <c r="J6" s="3"/>
      <c r="K6" s="3"/>
      <c r="L6" s="3"/>
    </row>
    <row r="7">
      <c r="A7" s="3"/>
      <c r="B7" s="3">
        <v>0.0</v>
      </c>
      <c r="C7" s="3">
        <v>1.0</v>
      </c>
      <c r="D7" s="3">
        <v>2.0</v>
      </c>
      <c r="E7" s="3">
        <v>3.0</v>
      </c>
      <c r="F7" s="3">
        <v>4.0</v>
      </c>
      <c r="G7" s="3">
        <v>5.0</v>
      </c>
      <c r="H7" s="3">
        <v>6.0</v>
      </c>
      <c r="I7" s="3">
        <v>7.0</v>
      </c>
      <c r="J7" s="3">
        <v>8.0</v>
      </c>
      <c r="K7" s="3">
        <v>9.0</v>
      </c>
      <c r="L7" s="3">
        <v>10.0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71"/>
  </cols>
  <sheetData>
    <row r="1">
      <c r="A1" s="56" t="s">
        <v>26</v>
      </c>
      <c r="B1" s="57"/>
      <c r="C1" s="58"/>
    </row>
    <row r="2">
      <c r="A2" s="59" t="s">
        <v>27</v>
      </c>
      <c r="B2" s="3"/>
      <c r="C2" s="60">
        <v>10000.0</v>
      </c>
    </row>
    <row r="3">
      <c r="A3" s="59" t="s">
        <v>28</v>
      </c>
      <c r="B3" s="3"/>
      <c r="C3" s="61">
        <v>0.25</v>
      </c>
    </row>
    <row r="4">
      <c r="A4" s="62" t="s">
        <v>29</v>
      </c>
      <c r="B4" s="63"/>
      <c r="C4" s="64">
        <v>1.0</v>
      </c>
    </row>
  </sheetData>
  <drawing r:id="rId1"/>
</worksheet>
</file>