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USMP\CIVIL 2021-II\HIDRAULICA\Software Hidra\"/>
    </mc:Choice>
  </mc:AlternateContent>
  <xr:revisionPtr revIDLastSave="0" documentId="13_ncr:1_{01993ADE-0C34-4141-9303-A9FC5394D9FA}" xr6:coauthVersionLast="47" xr6:coauthVersionMax="47" xr10:uidLastSave="{00000000-0000-0000-0000-000000000000}"/>
  <bookViews>
    <workbookView xWindow="-108" yWindow="-108" windowWidth="23256" windowHeight="12576" xr2:uid="{52741C8B-3F7C-4855-BAC7-087FD28C6703}"/>
  </bookViews>
  <sheets>
    <sheet name="SIFONE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" l="1"/>
  <c r="B128" i="1"/>
  <c r="C122" i="1"/>
  <c r="C121" i="1"/>
  <c r="B119" i="1"/>
  <c r="B118" i="1"/>
  <c r="D103" i="1"/>
  <c r="D104" i="1" s="1"/>
  <c r="C104" i="1"/>
  <c r="B78" i="1"/>
  <c r="C98" i="1" s="1"/>
  <c r="B70" i="1"/>
  <c r="B72" i="1" s="1"/>
  <c r="B43" i="1"/>
  <c r="C44" i="1" s="1"/>
  <c r="C103" i="1" s="1"/>
  <c r="B62" i="1"/>
  <c r="C94" i="1" s="1"/>
  <c r="B52" i="1"/>
  <c r="G52" i="1" s="1"/>
  <c r="E103" i="1" l="1"/>
  <c r="C93" i="1"/>
  <c r="C95" i="1" s="1"/>
  <c r="C97" i="1"/>
  <c r="C99" i="1" s="1"/>
  <c r="E104" i="1"/>
  <c r="E105" i="1" l="1"/>
  <c r="C45" i="1" l="1"/>
  <c r="E22" i="1"/>
  <c r="B26" i="1"/>
  <c r="B20" i="1"/>
  <c r="B21" i="1" s="1"/>
  <c r="B22" i="1" s="1"/>
  <c r="F51" i="1" l="1"/>
  <c r="B86" i="1"/>
  <c r="B115" i="1" s="1"/>
  <c r="B87" i="1"/>
  <c r="B114" i="1" s="1"/>
  <c r="B27" i="1"/>
  <c r="B51" i="1" s="1"/>
  <c r="F52" i="1" s="1"/>
  <c r="F53" i="1" s="1"/>
  <c r="F54" i="1" s="1"/>
  <c r="C56" i="1" s="1"/>
  <c r="C64" i="1" s="1"/>
  <c r="B74" i="1" s="1"/>
  <c r="B80" i="1" s="1"/>
  <c r="B89" i="1" s="1"/>
  <c r="B32" i="1"/>
  <c r="A49" i="1"/>
  <c r="B31" i="1" l="1"/>
</calcChain>
</file>

<file path=xl/sharedStrings.xml><?xml version="1.0" encoding="utf-8"?>
<sst xmlns="http://schemas.openxmlformats.org/spreadsheetml/2006/main" count="143" uniqueCount="124">
  <si>
    <t>DISEÑO HIDRAULICO DE SIFON INVERTIDO</t>
  </si>
  <si>
    <t>Datos INPUT</t>
  </si>
  <si>
    <t>Z</t>
  </si>
  <si>
    <t>Q</t>
  </si>
  <si>
    <t>S</t>
  </si>
  <si>
    <t>b</t>
  </si>
  <si>
    <t>n</t>
  </si>
  <si>
    <t>Y</t>
  </si>
  <si>
    <t>V</t>
  </si>
  <si>
    <t>Z=</t>
  </si>
  <si>
    <t>Q=</t>
  </si>
  <si>
    <t>S=</t>
  </si>
  <si>
    <t>b=</t>
  </si>
  <si>
    <t>n=</t>
  </si>
  <si>
    <t>Y=</t>
  </si>
  <si>
    <t>V=</t>
  </si>
  <si>
    <t>V^2/2g=</t>
  </si>
  <si>
    <t>m^3/s</t>
  </si>
  <si>
    <t>m</t>
  </si>
  <si>
    <t>m/s</t>
  </si>
  <si>
    <t>Leyenda.</t>
  </si>
  <si>
    <t>talud</t>
  </si>
  <si>
    <t>caudal</t>
  </si>
  <si>
    <t>pendiente</t>
  </si>
  <si>
    <t>base</t>
  </si>
  <si>
    <t>numero de froude</t>
  </si>
  <si>
    <t>tirante</t>
  </si>
  <si>
    <t>velocidad</t>
  </si>
  <si>
    <t>Pendiente aguas arriba y  abajo son 0.001 según el perfil del canal: Km.1+030 = 46.725 m.s.n.m y Km 1+070 = 46.443 m.s.n.m}</t>
  </si>
  <si>
    <t>α/2</t>
  </si>
  <si>
    <t>Lt</t>
  </si>
  <si>
    <t xml:space="preserve"> </t>
  </si>
  <si>
    <t>1. Selección del diametro de tubo</t>
  </si>
  <si>
    <t>T</t>
  </si>
  <si>
    <t>espejo de agua</t>
  </si>
  <si>
    <t>Area</t>
  </si>
  <si>
    <t>m2</t>
  </si>
  <si>
    <t>Diametro</t>
  </si>
  <si>
    <t>T1</t>
  </si>
  <si>
    <t>T2</t>
  </si>
  <si>
    <t>escogemos</t>
  </si>
  <si>
    <t>plg</t>
  </si>
  <si>
    <t>pulg</t>
  </si>
  <si>
    <t>α/2=</t>
  </si>
  <si>
    <t>°</t>
  </si>
  <si>
    <t>4Di</t>
  </si>
  <si>
    <t>25°</t>
  </si>
  <si>
    <t xml:space="preserve"> Hallamos Lt para α/2=25° y 4 veces el Diametro, luego comprobando el nuevo angulo en este caso 16°30'</t>
  </si>
  <si>
    <t>Aca hay una formula de Lt donde si la despejamos se puede hallar el nuevo angulo, tengo la formula despejada pero nose como aplicarla al excel.</t>
  </si>
  <si>
    <t>Escogemos el angulo</t>
  </si>
  <si>
    <t>Long e=</t>
  </si>
  <si>
    <t>Lt=</t>
  </si>
  <si>
    <t>Cota de fondo 1</t>
  </si>
  <si>
    <t>Nivel Agua 1</t>
  </si>
  <si>
    <t>m.s.n.m</t>
  </si>
  <si>
    <t>Hte</t>
  </si>
  <si>
    <t>1.5 Hv</t>
  </si>
  <si>
    <t>Hv</t>
  </si>
  <si>
    <t>Angulo</t>
  </si>
  <si>
    <t>angulo lt</t>
  </si>
  <si>
    <t>V1</t>
  </si>
  <si>
    <t>Vt</t>
  </si>
  <si>
    <t>Cota de fondo 2</t>
  </si>
  <si>
    <t xml:space="preserve"> habiendo escogido el α = 12° previamente -----&gt; 12 = h/5.0</t>
  </si>
  <si>
    <t>h</t>
  </si>
  <si>
    <t>Cota de fondo 3</t>
  </si>
  <si>
    <t>Lth</t>
  </si>
  <si>
    <t>Longitud de tubo horizontal</t>
  </si>
  <si>
    <t xml:space="preserve">Lth </t>
  </si>
  <si>
    <t>(DATO PREDETERMINADO)</t>
  </si>
  <si>
    <t>Escala de 1/1000</t>
  </si>
  <si>
    <t xml:space="preserve">Escala </t>
  </si>
  <si>
    <t>Longitud de tubo horizontal = 10 m , realizado a escala 5/1000</t>
  </si>
  <si>
    <t>Escala</t>
  </si>
  <si>
    <t>(DATOS PREDETERMINADO)</t>
  </si>
  <si>
    <t>H4</t>
  </si>
  <si>
    <t>Cota fondo 4</t>
  </si>
  <si>
    <t>1.1. Longitud de transicion</t>
  </si>
  <si>
    <t>2. Nivel de agua 1</t>
  </si>
  <si>
    <t>2.1. Cota en el fondo 2</t>
  </si>
  <si>
    <t>2.2. Cota en el fondo 3</t>
  </si>
  <si>
    <t>2.3. Cota de fondo 4</t>
  </si>
  <si>
    <t>2.4 Cota en el fondo 5</t>
  </si>
  <si>
    <t>PARTE I (DIAMETRO DE TUBO Y LONG. DE TRANSICION</t>
  </si>
  <si>
    <t>PARTE II (COTAS)</t>
  </si>
  <si>
    <t>PARTE III (VALOR P, CARGA HIDRAULICA Y PERDIDAS DE CARGA)</t>
  </si>
  <si>
    <t>3 Calculo de Valor P</t>
  </si>
  <si>
    <t xml:space="preserve">COLOCAR EL PROBLEMA DE LA DIAPO DONDE ESTAN LOS DATOS, PERO CAMBIANDO EL TEXTO Y CON LOS NUEVOS DATOS AGREGADOS, PARA LA CREACION DEL SIFON </t>
  </si>
  <si>
    <t>P de entrada</t>
  </si>
  <si>
    <t>P de salida</t>
  </si>
  <si>
    <t>Cota inicial=</t>
  </si>
  <si>
    <t>Cota Final=</t>
  </si>
  <si>
    <t>Valor P</t>
  </si>
  <si>
    <t>3.1 Inclinacion de los tubos doblados (Codos)</t>
  </si>
  <si>
    <t>Entrada:</t>
  </si>
  <si>
    <t>x</t>
  </si>
  <si>
    <t>y</t>
  </si>
  <si>
    <t>Inclinación</t>
  </si>
  <si>
    <t>Salida:</t>
  </si>
  <si>
    <t>Cota fondo 5</t>
  </si>
  <si>
    <t>3.2 Carga hidraulica disponible</t>
  </si>
  <si>
    <t>Cota 1 + tirante</t>
  </si>
  <si>
    <t>m.s.n.m.</t>
  </si>
  <si>
    <t>Cota 6 + tirante</t>
  </si>
  <si>
    <t>Carga disponible</t>
  </si>
  <si>
    <t>3.3 Calculo de las perdidas de carga</t>
  </si>
  <si>
    <t>Entrada</t>
  </si>
  <si>
    <t>Salida</t>
  </si>
  <si>
    <t>Friccion</t>
  </si>
  <si>
    <t>Tenemos datos de f=0.025 y L=19 (longitud de punto 2 a 5)</t>
  </si>
  <si>
    <t>L=</t>
  </si>
  <si>
    <t>g=</t>
  </si>
  <si>
    <t>f(n)=</t>
  </si>
  <si>
    <t>Codos</t>
  </si>
  <si>
    <t>PERDIDA TOTAL</t>
  </si>
  <si>
    <t>(no me sale la formula)</t>
  </si>
  <si>
    <t>incremento 10% por seguridad</t>
  </si>
  <si>
    <t>∆ Cota 1 y Cota 2=</t>
  </si>
  <si>
    <t>Altura de sumergencia=</t>
  </si>
  <si>
    <t xml:space="preserve">altura permisible </t>
  </si>
  <si>
    <t>VALOR NO EXCEDE</t>
  </si>
  <si>
    <t>0.156 &gt; 0.138</t>
  </si>
  <si>
    <t>3.4 Longitud de proteccion con enrocado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</si>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</sst>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5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Border="1" applyAlignment="1"/>
    <xf numFmtId="0" fontId="9" fillId="0" borderId="0" xfId="0" applyFont="1" applyBorder="1" applyAlignment="1"/>
    <xf numFmtId="0" fontId="7" fillId="0" borderId="0" xfId="0" applyFont="1" applyFill="1"/>
    <xf numFmtId="0" fontId="8" fillId="0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165" fontId="8" fillId="3" borderId="0" xfId="0" applyNumberFormat="1" applyFont="1" applyFill="1"/>
    <xf numFmtId="0" fontId="8" fillId="3" borderId="0" xfId="0" applyFont="1" applyFill="1"/>
    <xf numFmtId="0" fontId="7" fillId="3" borderId="0" xfId="0" applyFont="1" applyFill="1"/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Font="1" applyFill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 vertical="center" wrapText="1"/>
    </xf>
    <xf numFmtId="165" fontId="0" fillId="0" borderId="0" xfId="0" applyNumberFormat="1" applyFill="1"/>
    <xf numFmtId="0" fontId="0" fillId="0" borderId="0" xfId="0" applyFill="1"/>
    <xf numFmtId="0" fontId="5" fillId="0" borderId="0" xfId="0" applyFont="1" applyAlignment="1"/>
    <xf numFmtId="165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65" fontId="1" fillId="0" borderId="4" xfId="0" applyNumberFormat="1" applyFont="1" applyBorder="1"/>
    <xf numFmtId="0" fontId="0" fillId="0" borderId="5" xfId="0" applyBorder="1"/>
    <xf numFmtId="0" fontId="7" fillId="0" borderId="3" xfId="0" applyFont="1" applyBorder="1"/>
    <xf numFmtId="165" fontId="0" fillId="0" borderId="6" xfId="0" applyNumberFormat="1" applyBorder="1"/>
    <xf numFmtId="0" fontId="0" fillId="0" borderId="6" xfId="0" applyBorder="1"/>
    <xf numFmtId="171" fontId="0" fillId="0" borderId="0" xfId="0" applyNumberFormat="1" applyAlignment="1"/>
    <xf numFmtId="2" fontId="6" fillId="0" borderId="0" xfId="0" applyNumberFormat="1" applyFont="1"/>
    <xf numFmtId="0" fontId="0" fillId="6" borderId="0" xfId="0" applyFill="1"/>
    <xf numFmtId="2" fontId="6" fillId="6" borderId="0" xfId="0" applyNumberFormat="1" applyFont="1" applyFill="1"/>
    <xf numFmtId="0" fontId="6" fillId="6" borderId="0" xfId="0" applyFont="1" applyFill="1"/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318489</xdr:colOff>
      <xdr:row>39</xdr:row>
      <xdr:rowOff>148953</xdr:rowOff>
    </xdr:from>
    <xdr:to>
      <xdr:col>20</xdr:col>
      <xdr:colOff>695186</xdr:colOff>
      <xdr:row>61</xdr:row>
      <xdr:rowOff>49401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2653A4-ACDB-467C-85A1-5DB371EFA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1953" y="7238274"/>
          <a:ext cx="8268840" cy="3792091"/>
        </a:xfrm>
        <a:prstGeom prst="rect">
          <a:avLst/>
        </a:prstGeom>
      </xdr:spPr>
    </xdr:pic>
    <xdr:clientData/>
  </xdr:twoCellAnchor>
  <xdr:twoCellAnchor editAs="oneCell">
    <xdr:from>
      <xdr:col>10</xdr:col>
      <xdr:colOff>220538</xdr:colOff>
      <xdr:row>62</xdr:row>
      <xdr:rowOff>22850</xdr:rowOff>
    </xdr:from>
    <xdr:to>
      <xdr:col>20</xdr:col>
      <xdr:colOff>679074</xdr:colOff>
      <xdr:row>82</xdr:row>
      <xdr:rowOff>113377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BBC878-DD83-4FF5-9C96-93BC09A54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4002" y="11180707"/>
          <a:ext cx="8350679" cy="3682813"/>
        </a:xfrm>
        <a:prstGeom prst="rect">
          <a:avLst/>
        </a:prstGeom>
      </xdr:spPr>
    </xdr:pic>
    <xdr:clientData/>
  </xdr:twoCellAnchor>
  <xdr:twoCellAnchor editAs="oneCell">
    <xdr:from>
      <xdr:col>8</xdr:col>
      <xdr:colOff>148771</xdr:colOff>
      <xdr:row>85</xdr:row>
      <xdr:rowOff>33563</xdr:rowOff>
    </xdr:from>
    <xdr:to>
      <xdr:col>24</xdr:col>
      <xdr:colOff>377372</xdr:colOff>
      <xdr:row>113</xdr:row>
      <xdr:rowOff>46237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C1A541-D645-444C-AB3C-4E5DE548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93807" y="15314384"/>
          <a:ext cx="12856029" cy="5020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2C8F-35CA-4263-A866-94A2C856ED70}">
  <dimension ref="A1:S128"/>
  <sheetViews>
    <sheetView tabSelected="1" topLeftCell="A67" zoomScale="56" zoomScaleNormal="56" zoomScalePageLayoutView="40" workbookViewId="0">
      <selection activeCell="J119" sqref="J119"/>
    </sheetView>
  </sheetViews>
  <sheetFormatPr baseColWidth="10" defaultRowHeight="14.4" x14ac:dyDescent="0.3"/>
  <cols>
    <col min="1" max="1" width="11.6640625" customWidth="1"/>
    <col min="3" max="3" width="13" customWidth="1"/>
    <col min="4" max="4" width="11.88671875" customWidth="1"/>
    <col min="6" max="6" width="12.6640625" bestFit="1" customWidth="1"/>
  </cols>
  <sheetData>
    <row r="1" spans="1:19" ht="18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9" x14ac:dyDescent="0.3">
      <c r="K2" t="s">
        <v>20</v>
      </c>
      <c r="L2" t="s">
        <v>2</v>
      </c>
      <c r="M2" t="s">
        <v>21</v>
      </c>
    </row>
    <row r="3" spans="1:19" ht="15.6" x14ac:dyDescent="0.3">
      <c r="A3" s="3" t="s">
        <v>1</v>
      </c>
      <c r="L3" t="s">
        <v>3</v>
      </c>
      <c r="M3" t="s">
        <v>22</v>
      </c>
      <c r="Q3" s="35" t="s">
        <v>87</v>
      </c>
      <c r="R3" s="35"/>
      <c r="S3" s="35"/>
    </row>
    <row r="4" spans="1:19" x14ac:dyDescent="0.3">
      <c r="L4" t="s">
        <v>4</v>
      </c>
      <c r="M4" t="s">
        <v>23</v>
      </c>
      <c r="Q4" s="35"/>
      <c r="R4" s="35"/>
      <c r="S4" s="35"/>
    </row>
    <row r="5" spans="1:19" x14ac:dyDescent="0.3">
      <c r="A5" s="4" t="s">
        <v>9</v>
      </c>
      <c r="B5" s="4">
        <v>1.5</v>
      </c>
      <c r="C5" s="5"/>
      <c r="D5" s="4" t="s">
        <v>12</v>
      </c>
      <c r="E5" s="4">
        <v>1</v>
      </c>
      <c r="F5" s="5" t="s">
        <v>18</v>
      </c>
      <c r="G5" s="4" t="s">
        <v>15</v>
      </c>
      <c r="H5" s="4">
        <v>1.5</v>
      </c>
      <c r="I5" s="5" t="s">
        <v>19</v>
      </c>
      <c r="L5" t="s">
        <v>5</v>
      </c>
      <c r="M5" t="s">
        <v>24</v>
      </c>
      <c r="Q5" s="35"/>
      <c r="R5" s="35"/>
      <c r="S5" s="35"/>
    </row>
    <row r="6" spans="1:19" x14ac:dyDescent="0.3">
      <c r="A6" s="4" t="s">
        <v>10</v>
      </c>
      <c r="B6" s="4">
        <v>1</v>
      </c>
      <c r="C6" s="5" t="s">
        <v>17</v>
      </c>
      <c r="D6" s="4" t="s">
        <v>13</v>
      </c>
      <c r="E6" s="4">
        <v>2.5000000000000001E-2</v>
      </c>
      <c r="F6" s="5"/>
      <c r="G6" s="4" t="s">
        <v>16</v>
      </c>
      <c r="H6" s="4">
        <v>0.15</v>
      </c>
      <c r="I6" s="5" t="s">
        <v>18</v>
      </c>
      <c r="L6" t="s">
        <v>6</v>
      </c>
      <c r="M6" t="s">
        <v>25</v>
      </c>
      <c r="Q6" s="35"/>
      <c r="R6" s="35"/>
      <c r="S6" s="35"/>
    </row>
    <row r="7" spans="1:19" x14ac:dyDescent="0.3">
      <c r="A7" s="4" t="s">
        <v>11</v>
      </c>
      <c r="B7" s="4">
        <v>1E-3</v>
      </c>
      <c r="C7" s="5"/>
      <c r="D7" s="4" t="s">
        <v>14</v>
      </c>
      <c r="E7" s="4">
        <v>0.7</v>
      </c>
      <c r="F7" s="5" t="s">
        <v>18</v>
      </c>
      <c r="G7" s="4" t="s">
        <v>51</v>
      </c>
      <c r="H7" s="4">
        <v>3.7</v>
      </c>
      <c r="L7" t="s">
        <v>7</v>
      </c>
      <c r="M7" t="s">
        <v>26</v>
      </c>
      <c r="Q7" s="35"/>
      <c r="R7" s="35"/>
      <c r="S7" s="35"/>
    </row>
    <row r="8" spans="1:19" x14ac:dyDescent="0.3">
      <c r="A8" s="36" t="s">
        <v>90</v>
      </c>
      <c r="B8" s="36">
        <v>46.725000000000001</v>
      </c>
      <c r="D8" s="6" t="s">
        <v>43</v>
      </c>
      <c r="E8" s="4">
        <v>25</v>
      </c>
      <c r="F8" t="s">
        <v>44</v>
      </c>
      <c r="G8" s="4" t="s">
        <v>50</v>
      </c>
      <c r="H8" s="4">
        <v>6.41</v>
      </c>
      <c r="L8" t="s">
        <v>8</v>
      </c>
      <c r="M8" t="s">
        <v>27</v>
      </c>
    </row>
    <row r="9" spans="1:19" x14ac:dyDescent="0.3">
      <c r="A9" s="36" t="s">
        <v>91</v>
      </c>
      <c r="B9" s="37">
        <v>46.442999999999998</v>
      </c>
      <c r="D9" s="34" t="s">
        <v>58</v>
      </c>
      <c r="E9" s="34">
        <v>12</v>
      </c>
      <c r="F9" s="5"/>
      <c r="G9" s="4" t="s">
        <v>111</v>
      </c>
      <c r="H9" s="4">
        <v>9.81</v>
      </c>
      <c r="L9" s="7" t="s">
        <v>29</v>
      </c>
      <c r="M9" t="s">
        <v>59</v>
      </c>
    </row>
    <row r="10" spans="1:19" x14ac:dyDescent="0.3">
      <c r="A10" s="4"/>
      <c r="D10" s="6"/>
      <c r="L10" t="s">
        <v>33</v>
      </c>
      <c r="M10" t="s">
        <v>34</v>
      </c>
    </row>
    <row r="11" spans="1:19" x14ac:dyDescent="0.3">
      <c r="L11" t="s">
        <v>66</v>
      </c>
      <c r="M11" t="s">
        <v>67</v>
      </c>
    </row>
    <row r="12" spans="1:19" x14ac:dyDescent="0.3">
      <c r="A12" s="38" t="s">
        <v>28</v>
      </c>
      <c r="B12" s="38"/>
      <c r="C12" s="38"/>
      <c r="D12" s="38"/>
      <c r="E12" s="38"/>
      <c r="F12" s="38"/>
      <c r="G12" s="38"/>
      <c r="H12" s="38"/>
      <c r="I12" s="38"/>
    </row>
    <row r="13" spans="1:19" x14ac:dyDescent="0.3">
      <c r="A13" s="38"/>
      <c r="B13" s="38"/>
      <c r="C13" s="38"/>
      <c r="D13" s="38"/>
      <c r="E13" s="38"/>
      <c r="F13" s="38"/>
      <c r="G13" s="38"/>
      <c r="H13" s="38"/>
      <c r="I13" s="38"/>
    </row>
    <row r="14" spans="1:19" x14ac:dyDescent="0.3">
      <c r="A14" s="38"/>
      <c r="B14" s="38"/>
      <c r="C14" s="38"/>
      <c r="D14" s="38"/>
      <c r="E14" s="38"/>
      <c r="F14" s="38"/>
      <c r="G14" s="38"/>
      <c r="H14" s="38"/>
      <c r="I14" s="38"/>
    </row>
    <row r="15" spans="1:19" x14ac:dyDescent="0.3">
      <c r="A15" s="32"/>
      <c r="B15" s="32"/>
      <c r="C15" s="32"/>
      <c r="D15" s="32"/>
      <c r="E15" s="32"/>
      <c r="F15" s="32"/>
      <c r="G15" s="32"/>
      <c r="H15" s="32"/>
      <c r="I15" s="32"/>
    </row>
    <row r="16" spans="1:19" ht="18" x14ac:dyDescent="0.35">
      <c r="A16" s="2" t="s">
        <v>83</v>
      </c>
      <c r="B16" s="2"/>
      <c r="C16" s="2"/>
      <c r="D16" s="2"/>
      <c r="E16" s="2"/>
      <c r="F16" s="2"/>
      <c r="G16" s="2"/>
      <c r="H16" s="2"/>
      <c r="I16" s="2"/>
    </row>
    <row r="18" spans="1:14" x14ac:dyDescent="0.3">
      <c r="A18" s="8" t="s">
        <v>32</v>
      </c>
    </row>
    <row r="20" spans="1:14" x14ac:dyDescent="0.3">
      <c r="A20" s="10" t="s">
        <v>35</v>
      </c>
      <c r="B20" s="11">
        <f>+B6/H5</f>
        <v>0.66666666666666663</v>
      </c>
      <c r="C20" t="s">
        <v>36</v>
      </c>
      <c r="E20" t="s">
        <v>31</v>
      </c>
    </row>
    <row r="21" spans="1:14" x14ac:dyDescent="0.3">
      <c r="A21" s="10" t="s">
        <v>37</v>
      </c>
      <c r="B21" s="11">
        <f>SQRT(B20*4/PI())</f>
        <v>0.92131773192356126</v>
      </c>
      <c r="C21" t="s">
        <v>18</v>
      </c>
      <c r="D21" s="13" t="s">
        <v>40</v>
      </c>
      <c r="E21">
        <v>36</v>
      </c>
      <c r="F21" t="s">
        <v>42</v>
      </c>
    </row>
    <row r="22" spans="1:14" x14ac:dyDescent="0.3">
      <c r="B22">
        <f>+B21/0.0254</f>
        <v>36.272351650533906</v>
      </c>
      <c r="C22" t="s">
        <v>41</v>
      </c>
      <c r="E22">
        <f>+E21*0.0254</f>
        <v>0.91439999999999999</v>
      </c>
    </row>
    <row r="23" spans="1:14" x14ac:dyDescent="0.3">
      <c r="J23" t="s">
        <v>31</v>
      </c>
    </row>
    <row r="24" spans="1:14" x14ac:dyDescent="0.3">
      <c r="A24" s="8" t="s">
        <v>77</v>
      </c>
    </row>
    <row r="26" spans="1:14" x14ac:dyDescent="0.3">
      <c r="A26" s="10" t="s">
        <v>38</v>
      </c>
      <c r="B26" s="12">
        <f>+E5+(2*E7*B5)</f>
        <v>3.0999999999999996</v>
      </c>
    </row>
    <row r="27" spans="1:14" x14ac:dyDescent="0.3">
      <c r="A27" s="10" t="s">
        <v>39</v>
      </c>
      <c r="B27" s="12">
        <f>+E22</f>
        <v>0.91439999999999999</v>
      </c>
    </row>
    <row r="29" spans="1:14" x14ac:dyDescent="0.3">
      <c r="A29" s="1" t="s">
        <v>47</v>
      </c>
      <c r="B29" s="1"/>
      <c r="C29" s="1"/>
      <c r="D29" s="1"/>
      <c r="E29" s="1"/>
      <c r="F29" s="1"/>
      <c r="G29" s="1"/>
      <c r="H29" s="1"/>
      <c r="I29" s="1"/>
      <c r="K29" s="16" t="s">
        <v>48</v>
      </c>
      <c r="L29" s="16"/>
      <c r="M29" s="16"/>
      <c r="N29" s="16"/>
    </row>
    <row r="30" spans="1:14" x14ac:dyDescent="0.3">
      <c r="K30" s="16"/>
      <c r="L30" s="16"/>
      <c r="M30" s="16"/>
      <c r="N30" s="16"/>
    </row>
    <row r="31" spans="1:14" x14ac:dyDescent="0.3">
      <c r="A31" s="10" t="s">
        <v>30</v>
      </c>
      <c r="B31" s="11">
        <f>(B26-B27)/(2*TAN(RADIANS(E8)))</f>
        <v>2.3435171627328453</v>
      </c>
      <c r="C31" s="6" t="s">
        <v>46</v>
      </c>
      <c r="K31" s="16"/>
      <c r="L31" s="16"/>
      <c r="M31" s="16"/>
      <c r="N31" s="16"/>
    </row>
    <row r="32" spans="1:14" x14ac:dyDescent="0.3">
      <c r="A32" s="10" t="s">
        <v>30</v>
      </c>
      <c r="B32" s="15">
        <f>4*E22</f>
        <v>3.6576</v>
      </c>
      <c r="C32" s="4" t="s">
        <v>45</v>
      </c>
      <c r="K32" s="16"/>
      <c r="L32" s="16"/>
      <c r="M32" s="16"/>
      <c r="N32" s="16"/>
    </row>
    <row r="33" spans="1:14" x14ac:dyDescent="0.3">
      <c r="K33" s="16"/>
      <c r="L33" s="16"/>
      <c r="M33" s="16"/>
      <c r="N33" s="16"/>
    </row>
    <row r="34" spans="1:14" x14ac:dyDescent="0.3">
      <c r="A34" s="1" t="s">
        <v>49</v>
      </c>
      <c r="B34" s="1"/>
      <c r="C34" s="1"/>
      <c r="D34" s="1"/>
      <c r="E34" s="1"/>
      <c r="F34" s="1"/>
      <c r="G34" s="1"/>
      <c r="H34" s="1"/>
      <c r="I34" s="1"/>
    </row>
    <row r="36" spans="1:14" x14ac:dyDescent="0.3">
      <c r="A36" s="10" t="s">
        <v>30</v>
      </c>
      <c r="B36" s="15">
        <v>3.6576</v>
      </c>
    </row>
    <row r="37" spans="1:14" x14ac:dyDescent="0.3">
      <c r="A37" s="10"/>
      <c r="B37" s="15"/>
    </row>
    <row r="38" spans="1:14" ht="18" x14ac:dyDescent="0.35">
      <c r="A38" s="33" t="s">
        <v>84</v>
      </c>
      <c r="B38" s="33"/>
      <c r="C38" s="33"/>
      <c r="D38" s="33"/>
      <c r="E38" s="33"/>
      <c r="F38" s="33"/>
      <c r="G38" s="33"/>
      <c r="H38" s="33"/>
      <c r="I38" s="33"/>
    </row>
    <row r="40" spans="1:14" x14ac:dyDescent="0.3">
      <c r="A40" s="8" t="s">
        <v>78</v>
      </c>
    </row>
    <row r="41" spans="1:14" x14ac:dyDescent="0.3">
      <c r="A41" s="8"/>
    </row>
    <row r="42" spans="1:14" x14ac:dyDescent="0.3">
      <c r="A42" s="29" t="s">
        <v>70</v>
      </c>
      <c r="B42" s="28"/>
      <c r="C42" s="28"/>
      <c r="D42" s="28"/>
      <c r="E42" s="28"/>
      <c r="F42" s="28"/>
      <c r="G42" s="28"/>
      <c r="H42" s="28"/>
      <c r="I42" s="28"/>
    </row>
    <row r="43" spans="1:14" x14ac:dyDescent="0.3">
      <c r="A43" t="s">
        <v>71</v>
      </c>
      <c r="B43">
        <f>1/1000</f>
        <v>1E-3</v>
      </c>
      <c r="C43" s="30" t="s">
        <v>69</v>
      </c>
      <c r="D43" s="30"/>
    </row>
    <row r="44" spans="1:14" x14ac:dyDescent="0.3">
      <c r="A44" s="26" t="s">
        <v>52</v>
      </c>
      <c r="B44" s="23"/>
      <c r="C44" s="17">
        <f>B8-(H8*B43)</f>
        <v>46.718589999999999</v>
      </c>
      <c r="D44" s="22" t="s">
        <v>54</v>
      </c>
    </row>
    <row r="45" spans="1:14" x14ac:dyDescent="0.3">
      <c r="A45" s="26" t="s">
        <v>53</v>
      </c>
      <c r="B45" s="23"/>
      <c r="C45" s="17">
        <f>C44+E7</f>
        <v>47.418590000000002</v>
      </c>
      <c r="D45" s="22" t="s">
        <v>54</v>
      </c>
    </row>
    <row r="46" spans="1:14" x14ac:dyDescent="0.3">
      <c r="I46" s="62"/>
      <c r="J46" s="62"/>
      <c r="K46" s="62"/>
      <c r="L46" s="62"/>
      <c r="M46" s="62"/>
      <c r="N46" s="62"/>
    </row>
    <row r="47" spans="1:14" x14ac:dyDescent="0.3">
      <c r="A47" s="8" t="s">
        <v>79</v>
      </c>
      <c r="I47" s="62"/>
      <c r="J47" s="62"/>
      <c r="K47" s="62"/>
      <c r="L47" s="62"/>
      <c r="M47" s="62"/>
      <c r="N47" s="62"/>
    </row>
    <row r="48" spans="1:14" x14ac:dyDescent="0.3">
      <c r="I48" s="62"/>
      <c r="J48" s="62"/>
      <c r="K48" s="62"/>
      <c r="L48" s="62"/>
      <c r="M48" s="62"/>
      <c r="N48" s="62"/>
    </row>
    <row r="49" spans="1:14" x14ac:dyDescent="0.3">
      <c r="A49" s="19" t="str">
        <f>ROUND(C45,3)&amp;" = (Hte - 1.5 Hv)"</f>
        <v>47.419 = (Hte - 1.5 Hv)</v>
      </c>
      <c r="B49" s="19"/>
      <c r="C49" s="18"/>
      <c r="D49" s="14"/>
      <c r="E49" s="14"/>
      <c r="F49" s="14"/>
      <c r="G49" s="14"/>
      <c r="H49" s="14"/>
      <c r="I49" s="63"/>
      <c r="J49" s="62"/>
      <c r="K49" s="62"/>
      <c r="L49" s="62"/>
      <c r="M49" s="62"/>
      <c r="N49" s="62"/>
    </row>
    <row r="50" spans="1:14" x14ac:dyDescent="0.3">
      <c r="I50" s="62"/>
      <c r="J50" s="62"/>
      <c r="K50" s="64"/>
      <c r="L50" s="64"/>
      <c r="M50" s="64"/>
      <c r="N50" s="64"/>
    </row>
    <row r="51" spans="1:14" x14ac:dyDescent="0.3">
      <c r="A51" s="10" t="s">
        <v>60</v>
      </c>
      <c r="B51">
        <f>B6/((B27^2)*PI()/4)</f>
        <v>1.5227818220601737</v>
      </c>
      <c r="E51" s="10" t="s">
        <v>55</v>
      </c>
      <c r="F51">
        <f>E22/(COS(RADIANS(E9)))</f>
        <v>0.93482823994458275</v>
      </c>
      <c r="I51" s="62"/>
      <c r="J51" s="62"/>
      <c r="K51" s="64"/>
      <c r="L51" s="64"/>
      <c r="M51" s="64"/>
      <c r="N51" s="64"/>
    </row>
    <row r="52" spans="1:14" x14ac:dyDescent="0.3">
      <c r="A52" s="10" t="s">
        <v>61</v>
      </c>
      <c r="B52">
        <f>(E7*B5+E5)*E7/2</f>
        <v>0.71749999999999992</v>
      </c>
      <c r="E52" s="10" t="s">
        <v>56</v>
      </c>
      <c r="F52">
        <f>((B51^2)/(2*9.81))</f>
        <v>0.11818881129443946</v>
      </c>
      <c r="G52">
        <f>((B52^2)/(2*9.81))</f>
        <v>2.6238850662589189E-2</v>
      </c>
      <c r="I52" s="62"/>
      <c r="J52" s="62"/>
      <c r="K52" s="64"/>
      <c r="L52" s="64"/>
      <c r="M52" s="64"/>
      <c r="N52" s="64"/>
    </row>
    <row r="53" spans="1:14" x14ac:dyDescent="0.3">
      <c r="E53" s="10" t="s">
        <v>56</v>
      </c>
      <c r="F53">
        <f>F52-G52</f>
        <v>9.1949960631850278E-2</v>
      </c>
      <c r="I53" s="62"/>
      <c r="J53" s="62"/>
      <c r="K53" s="64"/>
      <c r="L53" s="64"/>
      <c r="M53" s="64"/>
      <c r="N53" s="64"/>
    </row>
    <row r="54" spans="1:14" x14ac:dyDescent="0.3">
      <c r="E54" s="20" t="s">
        <v>57</v>
      </c>
      <c r="F54" s="21">
        <f>F53*1.5</f>
        <v>0.13792494094777541</v>
      </c>
      <c r="I54" s="62"/>
      <c r="J54" s="62"/>
      <c r="K54" s="64"/>
      <c r="L54" s="64"/>
      <c r="M54" s="64"/>
      <c r="N54" s="64"/>
    </row>
    <row r="55" spans="1:14" x14ac:dyDescent="0.3">
      <c r="I55" s="62"/>
      <c r="J55" s="62"/>
      <c r="K55" s="64"/>
      <c r="L55" s="64"/>
      <c r="M55" s="64"/>
      <c r="N55" s="64"/>
    </row>
    <row r="56" spans="1:14" x14ac:dyDescent="0.3">
      <c r="A56" s="26" t="s">
        <v>62</v>
      </c>
      <c r="B56" s="26"/>
      <c r="C56" s="24">
        <f>(C45-(F51+F54))</f>
        <v>46.345836819107646</v>
      </c>
      <c r="D56" s="25" t="s">
        <v>54</v>
      </c>
    </row>
    <row r="58" spans="1:14" x14ac:dyDescent="0.3">
      <c r="A58" s="8" t="s">
        <v>80</v>
      </c>
    </row>
    <row r="60" spans="1:14" x14ac:dyDescent="0.3">
      <c r="A60" s="1" t="s">
        <v>63</v>
      </c>
      <c r="B60" s="1"/>
      <c r="C60" s="1"/>
      <c r="D60" s="1"/>
      <c r="E60" s="1"/>
      <c r="F60" s="1"/>
      <c r="G60" s="1"/>
      <c r="H60" s="1"/>
      <c r="I60" s="1"/>
    </row>
    <row r="62" spans="1:14" x14ac:dyDescent="0.3">
      <c r="A62" s="10" t="s">
        <v>64</v>
      </c>
      <c r="B62">
        <f>+RADIANS(E9)*5</f>
        <v>1.0471975511965979</v>
      </c>
    </row>
    <row r="64" spans="1:14" x14ac:dyDescent="0.3">
      <c r="A64" s="26" t="s">
        <v>65</v>
      </c>
      <c r="B64" s="23"/>
      <c r="C64" s="17">
        <f>+C56-B62</f>
        <v>45.298639267911049</v>
      </c>
      <c r="D64" s="25" t="s">
        <v>54</v>
      </c>
    </row>
    <row r="66" spans="1:14" x14ac:dyDescent="0.3">
      <c r="A66" s="8" t="s">
        <v>81</v>
      </c>
      <c r="K66" s="61"/>
      <c r="L66" s="61"/>
      <c r="M66" s="61"/>
      <c r="N66" s="61"/>
    </row>
    <row r="67" spans="1:14" x14ac:dyDescent="0.3">
      <c r="K67" s="61"/>
      <c r="L67" s="61"/>
      <c r="M67" s="61"/>
      <c r="N67" s="61"/>
    </row>
    <row r="68" spans="1:14" x14ac:dyDescent="0.3">
      <c r="A68" s="1" t="s">
        <v>72</v>
      </c>
      <c r="B68" s="1"/>
      <c r="C68" s="1"/>
      <c r="D68" s="1"/>
      <c r="E68" s="1"/>
      <c r="F68" s="1"/>
      <c r="G68" s="1"/>
      <c r="H68" s="1"/>
      <c r="I68" s="1"/>
      <c r="K68" s="61"/>
      <c r="L68" s="61"/>
      <c r="M68" s="61"/>
      <c r="N68" s="61"/>
    </row>
    <row r="69" spans="1:14" x14ac:dyDescent="0.3">
      <c r="A69" t="s">
        <v>68</v>
      </c>
      <c r="B69">
        <v>10</v>
      </c>
      <c r="C69" s="31" t="s">
        <v>74</v>
      </c>
      <c r="D69" s="31"/>
      <c r="K69" s="61"/>
      <c r="L69" s="61"/>
      <c r="M69" s="61"/>
      <c r="N69" s="61"/>
    </row>
    <row r="70" spans="1:14" x14ac:dyDescent="0.3">
      <c r="A70" t="s">
        <v>73</v>
      </c>
      <c r="B70">
        <f>5/1000</f>
        <v>5.0000000000000001E-3</v>
      </c>
      <c r="C70" s="31"/>
      <c r="D70" s="31"/>
      <c r="K70" s="61"/>
      <c r="L70" s="61"/>
      <c r="M70" s="61"/>
      <c r="N70" s="61"/>
    </row>
    <row r="71" spans="1:14" x14ac:dyDescent="0.3">
      <c r="K71" s="61"/>
      <c r="L71" s="61"/>
      <c r="M71" s="61"/>
      <c r="N71" s="61"/>
    </row>
    <row r="72" spans="1:14" x14ac:dyDescent="0.3">
      <c r="A72" s="10" t="s">
        <v>75</v>
      </c>
      <c r="B72">
        <f>+B69*B70</f>
        <v>0.05</v>
      </c>
    </row>
    <row r="74" spans="1:14" x14ac:dyDescent="0.3">
      <c r="A74" s="26" t="s">
        <v>76</v>
      </c>
      <c r="B74" s="17">
        <f>+C64-B72</f>
        <v>45.248639267911052</v>
      </c>
      <c r="C74" s="25" t="s">
        <v>54</v>
      </c>
    </row>
    <row r="76" spans="1:14" x14ac:dyDescent="0.3">
      <c r="A76" s="8" t="s">
        <v>82</v>
      </c>
    </row>
    <row r="78" spans="1:14" x14ac:dyDescent="0.3">
      <c r="A78" s="10" t="s">
        <v>64</v>
      </c>
      <c r="B78">
        <f>RADIANS(E9)*4</f>
        <v>0.83775804095727824</v>
      </c>
    </row>
    <row r="80" spans="1:14" x14ac:dyDescent="0.3">
      <c r="A80" s="26" t="s">
        <v>99</v>
      </c>
      <c r="B80" s="17">
        <f>+B74+B78</f>
        <v>46.086397308868328</v>
      </c>
      <c r="C80" s="25" t="s">
        <v>54</v>
      </c>
    </row>
    <row r="82" spans="1:9" ht="18" x14ac:dyDescent="0.35">
      <c r="A82" s="2" t="s">
        <v>85</v>
      </c>
      <c r="B82" s="2"/>
      <c r="C82" s="2"/>
      <c r="D82" s="2"/>
      <c r="E82" s="2"/>
      <c r="F82" s="2"/>
      <c r="G82" s="2"/>
      <c r="H82" s="2"/>
      <c r="I82" s="2"/>
    </row>
    <row r="84" spans="1:9" x14ac:dyDescent="0.3">
      <c r="A84" s="8" t="s">
        <v>86</v>
      </c>
    </row>
    <row r="86" spans="1:9" x14ac:dyDescent="0.3">
      <c r="A86" s="10" t="s">
        <v>88</v>
      </c>
      <c r="B86">
        <f>3/4 *(E22)</f>
        <v>0.68579999999999997</v>
      </c>
    </row>
    <row r="87" spans="1:9" x14ac:dyDescent="0.3">
      <c r="A87" s="10" t="s">
        <v>89</v>
      </c>
      <c r="B87">
        <f>1/2 * (E22)</f>
        <v>0.4572</v>
      </c>
    </row>
    <row r="89" spans="1:9" x14ac:dyDescent="0.3">
      <c r="A89" s="20" t="s">
        <v>92</v>
      </c>
      <c r="B89" s="39">
        <f>+B9-B80</f>
        <v>0.35660269113166976</v>
      </c>
      <c r="C89" s="40"/>
    </row>
    <row r="90" spans="1:9" x14ac:dyDescent="0.3">
      <c r="A90" s="14"/>
      <c r="B90" s="14"/>
      <c r="C90" s="14"/>
      <c r="D90" s="14"/>
      <c r="E90" s="14"/>
      <c r="F90" s="14"/>
      <c r="G90" s="14"/>
      <c r="H90" s="14"/>
      <c r="I90" s="14"/>
    </row>
    <row r="91" spans="1:9" x14ac:dyDescent="0.3">
      <c r="A91" s="41" t="s">
        <v>93</v>
      </c>
    </row>
    <row r="93" spans="1:9" x14ac:dyDescent="0.3">
      <c r="A93" s="43" t="s">
        <v>94</v>
      </c>
      <c r="B93" s="43" t="s">
        <v>95</v>
      </c>
      <c r="C93" s="44">
        <f>B62/(TAN(RADIANS(E9)))</f>
        <v>4.926677129931619</v>
      </c>
    </row>
    <row r="94" spans="1:9" ht="15" thickBot="1" x14ac:dyDescent="0.35">
      <c r="A94" s="45"/>
      <c r="B94" s="45" t="s">
        <v>96</v>
      </c>
      <c r="C94" s="46">
        <f>B62</f>
        <v>1.0471975511965979</v>
      </c>
    </row>
    <row r="95" spans="1:9" ht="15" thickBot="1" x14ac:dyDescent="0.35">
      <c r="A95" s="48"/>
      <c r="B95" s="49" t="s">
        <v>97</v>
      </c>
      <c r="C95" s="47">
        <f>C93/C94</f>
        <v>4.7046301094784537</v>
      </c>
    </row>
    <row r="96" spans="1:9" x14ac:dyDescent="0.3">
      <c r="C96" s="27"/>
    </row>
    <row r="97" spans="1:9" x14ac:dyDescent="0.3">
      <c r="A97" s="43" t="s">
        <v>98</v>
      </c>
      <c r="B97" s="43" t="s">
        <v>95</v>
      </c>
      <c r="C97" s="44">
        <f>B78/(TAN(RADIANS(E9)))</f>
        <v>3.9413417039452954</v>
      </c>
    </row>
    <row r="98" spans="1:9" ht="15" thickBot="1" x14ac:dyDescent="0.35">
      <c r="A98" s="45"/>
      <c r="B98" s="45" t="s">
        <v>96</v>
      </c>
      <c r="C98" s="46">
        <f>B78</f>
        <v>0.83775804095727824</v>
      </c>
    </row>
    <row r="99" spans="1:9" ht="15" thickBot="1" x14ac:dyDescent="0.35">
      <c r="B99" s="49" t="s">
        <v>97</v>
      </c>
      <c r="C99" s="47">
        <f>C97/C98</f>
        <v>4.7046301094784546</v>
      </c>
    </row>
    <row r="101" spans="1:9" x14ac:dyDescent="0.3">
      <c r="A101" s="8" t="s">
        <v>100</v>
      </c>
    </row>
    <row r="103" spans="1:9" x14ac:dyDescent="0.3">
      <c r="A103" t="s">
        <v>101</v>
      </c>
      <c r="C103" s="27">
        <f>C44</f>
        <v>46.718589999999999</v>
      </c>
      <c r="D103">
        <f>E7</f>
        <v>0.7</v>
      </c>
      <c r="E103" s="42">
        <f>C103+D103</f>
        <v>47.418590000000002</v>
      </c>
      <c r="F103" t="s">
        <v>102</v>
      </c>
    </row>
    <row r="104" spans="1:9" x14ac:dyDescent="0.3">
      <c r="A104" t="s">
        <v>103</v>
      </c>
      <c r="C104">
        <f>B9</f>
        <v>46.442999999999998</v>
      </c>
      <c r="D104">
        <f>D103</f>
        <v>0.7</v>
      </c>
      <c r="E104" s="42">
        <f>C104+D104</f>
        <v>47.143000000000001</v>
      </c>
      <c r="F104" t="s">
        <v>102</v>
      </c>
    </row>
    <row r="105" spans="1:9" x14ac:dyDescent="0.3">
      <c r="C105" s="10" t="s">
        <v>104</v>
      </c>
      <c r="D105" s="9"/>
      <c r="E105" s="50">
        <f>E103-E104</f>
        <v>0.27559000000000111</v>
      </c>
      <c r="F105" s="51" t="s">
        <v>18</v>
      </c>
    </row>
    <row r="107" spans="1:9" x14ac:dyDescent="0.3">
      <c r="A107" s="8" t="s">
        <v>105</v>
      </c>
    </row>
    <row r="108" spans="1:9" x14ac:dyDescent="0.3">
      <c r="A108" s="8"/>
    </row>
    <row r="109" spans="1:9" x14ac:dyDescent="0.3">
      <c r="A109" s="29" t="s">
        <v>109</v>
      </c>
      <c r="B109" s="28"/>
      <c r="C109" s="28"/>
      <c r="D109" s="28"/>
      <c r="E109" s="28"/>
      <c r="F109" s="28"/>
      <c r="G109" s="28"/>
      <c r="H109" s="28"/>
      <c r="I109" s="28"/>
    </row>
    <row r="111" spans="1:9" x14ac:dyDescent="0.3">
      <c r="A111" t="s">
        <v>112</v>
      </c>
      <c r="B111">
        <v>2.5000000000000001E-2</v>
      </c>
    </row>
    <row r="112" spans="1:9" x14ac:dyDescent="0.3">
      <c r="A112" t="s">
        <v>110</v>
      </c>
      <c r="B112">
        <v>19</v>
      </c>
    </row>
    <row r="114" spans="1:7" x14ac:dyDescent="0.3">
      <c r="A114" t="s">
        <v>106</v>
      </c>
      <c r="B114" s="52">
        <f>+B87*0.0938</f>
        <v>4.2885359999999997E-2</v>
      </c>
    </row>
    <row r="115" spans="1:7" x14ac:dyDescent="0.3">
      <c r="A115" t="s">
        <v>107</v>
      </c>
      <c r="B115" s="52">
        <f>+B86*0.0938</f>
        <v>6.4328039999999989E-2</v>
      </c>
    </row>
    <row r="116" spans="1:7" x14ac:dyDescent="0.3">
      <c r="A116" t="s">
        <v>108</v>
      </c>
      <c r="B116">
        <v>6.0999999999999999E-2</v>
      </c>
      <c r="C116" t="s">
        <v>115</v>
      </c>
    </row>
    <row r="117" spans="1:7" x14ac:dyDescent="0.3">
      <c r="A117" t="s">
        <v>113</v>
      </c>
      <c r="B117">
        <v>2.1999999999999999E-2</v>
      </c>
      <c r="C117" t="s">
        <v>115</v>
      </c>
    </row>
    <row r="118" spans="1:7" x14ac:dyDescent="0.3">
      <c r="B118" s="53">
        <f>+SUM(B114:B117)</f>
        <v>0.19021339999999998</v>
      </c>
      <c r="C118" s="10" t="s">
        <v>114</v>
      </c>
      <c r="D118" s="9"/>
    </row>
    <row r="119" spans="1:7" x14ac:dyDescent="0.3">
      <c r="B119" s="55">
        <f>+B118*(1+10%)</f>
        <v>0.20923474</v>
      </c>
      <c r="C119" s="56" t="s">
        <v>116</v>
      </c>
      <c r="D119" s="56"/>
      <c r="E119" s="54"/>
    </row>
    <row r="121" spans="1:7" x14ac:dyDescent="0.3">
      <c r="A121" s="57" t="s">
        <v>117</v>
      </c>
      <c r="B121" s="57"/>
      <c r="C121" s="27">
        <f>+C44-C56</f>
        <v>0.37275318089235299</v>
      </c>
    </row>
    <row r="122" spans="1:7" x14ac:dyDescent="0.3">
      <c r="A122" s="58" t="s">
        <v>118</v>
      </c>
      <c r="B122" s="58"/>
      <c r="C122" s="27">
        <f>+E7+C121-F51</f>
        <v>0.13792494094777019</v>
      </c>
      <c r="E122" t="s">
        <v>119</v>
      </c>
      <c r="G122">
        <v>0.156</v>
      </c>
    </row>
    <row r="124" spans="1:7" x14ac:dyDescent="0.3">
      <c r="A124" s="59" t="s">
        <v>120</v>
      </c>
      <c r="B124" s="59"/>
      <c r="C124" s="60" t="s">
        <v>121</v>
      </c>
    </row>
    <row r="126" spans="1:7" x14ac:dyDescent="0.3">
      <c r="A126" s="8" t="s">
        <v>122</v>
      </c>
    </row>
    <row r="128" spans="1:7" x14ac:dyDescent="0.3">
      <c r="A128" t="s">
        <v>123</v>
      </c>
      <c r="B128">
        <f>3*E22</f>
        <v>2.7431999999999999</v>
      </c>
      <c r="C128">
        <f>ROUNDUP(B128,1)</f>
        <v>2.8000000000000003</v>
      </c>
    </row>
  </sheetData>
  <mergeCells count="17">
    <mergeCell ref="A122:B122"/>
    <mergeCell ref="A82:I82"/>
    <mergeCell ref="A1:P1"/>
    <mergeCell ref="Q3:S7"/>
    <mergeCell ref="A109:I109"/>
    <mergeCell ref="A121:B121"/>
    <mergeCell ref="C69:D70"/>
    <mergeCell ref="C43:D43"/>
    <mergeCell ref="A16:I16"/>
    <mergeCell ref="A38:I38"/>
    <mergeCell ref="A60:I60"/>
    <mergeCell ref="A68:I68"/>
    <mergeCell ref="A42:I42"/>
    <mergeCell ref="A12:I14"/>
    <mergeCell ref="A29:I29"/>
    <mergeCell ref="K29:N33"/>
    <mergeCell ref="A34:I34"/>
  </mergeCells>
  <dataValidations disablePrompts="1" count="1">
    <dataValidation type="list" allowBlank="1" showInputMessage="1" showErrorMessage="1" sqref="B36:B37" xr:uid="{6B69D489-8AC5-40D9-84C7-AA011047E101}">
      <formula1>$B$31:$B$32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SIFONES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2021-10-10T17:59:55Z</dcterms:created>
  <dcterms:modified xsi:type="dcterms:W3CDTF">2021-10-11T09:47:15Z</dcterms:modified>
</cp:coreProperties>
</file>