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G:\My Drive\Techo\TechoDBQuery\"/>
    </mc:Choice>
  </mc:AlternateContent>
  <xr:revisionPtr revIDLastSave="0" documentId="8_{762A5C16-2F35-4021-9889-5E213F029C5E}" xr6:coauthVersionLast="47" xr6:coauthVersionMax="47" xr10:uidLastSave="{00000000-0000-0000-0000-000000000000}"/>
  <bookViews>
    <workbookView xWindow="-120" yWindow="-120" windowWidth="20730" windowHeight="11040" firstSheet="1" activeTab="1" xr2:uid="{00000000-000D-0000-FFFF-FFFF00000000}"/>
  </bookViews>
  <sheets>
    <sheet name="Caracterizaciones" sheetId="1" r:id="rId1"/>
    <sheet name="GRANIZAL" sheetId="2" r:id="rId2"/>
    <sheet name="migración nueva jeru" sheetId="3" r:id="rId3"/>
    <sheet name="La Nueva Jerusalén" sheetId="4" r:id="rId4"/>
    <sheet name="Migración La Honda" sheetId="5" r:id="rId5"/>
    <sheet name="PAGOS" sheetId="6" r:id="rId6"/>
    <sheet name="INFORMES CONSTRUCCIÓN" sheetId="7" r:id="rId7"/>
  </sheets>
  <definedNames>
    <definedName name="_xlnm._FilterDatabase" localSheetId="1" hidden="1">GRANIZAL!$A$1:$AD$219</definedName>
    <definedName name="_xlnm._FilterDatabase" localSheetId="3" hidden="1">'La Nueva Jerusalén'!$A$1:$Z$227</definedName>
    <definedName name="_xlnm._FilterDatabase" localSheetId="4" hidden="1">'Migración La Honda'!$E$1:$AI$991</definedName>
    <definedName name="_xlnm._FilterDatabase" localSheetId="5" hidden="1">PAGOS!$B$1:$G$589</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27" i="6" l="1"/>
  <c r="F726" i="6"/>
  <c r="F725" i="6"/>
  <c r="F724" i="6"/>
  <c r="F723" i="6"/>
  <c r="F722" i="6"/>
  <c r="F721" i="6"/>
  <c r="F720" i="6"/>
  <c r="F719" i="6"/>
  <c r="F718" i="6"/>
  <c r="F717" i="6"/>
  <c r="F716" i="6"/>
  <c r="F715" i="6"/>
  <c r="F714" i="6"/>
  <c r="F713" i="6"/>
  <c r="F712" i="6"/>
  <c r="F711" i="6"/>
  <c r="F710" i="6"/>
  <c r="F709" i="6"/>
  <c r="F708" i="6"/>
  <c r="F707" i="6"/>
  <c r="F706" i="6"/>
  <c r="F705" i="6"/>
  <c r="F704" i="6"/>
  <c r="F703" i="6"/>
  <c r="A703" i="6"/>
  <c r="F702" i="6"/>
  <c r="A702" i="6"/>
  <c r="F701" i="6"/>
  <c r="A701" i="6"/>
  <c r="F700" i="6"/>
  <c r="A700" i="6"/>
  <c r="G699" i="6"/>
  <c r="F699" i="6"/>
  <c r="C699" i="6"/>
  <c r="B699" i="6"/>
  <c r="A699" i="6"/>
  <c r="G698" i="6"/>
  <c r="F698" i="6"/>
  <c r="C698" i="6"/>
  <c r="B698" i="6"/>
  <c r="A698" i="6"/>
  <c r="G697" i="6"/>
  <c r="F697" i="6"/>
  <c r="C697" i="6"/>
  <c r="B697" i="6"/>
  <c r="A697" i="6"/>
  <c r="G696" i="6"/>
  <c r="F696" i="6"/>
  <c r="C696" i="6"/>
  <c r="B696" i="6"/>
  <c r="A696" i="6"/>
  <c r="G695" i="6"/>
  <c r="F695" i="6"/>
  <c r="C695" i="6"/>
  <c r="B695" i="6"/>
  <c r="A695" i="6"/>
  <c r="G694" i="6"/>
  <c r="F694" i="6"/>
  <c r="C694" i="6"/>
  <c r="B694" i="6"/>
  <c r="A694" i="6"/>
  <c r="G693" i="6"/>
  <c r="F693" i="6"/>
  <c r="C693" i="6"/>
  <c r="B693" i="6"/>
  <c r="A693" i="6"/>
  <c r="G692" i="6"/>
  <c r="F692" i="6"/>
  <c r="C692" i="6"/>
  <c r="B692" i="6"/>
  <c r="A692" i="6"/>
  <c r="G691" i="6"/>
  <c r="F691" i="6"/>
  <c r="C691" i="6"/>
  <c r="B691" i="6"/>
  <c r="A691" i="6"/>
  <c r="G690" i="6"/>
  <c r="F690" i="6"/>
  <c r="C690" i="6"/>
  <c r="B690" i="6"/>
  <c r="A690" i="6"/>
  <c r="G689" i="6"/>
  <c r="F689" i="6"/>
  <c r="C689" i="6"/>
  <c r="B689" i="6"/>
  <c r="A689" i="6"/>
  <c r="G688" i="6"/>
  <c r="F688" i="6"/>
  <c r="C688" i="6"/>
  <c r="B688" i="6"/>
  <c r="A688" i="6"/>
  <c r="G687" i="6"/>
  <c r="F687" i="6"/>
  <c r="C687" i="6"/>
  <c r="B687" i="6"/>
  <c r="A687" i="6"/>
  <c r="G686" i="6"/>
  <c r="F686" i="6"/>
  <c r="C686" i="6"/>
  <c r="B686" i="6"/>
  <c r="A686" i="6"/>
  <c r="G685" i="6"/>
  <c r="F685" i="6"/>
  <c r="C685" i="6"/>
  <c r="B685" i="6"/>
  <c r="A685" i="6"/>
  <c r="G684" i="6"/>
  <c r="F684" i="6"/>
  <c r="C684" i="6"/>
  <c r="B684" i="6"/>
  <c r="A684" i="6"/>
  <c r="G683" i="6"/>
  <c r="F683" i="6"/>
  <c r="C683" i="6"/>
  <c r="B683" i="6"/>
  <c r="A683" i="6"/>
  <c r="G682" i="6"/>
  <c r="F682" i="6"/>
  <c r="C682" i="6"/>
  <c r="B682" i="6"/>
  <c r="A682" i="6"/>
  <c r="G681" i="6"/>
  <c r="F681" i="6"/>
  <c r="C681" i="6"/>
  <c r="B681" i="6"/>
  <c r="A681" i="6"/>
  <c r="G680" i="6"/>
  <c r="F680" i="6"/>
  <c r="C680" i="6"/>
  <c r="B680" i="6"/>
  <c r="A680" i="6"/>
  <c r="G679" i="6"/>
  <c r="F679" i="6"/>
  <c r="C679" i="6"/>
  <c r="B679" i="6"/>
  <c r="A679" i="6"/>
  <c r="G678" i="6"/>
  <c r="F678" i="6"/>
  <c r="C678" i="6"/>
  <c r="B678" i="6"/>
  <c r="A678" i="6"/>
  <c r="G677" i="6"/>
  <c r="F677" i="6"/>
  <c r="C677" i="6"/>
  <c r="B677" i="6"/>
  <c r="A677" i="6"/>
  <c r="G676" i="6"/>
  <c r="F676" i="6"/>
  <c r="C676" i="6"/>
  <c r="B676" i="6"/>
  <c r="A676" i="6"/>
  <c r="G675" i="6"/>
  <c r="F675" i="6"/>
  <c r="C675" i="6"/>
  <c r="B675" i="6"/>
  <c r="A675" i="6"/>
  <c r="G674" i="6"/>
  <c r="F674" i="6"/>
  <c r="C674" i="6"/>
  <c r="B674" i="6"/>
  <c r="A674" i="6"/>
  <c r="G673" i="6"/>
  <c r="F673" i="6"/>
  <c r="C673" i="6"/>
  <c r="B673" i="6"/>
  <c r="A673" i="6"/>
  <c r="G672" i="6"/>
  <c r="F672" i="6"/>
  <c r="C672" i="6"/>
  <c r="B672" i="6"/>
  <c r="A672" i="6"/>
  <c r="G671" i="6"/>
  <c r="F671" i="6"/>
  <c r="C671" i="6"/>
  <c r="B671" i="6"/>
  <c r="A671" i="6"/>
  <c r="G670" i="6"/>
  <c r="F670" i="6"/>
  <c r="C670" i="6"/>
  <c r="B670" i="6"/>
  <c r="A670" i="6"/>
  <c r="G669" i="6"/>
  <c r="F669" i="6"/>
  <c r="C669" i="6"/>
  <c r="B669" i="6"/>
  <c r="A669" i="6"/>
  <c r="G668" i="6"/>
  <c r="F668" i="6"/>
  <c r="C668" i="6"/>
  <c r="B668" i="6"/>
  <c r="A668" i="6"/>
  <c r="G667" i="6"/>
  <c r="F667" i="6"/>
  <c r="C667" i="6"/>
  <c r="B667" i="6"/>
  <c r="A667" i="6"/>
  <c r="G666" i="6"/>
  <c r="F666" i="6"/>
  <c r="C666" i="6"/>
  <c r="B666" i="6"/>
  <c r="A666" i="6"/>
  <c r="G665" i="6"/>
  <c r="F665" i="6"/>
  <c r="C665" i="6"/>
  <c r="B665" i="6"/>
  <c r="A665" i="6"/>
  <c r="G664" i="6"/>
  <c r="F664" i="6"/>
  <c r="C664" i="6"/>
  <c r="B664" i="6"/>
  <c r="A664" i="6"/>
  <c r="G663" i="6"/>
  <c r="F663" i="6"/>
  <c r="C663" i="6"/>
  <c r="B663" i="6"/>
  <c r="A663" i="6"/>
  <c r="G662" i="6"/>
  <c r="F662" i="6"/>
  <c r="C662" i="6"/>
  <c r="B662" i="6"/>
  <c r="A662" i="6"/>
  <c r="G661" i="6"/>
  <c r="F661" i="6"/>
  <c r="C661" i="6"/>
  <c r="B661" i="6"/>
  <c r="A661" i="6"/>
  <c r="G660" i="6"/>
  <c r="F660" i="6"/>
  <c r="C660" i="6"/>
  <c r="B660" i="6"/>
  <c r="A660" i="6"/>
  <c r="G659" i="6"/>
  <c r="F659" i="6"/>
  <c r="C659" i="6"/>
  <c r="B659" i="6"/>
  <c r="A659" i="6"/>
  <c r="G658" i="6"/>
  <c r="F658" i="6"/>
  <c r="C658" i="6"/>
  <c r="B658" i="6"/>
  <c r="A658" i="6"/>
  <c r="G657" i="6"/>
  <c r="F657" i="6"/>
  <c r="C657" i="6"/>
  <c r="B657" i="6"/>
  <c r="A657" i="6"/>
  <c r="G656" i="6"/>
  <c r="F656" i="6"/>
  <c r="C656" i="6"/>
  <c r="B656" i="6"/>
  <c r="A656" i="6"/>
  <c r="G655" i="6"/>
  <c r="F655" i="6"/>
  <c r="C655" i="6"/>
  <c r="B655" i="6"/>
  <c r="A655" i="6"/>
  <c r="G654" i="6"/>
  <c r="F654" i="6"/>
  <c r="C654" i="6"/>
  <c r="B654" i="6"/>
  <c r="A654" i="6"/>
  <c r="G653" i="6"/>
  <c r="F653" i="6"/>
  <c r="C653" i="6"/>
  <c r="B653" i="6"/>
  <c r="A653" i="6"/>
  <c r="G652" i="6"/>
  <c r="F652" i="6"/>
  <c r="C652" i="6"/>
  <c r="B652" i="6"/>
  <c r="A652" i="6"/>
  <c r="G651" i="6"/>
  <c r="F651" i="6"/>
  <c r="C651" i="6"/>
  <c r="B651" i="6"/>
  <c r="A651" i="6"/>
  <c r="G650" i="6"/>
  <c r="F650" i="6"/>
  <c r="C650" i="6"/>
  <c r="B650" i="6"/>
  <c r="A650" i="6"/>
  <c r="G649" i="6"/>
  <c r="F649" i="6"/>
  <c r="C649" i="6"/>
  <c r="B649" i="6"/>
  <c r="A649" i="6"/>
  <c r="G648" i="6"/>
  <c r="F648" i="6"/>
  <c r="C648" i="6"/>
  <c r="B648" i="6"/>
  <c r="A648" i="6"/>
  <c r="H647" i="6"/>
  <c r="A647" i="6" s="1"/>
  <c r="G647" i="6"/>
  <c r="F647" i="6"/>
  <c r="E647" i="6"/>
  <c r="D647" i="6"/>
  <c r="C647" i="6"/>
  <c r="B647" i="6"/>
  <c r="H646" i="6"/>
  <c r="A646" i="6" s="1"/>
  <c r="G646" i="6"/>
  <c r="F646" i="6"/>
  <c r="E646" i="6"/>
  <c r="D646" i="6"/>
  <c r="C646" i="6"/>
  <c r="B646" i="6"/>
  <c r="H645" i="6"/>
  <c r="A645" i="6" s="1"/>
  <c r="G645" i="6"/>
  <c r="F645" i="6"/>
  <c r="E645" i="6"/>
  <c r="D645" i="6"/>
  <c r="C645" i="6"/>
  <c r="B645" i="6"/>
  <c r="H644" i="6"/>
  <c r="A644" i="6" s="1"/>
  <c r="G644" i="6"/>
  <c r="F644" i="6"/>
  <c r="E644" i="6"/>
  <c r="D644" i="6"/>
  <c r="C644" i="6"/>
  <c r="B644" i="6"/>
  <c r="H643" i="6"/>
  <c r="A643" i="6" s="1"/>
  <c r="G643" i="6"/>
  <c r="F643" i="6"/>
  <c r="E643" i="6"/>
  <c r="D643" i="6"/>
  <c r="C643" i="6"/>
  <c r="B643" i="6"/>
  <c r="H642" i="6"/>
  <c r="A642" i="6" s="1"/>
  <c r="G642" i="6"/>
  <c r="F642" i="6"/>
  <c r="E642" i="6"/>
  <c r="D642" i="6"/>
  <c r="C642" i="6"/>
  <c r="B642" i="6"/>
  <c r="H641" i="6"/>
  <c r="A641" i="6" s="1"/>
  <c r="G641" i="6"/>
  <c r="F641" i="6"/>
  <c r="E641" i="6"/>
  <c r="D641" i="6"/>
  <c r="C641" i="6"/>
  <c r="B641" i="6"/>
  <c r="H640" i="6"/>
  <c r="A640" i="6" s="1"/>
  <c r="G640" i="6"/>
  <c r="F640" i="6"/>
  <c r="E640" i="6"/>
  <c r="D640" i="6"/>
  <c r="C640" i="6"/>
  <c r="B640" i="6"/>
  <c r="H639" i="6"/>
  <c r="A639" i="6" s="1"/>
  <c r="G639" i="6"/>
  <c r="F639" i="6"/>
  <c r="E639" i="6"/>
  <c r="D639" i="6"/>
  <c r="C639" i="6"/>
  <c r="B639" i="6"/>
  <c r="H638" i="6"/>
  <c r="A638" i="6" s="1"/>
  <c r="G638" i="6"/>
  <c r="F638" i="6"/>
  <c r="E638" i="6"/>
  <c r="D638" i="6"/>
  <c r="C638" i="6"/>
  <c r="B638" i="6"/>
  <c r="H637" i="6"/>
  <c r="A637" i="6" s="1"/>
  <c r="G637" i="6"/>
  <c r="F637" i="6"/>
  <c r="E637" i="6"/>
  <c r="D637" i="6"/>
  <c r="C637" i="6"/>
  <c r="B637" i="6"/>
  <c r="H636" i="6"/>
  <c r="A636" i="6" s="1"/>
  <c r="G636" i="6"/>
  <c r="F636" i="6"/>
  <c r="E636" i="6"/>
  <c r="D636" i="6"/>
  <c r="C636" i="6"/>
  <c r="B636" i="6"/>
  <c r="H635" i="6"/>
  <c r="A635" i="6" s="1"/>
  <c r="G635" i="6"/>
  <c r="F635" i="6"/>
  <c r="E635" i="6"/>
  <c r="D635" i="6"/>
  <c r="C635" i="6"/>
  <c r="B635" i="6"/>
  <c r="H634" i="6"/>
  <c r="A634" i="6" s="1"/>
  <c r="G634" i="6"/>
  <c r="F634" i="6"/>
  <c r="E634" i="6"/>
  <c r="D634" i="6"/>
  <c r="C634" i="6"/>
  <c r="B634" i="6"/>
  <c r="H633" i="6"/>
  <c r="A633" i="6" s="1"/>
  <c r="G633" i="6"/>
  <c r="F633" i="6"/>
  <c r="E633" i="6"/>
  <c r="D633" i="6"/>
  <c r="C633" i="6"/>
  <c r="B633" i="6"/>
  <c r="H632" i="6"/>
  <c r="A632" i="6" s="1"/>
  <c r="G632" i="6"/>
  <c r="F632" i="6"/>
  <c r="E632" i="6"/>
  <c r="D632" i="6"/>
  <c r="C632" i="6"/>
  <c r="B632" i="6"/>
  <c r="H631" i="6"/>
  <c r="A631" i="6" s="1"/>
  <c r="G631" i="6"/>
  <c r="F631" i="6"/>
  <c r="E631" i="6"/>
  <c r="D631" i="6"/>
  <c r="C631" i="6"/>
  <c r="B631" i="6"/>
  <c r="H630" i="6"/>
  <c r="A630" i="6" s="1"/>
  <c r="G630" i="6"/>
  <c r="F630" i="6"/>
  <c r="E630" i="6"/>
  <c r="D630" i="6"/>
  <c r="C630" i="6"/>
  <c r="B630" i="6"/>
  <c r="H629" i="6"/>
  <c r="A629" i="6" s="1"/>
  <c r="G629" i="6"/>
  <c r="F629" i="6"/>
  <c r="E629" i="6"/>
  <c r="D629" i="6"/>
  <c r="C629" i="6"/>
  <c r="B629" i="6"/>
  <c r="H628" i="6"/>
  <c r="A628" i="6" s="1"/>
  <c r="G628" i="6"/>
  <c r="F628" i="6"/>
  <c r="E628" i="6"/>
  <c r="D628" i="6"/>
  <c r="C628" i="6"/>
  <c r="B628" i="6"/>
  <c r="H627" i="6"/>
  <c r="A627" i="6" s="1"/>
  <c r="G627" i="6"/>
  <c r="F627" i="6"/>
  <c r="E627" i="6"/>
  <c r="D627" i="6"/>
  <c r="C627" i="6"/>
  <c r="B627" i="6"/>
  <c r="H626" i="6"/>
  <c r="A626" i="6" s="1"/>
  <c r="G626" i="6"/>
  <c r="F626" i="6"/>
  <c r="E626" i="6"/>
  <c r="D626" i="6"/>
  <c r="C626" i="6"/>
  <c r="B626" i="6"/>
  <c r="H625" i="6"/>
  <c r="A625" i="6" s="1"/>
  <c r="G625" i="6"/>
  <c r="F625" i="6"/>
  <c r="E625" i="6"/>
  <c r="D625" i="6"/>
  <c r="C625" i="6"/>
  <c r="B625" i="6"/>
  <c r="H624" i="6"/>
  <c r="A624" i="6" s="1"/>
  <c r="G624" i="6"/>
  <c r="F624" i="6"/>
  <c r="E624" i="6"/>
  <c r="D624" i="6"/>
  <c r="C624" i="6"/>
  <c r="B624" i="6"/>
  <c r="H623" i="6"/>
  <c r="A623" i="6" s="1"/>
  <c r="G623" i="6"/>
  <c r="F623" i="6"/>
  <c r="E623" i="6"/>
  <c r="D623" i="6"/>
  <c r="C623" i="6"/>
  <c r="B623" i="6"/>
  <c r="H622" i="6"/>
  <c r="A622" i="6" s="1"/>
  <c r="G622" i="6"/>
  <c r="F622" i="6"/>
  <c r="E622" i="6"/>
  <c r="D622" i="6"/>
  <c r="C622" i="6"/>
  <c r="B622" i="6"/>
  <c r="H621" i="6"/>
  <c r="A621" i="6" s="1"/>
  <c r="G621" i="6"/>
  <c r="F621" i="6"/>
  <c r="E621" i="6"/>
  <c r="D621" i="6"/>
  <c r="C621" i="6"/>
  <c r="B621" i="6"/>
  <c r="H620" i="6"/>
  <c r="A620" i="6" s="1"/>
  <c r="G620" i="6"/>
  <c r="F620" i="6"/>
  <c r="E620" i="6"/>
  <c r="D620" i="6"/>
  <c r="C620" i="6"/>
  <c r="B620" i="6"/>
  <c r="H619" i="6"/>
  <c r="A619" i="6" s="1"/>
  <c r="G619" i="6"/>
  <c r="F619" i="6"/>
  <c r="E619" i="6"/>
  <c r="D619" i="6"/>
  <c r="C619" i="6"/>
  <c r="B619" i="6"/>
  <c r="H618" i="6"/>
  <c r="A618" i="6" s="1"/>
  <c r="G618" i="6"/>
  <c r="F618" i="6"/>
  <c r="E618" i="6"/>
  <c r="D618" i="6"/>
  <c r="C618" i="6"/>
  <c r="B618" i="6"/>
  <c r="H617" i="6"/>
  <c r="A617" i="6" s="1"/>
  <c r="G617" i="6"/>
  <c r="F617" i="6"/>
  <c r="E617" i="6"/>
  <c r="D617" i="6"/>
  <c r="C617" i="6"/>
  <c r="B617" i="6"/>
  <c r="H616" i="6"/>
  <c r="A616" i="6" s="1"/>
  <c r="G616" i="6"/>
  <c r="F616" i="6"/>
  <c r="E616" i="6"/>
  <c r="D616" i="6"/>
  <c r="C616" i="6"/>
  <c r="B616" i="6"/>
  <c r="H615" i="6"/>
  <c r="A615" i="6" s="1"/>
  <c r="G615" i="6"/>
  <c r="F615" i="6"/>
  <c r="E615" i="6"/>
  <c r="D615" i="6"/>
  <c r="C615" i="6"/>
  <c r="B615" i="6"/>
  <c r="H614" i="6"/>
  <c r="A614" i="6" s="1"/>
  <c r="G614" i="6"/>
  <c r="F614" i="6"/>
  <c r="E614" i="6"/>
  <c r="D614" i="6"/>
  <c r="C614" i="6"/>
  <c r="B614" i="6"/>
  <c r="H613" i="6"/>
  <c r="A613" i="6" s="1"/>
  <c r="G613" i="6"/>
  <c r="F613" i="6"/>
  <c r="E613" i="6"/>
  <c r="D613" i="6"/>
  <c r="C613" i="6"/>
  <c r="B613" i="6"/>
  <c r="H612" i="6"/>
  <c r="A612" i="6" s="1"/>
  <c r="G612" i="6"/>
  <c r="F612" i="6"/>
  <c r="E612" i="6"/>
  <c r="D612" i="6"/>
  <c r="C612" i="6"/>
  <c r="B612" i="6"/>
  <c r="H611" i="6"/>
  <c r="A611" i="6" s="1"/>
  <c r="G611" i="6"/>
  <c r="F611" i="6"/>
  <c r="E611" i="6"/>
  <c r="D611" i="6"/>
  <c r="C611" i="6"/>
  <c r="B611" i="6"/>
  <c r="H610" i="6"/>
  <c r="A610" i="6" s="1"/>
  <c r="G610" i="6"/>
  <c r="F610" i="6"/>
  <c r="E610" i="6"/>
  <c r="D610" i="6"/>
  <c r="C610" i="6"/>
  <c r="B610" i="6"/>
  <c r="H609" i="6"/>
  <c r="A609" i="6" s="1"/>
  <c r="G609" i="6"/>
  <c r="F609" i="6"/>
  <c r="E609" i="6"/>
  <c r="D609" i="6"/>
  <c r="C609" i="6"/>
  <c r="B609" i="6"/>
  <c r="H608" i="6"/>
  <c r="A608" i="6" s="1"/>
  <c r="G608" i="6"/>
  <c r="F608" i="6"/>
  <c r="E608" i="6"/>
  <c r="D608" i="6"/>
  <c r="C608" i="6"/>
  <c r="B608" i="6"/>
  <c r="H607" i="6"/>
  <c r="A607" i="6" s="1"/>
  <c r="G607" i="6"/>
  <c r="F607" i="6"/>
  <c r="E607" i="6"/>
  <c r="D607" i="6"/>
  <c r="C607" i="6"/>
  <c r="B607" i="6"/>
  <c r="H606" i="6"/>
  <c r="A606" i="6" s="1"/>
  <c r="G606" i="6"/>
  <c r="F606" i="6"/>
  <c r="E606" i="6"/>
  <c r="D606" i="6"/>
  <c r="C606" i="6"/>
  <c r="B606" i="6"/>
  <c r="H605" i="6"/>
  <c r="A605" i="6" s="1"/>
  <c r="G605" i="6"/>
  <c r="F605" i="6"/>
  <c r="E605" i="6"/>
  <c r="D605" i="6"/>
  <c r="C605" i="6"/>
  <c r="B605" i="6"/>
  <c r="H604" i="6"/>
  <c r="A604" i="6" s="1"/>
  <c r="G604" i="6"/>
  <c r="F604" i="6"/>
  <c r="E604" i="6"/>
  <c r="D604" i="6"/>
  <c r="C604" i="6"/>
  <c r="B604" i="6"/>
  <c r="H603" i="6"/>
  <c r="A603" i="6" s="1"/>
  <c r="G603" i="6"/>
  <c r="F603" i="6"/>
  <c r="E603" i="6"/>
  <c r="D603" i="6"/>
  <c r="C603" i="6"/>
  <c r="B603" i="6"/>
  <c r="H602" i="6"/>
  <c r="A602" i="6" s="1"/>
  <c r="G602" i="6"/>
  <c r="F602" i="6"/>
  <c r="E602" i="6"/>
  <c r="D602" i="6"/>
  <c r="C602" i="6"/>
  <c r="B602" i="6"/>
  <c r="H601" i="6"/>
  <c r="A601" i="6" s="1"/>
  <c r="G601" i="6"/>
  <c r="F601" i="6"/>
  <c r="E601" i="6"/>
  <c r="D601" i="6"/>
  <c r="C601" i="6"/>
  <c r="B601" i="6"/>
  <c r="H600" i="6"/>
  <c r="A600" i="6" s="1"/>
  <c r="G600" i="6"/>
  <c r="F600" i="6"/>
  <c r="E600" i="6"/>
  <c r="D600" i="6"/>
  <c r="C600" i="6"/>
  <c r="B600" i="6"/>
  <c r="H599" i="6"/>
  <c r="A599" i="6" s="1"/>
  <c r="G599" i="6"/>
  <c r="F599" i="6"/>
  <c r="E599" i="6"/>
  <c r="D599" i="6"/>
  <c r="C599" i="6"/>
  <c r="B599" i="6"/>
  <c r="H598" i="6"/>
  <c r="A598" i="6" s="1"/>
  <c r="G598" i="6"/>
  <c r="F598" i="6"/>
  <c r="E598" i="6"/>
  <c r="D598" i="6"/>
  <c r="C598" i="6"/>
  <c r="B598" i="6"/>
  <c r="H597" i="6"/>
  <c r="A597" i="6" s="1"/>
  <c r="G597" i="6"/>
  <c r="F597" i="6"/>
  <c r="E597" i="6"/>
  <c r="D597" i="6"/>
  <c r="C597" i="6"/>
  <c r="B597" i="6"/>
  <c r="H596" i="6"/>
  <c r="A596" i="6" s="1"/>
  <c r="G596" i="6"/>
  <c r="F596" i="6"/>
  <c r="E596" i="6"/>
  <c r="D596" i="6"/>
  <c r="C596" i="6"/>
  <c r="B596" i="6"/>
  <c r="H595" i="6"/>
  <c r="A595" i="6" s="1"/>
  <c r="G595" i="6"/>
  <c r="F595" i="6"/>
  <c r="E595" i="6"/>
  <c r="D595" i="6"/>
  <c r="C595" i="6"/>
  <c r="B595" i="6"/>
  <c r="G594" i="6"/>
  <c r="F594" i="6"/>
  <c r="E594" i="6"/>
  <c r="D594" i="6"/>
  <c r="C594" i="6"/>
  <c r="B594" i="6"/>
  <c r="A594" i="6"/>
  <c r="G593" i="6"/>
  <c r="F593" i="6"/>
  <c r="E593" i="6"/>
  <c r="D593" i="6"/>
  <c r="C593" i="6"/>
  <c r="B593" i="6"/>
  <c r="A593" i="6"/>
  <c r="G592" i="6"/>
  <c r="F592" i="6"/>
  <c r="E592" i="6"/>
  <c r="D592" i="6"/>
  <c r="C592" i="6"/>
  <c r="B592" i="6"/>
  <c r="A592" i="6"/>
  <c r="G591" i="6"/>
  <c r="F591" i="6"/>
  <c r="E591" i="6"/>
  <c r="D591" i="6"/>
  <c r="C591" i="6"/>
  <c r="B591" i="6"/>
  <c r="A591" i="6"/>
  <c r="A590" i="6"/>
  <c r="G589" i="6"/>
  <c r="F589" i="6"/>
  <c r="E589" i="6"/>
  <c r="D589" i="6"/>
  <c r="C589" i="6"/>
  <c r="B589" i="6"/>
  <c r="A589" i="6"/>
  <c r="G588" i="6"/>
  <c r="F588" i="6"/>
  <c r="D588" i="6"/>
  <c r="C588" i="6"/>
  <c r="B588" i="6"/>
  <c r="A588" i="6"/>
  <c r="G587" i="6"/>
  <c r="F587" i="6"/>
  <c r="E587" i="6"/>
  <c r="D587" i="6"/>
  <c r="C587" i="6"/>
  <c r="B587" i="6"/>
  <c r="A587" i="6"/>
  <c r="G586" i="6"/>
  <c r="F586" i="6"/>
  <c r="C586" i="6"/>
  <c r="B586" i="6"/>
  <c r="A586" i="6"/>
  <c r="G585" i="6"/>
  <c r="F585" i="6"/>
  <c r="C585" i="6"/>
  <c r="B585" i="6"/>
  <c r="A585" i="6"/>
  <c r="G584" i="6"/>
  <c r="F584" i="6"/>
  <c r="C584" i="6"/>
  <c r="B584" i="6"/>
  <c r="A584" i="6"/>
  <c r="G583" i="6"/>
  <c r="F583" i="6"/>
  <c r="C583" i="6"/>
  <c r="B583" i="6"/>
  <c r="A583" i="6"/>
  <c r="G582" i="6"/>
  <c r="F582" i="6"/>
  <c r="C582" i="6"/>
  <c r="B582" i="6"/>
  <c r="A582" i="6"/>
  <c r="G581" i="6"/>
  <c r="F581" i="6"/>
  <c r="C581" i="6"/>
  <c r="B581" i="6"/>
  <c r="A581" i="6"/>
  <c r="G580" i="6"/>
  <c r="F580" i="6"/>
  <c r="E580" i="6"/>
  <c r="D580" i="6"/>
  <c r="C580" i="6"/>
  <c r="B580" i="6"/>
  <c r="A580" i="6"/>
  <c r="G579" i="6"/>
  <c r="F579" i="6"/>
  <c r="E579" i="6"/>
  <c r="D579" i="6"/>
  <c r="C579" i="6"/>
  <c r="B579" i="6"/>
  <c r="A579" i="6"/>
  <c r="G578" i="6"/>
  <c r="F578" i="6"/>
  <c r="E578" i="6"/>
  <c r="D578" i="6"/>
  <c r="C578" i="6"/>
  <c r="B578" i="6"/>
  <c r="A578" i="6"/>
  <c r="G577" i="6"/>
  <c r="F577" i="6"/>
  <c r="E577" i="6"/>
  <c r="D577" i="6"/>
  <c r="C577" i="6"/>
  <c r="B577" i="6"/>
  <c r="A577" i="6"/>
  <c r="G576" i="6"/>
  <c r="F576" i="6"/>
  <c r="E576" i="6"/>
  <c r="D576" i="6"/>
  <c r="C576" i="6"/>
  <c r="B576" i="6"/>
  <c r="A576" i="6"/>
  <c r="G575" i="6"/>
  <c r="F575" i="6"/>
  <c r="E575" i="6"/>
  <c r="D575" i="6"/>
  <c r="C575" i="6"/>
  <c r="B575" i="6"/>
  <c r="A575" i="6"/>
  <c r="G574" i="6"/>
  <c r="F574" i="6"/>
  <c r="E574" i="6"/>
  <c r="D574" i="6"/>
  <c r="C574" i="6"/>
  <c r="B574" i="6"/>
  <c r="A574" i="6"/>
  <c r="G573" i="6"/>
  <c r="F573" i="6"/>
  <c r="E573" i="6"/>
  <c r="D573" i="6"/>
  <c r="C573" i="6"/>
  <c r="B573" i="6"/>
  <c r="A573" i="6"/>
  <c r="G572" i="6"/>
  <c r="F572" i="6"/>
  <c r="E572" i="6"/>
  <c r="D572" i="6"/>
  <c r="C572" i="6"/>
  <c r="B572" i="6"/>
  <c r="A572" i="6"/>
  <c r="G571" i="6"/>
  <c r="F571" i="6"/>
  <c r="E571" i="6"/>
  <c r="D571" i="6"/>
  <c r="C571" i="6"/>
  <c r="B571" i="6"/>
  <c r="A571" i="6"/>
  <c r="G570" i="6"/>
  <c r="F570" i="6"/>
  <c r="E570" i="6"/>
  <c r="D570" i="6"/>
  <c r="C570" i="6"/>
  <c r="B570" i="6"/>
  <c r="A570" i="6"/>
  <c r="G569" i="6"/>
  <c r="F569" i="6"/>
  <c r="E569" i="6"/>
  <c r="D569" i="6"/>
  <c r="C569" i="6"/>
  <c r="B569" i="6"/>
  <c r="A569" i="6"/>
  <c r="G568" i="6"/>
  <c r="F568" i="6"/>
  <c r="E568" i="6"/>
  <c r="D568" i="6"/>
  <c r="C568" i="6"/>
  <c r="B568" i="6"/>
  <c r="A568" i="6"/>
  <c r="G567" i="6"/>
  <c r="F567" i="6"/>
  <c r="E567" i="6"/>
  <c r="D567" i="6"/>
  <c r="C567" i="6"/>
  <c r="B567" i="6"/>
  <c r="A567" i="6"/>
  <c r="G566" i="6"/>
  <c r="F566" i="6"/>
  <c r="E566" i="6"/>
  <c r="D566" i="6"/>
  <c r="C566" i="6"/>
  <c r="B566" i="6"/>
  <c r="A566" i="6"/>
  <c r="G565" i="6"/>
  <c r="F565" i="6"/>
  <c r="E565" i="6"/>
  <c r="D565" i="6"/>
  <c r="C565" i="6"/>
  <c r="B565" i="6"/>
  <c r="A565" i="6"/>
  <c r="G564" i="6"/>
  <c r="F564" i="6"/>
  <c r="E564" i="6"/>
  <c r="D564" i="6"/>
  <c r="C564" i="6"/>
  <c r="B564" i="6"/>
  <c r="A564" i="6"/>
  <c r="G563" i="6"/>
  <c r="F563" i="6"/>
  <c r="E563" i="6"/>
  <c r="D563" i="6"/>
  <c r="C563" i="6"/>
  <c r="B563" i="6"/>
  <c r="A563" i="6"/>
  <c r="G562" i="6"/>
  <c r="F562" i="6"/>
  <c r="E562" i="6"/>
  <c r="D562" i="6"/>
  <c r="C562" i="6"/>
  <c r="B562" i="6"/>
  <c r="A562" i="6"/>
  <c r="G561" i="6"/>
  <c r="F561" i="6"/>
  <c r="E561" i="6"/>
  <c r="D561" i="6"/>
  <c r="C561" i="6"/>
  <c r="B561" i="6"/>
  <c r="A561" i="6"/>
  <c r="G560" i="6"/>
  <c r="F560" i="6"/>
  <c r="E560" i="6"/>
  <c r="D560" i="6"/>
  <c r="C560" i="6"/>
  <c r="B560" i="6"/>
  <c r="A560" i="6"/>
  <c r="G559" i="6"/>
  <c r="F559" i="6"/>
  <c r="E559" i="6"/>
  <c r="D559" i="6"/>
  <c r="C559" i="6"/>
  <c r="B559" i="6"/>
  <c r="A559" i="6"/>
  <c r="G558" i="6"/>
  <c r="F558" i="6"/>
  <c r="E558" i="6"/>
  <c r="D558" i="6"/>
  <c r="C558" i="6"/>
  <c r="B558" i="6"/>
  <c r="A558" i="6"/>
  <c r="G557" i="6"/>
  <c r="F557" i="6"/>
  <c r="E557" i="6"/>
  <c r="D557" i="6"/>
  <c r="C557" i="6"/>
  <c r="B557" i="6"/>
  <c r="A557" i="6"/>
  <c r="G556" i="6"/>
  <c r="F556" i="6"/>
  <c r="E556" i="6"/>
  <c r="D556" i="6"/>
  <c r="C556" i="6"/>
  <c r="B556" i="6"/>
  <c r="A556" i="6"/>
  <c r="G555" i="6"/>
  <c r="F555" i="6"/>
  <c r="E555" i="6"/>
  <c r="D555" i="6"/>
  <c r="C555" i="6"/>
  <c r="B555" i="6"/>
  <c r="A555" i="6"/>
  <c r="G554" i="6"/>
  <c r="F554" i="6"/>
  <c r="E554" i="6"/>
  <c r="D554" i="6"/>
  <c r="C554" i="6"/>
  <c r="B554" i="6"/>
  <c r="A554" i="6"/>
  <c r="G553" i="6"/>
  <c r="F553" i="6"/>
  <c r="D553" i="6"/>
  <c r="C553" i="6"/>
  <c r="B553" i="6"/>
  <c r="A553" i="6"/>
  <c r="G552" i="6"/>
  <c r="F552" i="6"/>
  <c r="E552" i="6"/>
  <c r="D552" i="6"/>
  <c r="C552" i="6"/>
  <c r="B552" i="6"/>
  <c r="A552" i="6"/>
  <c r="G551" i="6"/>
  <c r="F551" i="6"/>
  <c r="E551" i="6"/>
  <c r="D551" i="6"/>
  <c r="C551" i="6"/>
  <c r="B551" i="6"/>
  <c r="A551" i="6"/>
  <c r="G550" i="6"/>
  <c r="F550" i="6"/>
  <c r="E550" i="6"/>
  <c r="D550" i="6"/>
  <c r="C550" i="6"/>
  <c r="B550" i="6"/>
  <c r="A550" i="6"/>
  <c r="G549" i="6"/>
  <c r="F549" i="6"/>
  <c r="E549" i="6"/>
  <c r="D549" i="6"/>
  <c r="C549" i="6"/>
  <c r="B549" i="6"/>
  <c r="A549" i="6"/>
  <c r="G548" i="6"/>
  <c r="F548" i="6"/>
  <c r="E548" i="6"/>
  <c r="D548" i="6"/>
  <c r="C548" i="6"/>
  <c r="B548" i="6"/>
  <c r="A548" i="6"/>
  <c r="G547" i="6"/>
  <c r="F547" i="6"/>
  <c r="E547" i="6"/>
  <c r="D547" i="6"/>
  <c r="C547" i="6"/>
  <c r="B547" i="6"/>
  <c r="A547" i="6"/>
  <c r="G546" i="6"/>
  <c r="F546" i="6"/>
  <c r="C546" i="6"/>
  <c r="B546" i="6"/>
  <c r="A546" i="6"/>
  <c r="G545" i="6"/>
  <c r="F545" i="6"/>
  <c r="E545" i="6"/>
  <c r="D545" i="6"/>
  <c r="C545" i="6"/>
  <c r="B545" i="6"/>
  <c r="A545" i="6"/>
  <c r="G544" i="6"/>
  <c r="F544" i="6"/>
  <c r="E544" i="6"/>
  <c r="D544" i="6"/>
  <c r="C544" i="6"/>
  <c r="B544" i="6"/>
  <c r="A544" i="6"/>
  <c r="G543" i="6"/>
  <c r="F543" i="6"/>
  <c r="E543" i="6"/>
  <c r="D543" i="6"/>
  <c r="C543" i="6"/>
  <c r="B543" i="6"/>
  <c r="A543" i="6"/>
  <c r="G542" i="6"/>
  <c r="F542" i="6"/>
  <c r="E542" i="6"/>
  <c r="D542" i="6"/>
  <c r="C542" i="6"/>
  <c r="B542" i="6"/>
  <c r="A542" i="6"/>
  <c r="G541" i="6"/>
  <c r="F541" i="6"/>
  <c r="E541" i="6"/>
  <c r="D541" i="6"/>
  <c r="C541" i="6"/>
  <c r="B541" i="6"/>
  <c r="A541" i="6"/>
  <c r="G540" i="6"/>
  <c r="F540" i="6"/>
  <c r="E540" i="6"/>
  <c r="D540" i="6"/>
  <c r="C540" i="6"/>
  <c r="B540" i="6"/>
  <c r="A540" i="6"/>
  <c r="G539" i="6"/>
  <c r="F539" i="6"/>
  <c r="E539" i="6"/>
  <c r="D539" i="6"/>
  <c r="C539" i="6"/>
  <c r="B539" i="6"/>
  <c r="A539" i="6"/>
  <c r="G538" i="6"/>
  <c r="F538" i="6"/>
  <c r="E538" i="6"/>
  <c r="D538" i="6"/>
  <c r="C538" i="6"/>
  <c r="B538" i="6"/>
  <c r="A538" i="6"/>
  <c r="G537" i="6"/>
  <c r="F537" i="6"/>
  <c r="E537" i="6"/>
  <c r="D537" i="6"/>
  <c r="C537" i="6"/>
  <c r="B537" i="6"/>
  <c r="A537" i="6"/>
  <c r="G536" i="6"/>
  <c r="F536" i="6"/>
  <c r="E536" i="6"/>
  <c r="D536" i="6"/>
  <c r="C536" i="6"/>
  <c r="B536" i="6"/>
  <c r="A536" i="6"/>
  <c r="G535" i="6"/>
  <c r="F535" i="6"/>
  <c r="E535" i="6"/>
  <c r="D535" i="6"/>
  <c r="C535" i="6"/>
  <c r="B535" i="6"/>
  <c r="A535" i="6"/>
  <c r="G534" i="6"/>
  <c r="F534" i="6"/>
  <c r="E534" i="6"/>
  <c r="D534" i="6"/>
  <c r="C534" i="6"/>
  <c r="B534" i="6"/>
  <c r="A534" i="6"/>
  <c r="G533" i="6"/>
  <c r="F533" i="6"/>
  <c r="E533" i="6"/>
  <c r="D533" i="6"/>
  <c r="C533" i="6"/>
  <c r="B533" i="6"/>
  <c r="A533" i="6"/>
  <c r="G532" i="6"/>
  <c r="F532" i="6"/>
  <c r="E532" i="6"/>
  <c r="D532" i="6"/>
  <c r="C532" i="6"/>
  <c r="B532" i="6"/>
  <c r="A532" i="6"/>
  <c r="G531" i="6"/>
  <c r="F531" i="6"/>
  <c r="E531" i="6"/>
  <c r="D531" i="6"/>
  <c r="C531" i="6"/>
  <c r="B531" i="6"/>
  <c r="A531" i="6"/>
  <c r="G530" i="6"/>
  <c r="F530" i="6"/>
  <c r="E530" i="6"/>
  <c r="D530" i="6"/>
  <c r="C530" i="6"/>
  <c r="B530" i="6"/>
  <c r="A530" i="6"/>
  <c r="G529" i="6"/>
  <c r="F529" i="6"/>
  <c r="E529" i="6"/>
  <c r="D529" i="6"/>
  <c r="C529" i="6"/>
  <c r="B529" i="6"/>
  <c r="A529" i="6"/>
  <c r="G528" i="6"/>
  <c r="F528" i="6"/>
  <c r="E528" i="6"/>
  <c r="D528" i="6"/>
  <c r="C528" i="6"/>
  <c r="B528" i="6"/>
  <c r="A528" i="6"/>
  <c r="G527" i="6"/>
  <c r="F527" i="6"/>
  <c r="E527" i="6"/>
  <c r="D527" i="6"/>
  <c r="C527" i="6"/>
  <c r="B527" i="6"/>
  <c r="A527" i="6"/>
  <c r="G526" i="6"/>
  <c r="F526" i="6"/>
  <c r="E526" i="6"/>
  <c r="D526" i="6"/>
  <c r="C526" i="6"/>
  <c r="B526" i="6"/>
  <c r="A526" i="6"/>
  <c r="G525" i="6"/>
  <c r="F525" i="6"/>
  <c r="E525" i="6"/>
  <c r="D525" i="6"/>
  <c r="C525" i="6"/>
  <c r="B525" i="6"/>
  <c r="A525" i="6"/>
  <c r="G524" i="6"/>
  <c r="F524" i="6"/>
  <c r="E524" i="6"/>
  <c r="D524" i="6"/>
  <c r="C524" i="6"/>
  <c r="B524" i="6"/>
  <c r="A524" i="6"/>
  <c r="G523" i="6"/>
  <c r="F523" i="6"/>
  <c r="E523" i="6"/>
  <c r="D523" i="6"/>
  <c r="C523" i="6"/>
  <c r="B523" i="6"/>
  <c r="A523" i="6"/>
  <c r="G522" i="6"/>
  <c r="F522" i="6"/>
  <c r="E522" i="6"/>
  <c r="D522" i="6"/>
  <c r="C522" i="6"/>
  <c r="B522" i="6"/>
  <c r="A522" i="6"/>
  <c r="G521" i="6"/>
  <c r="F521" i="6"/>
  <c r="E521" i="6"/>
  <c r="D521" i="6"/>
  <c r="C521" i="6"/>
  <c r="B521" i="6"/>
  <c r="A521" i="6"/>
  <c r="G520" i="6"/>
  <c r="F520" i="6"/>
  <c r="E520" i="6"/>
  <c r="D520" i="6"/>
  <c r="C520" i="6"/>
  <c r="B520" i="6"/>
  <c r="A520" i="6"/>
  <c r="G519" i="6"/>
  <c r="F519" i="6"/>
  <c r="E519" i="6"/>
  <c r="D519" i="6"/>
  <c r="C519" i="6"/>
  <c r="B519" i="6"/>
  <c r="A519" i="6"/>
  <c r="G518" i="6"/>
  <c r="F518" i="6"/>
  <c r="E518" i="6"/>
  <c r="D518" i="6"/>
  <c r="C518" i="6"/>
  <c r="B518" i="6"/>
  <c r="A518" i="6"/>
  <c r="G517" i="6"/>
  <c r="F517" i="6"/>
  <c r="E517" i="6"/>
  <c r="D517" i="6"/>
  <c r="C517" i="6"/>
  <c r="B517" i="6"/>
  <c r="A517" i="6"/>
  <c r="G516" i="6"/>
  <c r="F516" i="6"/>
  <c r="E516" i="6"/>
  <c r="D516" i="6"/>
  <c r="C516" i="6"/>
  <c r="B516" i="6"/>
  <c r="A516" i="6"/>
  <c r="G515" i="6"/>
  <c r="F515" i="6"/>
  <c r="E515" i="6"/>
  <c r="D515" i="6"/>
  <c r="C515" i="6"/>
  <c r="B515" i="6"/>
  <c r="A515" i="6"/>
  <c r="G514" i="6"/>
  <c r="F514" i="6"/>
  <c r="E514" i="6"/>
  <c r="D514" i="6"/>
  <c r="C514" i="6"/>
  <c r="B514" i="6"/>
  <c r="A514" i="6"/>
  <c r="G513" i="6"/>
  <c r="F513" i="6"/>
  <c r="E513" i="6"/>
  <c r="D513" i="6"/>
  <c r="C513" i="6"/>
  <c r="B513" i="6"/>
  <c r="A513" i="6"/>
  <c r="G512" i="6"/>
  <c r="F512" i="6"/>
  <c r="E512" i="6"/>
  <c r="D512" i="6"/>
  <c r="C512" i="6"/>
  <c r="B512" i="6"/>
  <c r="A512" i="6"/>
  <c r="G511" i="6"/>
  <c r="F511" i="6"/>
  <c r="E511" i="6"/>
  <c r="D511" i="6"/>
  <c r="C511" i="6"/>
  <c r="B511" i="6"/>
  <c r="A511" i="6"/>
  <c r="G510" i="6"/>
  <c r="F510" i="6"/>
  <c r="E510" i="6"/>
  <c r="D510" i="6"/>
  <c r="C510" i="6"/>
  <c r="B510" i="6"/>
  <c r="A510" i="6"/>
  <c r="G509" i="6"/>
  <c r="F509" i="6"/>
  <c r="E509" i="6"/>
  <c r="D509" i="6"/>
  <c r="C509" i="6"/>
  <c r="B509" i="6"/>
  <c r="A509" i="6"/>
  <c r="G508" i="6"/>
  <c r="F508" i="6"/>
  <c r="E508" i="6"/>
  <c r="D508" i="6"/>
  <c r="C508" i="6"/>
  <c r="B508" i="6"/>
  <c r="A508" i="6"/>
  <c r="G507" i="6"/>
  <c r="F507" i="6"/>
  <c r="E507" i="6"/>
  <c r="D507" i="6"/>
  <c r="C507" i="6"/>
  <c r="B507" i="6"/>
  <c r="A507" i="6"/>
  <c r="G506" i="6"/>
  <c r="F506" i="6"/>
  <c r="E506" i="6"/>
  <c r="D506" i="6"/>
  <c r="C506" i="6"/>
  <c r="B506" i="6"/>
  <c r="A506" i="6"/>
  <c r="F505" i="6"/>
  <c r="C505" i="6"/>
  <c r="B505" i="6"/>
  <c r="A505" i="6"/>
  <c r="F504" i="6"/>
  <c r="C504" i="6"/>
  <c r="B504" i="6"/>
  <c r="A504" i="6"/>
  <c r="F503" i="6"/>
  <c r="C503" i="6"/>
  <c r="B503" i="6"/>
  <c r="A503" i="6"/>
  <c r="F502" i="6"/>
  <c r="C502" i="6"/>
  <c r="B502" i="6"/>
  <c r="A502" i="6"/>
  <c r="F501" i="6"/>
  <c r="C501" i="6"/>
  <c r="B501" i="6"/>
  <c r="A501" i="6"/>
  <c r="F500" i="6"/>
  <c r="C500" i="6"/>
  <c r="B500" i="6"/>
  <c r="A500" i="6"/>
  <c r="F499" i="6"/>
  <c r="C499" i="6"/>
  <c r="B499" i="6"/>
  <c r="A499" i="6"/>
  <c r="F498" i="6"/>
  <c r="C498" i="6"/>
  <c r="B498" i="6"/>
  <c r="A498" i="6"/>
  <c r="F497" i="6"/>
  <c r="C497" i="6"/>
  <c r="B497" i="6"/>
  <c r="A497" i="6"/>
  <c r="F496" i="6"/>
  <c r="C496" i="6"/>
  <c r="B496" i="6"/>
  <c r="A496" i="6"/>
  <c r="F495" i="6"/>
  <c r="C495" i="6"/>
  <c r="B495" i="6"/>
  <c r="A495" i="6"/>
  <c r="F494" i="6"/>
  <c r="C494" i="6"/>
  <c r="B494" i="6"/>
  <c r="A494" i="6"/>
  <c r="F493" i="6"/>
  <c r="C493" i="6"/>
  <c r="B493" i="6"/>
  <c r="A493" i="6"/>
  <c r="F492" i="6"/>
  <c r="C492" i="6"/>
  <c r="B492" i="6"/>
  <c r="A492" i="6"/>
  <c r="F491" i="6"/>
  <c r="C491" i="6"/>
  <c r="B491" i="6"/>
  <c r="A491" i="6"/>
  <c r="F490" i="6"/>
  <c r="C490" i="6"/>
  <c r="B490" i="6"/>
  <c r="A490" i="6"/>
  <c r="F489" i="6"/>
  <c r="C489" i="6"/>
  <c r="B489" i="6"/>
  <c r="A489" i="6"/>
  <c r="F488" i="6"/>
  <c r="C488" i="6"/>
  <c r="B488" i="6"/>
  <c r="A488" i="6"/>
  <c r="F487" i="6"/>
  <c r="C487" i="6"/>
  <c r="B487" i="6"/>
  <c r="A487" i="6"/>
  <c r="F486" i="6"/>
  <c r="C486" i="6"/>
  <c r="B486" i="6"/>
  <c r="A486" i="6"/>
  <c r="F485" i="6"/>
  <c r="C485" i="6"/>
  <c r="B485" i="6"/>
  <c r="A485" i="6"/>
  <c r="F484" i="6"/>
  <c r="C484" i="6"/>
  <c r="B484" i="6"/>
  <c r="A484" i="6"/>
  <c r="F483" i="6"/>
  <c r="C483" i="6"/>
  <c r="B483" i="6"/>
  <c r="A483" i="6"/>
  <c r="F482" i="6"/>
  <c r="C482" i="6"/>
  <c r="B482" i="6"/>
  <c r="A482" i="6"/>
  <c r="F481" i="6"/>
  <c r="C481" i="6"/>
  <c r="B481" i="6"/>
  <c r="A481" i="6"/>
  <c r="F480" i="6"/>
  <c r="C480" i="6"/>
  <c r="B480" i="6"/>
  <c r="A480" i="6"/>
  <c r="F479" i="6"/>
  <c r="C479" i="6"/>
  <c r="B479" i="6"/>
  <c r="A479" i="6"/>
  <c r="F478" i="6"/>
  <c r="C478" i="6"/>
  <c r="B478" i="6"/>
  <c r="A478" i="6"/>
  <c r="F477" i="6"/>
  <c r="C477" i="6"/>
  <c r="B477" i="6"/>
  <c r="A477" i="6"/>
  <c r="F476" i="6"/>
  <c r="C476" i="6"/>
  <c r="B476" i="6"/>
  <c r="A476" i="6"/>
  <c r="F475" i="6"/>
  <c r="C475" i="6"/>
  <c r="B475" i="6"/>
  <c r="A475" i="6"/>
  <c r="F474" i="6"/>
  <c r="C474" i="6"/>
  <c r="B474" i="6"/>
  <c r="A474" i="6"/>
  <c r="F473" i="6"/>
  <c r="C473" i="6"/>
  <c r="B473" i="6"/>
  <c r="A473" i="6"/>
  <c r="F472" i="6"/>
  <c r="C472" i="6"/>
  <c r="B472" i="6"/>
  <c r="A472" i="6"/>
  <c r="F471" i="6"/>
  <c r="C471" i="6"/>
  <c r="B471" i="6"/>
  <c r="A471" i="6"/>
  <c r="F470" i="6"/>
  <c r="C470" i="6"/>
  <c r="B470" i="6"/>
  <c r="A470" i="6"/>
  <c r="F469" i="6"/>
  <c r="C469" i="6"/>
  <c r="B469" i="6"/>
  <c r="A469" i="6"/>
  <c r="F468" i="6"/>
  <c r="C468" i="6"/>
  <c r="B468" i="6"/>
  <c r="A468" i="6"/>
  <c r="F467" i="6"/>
  <c r="C467" i="6"/>
  <c r="B467" i="6"/>
  <c r="A467" i="6"/>
  <c r="F466" i="6"/>
  <c r="C466" i="6"/>
  <c r="B466" i="6"/>
  <c r="A466" i="6"/>
  <c r="F465" i="6"/>
  <c r="C465" i="6"/>
  <c r="B465" i="6"/>
  <c r="A465" i="6"/>
  <c r="F464" i="6"/>
  <c r="C464" i="6"/>
  <c r="B464" i="6"/>
  <c r="A464" i="6"/>
  <c r="F463" i="6"/>
  <c r="C463" i="6"/>
  <c r="B463" i="6"/>
  <c r="A463" i="6"/>
  <c r="F462" i="6"/>
  <c r="C462" i="6"/>
  <c r="B462" i="6"/>
  <c r="A462" i="6"/>
  <c r="F461" i="6"/>
  <c r="C461" i="6"/>
  <c r="B461" i="6"/>
  <c r="A461" i="6"/>
  <c r="F460" i="6"/>
  <c r="C460" i="6"/>
  <c r="B460" i="6"/>
  <c r="A460" i="6"/>
  <c r="F459" i="6"/>
  <c r="C459" i="6"/>
  <c r="B459" i="6"/>
  <c r="A459" i="6"/>
  <c r="F458" i="6"/>
  <c r="C458" i="6"/>
  <c r="B458" i="6"/>
  <c r="A458" i="6"/>
  <c r="F457" i="6"/>
  <c r="C457" i="6"/>
  <c r="B457" i="6"/>
  <c r="A457" i="6"/>
  <c r="F456" i="6"/>
  <c r="C456" i="6"/>
  <c r="B456" i="6"/>
  <c r="A456" i="6"/>
  <c r="F455" i="6"/>
  <c r="C455" i="6"/>
  <c r="B455" i="6"/>
  <c r="A455" i="6"/>
  <c r="F454" i="6"/>
  <c r="C454" i="6"/>
  <c r="B454" i="6"/>
  <c r="A454" i="6"/>
  <c r="F453" i="6"/>
  <c r="C453" i="6"/>
  <c r="B453" i="6"/>
  <c r="A453" i="6"/>
  <c r="F452" i="6"/>
  <c r="C452" i="6"/>
  <c r="B452" i="6"/>
  <c r="A452" i="6"/>
  <c r="F451" i="6"/>
  <c r="C451" i="6"/>
  <c r="B451" i="6"/>
  <c r="A451" i="6"/>
  <c r="F450" i="6"/>
  <c r="C450" i="6"/>
  <c r="B450" i="6"/>
  <c r="A450" i="6"/>
  <c r="F449" i="6"/>
  <c r="C449" i="6"/>
  <c r="B449" i="6"/>
  <c r="A449" i="6"/>
  <c r="F448" i="6"/>
  <c r="C448" i="6"/>
  <c r="B448" i="6"/>
  <c r="A448" i="6"/>
  <c r="F447" i="6"/>
  <c r="C447" i="6"/>
  <c r="B447" i="6"/>
  <c r="A447" i="6"/>
  <c r="F446" i="6"/>
  <c r="C446" i="6"/>
  <c r="B446" i="6"/>
  <c r="A446" i="6"/>
  <c r="F445" i="6"/>
  <c r="C445" i="6"/>
  <c r="B445" i="6"/>
  <c r="A445" i="6"/>
  <c r="F444" i="6"/>
  <c r="C444" i="6"/>
  <c r="B444" i="6"/>
  <c r="A444" i="6"/>
  <c r="F443" i="6"/>
  <c r="C443" i="6"/>
  <c r="B443" i="6"/>
  <c r="A443" i="6"/>
  <c r="F442" i="6"/>
  <c r="C442" i="6"/>
  <c r="B442" i="6"/>
  <c r="A442" i="6"/>
  <c r="F441" i="6"/>
  <c r="C441" i="6"/>
  <c r="B441" i="6"/>
  <c r="A441" i="6"/>
  <c r="F440" i="6"/>
  <c r="C440" i="6"/>
  <c r="B440" i="6"/>
  <c r="A440" i="6"/>
  <c r="F439" i="6"/>
  <c r="C439" i="6"/>
  <c r="B439" i="6"/>
  <c r="A439" i="6"/>
  <c r="F438" i="6"/>
  <c r="C438" i="6"/>
  <c r="B438" i="6"/>
  <c r="A438" i="6"/>
  <c r="F437" i="6"/>
  <c r="C437" i="6"/>
  <c r="B437" i="6"/>
  <c r="A437" i="6"/>
  <c r="F436" i="6"/>
  <c r="C436" i="6"/>
  <c r="B436" i="6"/>
  <c r="A436" i="6"/>
  <c r="F435" i="6"/>
  <c r="C435" i="6"/>
  <c r="B435" i="6"/>
  <c r="A435" i="6"/>
  <c r="F434" i="6"/>
  <c r="C434" i="6"/>
  <c r="B434" i="6"/>
  <c r="A434" i="6"/>
  <c r="F433" i="6"/>
  <c r="C433" i="6"/>
  <c r="B433" i="6"/>
  <c r="A433" i="6"/>
  <c r="F432" i="6"/>
  <c r="C432" i="6"/>
  <c r="B432" i="6"/>
  <c r="A432" i="6"/>
  <c r="F431" i="6"/>
  <c r="C431" i="6"/>
  <c r="B431" i="6"/>
  <c r="A431" i="6"/>
  <c r="F430" i="6"/>
  <c r="C430" i="6"/>
  <c r="B430" i="6"/>
  <c r="A430" i="6"/>
  <c r="F429" i="6"/>
  <c r="C429" i="6"/>
  <c r="B429" i="6"/>
  <c r="A429" i="6"/>
  <c r="F428" i="6"/>
  <c r="C428" i="6"/>
  <c r="B428" i="6"/>
  <c r="A428" i="6"/>
  <c r="F427" i="6"/>
  <c r="C427" i="6"/>
  <c r="B427" i="6"/>
  <c r="A427" i="6"/>
  <c r="F426" i="6"/>
  <c r="C426" i="6"/>
  <c r="B426" i="6"/>
  <c r="A426" i="6"/>
  <c r="F425" i="6"/>
  <c r="C425" i="6"/>
  <c r="B425" i="6"/>
  <c r="A425" i="6"/>
  <c r="F424" i="6"/>
  <c r="C424" i="6"/>
  <c r="B424" i="6"/>
  <c r="A424" i="6"/>
  <c r="F423" i="6"/>
  <c r="C423" i="6"/>
  <c r="B423" i="6"/>
  <c r="A423" i="6"/>
  <c r="F422" i="6"/>
  <c r="C422" i="6"/>
  <c r="B422" i="6"/>
  <c r="A422" i="6"/>
  <c r="F421" i="6"/>
  <c r="C421" i="6"/>
  <c r="B421" i="6"/>
  <c r="A421" i="6"/>
  <c r="F420" i="6"/>
  <c r="C420" i="6"/>
  <c r="B420" i="6"/>
  <c r="A420" i="6"/>
  <c r="F419" i="6"/>
  <c r="C419" i="6"/>
  <c r="B419" i="6"/>
  <c r="A419" i="6"/>
  <c r="F418" i="6"/>
  <c r="C418" i="6"/>
  <c r="B418" i="6"/>
  <c r="A418" i="6"/>
  <c r="F417" i="6"/>
  <c r="C417" i="6"/>
  <c r="B417" i="6"/>
  <c r="A417" i="6"/>
  <c r="F416" i="6"/>
  <c r="C416" i="6"/>
  <c r="B416" i="6"/>
  <c r="A416" i="6"/>
  <c r="F415" i="6"/>
  <c r="C415" i="6"/>
  <c r="B415" i="6"/>
  <c r="A415" i="6"/>
  <c r="F414" i="6"/>
  <c r="C414" i="6"/>
  <c r="B414" i="6"/>
  <c r="A414" i="6"/>
  <c r="F413" i="6"/>
  <c r="C413" i="6"/>
  <c r="B413" i="6"/>
  <c r="A413" i="6"/>
  <c r="F412" i="6"/>
  <c r="C412" i="6"/>
  <c r="B412" i="6"/>
  <c r="A412" i="6"/>
  <c r="F411" i="6"/>
  <c r="D411" i="6"/>
  <c r="C411" i="6"/>
  <c r="B411" i="6"/>
  <c r="A411" i="6"/>
  <c r="F410" i="6"/>
  <c r="C410" i="6"/>
  <c r="B410" i="6"/>
  <c r="A410" i="6"/>
  <c r="F409" i="6"/>
  <c r="C409" i="6"/>
  <c r="B409" i="6"/>
  <c r="A409" i="6"/>
  <c r="F408" i="6"/>
  <c r="C408" i="6"/>
  <c r="B408" i="6"/>
  <c r="A408" i="6"/>
  <c r="F407" i="6"/>
  <c r="C407" i="6"/>
  <c r="B407" i="6"/>
  <c r="A407" i="6"/>
  <c r="F406" i="6"/>
  <c r="C406" i="6"/>
  <c r="B406" i="6"/>
  <c r="A406" i="6"/>
  <c r="F405" i="6"/>
  <c r="C405" i="6"/>
  <c r="B405" i="6"/>
  <c r="A405" i="6"/>
  <c r="F404" i="6"/>
  <c r="C404" i="6"/>
  <c r="B404" i="6"/>
  <c r="A404" i="6"/>
  <c r="F403" i="6"/>
  <c r="C403" i="6"/>
  <c r="B403" i="6"/>
  <c r="A403" i="6"/>
  <c r="F402" i="6"/>
  <c r="C402" i="6"/>
  <c r="B402" i="6"/>
  <c r="A402" i="6"/>
  <c r="F401" i="6"/>
  <c r="C401" i="6"/>
  <c r="B401" i="6"/>
  <c r="A401" i="6"/>
  <c r="F400" i="6"/>
  <c r="C400" i="6"/>
  <c r="B400" i="6"/>
  <c r="A400" i="6"/>
  <c r="F399" i="6"/>
  <c r="C399" i="6"/>
  <c r="B399" i="6"/>
  <c r="A399" i="6"/>
  <c r="F398" i="6"/>
  <c r="C398" i="6"/>
  <c r="B398" i="6"/>
  <c r="A398" i="6"/>
  <c r="F397" i="6"/>
  <c r="C397" i="6"/>
  <c r="B397" i="6"/>
  <c r="A397" i="6"/>
  <c r="F396" i="6"/>
  <c r="C396" i="6"/>
  <c r="B396" i="6"/>
  <c r="A396" i="6"/>
  <c r="F395" i="6"/>
  <c r="C395" i="6"/>
  <c r="B395" i="6"/>
  <c r="A395" i="6"/>
  <c r="F394" i="6"/>
  <c r="C394" i="6"/>
  <c r="B394" i="6"/>
  <c r="A394" i="6"/>
  <c r="F393" i="6"/>
  <c r="C393" i="6"/>
  <c r="B393" i="6"/>
  <c r="A393" i="6"/>
  <c r="F392" i="6"/>
  <c r="C392" i="6"/>
  <c r="B392" i="6"/>
  <c r="A392" i="6"/>
  <c r="F391" i="6"/>
  <c r="C391" i="6"/>
  <c r="B391" i="6"/>
  <c r="A391" i="6"/>
  <c r="F390" i="6"/>
  <c r="C390" i="6"/>
  <c r="B390" i="6"/>
  <c r="A390" i="6"/>
  <c r="F389" i="6"/>
  <c r="C389" i="6"/>
  <c r="B389" i="6"/>
  <c r="A389" i="6"/>
  <c r="F388" i="6"/>
  <c r="C388" i="6"/>
  <c r="B388" i="6"/>
  <c r="A388" i="6"/>
  <c r="F387" i="6"/>
  <c r="C387" i="6"/>
  <c r="B387" i="6"/>
  <c r="A387" i="6"/>
  <c r="F386" i="6"/>
  <c r="C386" i="6"/>
  <c r="B386" i="6"/>
  <c r="A386" i="6"/>
  <c r="F385" i="6"/>
  <c r="C385" i="6"/>
  <c r="B385" i="6"/>
  <c r="A385" i="6"/>
  <c r="F384" i="6"/>
  <c r="C384" i="6"/>
  <c r="B384" i="6"/>
  <c r="A384" i="6"/>
  <c r="F383" i="6"/>
  <c r="C383" i="6"/>
  <c r="B383" i="6"/>
  <c r="A383" i="6"/>
  <c r="F382" i="6"/>
  <c r="C382" i="6"/>
  <c r="B382" i="6"/>
  <c r="A382" i="6"/>
  <c r="F381" i="6"/>
  <c r="C381" i="6"/>
  <c r="B381" i="6"/>
  <c r="A381" i="6"/>
  <c r="F380" i="6"/>
  <c r="C380" i="6"/>
  <c r="B380" i="6"/>
  <c r="A380" i="6"/>
  <c r="F379" i="6"/>
  <c r="C379" i="6"/>
  <c r="B379" i="6"/>
  <c r="A379" i="6"/>
  <c r="F378" i="6"/>
  <c r="C378" i="6"/>
  <c r="B378" i="6"/>
  <c r="A378" i="6"/>
  <c r="F377" i="6"/>
  <c r="C377" i="6"/>
  <c r="B377" i="6"/>
  <c r="A377" i="6"/>
  <c r="F376" i="6"/>
  <c r="C376" i="6"/>
  <c r="B376" i="6"/>
  <c r="A376" i="6"/>
  <c r="F375" i="6"/>
  <c r="C375" i="6"/>
  <c r="B375" i="6"/>
  <c r="A375" i="6"/>
  <c r="F374" i="6"/>
  <c r="C374" i="6"/>
  <c r="B374" i="6"/>
  <c r="A374" i="6"/>
  <c r="F373" i="6"/>
  <c r="C373" i="6"/>
  <c r="B373" i="6"/>
  <c r="A373" i="6"/>
  <c r="F372" i="6"/>
  <c r="C372" i="6"/>
  <c r="B372" i="6"/>
  <c r="A372" i="6"/>
  <c r="F371" i="6"/>
  <c r="C371" i="6"/>
  <c r="B371" i="6"/>
  <c r="A371" i="6"/>
  <c r="F370" i="6"/>
  <c r="C370" i="6"/>
  <c r="B370" i="6"/>
  <c r="A370" i="6"/>
  <c r="F369" i="6"/>
  <c r="C369" i="6"/>
  <c r="B369" i="6"/>
  <c r="A369" i="6"/>
  <c r="F368" i="6"/>
  <c r="C368" i="6"/>
  <c r="B368" i="6"/>
  <c r="A368" i="6"/>
  <c r="F367" i="6"/>
  <c r="C367" i="6"/>
  <c r="B367" i="6"/>
  <c r="A367" i="6"/>
  <c r="F366" i="6"/>
  <c r="C366" i="6"/>
  <c r="B366" i="6"/>
  <c r="A366" i="6"/>
  <c r="F365" i="6"/>
  <c r="C365" i="6"/>
  <c r="B365" i="6"/>
  <c r="A365" i="6"/>
  <c r="F364" i="6"/>
  <c r="C364" i="6"/>
  <c r="B364" i="6"/>
  <c r="A364" i="6"/>
  <c r="F363" i="6"/>
  <c r="C363" i="6"/>
  <c r="B363" i="6"/>
  <c r="A363" i="6"/>
  <c r="F362" i="6"/>
  <c r="C362" i="6"/>
  <c r="B362" i="6"/>
  <c r="A362" i="6"/>
  <c r="F361" i="6"/>
  <c r="C361" i="6"/>
  <c r="B361" i="6"/>
  <c r="A361" i="6"/>
  <c r="F360" i="6"/>
  <c r="C360" i="6"/>
  <c r="B360" i="6"/>
  <c r="A360" i="6"/>
  <c r="F359" i="6"/>
  <c r="C359" i="6"/>
  <c r="B359" i="6"/>
  <c r="A359" i="6"/>
  <c r="F358" i="6"/>
  <c r="C358" i="6"/>
  <c r="B358" i="6"/>
  <c r="A358" i="6"/>
  <c r="F357" i="6"/>
  <c r="C357" i="6"/>
  <c r="B357" i="6"/>
  <c r="A357" i="6"/>
  <c r="F356" i="6"/>
  <c r="C356" i="6"/>
  <c r="B356" i="6"/>
  <c r="A356" i="6"/>
  <c r="F355" i="6"/>
  <c r="C355" i="6"/>
  <c r="B355" i="6"/>
  <c r="A355" i="6"/>
  <c r="F354" i="6"/>
  <c r="C354" i="6"/>
  <c r="B354" i="6"/>
  <c r="A354" i="6"/>
  <c r="F353" i="6"/>
  <c r="C353" i="6"/>
  <c r="B353" i="6"/>
  <c r="A353" i="6"/>
  <c r="F352" i="6"/>
  <c r="C352" i="6"/>
  <c r="B352" i="6"/>
  <c r="A352" i="6"/>
  <c r="F351" i="6"/>
  <c r="C351" i="6"/>
  <c r="B351" i="6"/>
  <c r="A351" i="6"/>
  <c r="F350" i="6"/>
  <c r="C350" i="6"/>
  <c r="B350" i="6"/>
  <c r="A350" i="6"/>
  <c r="F349" i="6"/>
  <c r="C349" i="6"/>
  <c r="B349" i="6"/>
  <c r="A349" i="6"/>
  <c r="F348" i="6"/>
  <c r="C348" i="6"/>
  <c r="B348" i="6"/>
  <c r="A348" i="6"/>
  <c r="F347" i="6"/>
  <c r="C347" i="6"/>
  <c r="B347" i="6"/>
  <c r="A347" i="6"/>
  <c r="F346" i="6"/>
  <c r="C346" i="6"/>
  <c r="B346" i="6"/>
  <c r="A346" i="6"/>
  <c r="F345" i="6"/>
  <c r="C345" i="6"/>
  <c r="B345" i="6"/>
  <c r="A345" i="6"/>
  <c r="F344" i="6"/>
  <c r="C344" i="6"/>
  <c r="B344" i="6"/>
  <c r="A344" i="6"/>
  <c r="F343" i="6"/>
  <c r="C343" i="6"/>
  <c r="B343" i="6"/>
  <c r="A343" i="6"/>
  <c r="F342" i="6"/>
  <c r="C342" i="6"/>
  <c r="B342" i="6"/>
  <c r="A342" i="6"/>
  <c r="F341" i="6"/>
  <c r="C341" i="6"/>
  <c r="B341" i="6"/>
  <c r="A341" i="6"/>
  <c r="F340" i="6"/>
  <c r="C340" i="6"/>
  <c r="B340" i="6"/>
  <c r="A340" i="6"/>
  <c r="F339" i="6"/>
  <c r="C339" i="6"/>
  <c r="B339" i="6"/>
  <c r="A339" i="6"/>
  <c r="F338" i="6"/>
  <c r="C338" i="6"/>
  <c r="B338" i="6"/>
  <c r="A338" i="6"/>
  <c r="F337" i="6"/>
  <c r="C337" i="6"/>
  <c r="B337" i="6"/>
  <c r="A337" i="6"/>
  <c r="F336" i="6"/>
  <c r="C336" i="6"/>
  <c r="B336" i="6"/>
  <c r="A336" i="6"/>
  <c r="F335" i="6"/>
  <c r="C335" i="6"/>
  <c r="B335" i="6"/>
  <c r="A335" i="6"/>
  <c r="F334" i="6"/>
  <c r="C334" i="6"/>
  <c r="B334" i="6"/>
  <c r="A334" i="6"/>
  <c r="F333" i="6"/>
  <c r="C333" i="6"/>
  <c r="B333" i="6"/>
  <c r="A333" i="6"/>
  <c r="F332" i="6"/>
  <c r="C332" i="6"/>
  <c r="B332" i="6"/>
  <c r="A332" i="6"/>
  <c r="F331" i="6"/>
  <c r="C331" i="6"/>
  <c r="B331" i="6"/>
  <c r="A331" i="6"/>
  <c r="F330" i="6"/>
  <c r="C330" i="6"/>
  <c r="B330" i="6"/>
  <c r="A330" i="6"/>
  <c r="F329" i="6"/>
  <c r="C329" i="6"/>
  <c r="B329" i="6"/>
  <c r="A329" i="6"/>
  <c r="F328" i="6"/>
  <c r="C328" i="6"/>
  <c r="B328" i="6"/>
  <c r="A328" i="6"/>
  <c r="F327" i="6"/>
  <c r="C327" i="6"/>
  <c r="B327" i="6"/>
  <c r="A327" i="6"/>
  <c r="F326" i="6"/>
  <c r="C326" i="6"/>
  <c r="B326" i="6"/>
  <c r="A326" i="6"/>
  <c r="F325" i="6"/>
  <c r="C325" i="6"/>
  <c r="B325" i="6"/>
  <c r="A325" i="6"/>
  <c r="F324" i="6"/>
  <c r="C324" i="6"/>
  <c r="B324" i="6"/>
  <c r="A324" i="6"/>
  <c r="F323" i="6"/>
  <c r="C323" i="6"/>
  <c r="B323" i="6"/>
  <c r="A323" i="6"/>
  <c r="F322" i="6"/>
  <c r="C322" i="6"/>
  <c r="B322" i="6"/>
  <c r="A322" i="6"/>
  <c r="F321" i="6"/>
  <c r="C321" i="6"/>
  <c r="B321" i="6"/>
  <c r="A321" i="6"/>
  <c r="G320" i="6"/>
  <c r="F320" i="6"/>
  <c r="C320" i="6"/>
  <c r="B320" i="6"/>
  <c r="A320" i="6"/>
  <c r="G319" i="6"/>
  <c r="F319" i="6"/>
  <c r="C319" i="6"/>
  <c r="B319" i="6"/>
  <c r="A319" i="6"/>
  <c r="G318" i="6"/>
  <c r="F318" i="6"/>
  <c r="C318" i="6"/>
  <c r="B318" i="6"/>
  <c r="A318" i="6"/>
  <c r="F317" i="6"/>
  <c r="A317" i="6"/>
  <c r="F316" i="6"/>
  <c r="C316" i="6"/>
  <c r="B316" i="6"/>
  <c r="A316" i="6"/>
  <c r="F315" i="6"/>
  <c r="C315" i="6"/>
  <c r="B315" i="6"/>
  <c r="A315" i="6"/>
  <c r="F314" i="6"/>
  <c r="C314" i="6"/>
  <c r="B314" i="6"/>
  <c r="A314" i="6"/>
  <c r="F313" i="6"/>
  <c r="C313" i="6"/>
  <c r="B313" i="6"/>
  <c r="A313" i="6"/>
  <c r="F312" i="6"/>
  <c r="C312" i="6"/>
  <c r="B312" i="6"/>
  <c r="A312" i="6"/>
  <c r="F311" i="6"/>
  <c r="C311" i="6"/>
  <c r="B311" i="6"/>
  <c r="A311" i="6"/>
  <c r="F310" i="6"/>
  <c r="C310" i="6"/>
  <c r="B310" i="6"/>
  <c r="A310" i="6"/>
  <c r="F309" i="6"/>
  <c r="C309" i="6"/>
  <c r="B309" i="6"/>
  <c r="A309" i="6"/>
  <c r="F308" i="6"/>
  <c r="C308" i="6"/>
  <c r="B308" i="6"/>
  <c r="A308" i="6"/>
  <c r="F307" i="6"/>
  <c r="C307" i="6"/>
  <c r="B307" i="6"/>
  <c r="A307" i="6"/>
  <c r="F306" i="6"/>
  <c r="C306" i="6"/>
  <c r="B306" i="6"/>
  <c r="A306" i="6"/>
  <c r="F305" i="6"/>
  <c r="C305" i="6"/>
  <c r="B305" i="6"/>
  <c r="A305" i="6"/>
  <c r="F304" i="6"/>
  <c r="C304" i="6"/>
  <c r="B304" i="6"/>
  <c r="A304" i="6"/>
  <c r="F303" i="6"/>
  <c r="C303" i="6"/>
  <c r="B303" i="6"/>
  <c r="A303" i="6"/>
  <c r="F302" i="6"/>
  <c r="C302" i="6"/>
  <c r="B302" i="6"/>
  <c r="A302" i="6"/>
  <c r="F301" i="6"/>
  <c r="C301" i="6"/>
  <c r="B301" i="6"/>
  <c r="A301" i="6"/>
  <c r="F300" i="6"/>
  <c r="C300" i="6"/>
  <c r="B300" i="6"/>
  <c r="A300" i="6"/>
  <c r="F299" i="6"/>
  <c r="C299" i="6"/>
  <c r="B299" i="6"/>
  <c r="A299" i="6"/>
  <c r="F298" i="6"/>
  <c r="C298" i="6"/>
  <c r="B298" i="6"/>
  <c r="A298" i="6"/>
  <c r="F297" i="6"/>
  <c r="C297" i="6"/>
  <c r="B297" i="6"/>
  <c r="A297" i="6"/>
  <c r="F296" i="6"/>
  <c r="C296" i="6"/>
  <c r="B296" i="6"/>
  <c r="A296" i="6"/>
  <c r="F295" i="6"/>
  <c r="C295" i="6"/>
  <c r="B295" i="6"/>
  <c r="A295" i="6"/>
  <c r="F294" i="6"/>
  <c r="C294" i="6"/>
  <c r="B294" i="6"/>
  <c r="A294" i="6"/>
  <c r="F293" i="6"/>
  <c r="C293" i="6"/>
  <c r="B293" i="6"/>
  <c r="A293" i="6"/>
  <c r="F292" i="6"/>
  <c r="C292" i="6"/>
  <c r="B292" i="6"/>
  <c r="A292" i="6"/>
  <c r="F291" i="6"/>
  <c r="C291" i="6"/>
  <c r="B291" i="6"/>
  <c r="A291" i="6"/>
  <c r="F290" i="6"/>
  <c r="C290" i="6"/>
  <c r="B290" i="6"/>
  <c r="A290" i="6"/>
  <c r="F289" i="6"/>
  <c r="C289" i="6"/>
  <c r="B289" i="6"/>
  <c r="A289" i="6"/>
  <c r="F288" i="6"/>
  <c r="C288" i="6"/>
  <c r="B288" i="6"/>
  <c r="A288" i="6"/>
  <c r="F287" i="6"/>
  <c r="C287" i="6"/>
  <c r="B287" i="6"/>
  <c r="A287" i="6"/>
  <c r="F286" i="6"/>
  <c r="C286" i="6"/>
  <c r="B286" i="6"/>
  <c r="A286" i="6"/>
  <c r="F285" i="6"/>
  <c r="C285" i="6"/>
  <c r="B285" i="6"/>
  <c r="A285" i="6"/>
  <c r="F284" i="6"/>
  <c r="C284" i="6"/>
  <c r="B284" i="6"/>
  <c r="A284" i="6"/>
  <c r="F283" i="6"/>
  <c r="C283" i="6"/>
  <c r="B283" i="6"/>
  <c r="A283" i="6"/>
  <c r="F282" i="6"/>
  <c r="C282" i="6"/>
  <c r="B282" i="6"/>
  <c r="A282" i="6"/>
  <c r="F281" i="6"/>
  <c r="C281" i="6"/>
  <c r="B281" i="6"/>
  <c r="A281" i="6"/>
  <c r="F280" i="6"/>
  <c r="C280" i="6"/>
  <c r="B280" i="6"/>
  <c r="A280" i="6"/>
  <c r="F279" i="6"/>
  <c r="C279" i="6"/>
  <c r="B279" i="6"/>
  <c r="A279" i="6"/>
  <c r="F278" i="6"/>
  <c r="C278" i="6"/>
  <c r="B278" i="6"/>
  <c r="A278" i="6"/>
  <c r="F277" i="6"/>
  <c r="C277" i="6"/>
  <c r="B277" i="6"/>
  <c r="A277" i="6"/>
  <c r="F276" i="6"/>
  <c r="C276" i="6"/>
  <c r="B276" i="6"/>
  <c r="A276" i="6"/>
  <c r="F275" i="6"/>
  <c r="C275" i="6"/>
  <c r="B275" i="6"/>
  <c r="A275" i="6"/>
  <c r="F274" i="6"/>
  <c r="C274" i="6"/>
  <c r="B274" i="6"/>
  <c r="A274" i="6"/>
  <c r="F273" i="6"/>
  <c r="C273" i="6"/>
  <c r="B273" i="6"/>
  <c r="A273" i="6"/>
  <c r="F272" i="6"/>
  <c r="C272" i="6"/>
  <c r="B272" i="6"/>
  <c r="A272" i="6"/>
  <c r="F271" i="6"/>
  <c r="C271" i="6"/>
  <c r="B271" i="6"/>
  <c r="A271" i="6"/>
  <c r="F270" i="6"/>
  <c r="C270" i="6"/>
  <c r="B270" i="6"/>
  <c r="A270" i="6"/>
  <c r="F269" i="6"/>
  <c r="C269" i="6"/>
  <c r="B269" i="6"/>
  <c r="A269" i="6"/>
  <c r="F268" i="6"/>
  <c r="C268" i="6"/>
  <c r="B268" i="6"/>
  <c r="A268" i="6"/>
  <c r="F267" i="6"/>
  <c r="C267" i="6"/>
  <c r="B267" i="6"/>
  <c r="A267" i="6"/>
  <c r="F266" i="6"/>
  <c r="C266" i="6"/>
  <c r="B266" i="6"/>
  <c r="A266" i="6"/>
  <c r="F265" i="6"/>
  <c r="C265" i="6"/>
  <c r="B265" i="6"/>
  <c r="A265" i="6"/>
  <c r="F264" i="6"/>
  <c r="C264" i="6"/>
  <c r="B264" i="6"/>
  <c r="A264" i="6"/>
  <c r="F263" i="6"/>
  <c r="C263" i="6"/>
  <c r="B263" i="6"/>
  <c r="A263" i="6"/>
  <c r="F262" i="6"/>
  <c r="C262" i="6"/>
  <c r="B262" i="6"/>
  <c r="A262" i="6"/>
  <c r="F261" i="6"/>
  <c r="C261" i="6"/>
  <c r="B261" i="6"/>
  <c r="A261" i="6"/>
  <c r="F260" i="6"/>
  <c r="C260" i="6"/>
  <c r="B260" i="6"/>
  <c r="A260" i="6"/>
  <c r="F259" i="6"/>
  <c r="C259" i="6"/>
  <c r="B259" i="6"/>
  <c r="A259" i="6"/>
  <c r="F258" i="6"/>
  <c r="C258" i="6"/>
  <c r="B258" i="6"/>
  <c r="A258" i="6"/>
  <c r="F257" i="6"/>
  <c r="C257" i="6"/>
  <c r="B257" i="6"/>
  <c r="A257" i="6"/>
  <c r="F256" i="6"/>
  <c r="C256" i="6"/>
  <c r="B256" i="6"/>
  <c r="A256" i="6"/>
  <c r="F255" i="6"/>
  <c r="C255" i="6"/>
  <c r="B255" i="6"/>
  <c r="A255" i="6"/>
  <c r="F254" i="6"/>
  <c r="C254" i="6"/>
  <c r="B254" i="6"/>
  <c r="A254" i="6"/>
  <c r="F253" i="6"/>
  <c r="C253" i="6"/>
  <c r="B253" i="6"/>
  <c r="A253" i="6"/>
  <c r="F252" i="6"/>
  <c r="C252" i="6"/>
  <c r="B252" i="6"/>
  <c r="A252" i="6"/>
  <c r="F251" i="6"/>
  <c r="C251" i="6"/>
  <c r="B251" i="6"/>
  <c r="A251" i="6"/>
  <c r="F250" i="6"/>
  <c r="C250" i="6"/>
  <c r="B250" i="6"/>
  <c r="A250" i="6"/>
  <c r="F249" i="6"/>
  <c r="C249" i="6"/>
  <c r="B249" i="6"/>
  <c r="A249" i="6"/>
  <c r="F248" i="6"/>
  <c r="C248" i="6"/>
  <c r="B248" i="6"/>
  <c r="A248" i="6"/>
  <c r="F247" i="6"/>
  <c r="C247" i="6"/>
  <c r="B247" i="6"/>
  <c r="A247" i="6"/>
  <c r="F246" i="6"/>
  <c r="C246" i="6"/>
  <c r="B246" i="6"/>
  <c r="A246" i="6"/>
  <c r="F245" i="6"/>
  <c r="C245" i="6"/>
  <c r="B245" i="6"/>
  <c r="A245" i="6"/>
  <c r="F244" i="6"/>
  <c r="C244" i="6"/>
  <c r="B244" i="6"/>
  <c r="A244" i="6"/>
  <c r="F243" i="6"/>
  <c r="C243" i="6"/>
  <c r="B243" i="6"/>
  <c r="A243" i="6"/>
  <c r="F242" i="6"/>
  <c r="C242" i="6"/>
  <c r="B242" i="6"/>
  <c r="A242" i="6"/>
  <c r="F241" i="6"/>
  <c r="C241" i="6"/>
  <c r="B241" i="6"/>
  <c r="A241" i="6"/>
  <c r="F240" i="6"/>
  <c r="C240" i="6"/>
  <c r="B240" i="6"/>
  <c r="A240" i="6"/>
  <c r="F239" i="6"/>
  <c r="C239" i="6"/>
  <c r="B239" i="6"/>
  <c r="A239" i="6"/>
  <c r="F238" i="6"/>
  <c r="C238" i="6"/>
  <c r="B238" i="6"/>
  <c r="A238" i="6"/>
  <c r="F237" i="6"/>
  <c r="C237" i="6"/>
  <c r="B237" i="6"/>
  <c r="A237" i="6"/>
  <c r="F236" i="6"/>
  <c r="C236" i="6"/>
  <c r="B236" i="6"/>
  <c r="A236" i="6"/>
  <c r="F235" i="6"/>
  <c r="C235" i="6"/>
  <c r="B235" i="6"/>
  <c r="A235" i="6"/>
  <c r="F234" i="6"/>
  <c r="C234" i="6"/>
  <c r="B234" i="6"/>
  <c r="A234" i="6"/>
  <c r="F233" i="6"/>
  <c r="C233" i="6"/>
  <c r="B233" i="6"/>
  <c r="A233" i="6"/>
  <c r="F232" i="6"/>
  <c r="C232" i="6"/>
  <c r="B232" i="6"/>
  <c r="A232" i="6"/>
  <c r="F231" i="6"/>
  <c r="C231" i="6"/>
  <c r="B231" i="6"/>
  <c r="A231" i="6"/>
  <c r="F230" i="6"/>
  <c r="C230" i="6"/>
  <c r="B230" i="6"/>
  <c r="A230" i="6"/>
  <c r="F229" i="6"/>
  <c r="C229" i="6"/>
  <c r="B229" i="6"/>
  <c r="A229" i="6"/>
  <c r="F228" i="6"/>
  <c r="C228" i="6"/>
  <c r="B228" i="6"/>
  <c r="A228" i="6"/>
  <c r="F227" i="6"/>
  <c r="C227" i="6"/>
  <c r="B227" i="6"/>
  <c r="A227" i="6"/>
  <c r="F226" i="6"/>
  <c r="C226" i="6"/>
  <c r="B226" i="6"/>
  <c r="A226" i="6"/>
  <c r="F225" i="6"/>
  <c r="C225" i="6"/>
  <c r="B225" i="6"/>
  <c r="A225" i="6"/>
  <c r="F224" i="6"/>
  <c r="C224" i="6"/>
  <c r="B224" i="6"/>
  <c r="A224" i="6"/>
  <c r="F223" i="6"/>
  <c r="C223" i="6"/>
  <c r="B223" i="6"/>
  <c r="A223" i="6"/>
  <c r="F222" i="6"/>
  <c r="C222" i="6"/>
  <c r="B222" i="6"/>
  <c r="A222" i="6"/>
  <c r="F221" i="6"/>
  <c r="C221" i="6"/>
  <c r="B221" i="6"/>
  <c r="A221" i="6"/>
  <c r="F220" i="6"/>
  <c r="C220" i="6"/>
  <c r="B220" i="6"/>
  <c r="A220" i="6"/>
  <c r="F219" i="6"/>
  <c r="C219" i="6"/>
  <c r="B219" i="6"/>
  <c r="A219" i="6"/>
  <c r="F218" i="6"/>
  <c r="C218" i="6"/>
  <c r="B218" i="6"/>
  <c r="A218" i="6"/>
  <c r="F217" i="6"/>
  <c r="C217" i="6"/>
  <c r="B217" i="6"/>
  <c r="A217" i="6"/>
  <c r="F216" i="6"/>
  <c r="C216" i="6"/>
  <c r="B216" i="6"/>
  <c r="A216" i="6"/>
  <c r="F215" i="6"/>
  <c r="C215" i="6"/>
  <c r="B215" i="6"/>
  <c r="A215" i="6"/>
  <c r="F214" i="6"/>
  <c r="C214" i="6"/>
  <c r="B214" i="6"/>
  <c r="A214" i="6"/>
  <c r="F213" i="6"/>
  <c r="C213" i="6"/>
  <c r="B213" i="6"/>
  <c r="A213" i="6"/>
  <c r="F212" i="6"/>
  <c r="C212" i="6"/>
  <c r="B212" i="6"/>
  <c r="A212" i="6"/>
  <c r="F211" i="6"/>
  <c r="C211" i="6"/>
  <c r="B211" i="6"/>
  <c r="A211" i="6"/>
  <c r="F210" i="6"/>
  <c r="C210" i="6"/>
  <c r="B210" i="6"/>
  <c r="A210" i="6"/>
  <c r="F209" i="6"/>
  <c r="C209" i="6"/>
  <c r="B209" i="6"/>
  <c r="A209" i="6"/>
  <c r="F208" i="6"/>
  <c r="C208" i="6"/>
  <c r="B208" i="6"/>
  <c r="A208" i="6"/>
  <c r="F207" i="6"/>
  <c r="C207" i="6"/>
  <c r="B207" i="6"/>
  <c r="A207" i="6"/>
  <c r="F206" i="6"/>
  <c r="C206" i="6"/>
  <c r="B206" i="6"/>
  <c r="A206" i="6"/>
  <c r="F205" i="6"/>
  <c r="C205" i="6"/>
  <c r="B205" i="6"/>
  <c r="A205" i="6"/>
  <c r="F204" i="6"/>
  <c r="C204" i="6"/>
  <c r="B204" i="6"/>
  <c r="A204" i="6"/>
  <c r="F203" i="6"/>
  <c r="C203" i="6"/>
  <c r="B203" i="6"/>
  <c r="A203" i="6"/>
  <c r="F202" i="6"/>
  <c r="C202" i="6"/>
  <c r="B202" i="6"/>
  <c r="A202" i="6"/>
  <c r="F201" i="6"/>
  <c r="C201" i="6"/>
  <c r="B201" i="6"/>
  <c r="A201" i="6"/>
  <c r="F200" i="6"/>
  <c r="C200" i="6"/>
  <c r="B200" i="6"/>
  <c r="A200" i="6"/>
  <c r="F199" i="6"/>
  <c r="C199" i="6"/>
  <c r="B199" i="6"/>
  <c r="A199" i="6"/>
  <c r="F198" i="6"/>
  <c r="C198" i="6"/>
  <c r="B198" i="6"/>
  <c r="A198" i="6"/>
  <c r="F197" i="6"/>
  <c r="C197" i="6"/>
  <c r="B197" i="6"/>
  <c r="A197" i="6"/>
  <c r="F196" i="6"/>
  <c r="C196" i="6"/>
  <c r="B196" i="6"/>
  <c r="A196" i="6"/>
  <c r="F195" i="6"/>
  <c r="C195" i="6"/>
  <c r="B195" i="6"/>
  <c r="A195" i="6"/>
  <c r="F194" i="6"/>
  <c r="C194" i="6"/>
  <c r="B194" i="6"/>
  <c r="A194" i="6"/>
  <c r="F193" i="6"/>
  <c r="C193" i="6"/>
  <c r="B193" i="6"/>
  <c r="A193" i="6"/>
  <c r="F192" i="6"/>
  <c r="C192" i="6"/>
  <c r="B192" i="6"/>
  <c r="A192" i="6"/>
  <c r="F191" i="6"/>
  <c r="C191" i="6"/>
  <c r="B191" i="6"/>
  <c r="A191" i="6"/>
  <c r="F190" i="6"/>
  <c r="C190" i="6"/>
  <c r="B190" i="6"/>
  <c r="A190" i="6"/>
  <c r="F189" i="6"/>
  <c r="C189" i="6"/>
  <c r="B189" i="6"/>
  <c r="A189" i="6"/>
  <c r="F188" i="6"/>
  <c r="C188" i="6"/>
  <c r="B188" i="6"/>
  <c r="A188" i="6"/>
  <c r="G187" i="6"/>
  <c r="F187" i="6"/>
  <c r="C187" i="6"/>
  <c r="B187" i="6"/>
  <c r="A187" i="6"/>
  <c r="G186" i="6"/>
  <c r="F186" i="6"/>
  <c r="C186" i="6"/>
  <c r="B186" i="6"/>
  <c r="A186" i="6"/>
  <c r="G185" i="6"/>
  <c r="F185" i="6"/>
  <c r="C185" i="6"/>
  <c r="B185" i="6"/>
  <c r="A185" i="6"/>
  <c r="G184" i="6"/>
  <c r="F184" i="6"/>
  <c r="E184" i="6"/>
  <c r="D184" i="6"/>
  <c r="C184" i="6"/>
  <c r="B184" i="6"/>
  <c r="A184" i="6"/>
  <c r="G183" i="6"/>
  <c r="F183" i="6"/>
  <c r="E183" i="6"/>
  <c r="D183" i="6"/>
  <c r="C183" i="6"/>
  <c r="B183" i="6"/>
  <c r="A183" i="6"/>
  <c r="G182" i="6"/>
  <c r="F182" i="6"/>
  <c r="E182" i="6"/>
  <c r="D182" i="6"/>
  <c r="C182" i="6"/>
  <c r="B182" i="6"/>
  <c r="A182" i="6"/>
  <c r="G181" i="6"/>
  <c r="F181" i="6"/>
  <c r="E181" i="6"/>
  <c r="D181" i="6"/>
  <c r="C181" i="6"/>
  <c r="B181" i="6"/>
  <c r="A181" i="6"/>
  <c r="G180" i="6"/>
  <c r="F180" i="6"/>
  <c r="E180" i="6"/>
  <c r="D180" i="6"/>
  <c r="C180" i="6"/>
  <c r="B180" i="6"/>
  <c r="A180" i="6"/>
  <c r="G179" i="6"/>
  <c r="F179" i="6"/>
  <c r="E179" i="6"/>
  <c r="D179" i="6"/>
  <c r="C179" i="6"/>
  <c r="B179" i="6"/>
  <c r="A179" i="6"/>
  <c r="G178" i="6"/>
  <c r="F178" i="6"/>
  <c r="E178" i="6"/>
  <c r="D178" i="6"/>
  <c r="C178" i="6"/>
  <c r="B178" i="6"/>
  <c r="A178" i="6"/>
  <c r="G177" i="6"/>
  <c r="F177" i="6"/>
  <c r="E177" i="6"/>
  <c r="D177" i="6"/>
  <c r="C177" i="6"/>
  <c r="B177" i="6"/>
  <c r="A177" i="6"/>
  <c r="G176" i="6"/>
  <c r="F176" i="6"/>
  <c r="E176" i="6"/>
  <c r="D176" i="6"/>
  <c r="C176" i="6"/>
  <c r="B176" i="6"/>
  <c r="A176" i="6"/>
  <c r="G175" i="6"/>
  <c r="F175" i="6"/>
  <c r="E175" i="6"/>
  <c r="D175" i="6"/>
  <c r="C175" i="6"/>
  <c r="B175" i="6"/>
  <c r="A175" i="6"/>
  <c r="G174" i="6"/>
  <c r="F174" i="6"/>
  <c r="E174" i="6"/>
  <c r="D174" i="6"/>
  <c r="C174" i="6"/>
  <c r="B174" i="6"/>
  <c r="A174" i="6"/>
  <c r="G173" i="6"/>
  <c r="F173" i="6"/>
  <c r="E173" i="6"/>
  <c r="D173" i="6"/>
  <c r="C173" i="6"/>
  <c r="B173" i="6"/>
  <c r="A173" i="6"/>
  <c r="G172" i="6"/>
  <c r="F172" i="6"/>
  <c r="E172" i="6"/>
  <c r="D172" i="6"/>
  <c r="C172" i="6"/>
  <c r="B172" i="6"/>
  <c r="A172" i="6"/>
  <c r="G171" i="6"/>
  <c r="F171" i="6"/>
  <c r="E171" i="6"/>
  <c r="D171" i="6"/>
  <c r="C171" i="6"/>
  <c r="B171" i="6"/>
  <c r="A171" i="6"/>
  <c r="G170" i="6"/>
  <c r="F170" i="6"/>
  <c r="E170" i="6"/>
  <c r="D170" i="6"/>
  <c r="C170" i="6"/>
  <c r="B170" i="6"/>
  <c r="A170" i="6"/>
  <c r="G169" i="6"/>
  <c r="F169" i="6"/>
  <c r="E169" i="6"/>
  <c r="D169" i="6"/>
  <c r="C169" i="6"/>
  <c r="B169" i="6"/>
  <c r="A169" i="6"/>
  <c r="G168" i="6"/>
  <c r="F168" i="6"/>
  <c r="E168" i="6"/>
  <c r="D168" i="6"/>
  <c r="C168" i="6"/>
  <c r="B168" i="6"/>
  <c r="A168" i="6"/>
  <c r="G167" i="6"/>
  <c r="F167" i="6"/>
  <c r="E167" i="6"/>
  <c r="D167" i="6"/>
  <c r="C167" i="6"/>
  <c r="B167" i="6"/>
  <c r="A167" i="6"/>
  <c r="G166" i="6"/>
  <c r="F166" i="6"/>
  <c r="E166" i="6"/>
  <c r="D166" i="6"/>
  <c r="C166" i="6"/>
  <c r="B166" i="6"/>
  <c r="A166" i="6"/>
  <c r="G165" i="6"/>
  <c r="F165" i="6"/>
  <c r="E165" i="6"/>
  <c r="D165" i="6"/>
  <c r="C165" i="6"/>
  <c r="B165" i="6"/>
  <c r="A165" i="6"/>
  <c r="G164" i="6"/>
  <c r="F164" i="6"/>
  <c r="E164" i="6"/>
  <c r="D164" i="6"/>
  <c r="C164" i="6"/>
  <c r="B164" i="6"/>
  <c r="A164" i="6"/>
  <c r="G163" i="6"/>
  <c r="F163" i="6"/>
  <c r="E163" i="6"/>
  <c r="D163" i="6"/>
  <c r="C163" i="6"/>
  <c r="B163" i="6"/>
  <c r="A163" i="6"/>
  <c r="G162" i="6"/>
  <c r="F162" i="6"/>
  <c r="E162" i="6"/>
  <c r="D162" i="6"/>
  <c r="C162" i="6"/>
  <c r="B162" i="6"/>
  <c r="A162" i="6"/>
  <c r="G161" i="6"/>
  <c r="F161" i="6"/>
  <c r="E161" i="6"/>
  <c r="D161" i="6"/>
  <c r="C161" i="6"/>
  <c r="B161" i="6"/>
  <c r="A161" i="6"/>
  <c r="G160" i="6"/>
  <c r="F160" i="6"/>
  <c r="E160" i="6"/>
  <c r="D160" i="6"/>
  <c r="C160" i="6"/>
  <c r="B160" i="6"/>
  <c r="A160" i="6"/>
  <c r="G159" i="6"/>
  <c r="F159" i="6"/>
  <c r="E159" i="6"/>
  <c r="D159" i="6"/>
  <c r="C159" i="6"/>
  <c r="B159" i="6"/>
  <c r="A159" i="6"/>
  <c r="G158" i="6"/>
  <c r="F158" i="6"/>
  <c r="E158" i="6"/>
  <c r="D158" i="6"/>
  <c r="C158" i="6"/>
  <c r="B158" i="6"/>
  <c r="A158" i="6"/>
  <c r="G157" i="6"/>
  <c r="F157" i="6"/>
  <c r="E157" i="6"/>
  <c r="D157" i="6"/>
  <c r="C157" i="6"/>
  <c r="B157" i="6"/>
  <c r="A157" i="6"/>
  <c r="G156" i="6"/>
  <c r="F156" i="6"/>
  <c r="E156" i="6"/>
  <c r="D156" i="6"/>
  <c r="C156" i="6"/>
  <c r="B156" i="6"/>
  <c r="A156" i="6"/>
  <c r="G155" i="6"/>
  <c r="F155" i="6"/>
  <c r="E155" i="6"/>
  <c r="D155" i="6"/>
  <c r="C155" i="6"/>
  <c r="B155" i="6"/>
  <c r="A155" i="6"/>
  <c r="G154" i="6"/>
  <c r="F154" i="6"/>
  <c r="E154" i="6"/>
  <c r="D154" i="6"/>
  <c r="C154" i="6"/>
  <c r="B154" i="6"/>
  <c r="A154" i="6"/>
  <c r="G153" i="6"/>
  <c r="F153" i="6"/>
  <c r="E153" i="6"/>
  <c r="D153" i="6"/>
  <c r="C153" i="6"/>
  <c r="B153" i="6"/>
  <c r="A153" i="6"/>
  <c r="G152" i="6"/>
  <c r="F152" i="6"/>
  <c r="E152" i="6"/>
  <c r="D152" i="6"/>
  <c r="C152" i="6"/>
  <c r="B152" i="6"/>
  <c r="A152" i="6"/>
  <c r="G151" i="6"/>
  <c r="F151" i="6"/>
  <c r="E151" i="6"/>
  <c r="D151" i="6"/>
  <c r="C151" i="6"/>
  <c r="B151" i="6"/>
  <c r="A151" i="6"/>
  <c r="G150" i="6"/>
  <c r="F150" i="6"/>
  <c r="E150" i="6"/>
  <c r="D150" i="6"/>
  <c r="C150" i="6"/>
  <c r="B150" i="6"/>
  <c r="A150" i="6"/>
  <c r="G149" i="6"/>
  <c r="F149" i="6"/>
  <c r="E149" i="6"/>
  <c r="D149" i="6"/>
  <c r="C149" i="6"/>
  <c r="B149" i="6"/>
  <c r="A149" i="6"/>
  <c r="G148" i="6"/>
  <c r="F148" i="6"/>
  <c r="E148" i="6"/>
  <c r="D148" i="6"/>
  <c r="C148" i="6"/>
  <c r="B148" i="6"/>
  <c r="A148" i="6"/>
  <c r="G147" i="6"/>
  <c r="F147" i="6"/>
  <c r="E147" i="6"/>
  <c r="D147" i="6"/>
  <c r="C147" i="6"/>
  <c r="B147" i="6"/>
  <c r="A147" i="6"/>
  <c r="G146" i="6"/>
  <c r="F146" i="6"/>
  <c r="E146" i="6"/>
  <c r="D146" i="6"/>
  <c r="C146" i="6"/>
  <c r="B146" i="6"/>
  <c r="A146" i="6"/>
  <c r="G145" i="6"/>
  <c r="F145" i="6"/>
  <c r="E145" i="6"/>
  <c r="D145" i="6"/>
  <c r="C145" i="6"/>
  <c r="B145" i="6"/>
  <c r="A145" i="6"/>
  <c r="G144" i="6"/>
  <c r="F144" i="6"/>
  <c r="E144" i="6"/>
  <c r="D144" i="6"/>
  <c r="C144" i="6"/>
  <c r="B144" i="6"/>
  <c r="A144" i="6"/>
  <c r="G143" i="6"/>
  <c r="F143" i="6"/>
  <c r="E143" i="6"/>
  <c r="D143" i="6"/>
  <c r="C143" i="6"/>
  <c r="B143" i="6"/>
  <c r="A143" i="6"/>
  <c r="G142" i="6"/>
  <c r="F142" i="6"/>
  <c r="E142" i="6"/>
  <c r="D142" i="6"/>
  <c r="C142" i="6"/>
  <c r="B142" i="6"/>
  <c r="A142" i="6"/>
  <c r="G141" i="6"/>
  <c r="F141" i="6"/>
  <c r="E141" i="6"/>
  <c r="D141" i="6"/>
  <c r="C141" i="6"/>
  <c r="B141" i="6"/>
  <c r="A141" i="6"/>
  <c r="G140" i="6"/>
  <c r="F140" i="6"/>
  <c r="E140" i="6"/>
  <c r="D140" i="6"/>
  <c r="C140" i="6"/>
  <c r="B140" i="6"/>
  <c r="A140" i="6"/>
  <c r="G139" i="6"/>
  <c r="F139" i="6"/>
  <c r="E139" i="6"/>
  <c r="D139" i="6"/>
  <c r="C139" i="6"/>
  <c r="B139" i="6"/>
  <c r="A139" i="6"/>
  <c r="G138" i="6"/>
  <c r="F138" i="6"/>
  <c r="E138" i="6"/>
  <c r="D138" i="6"/>
  <c r="C138" i="6"/>
  <c r="B138" i="6"/>
  <c r="A138" i="6"/>
  <c r="G137" i="6"/>
  <c r="F137" i="6"/>
  <c r="E137" i="6"/>
  <c r="D137" i="6"/>
  <c r="C137" i="6"/>
  <c r="B137" i="6"/>
  <c r="A137" i="6"/>
  <c r="G136" i="6"/>
  <c r="F136" i="6"/>
  <c r="E136" i="6"/>
  <c r="D136" i="6"/>
  <c r="C136" i="6"/>
  <c r="B136" i="6"/>
  <c r="A136" i="6"/>
  <c r="G135" i="6"/>
  <c r="F135" i="6"/>
  <c r="E135" i="6"/>
  <c r="D135" i="6"/>
  <c r="C135" i="6"/>
  <c r="B135" i="6"/>
  <c r="A135" i="6"/>
  <c r="G134" i="6"/>
  <c r="F134" i="6"/>
  <c r="E134" i="6"/>
  <c r="D134" i="6"/>
  <c r="C134" i="6"/>
  <c r="B134" i="6"/>
  <c r="A134" i="6"/>
  <c r="G133" i="6"/>
  <c r="F133" i="6"/>
  <c r="E133" i="6"/>
  <c r="D133" i="6"/>
  <c r="C133" i="6"/>
  <c r="B133" i="6"/>
  <c r="A133" i="6"/>
  <c r="G132" i="6"/>
  <c r="F132" i="6"/>
  <c r="E132" i="6"/>
  <c r="D132" i="6"/>
  <c r="C132" i="6"/>
  <c r="B132" i="6"/>
  <c r="A132" i="6"/>
  <c r="G131" i="6"/>
  <c r="F131" i="6"/>
  <c r="E131" i="6"/>
  <c r="D131" i="6"/>
  <c r="C131" i="6"/>
  <c r="B131" i="6"/>
  <c r="A131" i="6"/>
  <c r="G130" i="6"/>
  <c r="F130" i="6"/>
  <c r="E130" i="6"/>
  <c r="D130" i="6"/>
  <c r="C130" i="6"/>
  <c r="B130" i="6"/>
  <c r="A130" i="6"/>
  <c r="G129" i="6"/>
  <c r="F129" i="6"/>
  <c r="E129" i="6"/>
  <c r="D129" i="6"/>
  <c r="C129" i="6"/>
  <c r="B129" i="6"/>
  <c r="A129" i="6"/>
  <c r="G128" i="6"/>
  <c r="F128" i="6"/>
  <c r="E128" i="6"/>
  <c r="D128" i="6"/>
  <c r="C128" i="6"/>
  <c r="B128" i="6"/>
  <c r="A128" i="6"/>
  <c r="G127" i="6"/>
  <c r="F127" i="6"/>
  <c r="E127" i="6"/>
  <c r="D127" i="6"/>
  <c r="C127" i="6"/>
  <c r="B127" i="6"/>
  <c r="A127" i="6"/>
  <c r="G126" i="6"/>
  <c r="F126" i="6"/>
  <c r="E126" i="6"/>
  <c r="D126" i="6"/>
  <c r="C126" i="6"/>
  <c r="B126" i="6"/>
  <c r="A126" i="6"/>
  <c r="G125" i="6"/>
  <c r="F125" i="6"/>
  <c r="E125" i="6"/>
  <c r="D125" i="6"/>
  <c r="C125" i="6"/>
  <c r="B125" i="6"/>
  <c r="A125" i="6"/>
  <c r="G124" i="6"/>
  <c r="F124" i="6"/>
  <c r="E124" i="6"/>
  <c r="D124" i="6"/>
  <c r="C124" i="6"/>
  <c r="B124" i="6"/>
  <c r="A124" i="6"/>
  <c r="G123" i="6"/>
  <c r="F123" i="6"/>
  <c r="E123" i="6"/>
  <c r="D123" i="6"/>
  <c r="C123" i="6"/>
  <c r="B123" i="6"/>
  <c r="A123" i="6"/>
  <c r="G122" i="6"/>
  <c r="F122" i="6"/>
  <c r="E122" i="6"/>
  <c r="D122" i="6"/>
  <c r="C122" i="6"/>
  <c r="B122" i="6"/>
  <c r="A122" i="6"/>
  <c r="G121" i="6"/>
  <c r="F121" i="6"/>
  <c r="E121" i="6"/>
  <c r="D121" i="6"/>
  <c r="C121" i="6"/>
  <c r="B121" i="6"/>
  <c r="A121" i="6"/>
  <c r="G120" i="6"/>
  <c r="F120" i="6"/>
  <c r="E120" i="6"/>
  <c r="D120" i="6"/>
  <c r="C120" i="6"/>
  <c r="B120" i="6"/>
  <c r="A120" i="6"/>
  <c r="G119" i="6"/>
  <c r="F119" i="6"/>
  <c r="E119" i="6"/>
  <c r="D119" i="6"/>
  <c r="C119" i="6"/>
  <c r="B119" i="6"/>
  <c r="A119" i="6"/>
  <c r="G118" i="6"/>
  <c r="F118" i="6"/>
  <c r="E118" i="6"/>
  <c r="D118" i="6"/>
  <c r="C118" i="6"/>
  <c r="B118" i="6"/>
  <c r="A118" i="6"/>
  <c r="G117" i="6"/>
  <c r="F117" i="6"/>
  <c r="E117" i="6"/>
  <c r="D117" i="6"/>
  <c r="C117" i="6"/>
  <c r="B117" i="6"/>
  <c r="A117" i="6"/>
  <c r="G116" i="6"/>
  <c r="F116" i="6"/>
  <c r="E116" i="6"/>
  <c r="D116" i="6"/>
  <c r="C116" i="6"/>
  <c r="B116" i="6"/>
  <c r="A116" i="6"/>
  <c r="G115" i="6"/>
  <c r="F115" i="6"/>
  <c r="E115" i="6"/>
  <c r="D115" i="6"/>
  <c r="C115" i="6"/>
  <c r="B115" i="6"/>
  <c r="A115" i="6"/>
  <c r="G114" i="6"/>
  <c r="F114" i="6"/>
  <c r="E114" i="6"/>
  <c r="D114" i="6"/>
  <c r="C114" i="6"/>
  <c r="B114" i="6"/>
  <c r="A114" i="6"/>
  <c r="G113" i="6"/>
  <c r="F113" i="6"/>
  <c r="E113" i="6"/>
  <c r="D113" i="6"/>
  <c r="C113" i="6"/>
  <c r="B113" i="6"/>
  <c r="A113" i="6"/>
  <c r="G112" i="6"/>
  <c r="F112" i="6"/>
  <c r="E112" i="6"/>
  <c r="D112" i="6"/>
  <c r="C112" i="6"/>
  <c r="B112" i="6"/>
  <c r="A112" i="6"/>
  <c r="G111" i="6"/>
  <c r="F111" i="6"/>
  <c r="E111" i="6"/>
  <c r="D111" i="6"/>
  <c r="C111" i="6"/>
  <c r="B111" i="6"/>
  <c r="A111" i="6"/>
  <c r="G110" i="6"/>
  <c r="F110" i="6"/>
  <c r="E110" i="6"/>
  <c r="D110" i="6"/>
  <c r="C110" i="6"/>
  <c r="B110" i="6"/>
  <c r="A110" i="6"/>
  <c r="G109" i="6"/>
  <c r="F109" i="6"/>
  <c r="E109" i="6"/>
  <c r="D109" i="6"/>
  <c r="C109" i="6"/>
  <c r="B109" i="6"/>
  <c r="A109" i="6"/>
  <c r="G108" i="6"/>
  <c r="F108" i="6"/>
  <c r="E108" i="6"/>
  <c r="D108" i="6"/>
  <c r="C108" i="6"/>
  <c r="B108" i="6"/>
  <c r="A108" i="6"/>
  <c r="G107" i="6"/>
  <c r="F107" i="6"/>
  <c r="E107" i="6"/>
  <c r="D107" i="6"/>
  <c r="C107" i="6"/>
  <c r="B107" i="6"/>
  <c r="A107" i="6"/>
  <c r="G106" i="6"/>
  <c r="F106" i="6"/>
  <c r="E106" i="6"/>
  <c r="D106" i="6"/>
  <c r="C106" i="6"/>
  <c r="B106" i="6"/>
  <c r="A106" i="6"/>
  <c r="G105" i="6"/>
  <c r="F105" i="6"/>
  <c r="E105" i="6"/>
  <c r="D105" i="6"/>
  <c r="C105" i="6"/>
  <c r="B105" i="6"/>
  <c r="A105" i="6"/>
  <c r="G104" i="6"/>
  <c r="F104" i="6"/>
  <c r="E104" i="6"/>
  <c r="D104" i="6"/>
  <c r="C104" i="6"/>
  <c r="B104" i="6"/>
  <c r="A104" i="6"/>
  <c r="G103" i="6"/>
  <c r="F103" i="6"/>
  <c r="E103" i="6"/>
  <c r="D103" i="6"/>
  <c r="C103" i="6"/>
  <c r="B103" i="6"/>
  <c r="A103" i="6"/>
  <c r="G102" i="6"/>
  <c r="F102" i="6"/>
  <c r="E102" i="6"/>
  <c r="D102" i="6"/>
  <c r="C102" i="6"/>
  <c r="B102" i="6"/>
  <c r="A102" i="6"/>
  <c r="G101" i="6"/>
  <c r="F101" i="6"/>
  <c r="E101" i="6"/>
  <c r="D101" i="6"/>
  <c r="C101" i="6"/>
  <c r="B101" i="6"/>
  <c r="A101" i="6"/>
  <c r="G100" i="6"/>
  <c r="F100" i="6"/>
  <c r="E100" i="6"/>
  <c r="D100" i="6"/>
  <c r="C100" i="6"/>
  <c r="B100" i="6"/>
  <c r="A100" i="6"/>
  <c r="G99" i="6"/>
  <c r="F99" i="6"/>
  <c r="E99" i="6"/>
  <c r="D99" i="6"/>
  <c r="C99" i="6"/>
  <c r="B99" i="6"/>
  <c r="A99" i="6"/>
  <c r="G98" i="6"/>
  <c r="F98" i="6"/>
  <c r="E98" i="6"/>
  <c r="D98" i="6"/>
  <c r="C98" i="6"/>
  <c r="B98" i="6"/>
  <c r="A98" i="6"/>
  <c r="G97" i="6"/>
  <c r="F97" i="6"/>
  <c r="E97" i="6"/>
  <c r="D97" i="6"/>
  <c r="C97" i="6"/>
  <c r="B97" i="6"/>
  <c r="A97" i="6"/>
  <c r="G96" i="6"/>
  <c r="F96" i="6"/>
  <c r="E96" i="6"/>
  <c r="D96" i="6"/>
  <c r="C96" i="6"/>
  <c r="B96" i="6"/>
  <c r="A96" i="6"/>
  <c r="G95" i="6"/>
  <c r="F95" i="6"/>
  <c r="E95" i="6"/>
  <c r="D95" i="6"/>
  <c r="C95" i="6"/>
  <c r="B95" i="6"/>
  <c r="A95" i="6"/>
  <c r="G94" i="6"/>
  <c r="F94" i="6"/>
  <c r="E94" i="6"/>
  <c r="D94" i="6"/>
  <c r="C94" i="6"/>
  <c r="B94" i="6"/>
  <c r="A94" i="6"/>
  <c r="G93" i="6"/>
  <c r="F93" i="6"/>
  <c r="E93" i="6"/>
  <c r="D93" i="6"/>
  <c r="C93" i="6"/>
  <c r="B93" i="6"/>
  <c r="A93" i="6"/>
  <c r="G92" i="6"/>
  <c r="F92" i="6"/>
  <c r="E92" i="6"/>
  <c r="D92" i="6"/>
  <c r="C92" i="6"/>
  <c r="B92" i="6"/>
  <c r="A92" i="6"/>
  <c r="G91" i="6"/>
  <c r="F91" i="6"/>
  <c r="E91" i="6"/>
  <c r="D91" i="6"/>
  <c r="C91" i="6"/>
  <c r="B91" i="6"/>
  <c r="A91" i="6"/>
  <c r="G90" i="6"/>
  <c r="F90" i="6"/>
  <c r="E90" i="6"/>
  <c r="D90" i="6"/>
  <c r="C90"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B5" i="6"/>
  <c r="A5" i="6"/>
  <c r="B4" i="6"/>
  <c r="A4" i="6"/>
  <c r="B3" i="6"/>
  <c r="A3" i="6"/>
  <c r="B2" i="6"/>
  <c r="A2" i="6"/>
  <c r="H1" i="6"/>
  <c r="A1" i="6" s="1"/>
  <c r="G1" i="6"/>
  <c r="F1" i="6"/>
  <c r="E1" i="6"/>
  <c r="D1" i="6"/>
  <c r="C1" i="6"/>
  <c r="B1" i="6"/>
  <c r="B245" i="3"/>
  <c r="B244" i="3"/>
  <c r="B243" i="3"/>
  <c r="B242" i="3"/>
  <c r="B241" i="3"/>
  <c r="B24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el terreno no cumple con las especificaciones necesarias
	-Valentina Posada Durán</t>
        </r>
      </text>
    </comment>
  </commentList>
</comments>
</file>

<file path=xl/sharedStrings.xml><?xml version="1.0" encoding="utf-8"?>
<sst xmlns="http://schemas.openxmlformats.org/spreadsheetml/2006/main" count="13960" uniqueCount="4476">
  <si>
    <t>Marca temporal</t>
  </si>
  <si>
    <t>Nombre del voluntario</t>
  </si>
  <si>
    <t>Celular (voluntario)</t>
  </si>
  <si>
    <t>Municipio</t>
  </si>
  <si>
    <t>¿En qué comunidad reside?</t>
  </si>
  <si>
    <t>¿En qué sector reside?</t>
  </si>
  <si>
    <t>Nombre del interesado</t>
  </si>
  <si>
    <t>Documento de identificación del interesado</t>
  </si>
  <si>
    <t>Celular del interesado</t>
  </si>
  <si>
    <t>Nombre de otro contacto del interesado</t>
  </si>
  <si>
    <t>Celular de otro contacto del interesado</t>
  </si>
  <si>
    <t>¿Hace cuánto vive en la comunidad? (En años)</t>
  </si>
  <si>
    <t>¿Hace cuánto reside en la vivienda? (En años)</t>
  </si>
  <si>
    <t>¿Tiene un terreno propio?</t>
  </si>
  <si>
    <t>¿Cuál es la medida aproximada del terreno (en metros)? (largo x ancho) Ejemplo: 7x4 m</t>
  </si>
  <si>
    <t>¿Con cuantas personas vive?</t>
  </si>
  <si>
    <t>Edades (separado por comas)</t>
  </si>
  <si>
    <t>¿Cuál es su ocupación?</t>
  </si>
  <si>
    <t>¿Qué tipo de vivienda es?</t>
  </si>
  <si>
    <t>¿Tiene ingresos fijos? (comentar)</t>
  </si>
  <si>
    <t>¿Tiene vivienda de Techo construida?</t>
  </si>
  <si>
    <t>¿Está interesado en la construcción de una vivienda de Techo?</t>
  </si>
  <si>
    <t>¿Tiene baño en su vivienda?</t>
  </si>
  <si>
    <t>¿Está interesado en la construcción de un baño de Techo?</t>
  </si>
  <si>
    <t>¿Tiene acceso a agua potable en su vivienda?</t>
  </si>
  <si>
    <t>¿Está interesado en la construcción de un sistema de captación y purificación de aguas lluvia (SCPALL)?</t>
  </si>
  <si>
    <t>¿Está interesado en la construcción de una torre de agua de Techo?</t>
  </si>
  <si>
    <t/>
  </si>
  <si>
    <t>Comentarios</t>
  </si>
  <si>
    <t>Ramiro Cortes</t>
  </si>
  <si>
    <t>Medellín</t>
  </si>
  <si>
    <t>La Honda</t>
  </si>
  <si>
    <t>Sector 2</t>
  </si>
  <si>
    <t>Raul benitez</t>
  </si>
  <si>
    <t>Marta higuita</t>
  </si>
  <si>
    <t>Si</t>
  </si>
  <si>
    <t>5 a 52</t>
  </si>
  <si>
    <t xml:space="preserve">Electricista, vendedora, estudian </t>
  </si>
  <si>
    <t>Propia</t>
  </si>
  <si>
    <t>Minimo</t>
  </si>
  <si>
    <t>Jairo Darío</t>
  </si>
  <si>
    <t>Comuna 4</t>
  </si>
  <si>
    <t>Manuel Arturo Arias</t>
  </si>
  <si>
    <t>Rosalba De Jesus</t>
  </si>
  <si>
    <t>5 años</t>
  </si>
  <si>
    <t>12, 5, 19, 40, 41, 16</t>
  </si>
  <si>
    <t>Camellar por ahí, vendiendo por ahí</t>
  </si>
  <si>
    <t>Lo que se hagan en el diario</t>
  </si>
  <si>
    <t>El señor Manuel es discapcitado visual. Sería para vivir las 7 personas</t>
  </si>
  <si>
    <t>Camila Arias</t>
  </si>
  <si>
    <t>Maria fany franco</t>
  </si>
  <si>
    <t>34,18,59</t>
  </si>
  <si>
    <t>Estudia</t>
  </si>
  <si>
    <t>No tiene ingresos fijos, vivd de la caridad</t>
  </si>
  <si>
    <t xml:space="preserve">Tiene  un hijo con necesidades especiales y no tiene ningún  ingreso </t>
  </si>
  <si>
    <t>Fernanda Alvarez</t>
  </si>
  <si>
    <t>Sector 4</t>
  </si>
  <si>
    <t>July Andrea Acevedo Villa</t>
  </si>
  <si>
    <t>--</t>
  </si>
  <si>
    <t>más de 1 años</t>
  </si>
  <si>
    <t xml:space="preserve">más de un año </t>
  </si>
  <si>
    <t>--,--,--,--</t>
  </si>
  <si>
    <t>Ama de casa</t>
  </si>
  <si>
    <t>Sandra Maria Villa</t>
  </si>
  <si>
    <t>Jorge Ocampo</t>
  </si>
  <si>
    <t>Poco más de un año</t>
  </si>
  <si>
    <t xml:space="preserve">Poco más de un año </t>
  </si>
  <si>
    <t>Adultos</t>
  </si>
  <si>
    <t>---</t>
  </si>
  <si>
    <t>Rosalba de Jesus Gonzalez Jaramillo</t>
  </si>
  <si>
    <t xml:space="preserve">Más de un año Más de un año </t>
  </si>
  <si>
    <t>Tercera edad</t>
  </si>
  <si>
    <t>trabaja</t>
  </si>
  <si>
    <t xml:space="preserve">Manuel Arturo Arias Gonzalez </t>
  </si>
  <si>
    <t>Erica (Esposa)</t>
  </si>
  <si>
    <t>más de 4 años</t>
  </si>
  <si>
    <t>----</t>
  </si>
  <si>
    <t>El beneficiario es invidente</t>
  </si>
  <si>
    <t>Magdalena Monsalve</t>
  </si>
  <si>
    <t>Bello</t>
  </si>
  <si>
    <t>Sector 2 parte media</t>
  </si>
  <si>
    <t>Jeraldin Rodríguez Jaramillo</t>
  </si>
  <si>
    <t>Abuela de Jeraldin</t>
  </si>
  <si>
    <t xml:space="preserve">12 años </t>
  </si>
  <si>
    <t>11 años</t>
  </si>
  <si>
    <t>48_29_12_5</t>
  </si>
  <si>
    <t>Ventas de bolis</t>
  </si>
  <si>
    <t>Jeraldin vive con la mamá y sus dos hijos, indica que su sustento es por la venta de bolis y la abuela de Jeraldin le ayuda con parte de la alimentación.</t>
  </si>
  <si>
    <t xml:space="preserve">Daniel Montoya </t>
  </si>
  <si>
    <t xml:space="preserve">Sector 4, parte alta </t>
  </si>
  <si>
    <t>Jose Enor Parra</t>
  </si>
  <si>
    <t xml:space="preserve">Sandra Milena </t>
  </si>
  <si>
    <t xml:space="preserve">3 años </t>
  </si>
  <si>
    <t>54, 50, 18</t>
  </si>
  <si>
    <t xml:space="preserve">Oficios varios y fontanero, el hijo estudia </t>
  </si>
  <si>
    <t>Depende de la semana. De la fontanería son $200,000</t>
  </si>
  <si>
    <t xml:space="preserve">No es Cabildo pero es zona alta de probable alto riesgo </t>
  </si>
  <si>
    <t>Sector 4, parte alta</t>
  </si>
  <si>
    <t xml:space="preserve">Carlos Bedoya </t>
  </si>
  <si>
    <t xml:space="preserve">Cristina Núñez </t>
  </si>
  <si>
    <t xml:space="preserve">2 y 4 años </t>
  </si>
  <si>
    <t>35, 31, 6</t>
  </si>
  <si>
    <t>Ayudante de construcción, ama de casa</t>
  </si>
  <si>
    <t xml:space="preserve">Salario mínimo </t>
  </si>
  <si>
    <t xml:space="preserve">Ya se había caracterizado. No es el cabildo, pero es zona alta del sector 4 en posible riesgo </t>
  </si>
  <si>
    <t>Sebastián Alzate Meneses</t>
  </si>
  <si>
    <t>Andrea Juliana Vélez Chaverra</t>
  </si>
  <si>
    <t>Abuelo</t>
  </si>
  <si>
    <t>62,44,26,11,19</t>
  </si>
  <si>
    <t xml:space="preserve">Estudiante universitaria </t>
  </si>
  <si>
    <t>Arrendada</t>
  </si>
  <si>
    <t>Sostenimiento Generación E. Beca universitaria</t>
  </si>
  <si>
    <t>Nieta de don Tito</t>
  </si>
  <si>
    <t xml:space="preserve">Andrea Higuita </t>
  </si>
  <si>
    <t>Hermana</t>
  </si>
  <si>
    <t>70,39,39</t>
  </si>
  <si>
    <t>Estudiante</t>
  </si>
  <si>
    <t>No. el esposo gana el mínimo</t>
  </si>
  <si>
    <t>Vivienda en mal estado por filtración de agua constante</t>
  </si>
  <si>
    <t xml:space="preserve">Jorge Alberto Benítez </t>
  </si>
  <si>
    <t>Johana</t>
  </si>
  <si>
    <t xml:space="preserve">Ayudante de obra. Incapacitado </t>
  </si>
  <si>
    <t xml:space="preserve">Incapacitado, no puede trabajar </t>
  </si>
  <si>
    <t xml:space="preserve">No es Cabildo, pero es zona alta. Recientemente se separó de la esposa y está viviendo temporalmente con el hermano mientras encuentra una solución. </t>
  </si>
  <si>
    <t>María Henao Número de Mario Munera</t>
  </si>
  <si>
    <t>Julio yerno</t>
  </si>
  <si>
    <t>Subsidio 80 mil mensual</t>
  </si>
  <si>
    <t xml:space="preserve">Vivienda de madera. La compraventa la tiene un señor con el que a veces convive. </t>
  </si>
  <si>
    <t>Carlos Arturo Cabrera Camacho</t>
  </si>
  <si>
    <t>Jaime Hernández</t>
  </si>
  <si>
    <t>Diosa, vecina</t>
  </si>
  <si>
    <t>Oficios varios. Carga materiales</t>
  </si>
  <si>
    <t>No</t>
  </si>
  <si>
    <t>Tocaría desmontar una parte de la vivienda</t>
  </si>
  <si>
    <t>Sector 4, cerca de la cancha</t>
  </si>
  <si>
    <t xml:space="preserve">Laura Rosa González </t>
  </si>
  <si>
    <t>Jovani Aristizabal</t>
  </si>
  <si>
    <t>71, 77</t>
  </si>
  <si>
    <t xml:space="preserve">No trabajan. </t>
  </si>
  <si>
    <t>80,000 mensuales del subsidio</t>
  </si>
  <si>
    <t>Pareja de la tercera edad con vivienda con problemas. Prioridad alta</t>
  </si>
  <si>
    <t>Amilbia Henao</t>
  </si>
  <si>
    <t>49, 45, 22, 19, 16</t>
  </si>
  <si>
    <t>Ayudas de los miembros del hogar.</t>
  </si>
  <si>
    <t>La señora Amilbia se encuentra aubicada en el sector 3, vive con el esposo, hijo, hijastro y sobrino. La casa se encuentra con deterioro en las paredes, sin embargo el piso es de cemento muy bien organizado.</t>
  </si>
  <si>
    <t>Mariceli Orozco</t>
  </si>
  <si>
    <t xml:space="preserve">Juan Miguel Hernández </t>
  </si>
  <si>
    <t>32, 44, 4, 1</t>
  </si>
  <si>
    <t xml:space="preserve">Ama de casa, oficial de obra </t>
  </si>
  <si>
    <t xml:space="preserve">Vivienda en la parte alta. Tuvieron un problema de deslizamiento y están arrendando en otro lugar mientras buscan una solución </t>
  </si>
  <si>
    <t>Vanessa Moreno</t>
  </si>
  <si>
    <t>Juan Andres</t>
  </si>
  <si>
    <t>40, 32, 22, 10, 9, 5</t>
  </si>
  <si>
    <t>No. Ayuda de novio y padrasto</t>
  </si>
  <si>
    <t>Vive en zona de riesgo de deslizamiento. Dejo de vivir ahí hace dos los porque un día se le fueron unas piedras encima y alcanzó a romper algo de la casa. Pero pretende vivir ahí. La tía dueña del predio se lo regaló y le puede firmar papel de propiedad. Viviría allí con el novio y la hija.</t>
  </si>
  <si>
    <t>Gilberto castaño</t>
  </si>
  <si>
    <t>María Echevarría</t>
  </si>
  <si>
    <t>Claudia Tamayo, nuera</t>
  </si>
  <si>
    <t>2 años</t>
  </si>
  <si>
    <t xml:space="preserve">2 meses </t>
  </si>
  <si>
    <t>25, 22, 49</t>
  </si>
  <si>
    <t xml:space="preserve">Puesto de comida rápida, trabajan </t>
  </si>
  <si>
    <t xml:space="preserve">Si, el hijo </t>
  </si>
  <si>
    <t xml:space="preserve">300.000 arriendo </t>
  </si>
  <si>
    <t>Sector 3</t>
  </si>
  <si>
    <t xml:space="preserve">Luzmari Marín </t>
  </si>
  <si>
    <t>Claudia Tamayo</t>
  </si>
  <si>
    <t xml:space="preserve">15 años </t>
  </si>
  <si>
    <t>52, 41, 31</t>
  </si>
  <si>
    <t>Trabaja en una tienda solamente luzmari</t>
  </si>
  <si>
    <t xml:space="preserve">Si </t>
  </si>
  <si>
    <t>Terreno 11*12</t>
  </si>
  <si>
    <t>Arturo Almario</t>
  </si>
  <si>
    <t>Jhon, amigo</t>
  </si>
  <si>
    <t>Trabajador independiente, cotiza por el mínimo</t>
  </si>
  <si>
    <t>Independiente, depende del trabajo en construcción que le salga</t>
  </si>
  <si>
    <t>Le ayuda a la abuela que vive en Córdoba</t>
  </si>
  <si>
    <t xml:space="preserve">Sector 3 </t>
  </si>
  <si>
    <t>Omaira higuita</t>
  </si>
  <si>
    <t xml:space="preserve">Mateo higuita, hijo </t>
  </si>
  <si>
    <t>20 años</t>
  </si>
  <si>
    <t>3 años</t>
  </si>
  <si>
    <t>22, 17, 37, 38</t>
  </si>
  <si>
    <t xml:space="preserve">Trabajan, estudio, independiente </t>
  </si>
  <si>
    <t xml:space="preserve">Terreno 7*8 sector 3 parte alta </t>
  </si>
  <si>
    <t>Jhon Edinson Cartagena</t>
  </si>
  <si>
    <t>Omaira, Esposa</t>
  </si>
  <si>
    <t>Trabaja en empresa de carpas plasticas</t>
  </si>
  <si>
    <t>Sí. Contrato indefinido.</t>
  </si>
  <si>
    <t xml:space="preserve">Tatiana cruz </t>
  </si>
  <si>
    <t>La Nueva</t>
  </si>
  <si>
    <t>Brisas de Guadalupe, arriba de ventanales</t>
  </si>
  <si>
    <t xml:space="preserve">Cornelio de Jesús Aguirre Sepúlveda </t>
  </si>
  <si>
    <t>Dori Elena torres, esposa</t>
  </si>
  <si>
    <t xml:space="preserve">4 años </t>
  </si>
  <si>
    <t>56,52,31</t>
  </si>
  <si>
    <t xml:space="preserve">Oficial de construcción, operaria confesiones, oficial de construcción </t>
  </si>
  <si>
    <t>Sin ingresos fijos</t>
  </si>
  <si>
    <t>Isabel Chavarria</t>
  </si>
  <si>
    <t>La virgen</t>
  </si>
  <si>
    <t>Sindy Seña Padilla</t>
  </si>
  <si>
    <t>12,10,9,30,28</t>
  </si>
  <si>
    <t>Construcción, estudiantes</t>
  </si>
  <si>
    <t>El esposo trabaja en construcción</t>
  </si>
  <si>
    <t xml:space="preserve">Se compromete a llevar el material desde la iglesia. </t>
  </si>
  <si>
    <t>Gerardo Vanegas</t>
  </si>
  <si>
    <t xml:space="preserve">1 mes </t>
  </si>
  <si>
    <t>63, 73</t>
  </si>
  <si>
    <t xml:space="preserve">Ventas informales </t>
  </si>
  <si>
    <t xml:space="preserve">Andrés Alejandro Alzate </t>
  </si>
  <si>
    <t>Por la iglesia San sirilo cerca a la carretera y al sector los pinos</t>
  </si>
  <si>
    <t xml:space="preserve">Luisa Fernanda Muñoz </t>
  </si>
  <si>
    <t>Carlos Mario Muñoz</t>
  </si>
  <si>
    <t>14 años</t>
  </si>
  <si>
    <t>7 años</t>
  </si>
  <si>
    <t>28, 2, 40,8</t>
  </si>
  <si>
    <t>Ninguno</t>
  </si>
  <si>
    <t xml:space="preserve">La casa no esta en buenas condiciones, los muros son en madera con perforaciones y el suelo está en material regular a malo. 
Es viable que se le pueda contrsuir </t>
  </si>
  <si>
    <t>Andrés Alzate</t>
  </si>
  <si>
    <t>Los pinos, cerca de la iglesia San sirilo</t>
  </si>
  <si>
    <t>Sandra Milena Aguilar</t>
  </si>
  <si>
    <t>Luisa Muñoz</t>
  </si>
  <si>
    <t>7,11,15,31</t>
  </si>
  <si>
    <t>Trabaja en comidas rapidas, fines de semana</t>
  </si>
  <si>
    <t>Sí.</t>
  </si>
  <si>
    <t>Es viable para construir</t>
  </si>
  <si>
    <t>Andrés Alejandro Alzate</t>
  </si>
  <si>
    <t>La Caballeriza</t>
  </si>
  <si>
    <t>Reina irene</t>
  </si>
  <si>
    <t>Gloria Marin (hija)</t>
  </si>
  <si>
    <t>9,13,32,33,53</t>
  </si>
  <si>
    <t>Tiene un tienda (la administra y tiene parte del negocio)</t>
  </si>
  <si>
    <t>Es de baja prioridad</t>
  </si>
  <si>
    <t>Yesica Mazo</t>
  </si>
  <si>
    <t>Jefferson Córdoba Bejarano / Yaledis Renteria Cordoba</t>
  </si>
  <si>
    <t xml:space="preserve">Jefferson Córdoba (hermano) </t>
  </si>
  <si>
    <t>Año y medio</t>
  </si>
  <si>
    <t>26, 5, 3</t>
  </si>
  <si>
    <t>Nada</t>
  </si>
  <si>
    <t>El lote es del hermano, que no vive en la vivienda</t>
  </si>
  <si>
    <t xml:space="preserve">Sector 3 parte alta </t>
  </si>
  <si>
    <t xml:space="preserve">Maria Cristina Álvarez </t>
  </si>
  <si>
    <t xml:space="preserve">Francisco, pareja </t>
  </si>
  <si>
    <t>54, 52, 22, 19, 19, 14, 3</t>
  </si>
  <si>
    <t xml:space="preserve">Oficios varios </t>
  </si>
  <si>
    <t xml:space="preserve">Variable </t>
  </si>
  <si>
    <t xml:space="preserve">Hacinamiento </t>
  </si>
  <si>
    <t>Maria Letícia Henao</t>
  </si>
  <si>
    <t>Mario Munera</t>
  </si>
  <si>
    <t>Persona de la tercera edad</t>
  </si>
  <si>
    <t xml:space="preserve">Ninguno </t>
  </si>
  <si>
    <t>Señora de la tercera edad con complicaciones de salud. Prioridad alta</t>
  </si>
  <si>
    <t>Juan Diego Echeverry</t>
  </si>
  <si>
    <t>Cerca de la Torre</t>
  </si>
  <si>
    <t>Estella Jaramillo</t>
  </si>
  <si>
    <t>40,19,17,0</t>
  </si>
  <si>
    <t>Hijos estudian, madre trabaja</t>
  </si>
  <si>
    <t>La Paz (parte abajo) cerca al billar</t>
  </si>
  <si>
    <t>Luz Karine Escobar</t>
  </si>
  <si>
    <t xml:space="preserve"> Yli Paola Chavez (Vecina)</t>
  </si>
  <si>
    <t>Trabaja, vendiendo crispeta</t>
  </si>
  <si>
    <t xml:space="preserve">Minimo </t>
  </si>
  <si>
    <t>Asignable pero quiza no emergencia</t>
  </si>
  <si>
    <t>Abajo La paz Calle nueva</t>
  </si>
  <si>
    <t>Maria Alejandra Garcia</t>
  </si>
  <si>
    <t>Diego Londoño</t>
  </si>
  <si>
    <t>1 Año</t>
  </si>
  <si>
    <t>1 año</t>
  </si>
  <si>
    <t>28, 23, 5, 2</t>
  </si>
  <si>
    <t>Conductor bus, ama de casa, estudiante</t>
  </si>
  <si>
    <t>Si. 900 mil</t>
  </si>
  <si>
    <t>Se le hinunda la casa y tiene al niño viviendo en otra parte</t>
  </si>
  <si>
    <t>La paz</t>
  </si>
  <si>
    <t>Luz Agudelo</t>
  </si>
  <si>
    <t>Yessica nieta</t>
  </si>
  <si>
    <t>60, 40</t>
  </si>
  <si>
    <t>Desempleado</t>
  </si>
  <si>
    <t>Piso en concreto, se inunda</t>
  </si>
  <si>
    <t>Jhon Dario Castro Castro</t>
  </si>
  <si>
    <t>El celular es de la mama</t>
  </si>
  <si>
    <t>49,23,19,25</t>
  </si>
  <si>
    <t>No trabajan ni estudian</t>
  </si>
  <si>
    <t xml:space="preserve">No. </t>
  </si>
  <si>
    <t>La cancha la paz al lado de vivienda por desmontar</t>
  </si>
  <si>
    <t>Sandra Mayo</t>
  </si>
  <si>
    <t>Marcela Mayo, hermana</t>
  </si>
  <si>
    <t>4 años</t>
  </si>
  <si>
    <t>21, 6, 4</t>
  </si>
  <si>
    <t>Ama de casa, estudiantes</t>
  </si>
  <si>
    <t>Está por sacar el papel que acredite propiedad</t>
  </si>
  <si>
    <t>La Guadalupe /La paz</t>
  </si>
  <si>
    <t>Sandra Higuita</t>
  </si>
  <si>
    <t>6 años</t>
  </si>
  <si>
    <t>54,29,10</t>
  </si>
  <si>
    <t>Trabaja en un hospital oficios varios</t>
  </si>
  <si>
    <t>Si, contrato de 1 años.</t>
  </si>
  <si>
    <t>Es una familia pareja y una hija. Ella tiene un trabajo en la clinical de la 80 por UN año y le toca trabajar los fines de semana pero tiene personas que la apoyaria en construcciones descargue.  Tenemos que llamarla para concretarr como seria la encuesta</t>
  </si>
  <si>
    <t>Los pinos</t>
  </si>
  <si>
    <t>Maria Gloria Oquendo</t>
  </si>
  <si>
    <t>10 años</t>
  </si>
  <si>
    <t>6,57,59</t>
  </si>
  <si>
    <t>ninguna, depende de un hijo</t>
  </si>
  <si>
    <t>No, el hijo Les da la comida</t>
  </si>
  <si>
    <t>Vive una pareja de edad avanzada con un niño adoptado de 6 años.El lote es de la hija y se Los dio a ellos, el hijo tiene un negocio y les da la comida.</t>
  </si>
  <si>
    <t>Valeria Rios</t>
  </si>
  <si>
    <t>Ana Mile Gonzales</t>
  </si>
  <si>
    <t>8 años</t>
  </si>
  <si>
    <t>9 meses</t>
  </si>
  <si>
    <t>61, 22, 9, 5</t>
  </si>
  <si>
    <t>Trabajan vendiendo fritanga y los niños estudian</t>
  </si>
  <si>
    <t>Sus ingresos dependen de la venta de fritanga</t>
  </si>
  <si>
    <t xml:space="preserve">Va a comprar terreno para construcción </t>
  </si>
  <si>
    <t>Fernada Alvarez</t>
  </si>
  <si>
    <t>Bombillo rojo</t>
  </si>
  <si>
    <t>Virginia Pinzon</t>
  </si>
  <si>
    <t xml:space="preserve">5 años </t>
  </si>
  <si>
    <t>1mes</t>
  </si>
  <si>
    <t>17,8, 34</t>
  </si>
  <si>
    <t>No trabaja</t>
  </si>
  <si>
    <t>Vive con su hijo en la casa de un señor que les está colaborando por que está sin trabajo. Tiene terreno para construi</t>
  </si>
  <si>
    <t>Frente a la tienda el descanso</t>
  </si>
  <si>
    <t>Didier Ruiz</t>
  </si>
  <si>
    <t>Rosio Alvarez</t>
  </si>
  <si>
    <t>41, 61</t>
  </si>
  <si>
    <t>Instala parabolica</t>
  </si>
  <si>
    <t>240mil</t>
  </si>
  <si>
    <t>Isabel Chavarría</t>
  </si>
  <si>
    <t>Cerezal</t>
  </si>
  <si>
    <t>María oralis Flores flores</t>
  </si>
  <si>
    <t>Yeni cossio</t>
  </si>
  <si>
    <t>Trabajo, aseo en casas</t>
  </si>
  <si>
    <t>No. Hace aseos de vez en cuando</t>
  </si>
  <si>
    <t>El terreno está a nombre de la hija</t>
  </si>
  <si>
    <t>María Lilia Borja mejía</t>
  </si>
  <si>
    <t>Otro número</t>
  </si>
  <si>
    <t>18 años</t>
  </si>
  <si>
    <t>Trabajados independiente</t>
  </si>
  <si>
    <t>Vende legumbre</t>
  </si>
  <si>
    <t>Viven dos personas  sin enfermedades</t>
  </si>
  <si>
    <t>Carmen Omaira usuga Castañeda</t>
  </si>
  <si>
    <t>Emanuel Baena</t>
  </si>
  <si>
    <t>13 años</t>
  </si>
  <si>
    <t>44,21,47</t>
  </si>
  <si>
    <t>Trabajan</t>
  </si>
  <si>
    <t>Trabajan  en empresas</t>
  </si>
  <si>
    <t>Son 3 personas adultas que trabajan</t>
  </si>
  <si>
    <t xml:space="preserve">Daniel Montoya Sandoval </t>
  </si>
  <si>
    <t>Sector 4, parte alta. Cerca a vivienda de Rosa</t>
  </si>
  <si>
    <t>Nelson Posada</t>
  </si>
  <si>
    <t>Sandra Canedo, esposa</t>
  </si>
  <si>
    <t>8, 10, 35, 76, 38</t>
  </si>
  <si>
    <t xml:space="preserve">Desempleado. La esposa es empleada de servicio </t>
  </si>
  <si>
    <t xml:space="preserve">Mínimo </t>
  </si>
  <si>
    <t xml:space="preserve">Es parte alta. Considerar zonas de riesgo. </t>
  </si>
  <si>
    <t>Sebastián Alzate</t>
  </si>
  <si>
    <t xml:space="preserve">La cruz </t>
  </si>
  <si>
    <t>Maribel Pineda</t>
  </si>
  <si>
    <t>,Esposo</t>
  </si>
  <si>
    <t>14,11,34,38</t>
  </si>
  <si>
    <t>Trabajo por días, construcción, estudio</t>
  </si>
  <si>
    <t>Vivienda y terreno ubicado en la cruz</t>
  </si>
  <si>
    <t>La cruz (Parte alta sector 1 La Honda)</t>
  </si>
  <si>
    <t>Martha Cecilia Pérez Sánchez</t>
  </si>
  <si>
    <t>Esposo</t>
  </si>
  <si>
    <t xml:space="preserve">18 años en la honda </t>
  </si>
  <si>
    <t>1 año (en la cruz)</t>
  </si>
  <si>
    <t>10, 43, 53</t>
  </si>
  <si>
    <t xml:space="preserve">Construcción, ama de casa </t>
  </si>
  <si>
    <t xml:space="preserve">El mínimo </t>
  </si>
  <si>
    <t>Familia que vivió durante 18 años en La honda pero que ahora tienen terreno en La Cruz (Limitando con sector 1 parte alta de la Honda)</t>
  </si>
  <si>
    <t>sector 2</t>
  </si>
  <si>
    <t>Fany del Carmen Borja</t>
  </si>
  <si>
    <t xml:space="preserve">20 años </t>
  </si>
  <si>
    <t>3,6 meses, 56, 26</t>
  </si>
  <si>
    <t xml:space="preserve">Desempleada, oficios varios </t>
  </si>
  <si>
    <t>No tiene</t>
  </si>
  <si>
    <t xml:space="preserve">Ya le hicieron encuesta a la hija. </t>
  </si>
  <si>
    <t>4 parte alta</t>
  </si>
  <si>
    <t>María Jaqueline Cossío Madrid</t>
  </si>
  <si>
    <t xml:space="preserve">7 años </t>
  </si>
  <si>
    <t>Estudiante Universitaria, trabajo en confecciones</t>
  </si>
  <si>
    <t>Menos del minimo</t>
  </si>
  <si>
    <t xml:space="preserve">Sector 4 parte alta </t>
  </si>
  <si>
    <t>Raul Antonio Cossío Flores</t>
  </si>
  <si>
    <t>Desempleado, ofical</t>
  </si>
  <si>
    <t>Documento de compraventa</t>
  </si>
  <si>
    <t>Jeffrey Agudelo martinez</t>
  </si>
  <si>
    <t>27,23,5,4</t>
  </si>
  <si>
    <t>Se debe realizar la visita</t>
  </si>
  <si>
    <t xml:space="preserve">Sofía Marín </t>
  </si>
  <si>
    <t xml:space="preserve">Maria Isela Higuita Ochoa </t>
  </si>
  <si>
    <t xml:space="preserve"> sobrino Oscar</t>
  </si>
  <si>
    <t>7, 11, 34</t>
  </si>
  <si>
    <t>Estudiantes, ama de casa</t>
  </si>
  <si>
    <t>Lilian Rosa Palacio Olaya</t>
  </si>
  <si>
    <t>Ella misma</t>
  </si>
  <si>
    <t>35, 16, 13, 51</t>
  </si>
  <si>
    <t xml:space="preserve">Oficios varios, ayudante de construcción, estudiantes </t>
  </si>
  <si>
    <t>Maria Uberlina Moreno</t>
  </si>
  <si>
    <t>Blanca - Hija</t>
  </si>
  <si>
    <t>15 años</t>
  </si>
  <si>
    <t>18, 21, 23, 53</t>
  </si>
  <si>
    <t>Domiciliario de lavadoras</t>
  </si>
  <si>
    <t>Sofía Marín</t>
  </si>
  <si>
    <t>Marco Aurelio Vargas Cartagena</t>
  </si>
  <si>
    <t xml:space="preserve">Luz Dary </t>
  </si>
  <si>
    <t>90, 63</t>
  </si>
  <si>
    <t xml:space="preserve">No especifica </t>
  </si>
  <si>
    <t>Luis Gil</t>
  </si>
  <si>
    <t xml:space="preserve">Aurora </t>
  </si>
  <si>
    <t>10, 51</t>
  </si>
  <si>
    <t xml:space="preserve">Construcción </t>
  </si>
  <si>
    <t>Leonardo Antonio Rojas ( El fumigador )</t>
  </si>
  <si>
    <t>Diana María Rojas Hermana</t>
  </si>
  <si>
    <t>25 años</t>
  </si>
  <si>
    <t xml:space="preserve">Fumigador </t>
  </si>
  <si>
    <t xml:space="preserve">Isabel Cristina Sierra Uribe </t>
  </si>
  <si>
    <t>Sector 4 (cerca a full redes)</t>
  </si>
  <si>
    <t xml:space="preserve">Luis Henrry Vallejo Guerra </t>
  </si>
  <si>
    <t xml:space="preserve">Carol Dayana Vallejo </t>
  </si>
  <si>
    <t>13, 16, 20, 64, 37</t>
  </si>
  <si>
    <t>Hija de 20: trabajan los otros hijos: estudian el beneficiario no tiene empleo</t>
  </si>
  <si>
    <t xml:space="preserve">No </t>
  </si>
  <si>
    <t xml:space="preserve">El señor Luis no tiene un empleo fijo </t>
  </si>
  <si>
    <t xml:space="preserve">Juandi </t>
  </si>
  <si>
    <t xml:space="preserve">María Lucrecia Rendón </t>
  </si>
  <si>
    <t>Laura beneficiaria CC BBVA julio 2022</t>
  </si>
  <si>
    <t>47,44,23,22,21</t>
  </si>
  <si>
    <t>Estudian, trabajan en lo que resulte, venden frutas</t>
  </si>
  <si>
    <t>Varían mucho</t>
  </si>
  <si>
    <t>Ayuda a Laura con lo que puede, voluntaria de world vision, vivienda en estado regular antes era una marranera</t>
  </si>
  <si>
    <t>Gloria del Carmen Susertia</t>
  </si>
  <si>
    <t>54, 23, 3</t>
  </si>
  <si>
    <t>Ama de casa, la hija trabaja en casas de familia</t>
  </si>
  <si>
    <t>Juandi</t>
  </si>
  <si>
    <t>Anderson</t>
  </si>
  <si>
    <t>Años</t>
  </si>
  <si>
    <t>75,60,30,35,19</t>
  </si>
  <si>
    <t>Trabaja 1 y otro se la rebusca</t>
  </si>
  <si>
    <t>Torre 11 por la escuelita arriba marraneras</t>
  </si>
  <si>
    <t>Jairo Lopez</t>
  </si>
  <si>
    <t>Jirjian esposa</t>
  </si>
  <si>
    <t>47, 46, 9, 14</t>
  </si>
  <si>
    <t>Oficios varios, ama de casa, estudiante</t>
  </si>
  <si>
    <t xml:space="preserve">Uno de los hijos es discapacitado </t>
  </si>
  <si>
    <t xml:space="preserve">La cancha </t>
  </si>
  <si>
    <t>Mary Luz Jaramillo</t>
  </si>
  <si>
    <t>Alvaro Murcia, esposo</t>
  </si>
  <si>
    <t>37, 25, 8</t>
  </si>
  <si>
    <t xml:space="preserve">Ama de casa, construcción, estudiante </t>
  </si>
  <si>
    <t>Juliana Duque - Daniel</t>
  </si>
  <si>
    <t xml:space="preserve">Brisas de Guadalupe </t>
  </si>
  <si>
    <t>Diana Otalvaro</t>
  </si>
  <si>
    <t xml:space="preserve">Ama de casa </t>
  </si>
  <si>
    <t xml:space="preserve">Carlos Arturo Cabrera Camacho </t>
  </si>
  <si>
    <t xml:space="preserve">Jackeline Banguera </t>
  </si>
  <si>
    <t>44,28,14,10,7,4,1</t>
  </si>
  <si>
    <t xml:space="preserve">Trabaja en construcción </t>
  </si>
  <si>
    <t>No tiene terreno, está en proceso de legalizarlo</t>
  </si>
  <si>
    <t xml:space="preserve">Melissa Henao </t>
  </si>
  <si>
    <t>Luis Argiro cossio</t>
  </si>
  <si>
    <t>16 m, 10, 66, 27,47,52,56, 80</t>
  </si>
  <si>
    <t>Estudian</t>
  </si>
  <si>
    <t xml:space="preserve">Melissa Henao Lotero </t>
  </si>
  <si>
    <t>Jose parra</t>
  </si>
  <si>
    <t>Esposa, sandra</t>
  </si>
  <si>
    <t>54,20,50</t>
  </si>
  <si>
    <t>Estudia, trabaja</t>
  </si>
  <si>
    <t xml:space="preserve">Carolina Vásquez </t>
  </si>
  <si>
    <t>Luis Eduardo Gil ocampo</t>
  </si>
  <si>
    <t>blanca amiga</t>
  </si>
  <si>
    <t>3126023501 blanca amiga</t>
  </si>
  <si>
    <t xml:space="preserve">Niña estudia </t>
  </si>
  <si>
    <t>Por los lados de Rafa</t>
  </si>
  <si>
    <t xml:space="preserve">María Eugenia Romero </t>
  </si>
  <si>
    <t>Homero Montoya</t>
  </si>
  <si>
    <t>28,8,5,10,54,54</t>
  </si>
  <si>
    <t>Los niños estudian. Ellos trabajan en lo que salga</t>
  </si>
  <si>
    <t xml:space="preserve">A homero le amputaron la pierna hace 2 meses </t>
  </si>
  <si>
    <t xml:space="preserve">Yomar Villa </t>
  </si>
  <si>
    <t xml:space="preserve">Calle nueva </t>
  </si>
  <si>
    <t>Mauricio Rojas</t>
  </si>
  <si>
    <t xml:space="preserve">Gustavo Rojas; el papá </t>
  </si>
  <si>
    <t>39, 24, 20</t>
  </si>
  <si>
    <t xml:space="preserve">Construcción, estudia un hijo y el otro trabaja </t>
  </si>
  <si>
    <t xml:space="preserve">Trabaja por temporadas en construcción, depende de si le dan trabajos </t>
  </si>
  <si>
    <t>Jonny Montoya Zapata</t>
  </si>
  <si>
    <t>Trabaja</t>
  </si>
  <si>
    <t xml:space="preserve">Es ayudante de carpintería trabaja por contrato </t>
  </si>
  <si>
    <t>Alba luz Borja</t>
  </si>
  <si>
    <t>8, 5, 3, 44, 22, 5</t>
  </si>
  <si>
    <t xml:space="preserve">Trabajan y estudian </t>
  </si>
  <si>
    <t>Magdalena</t>
  </si>
  <si>
    <t>La Nueva Jerusalén</t>
  </si>
  <si>
    <t>Cosecheros parte alta</t>
  </si>
  <si>
    <t xml:space="preserve">Martha Liliana Quintero Muñoz </t>
  </si>
  <si>
    <t xml:space="preserve">16-9-33 años </t>
  </si>
  <si>
    <t xml:space="preserve">Ama de casa, estudiantes ambos hijos </t>
  </si>
  <si>
    <t xml:space="preserve">Mi mamá me regala mensual 150 mil </t>
  </si>
  <si>
    <t>La señora no vive en la vivienda la tiene arrendada en 100mil pero debe tumbaroa porque se encuentra en parte de otro terreno</t>
  </si>
  <si>
    <t xml:space="preserve">Owen David González </t>
  </si>
  <si>
    <t xml:space="preserve">Ruben Darío Vargas Gómez </t>
  </si>
  <si>
    <t xml:space="preserve">Tía Yolanda Gómez </t>
  </si>
  <si>
    <t>Cosechero al lado de la carretera</t>
  </si>
  <si>
    <t>Gladis Omaira Urrego</t>
  </si>
  <si>
    <t>Albeiro Urrego (hermano)</t>
  </si>
  <si>
    <t xml:space="preserve">1 año y 6 meses </t>
  </si>
  <si>
    <t xml:space="preserve">1 año y medio </t>
  </si>
  <si>
    <t>14, 9, 6</t>
  </si>
  <si>
    <t>Trabajo como auxiliar de cocina.</t>
  </si>
  <si>
    <t>El minimo</t>
  </si>
  <si>
    <t>Prioridad media</t>
  </si>
  <si>
    <t>A lado de la virgen</t>
  </si>
  <si>
    <t>Julio Ortiz</t>
  </si>
  <si>
    <t>Saira Vallesta</t>
  </si>
  <si>
    <t>18, 11, 7, 0,7, 43, 24</t>
  </si>
  <si>
    <t>Ama de casa, en domicilios</t>
  </si>
  <si>
    <t xml:space="preserve">Ramiro Cortes </t>
  </si>
  <si>
    <t>La Virgen</t>
  </si>
  <si>
    <t>Yeimi Montoya</t>
  </si>
  <si>
    <t>54, 28, 10, 8, 5, 54</t>
  </si>
  <si>
    <t>Ama de casa y tecnico</t>
  </si>
  <si>
    <t>Señor sin una pierna. Vive con los nietos</t>
  </si>
  <si>
    <t xml:space="preserve">Paula Andrea Morales </t>
  </si>
  <si>
    <t>Mirley Muñoz Florez</t>
  </si>
  <si>
    <t>Erika Florez / Hermana</t>
  </si>
  <si>
    <t>30,25,10,6,4</t>
  </si>
  <si>
    <t xml:space="preserve">Erika y su hermana  trabajan en confecciones </t>
  </si>
  <si>
    <t>No, por que la confección la paga por prenda o tiempo</t>
  </si>
  <si>
    <t>Se le puede realizar la encuesta el día domingo 14 de agosto 2022</t>
  </si>
  <si>
    <t>Paula Andrea Morales</t>
  </si>
  <si>
    <t>Daniela Andrea Gonzales</t>
  </si>
  <si>
    <t>Luz Dary Tuberquia/ Mamá</t>
  </si>
  <si>
    <t>38,11,7,4,18</t>
  </si>
  <si>
    <t>Daniela Estudia, la mamá es ama de casa</t>
  </si>
  <si>
    <t>no tiene ingresos</t>
  </si>
  <si>
    <t>La vivienda es para Daniela quien tiene 18 años y está estudiando, en el momento no cuenta con ingresos , ella vive hace 4 años en el barrio y su mamá es quien lleva 11 años en el barrio, Daniela indica que tiene terreno propio para construir la vivienda</t>
  </si>
  <si>
    <t>Paula Andrea Morales David</t>
  </si>
  <si>
    <t>Aracelly dels ortiz Meneses</t>
  </si>
  <si>
    <t>Blanca Oliva Ortiz</t>
  </si>
  <si>
    <t>ama de casa, trabaja por días</t>
  </si>
  <si>
    <t>no</t>
  </si>
  <si>
    <t>Conrado Chaverra P</t>
  </si>
  <si>
    <t>Juan Bautista Chaverra Patiño</t>
  </si>
  <si>
    <t>oficios varios de manera informal</t>
  </si>
  <si>
    <t>Sector 4 parte alta, pormlos lados de tulio</t>
  </si>
  <si>
    <t>José Enor Parra</t>
  </si>
  <si>
    <t>Carlos Bedoya - familiar</t>
  </si>
  <si>
    <t>55,50,20</t>
  </si>
  <si>
    <t>Oficios varios, el muchacho estudia, la señora es ama de casa</t>
  </si>
  <si>
    <t>trabaja en lo que le salga, no tiene ingresos fijos.</t>
  </si>
  <si>
    <t>Por favor llamar a sandra milena (esposa) el domingo para la encuesta: 3052001992</t>
  </si>
  <si>
    <t>3 parte baja</t>
  </si>
  <si>
    <t>Nelly Luz Beltrán Torres</t>
  </si>
  <si>
    <t>Rosa hermana</t>
  </si>
  <si>
    <t>17,15,1,42</t>
  </si>
  <si>
    <t>TRabaja por días en casa de familia</t>
  </si>
  <si>
    <t>no tiene ingresos fijos</t>
  </si>
  <si>
    <t>Está viviendo en un rancho de plástico sola, en la cruz, busca casa para poder recuperar a los hijos que están ahora con su hermana.</t>
  </si>
  <si>
    <t>Valeria Ceballos</t>
  </si>
  <si>
    <t>Sector 3 (Subiendo por la cañada, barandas amarillas)</t>
  </si>
  <si>
    <t>Romelia Rivas Lopez</t>
  </si>
  <si>
    <t>26, 23, 22, 17, 18, 28, 56</t>
  </si>
  <si>
    <t>Vendedor ambulante</t>
  </si>
  <si>
    <t>Sí</t>
  </si>
  <si>
    <t xml:space="preserve">Viviana Patricia Jaramillo </t>
  </si>
  <si>
    <t>35,14,12,8,10</t>
  </si>
  <si>
    <t>Ventas ambulantes, estudian</t>
  </si>
  <si>
    <t xml:space="preserve">Adriana Maria Hossain Ochoa </t>
  </si>
  <si>
    <t xml:space="preserve">Jorge Mario Munera Arango </t>
  </si>
  <si>
    <t xml:space="preserve">Julio Espinoza </t>
  </si>
  <si>
    <t xml:space="preserve">70, 72 </t>
  </si>
  <si>
    <t>Oficios varios ( mensajería)</t>
  </si>
  <si>
    <t xml:space="preserve">Zona </t>
  </si>
  <si>
    <t xml:space="preserve">Sector 2 </t>
  </si>
  <si>
    <t xml:space="preserve">Luis Edilberto Herrera </t>
  </si>
  <si>
    <t xml:space="preserve">Felicita Madrid Gómez </t>
  </si>
  <si>
    <t xml:space="preserve">No responde </t>
  </si>
  <si>
    <t xml:space="preserve">El teléfono relacionado es de la vecina, está sin empleo pero llegó a la comunidad hace 15 días </t>
  </si>
  <si>
    <t>Cándido Chaverra</t>
  </si>
  <si>
    <t>Esposa</t>
  </si>
  <si>
    <t>36,34,21</t>
  </si>
  <si>
    <t>Construcción, casas de familia</t>
  </si>
  <si>
    <t>No es salario fijo</t>
  </si>
  <si>
    <t xml:space="preserve">Sector 3 parte baja, ha participado en actividades </t>
  </si>
  <si>
    <t xml:space="preserve">Luz Marina Córdoba </t>
  </si>
  <si>
    <t xml:space="preserve">Hermano jhony </t>
  </si>
  <si>
    <t>2,4,5,26,47</t>
  </si>
  <si>
    <t xml:space="preserve">Trabj en aseo </t>
  </si>
  <si>
    <t xml:space="preserve">Si  , por días </t>
  </si>
  <si>
    <t xml:space="preserve">Recicladora, ropa , minorista </t>
  </si>
  <si>
    <t xml:space="preserve">4-parte alta </t>
  </si>
  <si>
    <t xml:space="preserve">Gloria Helena Cossío Flórez </t>
  </si>
  <si>
    <t>Raul Cossío Hermano</t>
  </si>
  <si>
    <t xml:space="preserve">44 años </t>
  </si>
  <si>
    <t xml:space="preserve">Confecciones -no es dijo </t>
  </si>
  <si>
    <t xml:space="preserve">Vive con el hermano porque no tiene donde vivir </t>
  </si>
  <si>
    <t xml:space="preserve">Catalina Pantoja </t>
  </si>
  <si>
    <t>La torre 11</t>
  </si>
  <si>
    <t>Guillermo Rengifo</t>
  </si>
  <si>
    <t>0000</t>
  </si>
  <si>
    <t>Orlando Bedoya</t>
  </si>
  <si>
    <t xml:space="preserve">6 años </t>
  </si>
  <si>
    <t xml:space="preserve">Reciclador </t>
  </si>
  <si>
    <t xml:space="preserve">Encuestar la próxima vez que vengamos al barrio </t>
  </si>
  <si>
    <t>Daniel Montoya Sandoval</t>
  </si>
  <si>
    <t>Torre 12. Cosecheros parte alta</t>
  </si>
  <si>
    <t xml:space="preserve">Maria Isabel Torres </t>
  </si>
  <si>
    <t xml:space="preserve">Diego Andres, esposo </t>
  </si>
  <si>
    <t>1, 20, 23</t>
  </si>
  <si>
    <t>Venden ropa</t>
  </si>
  <si>
    <t xml:space="preserve">Zona en riesgo.
Se deben mover al lote en zona más segura </t>
  </si>
  <si>
    <t xml:space="preserve">Juliana Duque </t>
  </si>
  <si>
    <t>Torre 11</t>
  </si>
  <si>
    <t xml:space="preserve">José Maria Urda </t>
  </si>
  <si>
    <t>3148682755, Esposa</t>
  </si>
  <si>
    <t>45, 24, 23, 19, 26, 25, 48</t>
  </si>
  <si>
    <t>Independiente (tienda)</t>
  </si>
  <si>
    <t xml:space="preserve">Colinas de Jerusalén </t>
  </si>
  <si>
    <t>Alejandra Giraldo</t>
  </si>
  <si>
    <t xml:space="preserve">Carlos Quintero </t>
  </si>
  <si>
    <t>42, 25, 21, 14, 29, 27, 7meses</t>
  </si>
  <si>
    <t>Cocinero, ayudante en empresa de cartón, ama de casa (beneficiaria), trabaja en restaurante, estudiante.</t>
  </si>
  <si>
    <t xml:space="preserve">Si, mínimo </t>
  </si>
  <si>
    <t>Aylen Barrios De Hoyos</t>
  </si>
  <si>
    <t xml:space="preserve">Bridas de Guadalupe </t>
  </si>
  <si>
    <t>Delio De Jesús Rojas</t>
  </si>
  <si>
    <t xml:space="preserve">Jesica Quiseno, vecina </t>
  </si>
  <si>
    <t>3 años y medio</t>
  </si>
  <si>
    <t>No tiene trabajo, es una persona muy adulta</t>
  </si>
  <si>
    <t>80.000 mensual por ser de la tercera edad</t>
  </si>
  <si>
    <t>Vive solo, tiene un hijo que no responde por él y que tiene problemas de adicción, el compró su vivienda y terreno, tratará de conseguir un certificado. La vivienda es de 7*6,5.</t>
  </si>
  <si>
    <t>Andrea Uparela Bedoya</t>
  </si>
  <si>
    <t>El reversadero</t>
  </si>
  <si>
    <t>Jesus Otoniel Jaramillo</t>
  </si>
  <si>
    <t>Boris</t>
  </si>
  <si>
    <t xml:space="preserve">Vendiendo mazamorras algunos dias de la semana </t>
  </si>
  <si>
    <t xml:space="preserve">El señor es discapacitado </t>
  </si>
  <si>
    <t xml:space="preserve">Amanda Cecilia Gómez </t>
  </si>
  <si>
    <t xml:space="preserve">Hija </t>
  </si>
  <si>
    <t>15, 2 de 13, 6, 2, 1, 51</t>
  </si>
  <si>
    <t>Vende chorizos</t>
  </si>
  <si>
    <t xml:space="preserve">No tiene ingresos fijos, trabaja en venta de chorizos y en construcción </t>
  </si>
  <si>
    <t xml:space="preserve">Asinamiento con menores de edad, asistió a proceso con recuperadores. Vivienda cerca a droguería y surtimax </t>
  </si>
  <si>
    <t xml:space="preserve">Ramiro Cortés </t>
  </si>
  <si>
    <t>Sector 2 arriba</t>
  </si>
  <si>
    <t>José Barco</t>
  </si>
  <si>
    <t>Luz Dari Tuberquia</t>
  </si>
  <si>
    <t xml:space="preserve">1000000, cuando sale y va bien </t>
  </si>
  <si>
    <t>Vive solo y va "bien" económicamente...</t>
  </si>
  <si>
    <t>Barbara Cabarcas Sanjuan</t>
  </si>
  <si>
    <t>Marta Bernal Cano</t>
  </si>
  <si>
    <t>Leonardo Lopez</t>
  </si>
  <si>
    <t>Hijas20,20, bebe 4 meses, esposo 50 años , señora38 años</t>
  </si>
  <si>
    <t xml:space="preserve">Ninguna actividad </t>
  </si>
  <si>
    <t xml:space="preserve">Un negocio </t>
  </si>
  <si>
    <t>Cosecheros</t>
  </si>
  <si>
    <t xml:space="preserve">Aureliano Benítez </t>
  </si>
  <si>
    <t>9años</t>
  </si>
  <si>
    <t>9 años</t>
  </si>
  <si>
    <t>48, 45, 16, 12</t>
  </si>
  <si>
    <t xml:space="preserve">Empleada doméstica, oficios varios. Niños estudian </t>
  </si>
  <si>
    <t xml:space="preserve">Diana Benítez </t>
  </si>
  <si>
    <t>Casa Bonita( bombillo, rojo)</t>
  </si>
  <si>
    <t>Flor María Vargas Alvarez</t>
  </si>
  <si>
    <t xml:space="preserve">Gerardo Cardona </t>
  </si>
  <si>
    <t>75,58,37,31,11</t>
  </si>
  <si>
    <t>Oficios varios ( persona con discapacidad)</t>
  </si>
  <si>
    <t>Trabajo por prestación de servicios, cabeza del hogar, cuidadora de adulto mayor y persona con discapacidad.</t>
  </si>
  <si>
    <t xml:space="preserve">Yesica Paola Vasquez </t>
  </si>
  <si>
    <t xml:space="preserve"> Abuela Luz Maria </t>
  </si>
  <si>
    <t>72,80,34,6,21</t>
  </si>
  <si>
    <t xml:space="preserve">Estudia y trabaja </t>
  </si>
  <si>
    <t xml:space="preserve">Si. 200mil mensuales </t>
  </si>
  <si>
    <t xml:space="preserve">Malfi del Carmen Teherán Díaz </t>
  </si>
  <si>
    <t>Silvia Teherán Díaz : Hija</t>
  </si>
  <si>
    <t xml:space="preserve">14 años </t>
  </si>
  <si>
    <t>50, 43, 15</t>
  </si>
  <si>
    <t xml:space="preserve">Madre cabeza de familia </t>
  </si>
  <si>
    <t xml:space="preserve">Familias en acción </t>
  </si>
  <si>
    <t xml:space="preserve">La vivienda actual no está en buen estado </t>
  </si>
  <si>
    <t xml:space="preserve">Yesica Mazo </t>
  </si>
  <si>
    <t>Julián Mauricio</t>
  </si>
  <si>
    <t>6,9,30,40</t>
  </si>
  <si>
    <t xml:space="preserve">Trabaja </t>
  </si>
  <si>
    <t xml:space="preserve">Si, trabaja en un taller </t>
  </si>
  <si>
    <t>Nubia Rosa Serna</t>
  </si>
  <si>
    <t>Daniela ospina - Hija</t>
  </si>
  <si>
    <t>300.000 mensuales</t>
  </si>
  <si>
    <t>Manuel Sepulveda Caro</t>
  </si>
  <si>
    <t>Luz Maria - esposa</t>
  </si>
  <si>
    <t>17 años</t>
  </si>
  <si>
    <t xml:space="preserve">No tiene ocupación </t>
  </si>
  <si>
    <t>80.000 subsidio</t>
  </si>
  <si>
    <t xml:space="preserve">Lucelly usuga </t>
  </si>
  <si>
    <t xml:space="preserve">Rocío usuga :hermana </t>
  </si>
  <si>
    <t xml:space="preserve">10 años </t>
  </si>
  <si>
    <t>44, 19, 17 y 14</t>
  </si>
  <si>
    <t xml:space="preserve">Independientes y estudiantes </t>
  </si>
  <si>
    <t xml:space="preserve">No, lo que consiga en la actividad que haga </t>
  </si>
  <si>
    <t xml:space="preserve">La vivienda actual está en mal estado </t>
  </si>
  <si>
    <t>Urias Graciano</t>
  </si>
  <si>
    <t>22,3meses,51</t>
  </si>
  <si>
    <t xml:space="preserve">Trabajo </t>
  </si>
  <si>
    <t>SMMLV</t>
  </si>
  <si>
    <t xml:space="preserve">Rocío Usuga </t>
  </si>
  <si>
    <t xml:space="preserve">51, 7 </t>
  </si>
  <si>
    <t>Independiente</t>
  </si>
  <si>
    <t xml:space="preserve">No tiene ingresos fijos </t>
  </si>
  <si>
    <t xml:space="preserve">Mal estado de la vivienda </t>
  </si>
  <si>
    <t xml:space="preserve">Blanca Higuita </t>
  </si>
  <si>
    <t xml:space="preserve">Martha Higuita </t>
  </si>
  <si>
    <t>46 y 38</t>
  </si>
  <si>
    <t xml:space="preserve">Confecciones y casa de familia </t>
  </si>
  <si>
    <t xml:space="preserve">Depende de los días que trabaje </t>
  </si>
  <si>
    <t xml:space="preserve">La vivienda la construyeron ellos con madera, plástico y otros materiales. Hasta el momento la vivienda no tiene el mejor estado </t>
  </si>
  <si>
    <t>Isabel sierra</t>
  </si>
  <si>
    <t xml:space="preserve">Blanca rocío Rivera </t>
  </si>
  <si>
    <t>Claudia Rivera -hija</t>
  </si>
  <si>
    <t>56,21,19,18,1año</t>
  </si>
  <si>
    <t xml:space="preserve">Reciclar,lo que resulte para hacer </t>
  </si>
  <si>
    <t xml:space="preserve">No tienen ingresos fijos -viven del reciclaje </t>
  </si>
  <si>
    <t xml:space="preserve">Necesitan más espacio porque son muchas personas </t>
  </si>
  <si>
    <t xml:space="preserve">Isabel sierra </t>
  </si>
  <si>
    <t xml:space="preserve">Isabel Cristina Núñez Mena </t>
  </si>
  <si>
    <t xml:space="preserve">More-padrastro </t>
  </si>
  <si>
    <t xml:space="preserve">2años </t>
  </si>
  <si>
    <t>31, 6años</t>
  </si>
  <si>
    <t xml:space="preserve">Madre cabeza de familia, desempleada y sin ingresos fijos </t>
  </si>
  <si>
    <t>Juliana Duque</t>
  </si>
  <si>
    <t xml:space="preserve">Melby Rodríguez Tabares </t>
  </si>
  <si>
    <t>Rafael Eduardo hijo</t>
  </si>
  <si>
    <t>67, 42</t>
  </si>
  <si>
    <t>El hijo trabaja, y ella ama de casa</t>
  </si>
  <si>
    <t>Revisar</t>
  </si>
  <si>
    <t>María Marleny Garcia Patiño</t>
  </si>
  <si>
    <t xml:space="preserve">Hermano, Orlando García </t>
  </si>
  <si>
    <t>11, 23, 51</t>
  </si>
  <si>
    <t xml:space="preserve">Trabaja por días, estudia </t>
  </si>
  <si>
    <t>No, trabajan por dias</t>
  </si>
  <si>
    <t>Orlando Garcia</t>
  </si>
  <si>
    <t>22,56, 33</t>
  </si>
  <si>
    <t xml:space="preserve">Trabaja por días, un hijo trabaja en confecciones y el otro independiente </t>
  </si>
  <si>
    <t>Vive con dos hijos de “arrimado”</t>
  </si>
  <si>
    <t>Parte alta cosecheros</t>
  </si>
  <si>
    <t xml:space="preserve">Jesús Emilio palacio </t>
  </si>
  <si>
    <t>65, 47</t>
  </si>
  <si>
    <t>Trabajan en lo que salga</t>
  </si>
  <si>
    <t>La tienda de Alex, Guadalupe</t>
  </si>
  <si>
    <t>Carlos Santiago Zuleta</t>
  </si>
  <si>
    <t>Rosa Angela Abuela</t>
  </si>
  <si>
    <t>24, 3, 5meses, 23</t>
  </si>
  <si>
    <t>Trabaja por dias</t>
  </si>
  <si>
    <t>Tulio Bedoya</t>
  </si>
  <si>
    <t xml:space="preserve">Cosecha en el mismo terreno café </t>
  </si>
  <si>
    <t>Me cuentan que el barrio tiene aproximadamente 20 años de fundado, los que dicen que viven hace 30 no saben dónde están parados jajaj</t>
  </si>
  <si>
    <t xml:space="preserve">Erika Coronado  Ramirez </t>
  </si>
  <si>
    <t xml:space="preserve">Lapaz </t>
  </si>
  <si>
    <t xml:space="preserve">Martha Nelly Bernal cano </t>
  </si>
  <si>
    <t xml:space="preserve">Yuleidy Alcalá hija </t>
  </si>
  <si>
    <t>20,5 meses, 38, 50,20,</t>
  </si>
  <si>
    <t xml:space="preserve">Licoleria, Construcción, Licoleria </t>
  </si>
  <si>
    <t>Juan de Dios Gaviria</t>
  </si>
  <si>
    <t xml:space="preserve">Trabaja independiente </t>
  </si>
  <si>
    <t>Ocasional</t>
  </si>
  <si>
    <t>Desplazado</t>
  </si>
  <si>
    <t>Tatiana cruz</t>
  </si>
  <si>
    <t xml:space="preserve">Cindy jeaneth Girón Bedoya </t>
  </si>
  <si>
    <t xml:space="preserve">María Girón Bedoya </t>
  </si>
  <si>
    <t xml:space="preserve">9 años </t>
  </si>
  <si>
    <t>29, 25, 4</t>
  </si>
  <si>
    <t xml:space="preserve">Trabajo, estudio </t>
  </si>
  <si>
    <t xml:space="preserve">Pago al día </t>
  </si>
  <si>
    <t xml:space="preserve">Cindy está embarazada </t>
  </si>
  <si>
    <t xml:space="preserve">Sector 4 </t>
  </si>
  <si>
    <t xml:space="preserve">Nelsy Antonia Girón Murillo </t>
  </si>
  <si>
    <t>13, 22, 21, 3, 47, 46</t>
  </si>
  <si>
    <t xml:space="preserve">Trabajan y el niño estudia </t>
  </si>
  <si>
    <t xml:space="preserve">Hijo trabajo fijo, esposo por días </t>
  </si>
  <si>
    <t>Adriana Osorio</t>
  </si>
  <si>
    <t>Ama de casa - lo que la gente la ocupe</t>
  </si>
  <si>
    <t>La casa es cerca a Versalles 2 - parte alta del 4</t>
  </si>
  <si>
    <t xml:space="preserve">Luisa González </t>
  </si>
  <si>
    <t xml:space="preserve">Pedro González </t>
  </si>
  <si>
    <t xml:space="preserve">8 años </t>
  </si>
  <si>
    <t>25, 6, 5, 3</t>
  </si>
  <si>
    <t>Ama de casa, estidiantes</t>
  </si>
  <si>
    <t>Viene del choco y tiene predio en el 4</t>
  </si>
  <si>
    <t xml:space="preserve">Isabel Chavarria </t>
  </si>
  <si>
    <t xml:space="preserve">Víctor Rodríguez </t>
  </si>
  <si>
    <t>.5</t>
  </si>
  <si>
    <t>10, 9, 42, 34</t>
  </si>
  <si>
    <t xml:space="preserve">Carpintería aluminio </t>
  </si>
  <si>
    <t>La marranera</t>
  </si>
  <si>
    <t xml:space="preserve">Luz Damaris Monsalve García </t>
  </si>
  <si>
    <t>Hija</t>
  </si>
  <si>
    <t>No vive</t>
  </si>
  <si>
    <t xml:space="preserve">No vive en el barrio </t>
  </si>
  <si>
    <t>Desempleada</t>
  </si>
  <si>
    <t xml:space="preserve">Es para la mamá que no vive en el barrio </t>
  </si>
  <si>
    <t xml:space="preserve">Juan Felipe AREVALO </t>
  </si>
  <si>
    <t>Torre 11 el reversadero</t>
  </si>
  <si>
    <t xml:space="preserve">Jorge Arlei tuberquia </t>
  </si>
  <si>
    <t>Jorge arlei</t>
  </si>
  <si>
    <t xml:space="preserve">Joven especial </t>
  </si>
  <si>
    <t xml:space="preserve">Sebastián Alzate </t>
  </si>
  <si>
    <t>Nohelia Rodríguez David</t>
  </si>
  <si>
    <t xml:space="preserve">Desempleada </t>
  </si>
  <si>
    <t>No se tiene</t>
  </si>
  <si>
    <t>Casa hecha en madera con antigüedad de 15 años, solo una habitación para baño, cocina y habitación, ubicada cerca a cancha sector 4</t>
  </si>
  <si>
    <t>Andrea Uparela</t>
  </si>
  <si>
    <t>Lilia Ines Ortiz Restrepo</t>
  </si>
  <si>
    <t>Mayerli (hija)</t>
  </si>
  <si>
    <t>20, 17, 56</t>
  </si>
  <si>
    <t xml:space="preserve">Trabaja el mayor </t>
  </si>
  <si>
    <t>Natalia Romero</t>
  </si>
  <si>
    <t xml:space="preserve"> mamá María </t>
  </si>
  <si>
    <t>29,26,8,5,58</t>
  </si>
  <si>
    <t xml:space="preserve">Ayudante de panadería </t>
  </si>
  <si>
    <t xml:space="preserve">Viven en una sola habitación todos, se les entra el agua constantemente cuando llueve, construida en madera </t>
  </si>
  <si>
    <t>Sector 4 - cabildo</t>
  </si>
  <si>
    <t>Erica Jhoana Evao</t>
  </si>
  <si>
    <t xml:space="preserve">Papá </t>
  </si>
  <si>
    <t>0.6</t>
  </si>
  <si>
    <t>14, 9, 32</t>
  </si>
  <si>
    <t>Cuidado adulto mayor</t>
  </si>
  <si>
    <t>500.000 mensuales</t>
  </si>
  <si>
    <t>Se les quemó la casa en diciembre. El terreno es arriba del cabildo - revisar caso prioridad vs terreno tan alto. En este momento viven 2 núcleos familiares (7 personas)</t>
  </si>
  <si>
    <t>Adriana Janeth Restrepo Guisao</t>
  </si>
  <si>
    <t>Esposo Boanerges</t>
  </si>
  <si>
    <t>17,14,12</t>
  </si>
  <si>
    <t xml:space="preserve">Ayudante panadería </t>
  </si>
  <si>
    <t xml:space="preserve">Menos del mínimo, trabaja por días en la panadería </t>
  </si>
  <si>
    <t xml:space="preserve">Vivienda en madera, tiene problemas de seguridad y se le entra constantemente el agua </t>
  </si>
  <si>
    <t>Blanca Leira Bedoya</t>
  </si>
  <si>
    <t>12,11,51</t>
  </si>
  <si>
    <t xml:space="preserve">Ventas en la casa </t>
  </si>
  <si>
    <t xml:space="preserve">No, vende fritos y postres esporádicamente </t>
  </si>
  <si>
    <t xml:space="preserve">Albert Hurtado </t>
  </si>
  <si>
    <t>1,7,23,29</t>
  </si>
  <si>
    <t xml:space="preserve">Ayudante construcción </t>
  </si>
  <si>
    <t xml:space="preserve">Esporádicos en trabajo de construcción </t>
  </si>
  <si>
    <t>Posee terreno al lado de la suegra, tienen piso de.tierra y construcción de tablilla</t>
  </si>
  <si>
    <t>Romon, cerca al depósito de Don Jaime y más arriba de bombillo rojo</t>
  </si>
  <si>
    <t>Irma Marín Rodríguez</t>
  </si>
  <si>
    <t>Liliana Marín</t>
  </si>
  <si>
    <t>10,37,44</t>
  </si>
  <si>
    <t>Por el momento no tiene terreno.</t>
  </si>
  <si>
    <t xml:space="preserve">Erika Coronado Ramirez </t>
  </si>
  <si>
    <t xml:space="preserve">Bombillo rojo </t>
  </si>
  <si>
    <t xml:space="preserve">José David Mejia Briceño </t>
  </si>
  <si>
    <t xml:space="preserve">Elvira madre de Carolina </t>
  </si>
  <si>
    <t>9,  0.7, 27, 39</t>
  </si>
  <si>
    <t xml:space="preserve">Trabaja cuando lo llaman </t>
  </si>
  <si>
    <t xml:space="preserve">Familia venezolana que vivivia arrendada y está se quemó el día domingo 9 de julio, no posee terreno
La comunidad está en la ayuda de consecución de uno 
En el momento está viviendo donde una vecina </t>
  </si>
  <si>
    <t xml:space="preserve">Bombillo Rojo </t>
  </si>
  <si>
    <t xml:space="preserve">Carlos Mario Restrepo </t>
  </si>
  <si>
    <t xml:space="preserve">Independiente </t>
  </si>
  <si>
    <t xml:space="preserve">Vivienda que se incendio el día domingo 9 de julio,
Persona que está próxima a una cirugía la pierna por accidente de tránsito  </t>
  </si>
  <si>
    <t xml:space="preserve">Sara Uribe </t>
  </si>
  <si>
    <t>Teresa Olaya</t>
  </si>
  <si>
    <t>Carlos Mario Restrepo, hijo</t>
  </si>
  <si>
    <t>NA</t>
  </si>
  <si>
    <t xml:space="preserve">La señora Teresa se mudó en la casa al lado de su hijo para cuidarlo de la operación de pierna, el terreno es del hijo Carlos Mario y la señora Teresa se mudó cuando él le construyó la casa a ella al lado para que lo ayudara en su recuperación. La señora Teresa antes vivía con su hija y se mudó a su nueva casa hace un año aproximadamente. </t>
  </si>
  <si>
    <t>María De Los Angeles Deluque Zapata</t>
  </si>
  <si>
    <t>Granizal</t>
  </si>
  <si>
    <t>El portal de oriente</t>
  </si>
  <si>
    <t>OSCAR DARIO VELASQUEZ</t>
  </si>
  <si>
    <t>GUSTAVO VELASQUES</t>
  </si>
  <si>
    <t>Oficios varios</t>
  </si>
  <si>
    <t>si en la cebollera, algunos días trabaja y otro no</t>
  </si>
  <si>
    <t>Valentina Posada</t>
  </si>
  <si>
    <t>Oasis de paz</t>
  </si>
  <si>
    <t>Angeli Shaddai Melendez</t>
  </si>
  <si>
    <t>Misael Castro, Pareja</t>
  </si>
  <si>
    <t>40,33,20,11,11,8,1</t>
  </si>
  <si>
    <t>Angeli es ama de casa, ocasionalmente vende dulces, su pareja trabaja temporalmente en una empresa de electricidad y los hijos todos están estudiando.</t>
  </si>
  <si>
    <t>Si, el principal ingreso proviene de la pareja de Angeli que trabaja en una empresa de electricidad temporalmente, ella ocasionalmente vende dulces para apoyar los ingresos de la familia.</t>
  </si>
  <si>
    <t>Familia venezolana conformada por una pareja y sus cinco hijos.</t>
  </si>
  <si>
    <t>Manantiales, Muletas</t>
  </si>
  <si>
    <t>ONASIS PALACIOS PALACIOS</t>
  </si>
  <si>
    <t>16, 17, 15, 13, 42, 49</t>
  </si>
  <si>
    <t>Construcción</t>
  </si>
  <si>
    <t>no, de vez en cuando</t>
  </si>
  <si>
    <t>La señora trabaja en casa de familia de vez en cuando, Tiene dos ranchos de madera, quiere organizar uno.</t>
  </si>
  <si>
    <t>Julio Cesar Bedoya</t>
  </si>
  <si>
    <t>Manantiales al frente del fruver pero pa construir la frente de las cometas</t>
  </si>
  <si>
    <t>MARTHA GONZALEZ</t>
  </si>
  <si>
    <t>William Echavarria</t>
  </si>
  <si>
    <t>55, 45, 30, 17, 14 16</t>
  </si>
  <si>
    <t>Aseo y reciclador</t>
  </si>
  <si>
    <t>el marido con el reciclaje y ella cuando le resulta</t>
  </si>
  <si>
    <t>Tienen un lote que estan terminando de pagar al frente de la entrada de la escuela de las cometas, por ahi pa abajo, no se si aplique por que a algunos nos han dicho que eso es Medellin, de resto parece buena candidata para encuestamiento</t>
  </si>
  <si>
    <t>Luz Alvarado Cano</t>
  </si>
  <si>
    <t>Portal de oriente</t>
  </si>
  <si>
    <t>Doralba Grande</t>
  </si>
  <si>
    <t>63,70,5,9</t>
  </si>
  <si>
    <t>Casa de su madre</t>
  </si>
  <si>
    <t>Trabaja ocasionalmente como aseadora</t>
  </si>
  <si>
    <t>1, LA CAÑADA</t>
  </si>
  <si>
    <t>ZAIDA RIASCOS QUINTERO</t>
  </si>
  <si>
    <t>Isabella la hija</t>
  </si>
  <si>
    <t>8, 4, 21, 41, 46</t>
  </si>
  <si>
    <t>Ama de casa, hija en uñas, esposooperario de maquina</t>
  </si>
  <si>
    <t>de una hermana</t>
  </si>
  <si>
    <t>Ella no, pero la hija y el esposo si</t>
  </si>
  <si>
    <t>Tienen simientos en el terreno pero ella quiere construir en madera mientras porque los vecinos se quieren adueñar del terreno</t>
  </si>
  <si>
    <t>Marìa De Los Angeles Deluque Zapata</t>
  </si>
  <si>
    <t xml:space="preserve">Manantiales, </t>
  </si>
  <si>
    <t>SANDRA MILENA ACEVEDO GOMEZ</t>
  </si>
  <si>
    <t>Más de 10 años</t>
  </si>
  <si>
    <t>12 años</t>
  </si>
  <si>
    <t>30, 31, 11 y 12</t>
  </si>
  <si>
    <t>si, trabaja 4 días a la semana</t>
  </si>
  <si>
    <t>mANANTIALES EL PINAR</t>
  </si>
  <si>
    <t>SANDRA PATRICIA SOSA DÍAS</t>
  </si>
  <si>
    <t>7 Años</t>
  </si>
  <si>
    <t>20, 21, 46, 44</t>
  </si>
  <si>
    <t>Ama de casa, las hijas call center, Aro</t>
  </si>
  <si>
    <t>Ella no, las hijas si</t>
  </si>
  <si>
    <t>Terreno Altos de oriente</t>
  </si>
  <si>
    <t>Maria Camila Higuita Loaiza</t>
  </si>
  <si>
    <t>Sirley Parra</t>
  </si>
  <si>
    <t>12,10,6,7 meses, 28</t>
  </si>
  <si>
    <t>Su hijo de 10 años tiene labial leporino y paladar endido</t>
  </si>
  <si>
    <t>Las flórez - Por el charco</t>
  </si>
  <si>
    <t>Stefania Galean</t>
  </si>
  <si>
    <t>Sandra Alzate, mamá</t>
  </si>
  <si>
    <t>10,2,25</t>
  </si>
  <si>
    <t xml:space="preserve">Manantiales </t>
  </si>
  <si>
    <t>Thalia Cuesta</t>
  </si>
  <si>
    <t>Alba Lucía Moreno, mamá</t>
  </si>
  <si>
    <t>29, 9 meses, 6 años</t>
  </si>
  <si>
    <t>El salario del esposo, 800.000</t>
  </si>
  <si>
    <t>Zina Vargas</t>
  </si>
  <si>
    <t>Natanael Santos, Conocido</t>
  </si>
  <si>
    <t>26, 10, 7, 8, 6, 46</t>
  </si>
  <si>
    <t>Si, término a contrato, 200.000 quincenal</t>
  </si>
  <si>
    <t>Necesita vivienda urgentemente porque vive en las ruinas de la que se le cayó y además tiene un hijo con discapacidad de una pierna</t>
  </si>
  <si>
    <t>Juan Diego Gonzalez</t>
  </si>
  <si>
    <t>Portal de Oriente</t>
  </si>
  <si>
    <t>ANA CELILIA MARIN</t>
  </si>
  <si>
    <t>PRESIDENTA DE LA JUNTA DE PORTAL DE ORIENTE PERO NO LABORA POR TEMAS DE SALUD</t>
  </si>
  <si>
    <t>ESTÁ EN COTIZACIÓN DE UN SALDO POR INCAPACIDADES CON SURA DESDE 2022.</t>
  </si>
  <si>
    <t>VICTIMA DEL CONFLICTO ARMADO EN COLOMBIA, DESPLAZADA DE BARRANCABERMEJA ANTES DE RESIDIR EN GRANIZAL.</t>
  </si>
  <si>
    <t>Regalo de Dios</t>
  </si>
  <si>
    <t>FAISURY ESMERALDA ULCUE</t>
  </si>
  <si>
    <t>Brenda Maca,Conocida</t>
  </si>
  <si>
    <t>9,11,61,36,32</t>
  </si>
  <si>
    <t>LIDER SOCIAL Y PROMOTORA DE SALUD PERO NO EJERCE</t>
  </si>
  <si>
    <t>NO, Recibe ingresos por su padre que vive con ella</t>
  </si>
  <si>
    <t>Llamada muy intermitente, no se ha podido tener mas información del Beneficiario</t>
  </si>
  <si>
    <t>OASIS DE PAZ</t>
  </si>
  <si>
    <t>HERNAN OSPINA</t>
  </si>
  <si>
    <t>48,32,20,17</t>
  </si>
  <si>
    <t>OFICIOS VARIOS</t>
  </si>
  <si>
    <t>DEL TRABAJO QUE EJERCE DE OFICIOS VARIOS</t>
  </si>
  <si>
    <t>LLEVA 6 MESES DE OPERADO YA QUE ESTABA ENFERMO DE CALCULOS RENALES Y POR ESO MISMO TRABAJA SOLO POCOS DIAS A LA SEMANA.</t>
  </si>
  <si>
    <t>5 Manantiales</t>
  </si>
  <si>
    <t>Gloria Margarita Sánchez Betancourt</t>
  </si>
  <si>
    <t>Nicolás (Hijo de la hija) preguntar por la hija Leidy</t>
  </si>
  <si>
    <t>25,70,66,12,3,33</t>
  </si>
  <si>
    <t>No tiene. Es la hija quien la ayuda</t>
  </si>
  <si>
    <t>Una cuadra y unas escalas más arriba de la tienda del mono. La señora tiene 66 años</t>
  </si>
  <si>
    <t>manantiales 6, por la tienda del mono</t>
  </si>
  <si>
    <t>Natalia Jimenez</t>
  </si>
  <si>
    <t>sorely taborda, mama</t>
  </si>
  <si>
    <t>70, 51, 12, 29, 29, 1y 24</t>
  </si>
  <si>
    <t>trabaja en una tiendita</t>
  </si>
  <si>
    <t>del trabajo</t>
  </si>
  <si>
    <t>La vivienda seria para el Papa y la Mama , todos viven juntos, toca desmontar un pedazo de la casa pa la construccion para que el papa que necesita oxigeno este mas comodo</t>
  </si>
  <si>
    <t>7 Regalo de Dios</t>
  </si>
  <si>
    <t>Elimar Ascanio Escalona</t>
  </si>
  <si>
    <t>Pedro Pablo García Arellano (Esposo)</t>
  </si>
  <si>
    <t>39,28,15,16,5</t>
  </si>
  <si>
    <t>El esposo es el que trabaja (Un salario mínimo)</t>
  </si>
  <si>
    <t>Ella tiene 28 años</t>
  </si>
  <si>
    <t>Flores de oriente, cerca de doña minerva</t>
  </si>
  <si>
    <t>BEATRIZ ELENA ZAPATA</t>
  </si>
  <si>
    <t>omar ortiz esposo</t>
  </si>
  <si>
    <t>59, 13, 55</t>
  </si>
  <si>
    <t>agricultura</t>
  </si>
  <si>
    <t>tiene terreno se puede desmontar o mirar el espacio</t>
  </si>
  <si>
    <t>Las Flores de Oriente</t>
  </si>
  <si>
    <t>Jilma Ester Duque Calderón</t>
  </si>
  <si>
    <t>No Hay</t>
  </si>
  <si>
    <t>No hay</t>
  </si>
  <si>
    <t>12,11,8,65,27</t>
  </si>
  <si>
    <t>Ama de casa y de vez en cuando hace morcilla o vende gallinas</t>
  </si>
  <si>
    <t>No tiene ingreso fijo</t>
  </si>
  <si>
    <t>Ella tiene 65 Años</t>
  </si>
  <si>
    <t>Julio Bedoya</t>
  </si>
  <si>
    <t>flores de oriente</t>
  </si>
  <si>
    <t>MARIA ROSA SEPULVEDA</t>
  </si>
  <si>
    <t>80, 40</t>
  </si>
  <si>
    <t>nada</t>
  </si>
  <si>
    <t>vive con el hijo que no puede trabajar por que es epileptico, pero ya tiene una vivienda de techo desde hace mas o menos 7 años</t>
  </si>
  <si>
    <t>DIANA NAVARRO</t>
  </si>
  <si>
    <t>MANANTIALES</t>
  </si>
  <si>
    <t>NANCY SANPEDRO</t>
  </si>
  <si>
    <t>5 AÑOS</t>
  </si>
  <si>
    <t>51, 3, 35*</t>
  </si>
  <si>
    <t>AMA DE CASA - VENTA CATALOGO</t>
  </si>
  <si>
    <t>NO CUENTA CON INGRESOS FIJOS</t>
  </si>
  <si>
    <t>INTERESADA EN EL PROGRAMA DE VIVIENDA</t>
  </si>
  <si>
    <t xml:space="preserve">Oasis de paz, detras del colegio </t>
  </si>
  <si>
    <t>Rafael Antonio Castaño</t>
  </si>
  <si>
    <t>Rosa Elena Florez, pareja</t>
  </si>
  <si>
    <t>60,35,21</t>
  </si>
  <si>
    <t>Rafael trabaja en oficios varios ocasionalmente, su pareja Rosa es ama de casa y su hijo termino el bachillerato y esta trabajando en electricidad</t>
  </si>
  <si>
    <t>No, trabajos ocasionales</t>
  </si>
  <si>
    <t>Pareja con hijo de 21 años</t>
  </si>
  <si>
    <t>Portal de oriente, cerca donde ceci</t>
  </si>
  <si>
    <t>Luz Marina Velásquez</t>
  </si>
  <si>
    <t xml:space="preserve">Oscar Dario Velásquez, hermano </t>
  </si>
  <si>
    <t>83,59,24,3,2</t>
  </si>
  <si>
    <t>Luz Marina es ama de casa, su hija de 24 años trabaja vendiendo boletas</t>
  </si>
  <si>
    <t>Familiar</t>
  </si>
  <si>
    <t>Ocasionalmente la hija tiene ingresos</t>
  </si>
  <si>
    <t>Chica de 24 años, con dos hijos pequeños, sostiene a su madre Luz Marina ama de casa y abuelo de 83 años.</t>
  </si>
  <si>
    <t>Manantiales</t>
  </si>
  <si>
    <t>Olga Baron</t>
  </si>
  <si>
    <t>19,16,14,13,10,45</t>
  </si>
  <si>
    <t>Trabaja ocasionalmente en un asilo. No cuenta con terreno propio pero está en pro de la consecusión de uno</t>
  </si>
  <si>
    <t>Juliana mendeZ</t>
  </si>
  <si>
    <t>Guadalupe</t>
  </si>
  <si>
    <t>Maria Zoraida Ruiz Bedoya</t>
  </si>
  <si>
    <t>Cuñada llamada Marina</t>
  </si>
  <si>
    <t>85, 50, 40</t>
  </si>
  <si>
    <t>Trabaja en empresa</t>
  </si>
  <si>
    <t>Fijos en empresa sola para el hogar</t>
  </si>
  <si>
    <t xml:space="preserve">Victima de desplazamiento </t>
  </si>
  <si>
    <t>Juliana mendez</t>
  </si>
  <si>
    <t>Maria Alfonsina londoño Restrepo</t>
  </si>
  <si>
    <t>Los dos de ella</t>
  </si>
  <si>
    <t>17, 14, 63</t>
  </si>
  <si>
    <t>Recicladora</t>
  </si>
  <si>
    <t>Tiene compraventa del terreno, cerca al copetrol</t>
  </si>
  <si>
    <t xml:space="preserve">Juliana Mendez </t>
  </si>
  <si>
    <t>Calle nueva</t>
  </si>
  <si>
    <t>Gloria Amparo Marulanda Agudelo</t>
  </si>
  <si>
    <t>Ambos de ella</t>
  </si>
  <si>
    <t>52, 42, 14,13</t>
  </si>
  <si>
    <t xml:space="preserve">Operaria de confección </t>
  </si>
  <si>
    <t>800 al mes</t>
  </si>
  <si>
    <t xml:space="preserve">En proceso compra de terreno, ya se inició </t>
  </si>
  <si>
    <t xml:space="preserve">STEFANIA RINCÓN </t>
  </si>
  <si>
    <t xml:space="preserve">LA PAZ </t>
  </si>
  <si>
    <t xml:space="preserve">FABIO ANTONIO CAÑABERAL MOLINA </t>
  </si>
  <si>
    <t xml:space="preserve">3 MESES </t>
  </si>
  <si>
    <t xml:space="preserve">NIÑOS DE DEPORTE LA PAZ </t>
  </si>
  <si>
    <t xml:space="preserve">ADULTO MAYOR </t>
  </si>
  <si>
    <t xml:space="preserve">ADULTO MAYOR, CON PROBLEMA EN LA RODILLA, SIN TERRENO. SE LE QUEMO LA CASA EN 2010 BARRIO MANRIQUE ORIENTAL. </t>
  </si>
  <si>
    <t>Maria Elizabeth carillo Alarcon</t>
  </si>
  <si>
    <t>Hermana llamada Aide Carrillo</t>
  </si>
  <si>
    <t>32, 13, 56</t>
  </si>
  <si>
    <t>Si, ayuda de ambao para la nieta y a veces hace aseo</t>
  </si>
  <si>
    <t>La casa está sediendo</t>
  </si>
  <si>
    <t xml:space="preserve">MARCELA CANO </t>
  </si>
  <si>
    <t xml:space="preserve">LA TORRE , EL REVERSADERO </t>
  </si>
  <si>
    <t xml:space="preserve">CARMEN TULIA OSPINA PATIÑO </t>
  </si>
  <si>
    <t xml:space="preserve">DANIELA OSPINA </t>
  </si>
  <si>
    <t xml:space="preserve">PRESTADA </t>
  </si>
  <si>
    <t xml:space="preserve">PERSONA DESALOJADA HACE 6 AÑOS REGRESO AL BARRIO POR QUÉ NO LES DIERON MAS ARRIENDOS , SE ALIMENTA EN COMEDOR COMUNITARIO DEL BARRIO </t>
  </si>
  <si>
    <t>Rebresadero, torre 11 para arriba</t>
  </si>
  <si>
    <t>Blanca Nubia Jimenez Garcia</t>
  </si>
  <si>
    <t>Jose David allegado</t>
  </si>
  <si>
    <t>66, 67, 72, 10</t>
  </si>
  <si>
    <t>Arreglos de modisteria</t>
  </si>
  <si>
    <t xml:space="preserve">300 mas o menos, el rebusque </t>
  </si>
  <si>
    <t xml:space="preserve">BRISAS DE GUADALUPE </t>
  </si>
  <si>
    <t xml:space="preserve">LUIS ERNESTO GRANDE ESPINOZA </t>
  </si>
  <si>
    <t>65, 82</t>
  </si>
  <si>
    <t xml:space="preserve">AYUDA EN LA COMUNIDAD A BOTAR BASURA </t>
  </si>
  <si>
    <t xml:space="preserve">VIVE CON LA FAMILIA </t>
  </si>
  <si>
    <t xml:space="preserve">NINGUNO </t>
  </si>
  <si>
    <t xml:space="preserve">ADULTO MAYOR, VIVE DE ARRIMADO CON LA FAMILIA, PROBLEMAS DE SORDERA Y NO RECIBE NINGUNA AYUDA ECONÓMICA. </t>
  </si>
  <si>
    <t>JUAN CAMILO RODRÍGUEZ REYES</t>
  </si>
  <si>
    <t>MIRADOR PARTE BAJA</t>
  </si>
  <si>
    <t>MONICA SERNA AGUIRRE</t>
  </si>
  <si>
    <t>30, 18, 44</t>
  </si>
  <si>
    <t xml:space="preserve">INDEPENDIENTE </t>
  </si>
  <si>
    <t>Si.</t>
  </si>
  <si>
    <t>Hace 4 años había intentado empezar el proceso de vivienda, le dijeron que la llamaban pero no estaba inscrita.</t>
  </si>
  <si>
    <t>Juliana Mendez</t>
  </si>
  <si>
    <t>Esperanza morelos Wilches</t>
  </si>
  <si>
    <t xml:space="preserve">Telefono base de la hermana ya que ella no sabe ni tiene </t>
  </si>
  <si>
    <t>La señora no tiene teléfono entonces nos pegamos del teléfono de la hermana.</t>
  </si>
  <si>
    <t>JUAN CAMILO RODRIGUEZ REYES</t>
  </si>
  <si>
    <t>LA PAZ</t>
  </si>
  <si>
    <t>LILI JOHANA VELEZ</t>
  </si>
  <si>
    <t>67, 58, 17, 42</t>
  </si>
  <si>
    <t>AMA DE CASA</t>
  </si>
  <si>
    <t>NO</t>
  </si>
  <si>
    <t xml:space="preserve">MARCELA CANO OSPINA </t>
  </si>
  <si>
    <t xml:space="preserve">VENTANAL </t>
  </si>
  <si>
    <t xml:space="preserve">FRANCY ALEJANDRA ROJAS URREGO </t>
  </si>
  <si>
    <t xml:space="preserve">MARIANA CARVAJAL ROJAS </t>
  </si>
  <si>
    <t>41,24,19</t>
  </si>
  <si>
    <t xml:space="preserve">EMPLEADA DEPENDIENTE </t>
  </si>
  <si>
    <t>CAIDA</t>
  </si>
  <si>
    <t xml:space="preserve">PERDONA DESALOJADA POR VIVIENDA CON FILTRACIÓN DE AGUA, EN ESTE MOMENTO CAÍDA </t>
  </si>
  <si>
    <t>Sector 6, cancha de manantiales</t>
  </si>
  <si>
    <t>ANA LUCÍA CARBAJAL</t>
  </si>
  <si>
    <t>mas de 19 años</t>
  </si>
  <si>
    <t>5, 67</t>
  </si>
  <si>
    <t>Esta en un barranco</t>
  </si>
  <si>
    <t>Altos de Oriente II</t>
  </si>
  <si>
    <t>ADRIANA PATRICIA DURANGO</t>
  </si>
  <si>
    <t>7, 5,42, 31,8, 11, 6</t>
  </si>
  <si>
    <t>Terreno es donación de un hermano</t>
  </si>
  <si>
    <t>Altos de Oriente</t>
  </si>
  <si>
    <t>JHANY MALLERLY RUIZ</t>
  </si>
  <si>
    <t>67,15, 5 meses</t>
  </si>
  <si>
    <t>Empleada empresa de confecciones</t>
  </si>
  <si>
    <t>ELDA VANESSA CORTES</t>
  </si>
  <si>
    <t>53, 10</t>
  </si>
  <si>
    <t>Empleada de servicios generales</t>
  </si>
  <si>
    <t xml:space="preserve">STEFANÍA RINCON </t>
  </si>
  <si>
    <t>LOS COSECHEROS</t>
  </si>
  <si>
    <t>YARLIS TORRES MONTES</t>
  </si>
  <si>
    <t>2,4,9,34,29</t>
  </si>
  <si>
    <t xml:space="preserve">AMA DE CASA </t>
  </si>
  <si>
    <t xml:space="preserve">Derrumbó un Barranco junto a la casa y afectó sólo dejando 1 habitación en tablas. No trabajan y les tocó ir a vivir donde una vecina. No tienen ningún servicio público y se les dañó y mojo las cosas que tenían . </t>
  </si>
  <si>
    <t xml:space="preserve">Erika Coronado </t>
  </si>
  <si>
    <t xml:space="preserve">Diana Cristina Durango </t>
  </si>
  <si>
    <t xml:space="preserve">Méry sosa vecino </t>
  </si>
  <si>
    <t>10, 14, 86, 30</t>
  </si>
  <si>
    <t>Emmanuel Pérez Cañas</t>
  </si>
  <si>
    <t>Shara Vargas</t>
  </si>
  <si>
    <t>Yadilson Córdoba</t>
  </si>
  <si>
    <t>8 meses (perdió su hogar por derrumbe)</t>
  </si>
  <si>
    <t>10, 8, 6, 8, 5, 2, 45, 26, 24, 28</t>
  </si>
  <si>
    <t>Recolectora en chatarrería</t>
  </si>
  <si>
    <t>800 mensuales</t>
  </si>
  <si>
    <t>Altos de Oriente 1</t>
  </si>
  <si>
    <t>Fabio Enrique Sánchez Ramírez</t>
  </si>
  <si>
    <t>Madre (Olga Jaramillo)</t>
  </si>
  <si>
    <t>2 meses</t>
  </si>
  <si>
    <t>vive solo</t>
  </si>
  <si>
    <t>Obrero</t>
  </si>
  <si>
    <t>Prestada</t>
  </si>
  <si>
    <t>Un salario mínimo al mes</t>
  </si>
  <si>
    <t>Angelina Mora</t>
  </si>
  <si>
    <t>Nuera, mamá de los nietos</t>
  </si>
  <si>
    <t>9 (vive en casa de Techo)</t>
  </si>
  <si>
    <t>100 mil al mes</t>
  </si>
  <si>
    <t>Vive en una casa que Techo le hizo hace 9 años aprox.
Vive sola</t>
  </si>
  <si>
    <t>ALTOS  I</t>
  </si>
  <si>
    <t>LUZ AMPARO MORENO</t>
  </si>
  <si>
    <t>14,5,35, 38,65,34</t>
  </si>
  <si>
    <t>Familiar (de una hija)</t>
  </si>
  <si>
    <t>Uno de los integrantes de la familia es una persona en condición de discapacidad</t>
  </si>
  <si>
    <t>Ruben Darío Alzate</t>
  </si>
  <si>
    <t>Nuera, Yesenia GUZMAN</t>
  </si>
  <si>
    <t>32, 31, 11, 9, 2, 82, 27, 22, 6, 1, 18, 25, 60, 61</t>
  </si>
  <si>
    <t>Se encuentra desempleado por el momento y no quiere dar aproximados que se alejen de la realidad</t>
  </si>
  <si>
    <t>El interés del señor Darío es brindarle a una de sus hijas la vivienda para que viva con sus dos hijos una de 6 y otro de 1 año y medio, cuenta con terreno propio. En casa viven 12 aunque mencionó 14 edades</t>
  </si>
  <si>
    <t>carolina puerta</t>
  </si>
  <si>
    <t>las Flores</t>
  </si>
  <si>
    <t>Rubiela del carmen Guerra</t>
  </si>
  <si>
    <t>hija: camila lopez</t>
  </si>
  <si>
    <t>62, 68, 60, 42, 15</t>
  </si>
  <si>
    <t>telemercadeo, vende vitaminas</t>
  </si>
  <si>
    <t>ingresos variables: 500.000 a 800.000</t>
  </si>
  <si>
    <t>vive con la mama, padrastro, hija y esposo.</t>
  </si>
  <si>
    <t>Las Flores</t>
  </si>
  <si>
    <t>Nelson de Jesús Sepúlveda Sepúlveda</t>
  </si>
  <si>
    <t>Maria Rosa Sepulveda de Sepulveda, madre</t>
  </si>
  <si>
    <t>40, 80</t>
  </si>
  <si>
    <t>ama de casa (mamá) - no hace nada (enfermedad: hijo)</t>
  </si>
  <si>
    <t>Me contesto la madre, Maria Rosa que vive con él.</t>
  </si>
  <si>
    <t>Altos de oriente II</t>
  </si>
  <si>
    <t>CLAUDIA PATRICIA GONZALEZ</t>
  </si>
  <si>
    <t>Ama de casa/ Oficios varios</t>
  </si>
  <si>
    <t>La vivienda es de unos amigos, ella comparte con ellos</t>
  </si>
  <si>
    <t>Altos de oriente</t>
  </si>
  <si>
    <t>Estefany Paola Bedoya Agudelo</t>
  </si>
  <si>
    <t>ama de casa</t>
  </si>
  <si>
    <t>Su esposo tiene ingresos fijos de su trabajo como Auxiliar Logistico</t>
  </si>
  <si>
    <t>Altos 1</t>
  </si>
  <si>
    <t>MARIA AGUIRRE CASTRO</t>
  </si>
  <si>
    <t xml:space="preserve"> es de una hija de ella </t>
  </si>
  <si>
    <t>Sus hijos la ayudan a veces y ella es modista, aveces tiene ingresos por esos lados</t>
  </si>
  <si>
    <t>Flores</t>
  </si>
  <si>
    <t>Ernesto Guerra</t>
  </si>
  <si>
    <t>30 años</t>
  </si>
  <si>
    <t>Agricultor</t>
  </si>
  <si>
    <t>Está interesado en vivienda para su hijo, Andrés Guerra. Se solicita número de contacto del hijo</t>
  </si>
  <si>
    <t xml:space="preserve">Juan Diego González </t>
  </si>
  <si>
    <t>Silvia Patricia Mejías marqués</t>
  </si>
  <si>
    <t>Cuñada</t>
  </si>
  <si>
    <t>44,13,5</t>
  </si>
  <si>
    <t>Trabaja por días en oficios varios</t>
  </si>
  <si>
    <t>Mario Hernández Nossa</t>
  </si>
  <si>
    <t>LEIDY JOHANA MARTINEZ</t>
  </si>
  <si>
    <t xml:space="preserve">Papá del niño </t>
  </si>
  <si>
    <t>8, 11, 13, 30, 33</t>
  </si>
  <si>
    <t>Jesus blandon</t>
  </si>
  <si>
    <t>2,5,7,7,9,9,11,23,25,57,60</t>
  </si>
  <si>
    <t>trabajador</t>
  </si>
  <si>
    <t>Luz del Carmen Mosquera Marcando</t>
  </si>
  <si>
    <t>Juan de Dios</t>
  </si>
  <si>
    <t>Cosecheros por los rieles</t>
  </si>
  <si>
    <t>Flover David Castro Muñoz</t>
  </si>
  <si>
    <t>Hermana Rosalva</t>
  </si>
  <si>
    <t>19, 22, 20</t>
  </si>
  <si>
    <t>Trabaja en construcción</t>
  </si>
  <si>
    <t xml:space="preserve">Si. Un salario mínimo </t>
  </si>
  <si>
    <t>Vive 4</t>
  </si>
  <si>
    <t>Por dónde don Ramón</t>
  </si>
  <si>
    <t>Elda Yanet Higuita Usuga</t>
  </si>
  <si>
    <t>Nuera</t>
  </si>
  <si>
    <t>Artesana</t>
  </si>
  <si>
    <t>Es artesana y aún no sabemos bien sus edades</t>
  </si>
  <si>
    <t>Flores de Oriente</t>
  </si>
  <si>
    <t xml:space="preserve">Arnoldo de Jesus Duque </t>
  </si>
  <si>
    <t>Rosa, vecina</t>
  </si>
  <si>
    <t>Agricultor y su pareja vendedora de arepas</t>
  </si>
  <si>
    <t>Ocasionales</t>
  </si>
  <si>
    <t>El siete</t>
  </si>
  <si>
    <t>JOSE BERNARDO MONSALVE</t>
  </si>
  <si>
    <t>Adriana Monsalve, hija</t>
  </si>
  <si>
    <t>74,48,44,22,17</t>
  </si>
  <si>
    <t>No tiene ocupación</t>
  </si>
  <si>
    <t>No, su familia le ayuda</t>
  </si>
  <si>
    <t>El señor vivía en el campo y llego a la comunidad debido a que tiene una enfermedad y debe hacerse dialisis periódicamente, el llego a la casa de su hija, la hija Adriana vive con su pareja y sus dos hijas, el señor Jose vendió un lote en el campo y logro comprar un terreno en la comunidad pero no ha logrado construir, su sueño es tener su propia casa.</t>
  </si>
  <si>
    <t>KELLY JOHANA MOSQUERA</t>
  </si>
  <si>
    <t>Vecina</t>
  </si>
  <si>
    <t>28,10,7,40,11,47,48</t>
  </si>
  <si>
    <t>Auxiliar de enfermeria</t>
  </si>
  <si>
    <t>Vive en la vivienda de una amiga de la mama</t>
  </si>
  <si>
    <t>Kelly vive con dos dos hijas y su madre en la casa de una amiga de la mamá, trabaja como auxiliar de enfermería y necesita una vivienda para irse con sus hijas.</t>
  </si>
  <si>
    <t>Cindy rojas</t>
  </si>
  <si>
    <t xml:space="preserve">Blanca nieves rivera </t>
  </si>
  <si>
    <t>2años</t>
  </si>
  <si>
    <t>23,8,5,3,57</t>
  </si>
  <si>
    <t xml:space="preserve">Los hijos la soportan económicamente </t>
  </si>
  <si>
    <t>Debido a la discusión por una herencia la señora y su esposo fue desalojada de la vivie do donde se encontraba, han estado viviendo en las casa de sus familiares, el esposo enferma yfallece en marzo del actual año, en el momento vive con su sobrina y 3 niños menores, esta vivienda tiene daños que permiten inundaciones y filtraciones donde todos los artículos del hogar se deterioran y genera humedades .</t>
  </si>
  <si>
    <t xml:space="preserve">María eld martinez </t>
  </si>
  <si>
    <t>Reciclar, oficios varios</t>
  </si>
  <si>
    <t>El terreno es del hermano quien le dió vía libre para ha itar la vivienda, pero ya no se encuentra en un estado habitable así que vivir en Moravia en arriendo sola</t>
  </si>
  <si>
    <t>Laura Bourel 7429758 o 20AC16155</t>
  </si>
  <si>
    <t>William Valderama Sepuldera</t>
  </si>
  <si>
    <t>10 arrendado</t>
  </si>
  <si>
    <t>44, 22, 14</t>
  </si>
  <si>
    <t xml:space="preserve">Jardinería </t>
  </si>
  <si>
    <t xml:space="preserve">Si, no puede decir cuánto </t>
  </si>
  <si>
    <t xml:space="preserve">Fabio Ospina Bedoya </t>
  </si>
  <si>
    <t>54, 48</t>
  </si>
  <si>
    <t>Sí, pero pocos</t>
  </si>
  <si>
    <t xml:space="preserve">Luis Arciniegas </t>
  </si>
  <si>
    <t xml:space="preserve">El Reversadero </t>
  </si>
  <si>
    <t xml:space="preserve">Martha Alvarez Perez </t>
  </si>
  <si>
    <t>Hija Manuela Zapata</t>
  </si>
  <si>
    <t>62, 60, 17, 6meses</t>
  </si>
  <si>
    <t xml:space="preserve">Celular de la hija. Venden dos adultos una joven estudiante madre soltera con una bebe de 6 meses.
</t>
  </si>
  <si>
    <t>El cabildo/sector 3</t>
  </si>
  <si>
    <t>Darbis José perez</t>
  </si>
  <si>
    <t>47,36,12,06</t>
  </si>
  <si>
    <t xml:space="preserve">Oficio vario, construcion, comerciante </t>
  </si>
  <si>
    <t xml:space="preserve">No son fijos el señor labora independiente </t>
  </si>
  <si>
    <t xml:space="preserve">El señor tiene su terreno para no ha construido, habita una vivienda en arriendo en la comunidad </t>
  </si>
  <si>
    <t xml:space="preserve">María De Los Angeles Deluque Zapata </t>
  </si>
  <si>
    <t xml:space="preserve">Yeison Higuita </t>
  </si>
  <si>
    <t>23, 48</t>
  </si>
  <si>
    <t xml:space="preserve">Empresa de eventos </t>
  </si>
  <si>
    <t>Laura Bourel</t>
  </si>
  <si>
    <t>Maria Amilvia Juzuga Moreno</t>
  </si>
  <si>
    <t>Daniela, hija</t>
  </si>
  <si>
    <t xml:space="preserve">Huerta comunitaria </t>
  </si>
  <si>
    <t xml:space="preserve">Sector , los alticos , detrás el colegio gente unida </t>
  </si>
  <si>
    <t>6años</t>
  </si>
  <si>
    <t>17- 40- 36 años</t>
  </si>
  <si>
    <t>Mercaderista</t>
  </si>
  <si>
    <t>Si, el salario mínimo de la señora.</t>
  </si>
  <si>
    <t>Compra de terreno con testigos</t>
  </si>
  <si>
    <t>Viviana Muño Zuzuga</t>
  </si>
  <si>
    <t xml:space="preserve">Maria, mamá </t>
  </si>
  <si>
    <t>19, 22</t>
  </si>
  <si>
    <t xml:space="preserve">Prestando servicio en la policía </t>
  </si>
  <si>
    <t xml:space="preserve">La mamá tiene insuficiencia renal </t>
  </si>
  <si>
    <t>María Ramirez Guerra</t>
  </si>
  <si>
    <t>Luz Marina Arboleda Ramirez</t>
  </si>
  <si>
    <t>Vendedora ambulante de confites en el Centro</t>
  </si>
  <si>
    <t>Eventualmente 5000pesos al día</t>
  </si>
  <si>
    <t>Persona de tercera edad con problemas de salud. Bajos recursos.</t>
  </si>
  <si>
    <t xml:space="preserve">Johagen Muños </t>
  </si>
  <si>
    <t>16 años</t>
  </si>
  <si>
    <t xml:space="preserve">Vigilante </t>
  </si>
  <si>
    <t>El papá le dejo el hombre a su nombre, vivíslo</t>
  </si>
  <si>
    <t>Sector 4 el cabildo</t>
  </si>
  <si>
    <t>Blanca luz oquendo</t>
  </si>
  <si>
    <t>4años</t>
  </si>
  <si>
    <t xml:space="preserve">Eaboraartesanías </t>
  </si>
  <si>
    <t>Venta de artesanias</t>
  </si>
  <si>
    <t xml:space="preserve">El lote no hay construcción, arrienda en la zona </t>
  </si>
  <si>
    <t>4 arriba</t>
  </si>
  <si>
    <t xml:space="preserve">Jose Alberto Benítez </t>
  </si>
  <si>
    <t xml:space="preserve">El celular anterior es de doña Rocio </t>
  </si>
  <si>
    <t>Esta el lote pero vive en el sector 3</t>
  </si>
  <si>
    <t xml:space="preserve">Construcción independiente </t>
  </si>
  <si>
    <t xml:space="preserve">Temporal </t>
  </si>
  <si>
    <t xml:space="preserve">Yeferson Córdoba </t>
  </si>
  <si>
    <t>Zuleidy rentería/ hermana</t>
  </si>
  <si>
    <t>16 meses, 34 años, 55 años</t>
  </si>
  <si>
    <t>Construcción actualmente desempleado</t>
  </si>
  <si>
    <t xml:space="preserve">Sin ingresos, trabajo por días cuando le sale </t>
  </si>
  <si>
    <t>Sector 4 parte alta</t>
  </si>
  <si>
    <t>Ramiro Casiya</t>
  </si>
  <si>
    <t>Oleida monterrosa</t>
  </si>
  <si>
    <t>65 años, 56 años</t>
  </si>
  <si>
    <t xml:space="preserve">Atrabaja en alumbrado público </t>
  </si>
  <si>
    <t>Salario minimo</t>
  </si>
  <si>
    <t xml:space="preserve">Solo trabaja el señor, </t>
  </si>
  <si>
    <t xml:space="preserve">Jose Alvarado Arteaga </t>
  </si>
  <si>
    <t>33, 33, 17, 15, 8, 22</t>
  </si>
  <si>
    <t xml:space="preserve">Esporádico </t>
  </si>
  <si>
    <t xml:space="preserve">Lina Marcela Arango Gutierrez </t>
  </si>
  <si>
    <t>Irabeli</t>
  </si>
  <si>
    <t>33, 17, 15, 10, 1</t>
  </si>
  <si>
    <t xml:space="preserve">Confecciones </t>
  </si>
  <si>
    <t xml:space="preserve">Prioridad para encuesta </t>
  </si>
  <si>
    <t>Luz Margarita Oquendo David</t>
  </si>
  <si>
    <t>Diana Suarez Oquendo</t>
  </si>
  <si>
    <t>12, 10, 48</t>
  </si>
  <si>
    <t>800mil mensual</t>
  </si>
  <si>
    <t>Familia numerosa con menores de edad</t>
  </si>
  <si>
    <t>Brenda Mildreth Maca Peña</t>
  </si>
  <si>
    <t xml:space="preserve">Prima, Esmeralda </t>
  </si>
  <si>
    <t>0, vive sola</t>
  </si>
  <si>
    <t>Líder comunitaria</t>
  </si>
  <si>
    <t>1.000.000 o menos al mes</t>
  </si>
  <si>
    <t>Vive sola</t>
  </si>
  <si>
    <t>Tatiana María Hernandez Quintero</t>
  </si>
  <si>
    <t>Esposo (Luis Alberto VARGAS vILLAS)</t>
  </si>
  <si>
    <t>8 meses</t>
  </si>
  <si>
    <t>35, 11, 9</t>
  </si>
  <si>
    <t>1'160'000 al mes</t>
  </si>
  <si>
    <t>Flores de oriente</t>
  </si>
  <si>
    <t>Andrés Felipe Guerra Blandón</t>
  </si>
  <si>
    <t>Estudiante universitario, agricultor</t>
  </si>
  <si>
    <t>Padres</t>
  </si>
  <si>
    <t xml:space="preserve">Los ingresos son relativos, dependen de los días en los que tenga empleo </t>
  </si>
  <si>
    <t>Ana Tobar</t>
  </si>
  <si>
    <t>Julian mauricio villada zapata</t>
  </si>
  <si>
    <t>Yuliana ospina</t>
  </si>
  <si>
    <t>38, 38, 11, 9</t>
  </si>
  <si>
    <t xml:space="preserve">Mecánico </t>
  </si>
  <si>
    <t xml:space="preserve">Juan David Ríos González </t>
  </si>
  <si>
    <t xml:space="preserve">Maria Patricia Morales hoyos </t>
  </si>
  <si>
    <t>Valentina Baltazar (hija)</t>
  </si>
  <si>
    <t>43,19,22,16,14,13,2,2</t>
  </si>
  <si>
    <t xml:space="preserve">Auxiliar de cocina, repostería </t>
  </si>
  <si>
    <t xml:space="preserve">Julieth Orozco </t>
  </si>
  <si>
    <t>La hondita</t>
  </si>
  <si>
    <t xml:space="preserve">Nubia Stella Medina Garzón </t>
  </si>
  <si>
    <t>2,5,11,16,13,29,54,63</t>
  </si>
  <si>
    <t xml:space="preserve">Santiago Álvarez Pasos </t>
  </si>
  <si>
    <t>La cruz</t>
  </si>
  <si>
    <t>Santiago Vélez</t>
  </si>
  <si>
    <t>Pareja</t>
  </si>
  <si>
    <t>54, 21, 17, 18, 3,3,1, 23</t>
  </si>
  <si>
    <t xml:space="preserve">Pintor </t>
  </si>
  <si>
    <t>Smlv</t>
  </si>
  <si>
    <t xml:space="preserve">Vive en el sector de la cruz. </t>
  </si>
  <si>
    <t xml:space="preserve">Luisa López </t>
  </si>
  <si>
    <t>Omaira Torres</t>
  </si>
  <si>
    <t>18, 16, 14</t>
  </si>
  <si>
    <t>Taller de confecciones</t>
  </si>
  <si>
    <t>No, variables</t>
  </si>
  <si>
    <t xml:space="preserve">No hay terreno tan amplio, dice que puede ampliar </t>
  </si>
  <si>
    <t>Yenifer rios</t>
  </si>
  <si>
    <t xml:space="preserve">Ariel Giovanny Usuga </t>
  </si>
  <si>
    <t xml:space="preserve">Compañera sentimental Sindy Johana Montoya </t>
  </si>
  <si>
    <t>16,4,43,26</t>
  </si>
  <si>
    <t xml:space="preserve">Vendedor ambulante </t>
  </si>
  <si>
    <t xml:space="preserve">Ana María Tobar </t>
  </si>
  <si>
    <t>John faber</t>
  </si>
  <si>
    <t>Amigo esteban</t>
  </si>
  <si>
    <t>2, 18, 23, 70, 60</t>
  </si>
  <si>
    <t>Aylen Barrios</t>
  </si>
  <si>
    <t>Dioselina Meneses</t>
  </si>
  <si>
    <t>Haciendo Aseos en viviendas y lavando ropa</t>
  </si>
  <si>
    <t>Se apoya de mercados que dan en el salón comunal cada 20 días, no es trabajo fijo, se le está cayendo el suelo.</t>
  </si>
  <si>
    <t xml:space="preserve">Emmanuel Pérez Cañas </t>
  </si>
  <si>
    <t>Altos de Oriente 2</t>
  </si>
  <si>
    <t xml:space="preserve">Claudia Elena Duque Mejía </t>
  </si>
  <si>
    <t>Carmenza Duque (HERMANA)</t>
  </si>
  <si>
    <t xml:space="preserve">17 años </t>
  </si>
  <si>
    <t>58, 56</t>
  </si>
  <si>
    <t>Ama de casa (se beneficia por ayudas de la familia y ella les hace encomiendas)</t>
  </si>
  <si>
    <t>40 mil pesos fijos al mes para el servicio del agua y comida</t>
  </si>
  <si>
    <t>La señora Claudia va a tener tratamientos para su columna como bloqueos y demás a causa de dolores crónicos, su esposo ha sido atropellado dos veces mientras vendía periódico y no tiene buena salud.</t>
  </si>
  <si>
    <t>Las flores</t>
  </si>
  <si>
    <t>José Roque Molina miranda</t>
  </si>
  <si>
    <t>Angela Maria, Amiga, representante del sr.</t>
  </si>
  <si>
    <t>No, solamente aveces gana dinero reciclando o familiaries lo apoyan.</t>
  </si>
  <si>
    <t>Señor recientemente accidentado, en pronta recuperación y vive solo.</t>
  </si>
  <si>
    <t>4 parte alta  cabildo</t>
  </si>
  <si>
    <t>Berlianda Herrera</t>
  </si>
  <si>
    <t>42, 42</t>
  </si>
  <si>
    <t>Terreno propio, pero está pendiente de los papeles, paga arriendo en el sector 4</t>
  </si>
  <si>
    <t xml:space="preserve">Sector 3 parte baja </t>
  </si>
  <si>
    <t>Diana Patricia Sepulveda Rojas</t>
  </si>
  <si>
    <t>6 meses</t>
  </si>
  <si>
    <t>17,17,11,50,42</t>
  </si>
  <si>
    <t xml:space="preserve">Subsidio de familias en acción </t>
  </si>
  <si>
    <t xml:space="preserve">Reubicaron la vivienda y ya dejaron de ayudarle con el pago de arriendo </t>
  </si>
  <si>
    <t xml:space="preserve">Palmitas </t>
  </si>
  <si>
    <t xml:space="preserve">Humberto Antonio rojas </t>
  </si>
  <si>
    <t>Justina Villegas (mamá)</t>
  </si>
  <si>
    <t>25,16,14,53</t>
  </si>
  <si>
    <t>Independiente (manejar carro cuando le resulta)</t>
  </si>
  <si>
    <t xml:space="preserve">La vivienda está muy deteriorada y se inunda es de madera </t>
  </si>
  <si>
    <t>Altos de oriente 1</t>
  </si>
  <si>
    <t>Edgar Manuel Tapia Estrada</t>
  </si>
  <si>
    <t>Practicante de técnica de auxiliar contable</t>
  </si>
  <si>
    <t>Si tiene auxilio</t>
  </si>
  <si>
    <t xml:space="preserve">Cerca de la iglesia amarilla
</t>
  </si>
  <si>
    <t xml:space="preserve">Valentina Posada </t>
  </si>
  <si>
    <t>Viany Janit Tapias Serrano</t>
  </si>
  <si>
    <t>33, 5, 9, 11, 15</t>
  </si>
  <si>
    <t>Aseo en casa de familias ocasionalmente y hace alimentos para vender</t>
  </si>
  <si>
    <t xml:space="preserve">Ocasionales </t>
  </si>
  <si>
    <t>Adriana del Socorro Londoño Martinez</t>
  </si>
  <si>
    <t>Vainney, Esposo</t>
  </si>
  <si>
    <t>40, 55</t>
  </si>
  <si>
    <t>Interna ocasional haciendo aseo y cuidando un señor, el esposo ocasionalmente trabaja en un taller de motos</t>
  </si>
  <si>
    <t xml:space="preserve">Pagan arriendo ocasional y apoya cuidando la señora de la casa, limpiando, haciendo manteniemiento. </t>
  </si>
  <si>
    <t>Cerca a la tienda de don Alberto y la tienda de doña Marina</t>
  </si>
  <si>
    <t xml:space="preserve">Natalia Mejía Bedoya </t>
  </si>
  <si>
    <t>Alto 1</t>
  </si>
  <si>
    <t>Gustavo Antonio Velasquez Espinoza</t>
  </si>
  <si>
    <t xml:space="preserve">Independiente - productos naturales </t>
  </si>
  <si>
    <t>500.000 a 600.000</t>
  </si>
  <si>
    <t>Maria Ester Chanci</t>
  </si>
  <si>
    <t>Trabaja 2 veces el mes haciendo aseo</t>
  </si>
  <si>
    <t>Familiar, es de la mamá, ella tiene su casa en caicedo</t>
  </si>
  <si>
    <t>Vive por la marranera, su madre esta en la casa de caicedo</t>
  </si>
  <si>
    <t>Manantiales de paz</t>
  </si>
  <si>
    <t>Uriel Ocampo Carmona</t>
  </si>
  <si>
    <t>Monica, Líder</t>
  </si>
  <si>
    <t>43, 36, 10</t>
  </si>
  <si>
    <t>Uriel trabaja en oficios varios ocasionalmente, su esposa es ama de casa</t>
  </si>
  <si>
    <t>Fueron victimas del incendio, Uriel esta en recuperación luego de quemarse</t>
  </si>
  <si>
    <t xml:space="preserve">Portal de oriente </t>
  </si>
  <si>
    <t xml:space="preserve">Maria Estella Restrepo Ospina </t>
  </si>
  <si>
    <t>Mauricio, hijo</t>
  </si>
  <si>
    <t>20, 22, 32, 65</t>
  </si>
  <si>
    <t xml:space="preserve">Es para el hijo. Ella ya fue beneficiada de vivienda </t>
  </si>
  <si>
    <t xml:space="preserve">Daniela Zapata Arroyave </t>
  </si>
  <si>
    <t>Entrada a altos de oriente por la y, tienda san miguel</t>
  </si>
  <si>
    <t>Eliana yulieth berrio valderrama</t>
  </si>
  <si>
    <t xml:space="preserve">Gloria estella mamá </t>
  </si>
  <si>
    <t>28 años</t>
  </si>
  <si>
    <t>3 meses</t>
  </si>
  <si>
    <t>1, 4, 28, 26</t>
  </si>
  <si>
    <t>El terreno es del papa</t>
  </si>
  <si>
    <t xml:space="preserve">Katherine Benincore </t>
  </si>
  <si>
    <t>Alba Rosa Moreno</t>
  </si>
  <si>
    <t>Propio</t>
  </si>
  <si>
    <t>61, 35</t>
  </si>
  <si>
    <t>No, ingresos variables, ocasionales</t>
  </si>
  <si>
    <t>Altos1 el hueco</t>
  </si>
  <si>
    <t xml:space="preserve">Cervelina Obregón </t>
  </si>
  <si>
    <t xml:space="preserve">Héctor Herrera </t>
  </si>
  <si>
    <t>61, 48, 9, 10</t>
  </si>
  <si>
    <t>Conductor informal y ama de casa</t>
  </si>
  <si>
    <t xml:space="preserve">Del día a día </t>
  </si>
  <si>
    <t>Estan pagando el terreno, tienen papeles pero no han construido, piso en tierra y paredes en tabla y laminas</t>
  </si>
  <si>
    <t xml:space="preserve">Luis Eduardo Medina </t>
  </si>
  <si>
    <t>Olga Patricia, arrendataria</t>
  </si>
  <si>
    <t xml:space="preserve">No puede trabajar por rodilla y osteoporosis </t>
  </si>
  <si>
    <t xml:space="preserve">No, de vez en cuando cuando le dan trabajo </t>
  </si>
  <si>
    <t>Luis Eduardo Rodriguez Arias</t>
  </si>
  <si>
    <t>Altos 1, La tienda de Saul, sector La Marranera</t>
  </si>
  <si>
    <t>Yurleida Palacios Valencia</t>
  </si>
  <si>
    <t>1 año, arrendada</t>
  </si>
  <si>
    <t>8,5,3,29,37</t>
  </si>
  <si>
    <t>Ama de Casa</t>
  </si>
  <si>
    <t xml:space="preserve">Si, del esposo </t>
  </si>
  <si>
    <t>La beneficiaria comenta que el lote es apto para una vivienda de Techo</t>
  </si>
  <si>
    <t>Paulina Arango Aguilar</t>
  </si>
  <si>
    <t>Luz Eneida Graciano Cardenas</t>
  </si>
  <si>
    <t>Jesús Alberto Mora (vecino)</t>
  </si>
  <si>
    <t>19, 14, 4, 35</t>
  </si>
  <si>
    <t>Oficios varios, aseo</t>
  </si>
  <si>
    <t>No, trabaja en aseo de viviendas pero por días, en promedio 2 o 3 veces a la semana.</t>
  </si>
  <si>
    <t xml:space="preserve">Amilcar Ruiz Machado </t>
  </si>
  <si>
    <t xml:space="preserve">Marla Aponte Martín, esposa </t>
  </si>
  <si>
    <t>7 meses</t>
  </si>
  <si>
    <t>10,13,36,38</t>
  </si>
  <si>
    <t>Fijos</t>
  </si>
  <si>
    <t xml:space="preserve">El terreno en la marranera está en proceso de adquisición </t>
  </si>
  <si>
    <t>La Marranera</t>
  </si>
  <si>
    <t>Jose Luis Jaramillo</t>
  </si>
  <si>
    <t>Un mes</t>
  </si>
  <si>
    <t>56, 60</t>
  </si>
  <si>
    <t>Zapatero</t>
  </si>
  <si>
    <t>Actualmente no tiene donde vivir y están viviendo de arrimados</t>
  </si>
  <si>
    <t xml:space="preserve">La Nueva Jerusalén </t>
  </si>
  <si>
    <t>Angelica Grajales</t>
  </si>
  <si>
    <t>Hermana olga</t>
  </si>
  <si>
    <t>44, 9 años</t>
  </si>
  <si>
    <t>Trabaja en casas de familia</t>
  </si>
  <si>
    <t>Verificar el terreno para ver si alcanza.</t>
  </si>
  <si>
    <t xml:space="preserve">Santiago Vélez </t>
  </si>
  <si>
    <t>Magnolia Suárez zapata</t>
  </si>
  <si>
    <t xml:space="preserve">Tiene vivienda propia y en la parte del terreno donde quiere nadie lo está habitando </t>
  </si>
  <si>
    <t>Altos de oriente 1 cerca al plan de la marra era tanque de agua</t>
  </si>
  <si>
    <t>Alex Guiomara Castaño</t>
  </si>
  <si>
    <t>23, 4</t>
  </si>
  <si>
    <t>Trabajar como vendedora</t>
  </si>
  <si>
    <t>Katherine Benincore</t>
  </si>
  <si>
    <t>Luz Marina Taborda</t>
  </si>
  <si>
    <t>51, 22</t>
  </si>
  <si>
    <t>Sector 7</t>
  </si>
  <si>
    <t>Luz dary cataño lujan</t>
  </si>
  <si>
    <t>Camilo</t>
  </si>
  <si>
    <t>Mas de 20 años</t>
  </si>
  <si>
    <t>57,19 y 19</t>
  </si>
  <si>
    <t>Ama de casa independiente</t>
  </si>
  <si>
    <t>Si, del hijo</t>
  </si>
  <si>
    <t>Madre cabeza de hogar con vivienda propia en tabla</t>
  </si>
  <si>
    <t xml:space="preserve">Altos de Oriente 1 </t>
  </si>
  <si>
    <t>Alejandro Taborda Alvarez</t>
  </si>
  <si>
    <t>Sergio Taborda (hermano)</t>
  </si>
  <si>
    <t>27, 56</t>
  </si>
  <si>
    <t xml:space="preserve">Técnico en Cocina, Estudiante de tecnología servicios gastrónomicos, </t>
  </si>
  <si>
    <t>Jacqueline Ramirez</t>
  </si>
  <si>
    <t>El Pinar, más arriba de la entrada a Manantialesss, subiendo por la panadería</t>
  </si>
  <si>
    <t>Flor María Vidal</t>
  </si>
  <si>
    <t>38 años, 5 años y 17 meses</t>
  </si>
  <si>
    <t>No, tiene el lote sin construir y se encuentra en El Pinar</t>
  </si>
  <si>
    <t xml:space="preserve">Cosecheros. Camino a la torre </t>
  </si>
  <si>
    <t xml:space="preserve">María Isabel Arango Valencia </t>
  </si>
  <si>
    <t xml:space="preserve">No hay otro contacto </t>
  </si>
  <si>
    <t xml:space="preserve">No tiene ocupación. Lo que le colaboren los vecinos </t>
  </si>
  <si>
    <t xml:space="preserve">No tiene. Solo un subsidio del gobierno de 80 mil pesos y lo que le ayuden los vecinos </t>
  </si>
  <si>
    <t xml:space="preserve">La casa número tres junto al poste de luz arriba del colegio universidad de bello. </t>
  </si>
  <si>
    <t xml:space="preserve">La cancha. Junto a la vivienda de María Ester </t>
  </si>
  <si>
    <t xml:space="preserve">Valentina zurique Sáenz </t>
  </si>
  <si>
    <t xml:space="preserve">Mamá. Georgina Sáenz </t>
  </si>
  <si>
    <t xml:space="preserve">23, 5, bebé sin nacer aún </t>
  </si>
  <si>
    <t>Auxiliar administrativa. Andes BP</t>
  </si>
  <si>
    <t xml:space="preserve">No tiene vivienda en el terreno pero el espacio es propio </t>
  </si>
  <si>
    <t>La vivienda la.necesita para vivir con sus hijas , ya que vive con su mamá y quisiera su espacio independiente.</t>
  </si>
  <si>
    <t>Manantiales de Paz</t>
  </si>
  <si>
    <t>Blanca Doris Taborda Gonzalez</t>
  </si>
  <si>
    <t>Hugo Osorio, Pareja</t>
  </si>
  <si>
    <t>59,59,23</t>
  </si>
  <si>
    <t>Ama de casa, Oficios varios el señor, Hija auxilair de enfermeria buscando trabajo</t>
  </si>
  <si>
    <t>Es familiar pero paga arriendo</t>
  </si>
  <si>
    <t>.</t>
  </si>
  <si>
    <t>El terreno esta en Flores de Oriente.</t>
  </si>
  <si>
    <t>Carlos Alberto Borja Valle</t>
  </si>
  <si>
    <t>Marta Vallejo, Vecina</t>
  </si>
  <si>
    <t>55, 59, 18</t>
  </si>
  <si>
    <t>Por la ferretería de Junior</t>
  </si>
  <si>
    <t xml:space="preserve">Pinar </t>
  </si>
  <si>
    <t>Maria Consuelo Sepúlveda Sepúlveda</t>
  </si>
  <si>
    <t>Na</t>
  </si>
  <si>
    <t>1, 5, 15, 17, 22, 50</t>
  </si>
  <si>
    <t>Señora ama de casa, la hija trabaja en restaurantes, nietos estudiando</t>
  </si>
  <si>
    <t>Tiene el terreno en Altos</t>
  </si>
  <si>
    <t xml:space="preserve">El Pinar </t>
  </si>
  <si>
    <t>Manuel Alejandro Rodriguez Hernandez</t>
  </si>
  <si>
    <t>4 mese</t>
  </si>
  <si>
    <t>2, 5, 31, 22</t>
  </si>
  <si>
    <t>El señor trabaja en un taller de muebles, ella es ama de casa y los niños estan sin estudiar</t>
  </si>
  <si>
    <t xml:space="preserve">Si semanales </t>
  </si>
  <si>
    <t>Cerca a la cancha</t>
  </si>
  <si>
    <t>Altos de oriente 2</t>
  </si>
  <si>
    <t>Jairo Andres Sanchez</t>
  </si>
  <si>
    <t>Luisa, Pareja</t>
  </si>
  <si>
    <t>10, 29, 32</t>
  </si>
  <si>
    <t>El señor trabaja independiente con vidrio, la señora trabaja independiente vendiendo ropa y el hijo estudia</t>
  </si>
  <si>
    <t xml:space="preserve">3122999632 Flor Angela Tobón, por la iglesia amarilla. </t>
  </si>
  <si>
    <t xml:space="preserve">Santiago Quintero </t>
  </si>
  <si>
    <t xml:space="preserve">Luis Octavia Quiroz Rodriguez </t>
  </si>
  <si>
    <t xml:space="preserve">María cuñada </t>
  </si>
  <si>
    <t>26, 26</t>
  </si>
  <si>
    <t xml:space="preserve">No comenta </t>
  </si>
  <si>
    <t xml:space="preserve">Sin comentario </t>
  </si>
  <si>
    <t>Luisa Agudelo yepes</t>
  </si>
  <si>
    <t xml:space="preserve">Altos de oriente, sector 1 en punto élite </t>
  </si>
  <si>
    <t xml:space="preserve">Katia Marcela posada vasquez </t>
  </si>
  <si>
    <t xml:space="preserve">María palacios, amiga </t>
  </si>
  <si>
    <t>5 meses</t>
  </si>
  <si>
    <t>Ama de hogar y el esposo es vendedor ambulante</t>
  </si>
  <si>
    <t>Vive en casa arrendada pero tiene un terreno en granizal</t>
  </si>
  <si>
    <t xml:space="preserve">Las marraneras </t>
  </si>
  <si>
    <t xml:space="preserve">María Ángela correa Jaramillo </t>
  </si>
  <si>
    <t>22 años</t>
  </si>
  <si>
    <t>16,14,22,24,38</t>
  </si>
  <si>
    <t xml:space="preserve">Cesante </t>
  </si>
  <si>
    <t xml:space="preserve">Cindy rojas </t>
  </si>
  <si>
    <t>Altos de oriente sector 2</t>
  </si>
  <si>
    <t>Erika Paola seguro xapata</t>
  </si>
  <si>
    <t xml:space="preserve">18,24 embarazo </t>
  </si>
  <si>
    <t>Amada casa</t>
  </si>
  <si>
    <t xml:space="preserve">Juan Esteban Arango Cardona </t>
  </si>
  <si>
    <t xml:space="preserve">Arriba de torre 11, cerca de la iglesia católica </t>
  </si>
  <si>
    <t xml:space="preserve">Leidy montes </t>
  </si>
  <si>
    <t xml:space="preserve">Julián </t>
  </si>
  <si>
    <t>27, 12, 1, 42</t>
  </si>
  <si>
    <t xml:space="preserve">Manicurista </t>
  </si>
  <si>
    <t xml:space="preserve">De la ex pareja </t>
  </si>
  <si>
    <t xml:space="preserve">No, depende de los cliente </t>
  </si>
  <si>
    <t xml:space="preserve">Se está separando de la pareja y busca un sitio donde vivir con los hijos </t>
  </si>
  <si>
    <t>Llegando a la escuela, subiendo hacia torre 11 (Cerca a la tienda de Juan)</t>
  </si>
  <si>
    <t xml:space="preserve">Sara Daniela Orrego </t>
  </si>
  <si>
    <t xml:space="preserve">Sebastian Ortiz </t>
  </si>
  <si>
    <t>1, 3, 28, 22</t>
  </si>
  <si>
    <t xml:space="preserve">No, trabaja en taxi cada que lo llaman </t>
  </si>
  <si>
    <t xml:space="preserve">La vivienda presenta inundaciones y goteras </t>
  </si>
  <si>
    <t xml:space="preserve">Rosa Carrillo </t>
  </si>
  <si>
    <t xml:space="preserve">José Jaramillo </t>
  </si>
  <si>
    <t>3153470824; 3226427696</t>
  </si>
  <si>
    <t>51, 48, 13</t>
  </si>
  <si>
    <t xml:space="preserve">La vivienda se encuentra en muy mal estado con el techo malo, la familia está quedándose en otra vivienda </t>
  </si>
  <si>
    <t xml:space="preserve">Jacqueline Ramírez </t>
  </si>
  <si>
    <t>La dos torres</t>
  </si>
  <si>
    <t xml:space="preserve">Oscar de la Rosa </t>
  </si>
  <si>
    <t>Sara Patricia esposa</t>
  </si>
  <si>
    <t>42,36 y 15</t>
  </si>
  <si>
    <t>3000000 mensuales</t>
  </si>
  <si>
    <t xml:space="preserve">Adriana María Rincón Gómez </t>
  </si>
  <si>
    <t xml:space="preserve">Hija Katherine </t>
  </si>
  <si>
    <t>43, 36</t>
  </si>
  <si>
    <t xml:space="preserve">Trabajadora limpieza </t>
  </si>
  <si>
    <t>Gana 60 mil diarios por días de aseo. puede variar en el mes</t>
  </si>
  <si>
    <t>La casa está en muy mal estado</t>
  </si>
  <si>
    <t>Los rieles (Cerca tienda el cocorneño)</t>
  </si>
  <si>
    <t xml:space="preserve">Vianney Berna Sánchez </t>
  </si>
  <si>
    <t xml:space="preserve">Yulieth Berna </t>
  </si>
  <si>
    <t>48, 47, 22, 20, 16, 8</t>
  </si>
  <si>
    <t>Sin trabajo (Ayudante de construcción)</t>
  </si>
  <si>
    <t xml:space="preserve">La vivienda actual tiene un techo deficiente y es de bareque </t>
  </si>
  <si>
    <t>Sully Martínez Caicedo</t>
  </si>
  <si>
    <t>41, 40, 17, 12, 11, 4.</t>
  </si>
  <si>
    <t>Ella es ama de casa, apoya una fundación, la pareja trabaja como independiente</t>
  </si>
  <si>
    <t xml:space="preserve">Su familia fue victima de un deslizamiento. </t>
  </si>
  <si>
    <t xml:space="preserve">Carolina Puerta </t>
  </si>
  <si>
    <t xml:space="preserve">El portal de oriente </t>
  </si>
  <si>
    <t xml:space="preserve">Doris Baena </t>
  </si>
  <si>
    <t>Trabajo en casa, varios</t>
  </si>
  <si>
    <t xml:space="preserve">Vive en un lugar diferente al terreno </t>
  </si>
  <si>
    <t>Manantiales, sector 5</t>
  </si>
  <si>
    <t>Nancy Isabel Padilla</t>
  </si>
  <si>
    <t>Joaquín Sánchez, esposo</t>
  </si>
  <si>
    <t>44, 45</t>
  </si>
  <si>
    <t xml:space="preserve">Empaques de ropa </t>
  </si>
  <si>
    <t xml:space="preserve">Familiar </t>
  </si>
  <si>
    <t xml:space="preserve">Me responde la encuesta el esposo. </t>
  </si>
  <si>
    <t>Las Flores, por calle larga, entrada por la marranera.</t>
  </si>
  <si>
    <t xml:space="preserve">Gonzalo de Jesús Gaviria </t>
  </si>
  <si>
    <t>Edilma Duque, vecina</t>
  </si>
  <si>
    <t>4 meses</t>
  </si>
  <si>
    <t xml:space="preserve">Vive de adulto mayor </t>
  </si>
  <si>
    <t xml:space="preserve">El señor, vive en las flores. Vive solo. </t>
  </si>
  <si>
    <t xml:space="preserve">Las flores </t>
  </si>
  <si>
    <t xml:space="preserve">Gilma Ester Duque </t>
  </si>
  <si>
    <t>66, 13,11,8.</t>
  </si>
  <si>
    <t>Ama de casa.</t>
  </si>
  <si>
    <t xml:space="preserve">Vive sola con tres menores edad. </t>
  </si>
  <si>
    <t>Elva María Aguirre Usuga</t>
  </si>
  <si>
    <t xml:space="preserve">Gilma Duque, vecina </t>
  </si>
  <si>
    <t>57, 20</t>
  </si>
  <si>
    <t xml:space="preserve">Vive con la hija. </t>
  </si>
  <si>
    <t xml:space="preserve">Altos de oriente 2 </t>
  </si>
  <si>
    <t>Nancy Aurora Correa</t>
  </si>
  <si>
    <t>Jorge Arango, esposo</t>
  </si>
  <si>
    <t>51,55,22,11,6 meses ( mellizos)</t>
  </si>
  <si>
    <t>Taller de confección.</t>
  </si>
  <si>
    <t>Viven la pajera con dos hijas y unos mellizos</t>
  </si>
  <si>
    <t xml:space="preserve">Diana Navarro </t>
  </si>
  <si>
    <t xml:space="preserve">El Pinal </t>
  </si>
  <si>
    <t>Nelson José Muñoz Manrique</t>
  </si>
  <si>
    <t>Lucila Manrique</t>
  </si>
  <si>
    <t>60, 23,59</t>
  </si>
  <si>
    <t>Jornalero</t>
  </si>
  <si>
    <t>Manantiales, sector 6</t>
  </si>
  <si>
    <t>Maria Inelda Moreno Machado</t>
  </si>
  <si>
    <t>Hernán Darío, esposo</t>
  </si>
  <si>
    <t>Ganan el mínimo el esposo.</t>
  </si>
  <si>
    <t xml:space="preserve">Maria Isabel Ospina </t>
  </si>
  <si>
    <t>Operaria</t>
  </si>
  <si>
    <t>1000000(Mínimo)</t>
  </si>
  <si>
    <t>Tiene un terreno pero no lo habita, duerme en otro lado.</t>
  </si>
  <si>
    <t xml:space="preserve">Marta Liliana Ramírez Sánchez </t>
  </si>
  <si>
    <t>Nelson Zuluaga, compañero</t>
  </si>
  <si>
    <t>35,41,12</t>
  </si>
  <si>
    <t>Altos de Oriente, 2 o 3 por la iglesia Amarilla</t>
  </si>
  <si>
    <t>Benilda Mena Santos</t>
  </si>
  <si>
    <t xml:space="preserve">Daniel Giraldo, tío </t>
  </si>
  <si>
    <t>4 años en la vivienda en dónde vive.</t>
  </si>
  <si>
    <t>34, 15, 12, 33</t>
  </si>
  <si>
    <t xml:space="preserve">Auxiliar servicios generales </t>
  </si>
  <si>
    <t>El lote lo tiene sin vivienda</t>
  </si>
  <si>
    <t xml:space="preserve">María Alejandra Ramirez </t>
  </si>
  <si>
    <t xml:space="preserve">Paola suegra </t>
  </si>
  <si>
    <t>5 meses, 22, 24</t>
  </si>
  <si>
    <t xml:space="preserve">Operaria de Producción </t>
  </si>
  <si>
    <t>Adriana Gonzalez</t>
  </si>
  <si>
    <t xml:space="preserve"> Sergio, pareja</t>
  </si>
  <si>
    <t>0.2</t>
  </si>
  <si>
    <t>10, 8, 5, 30, 28</t>
  </si>
  <si>
    <t>Brisas de jerusalen</t>
  </si>
  <si>
    <t>Yonis Vanegas Perez</t>
  </si>
  <si>
    <t>Martha Perez</t>
  </si>
  <si>
    <t>10,15,34,37,56</t>
  </si>
  <si>
    <t>Vigilante</t>
  </si>
  <si>
    <t>Si, una persona para todo el hogar</t>
  </si>
  <si>
    <t xml:space="preserve">Se tiene asinamiento, tablas, tiene infiltraciones </t>
  </si>
  <si>
    <t xml:space="preserve">Las caballerizas </t>
  </si>
  <si>
    <t>Sandra Eugenia Callejas Acevedo</t>
  </si>
  <si>
    <t>Otro de ella</t>
  </si>
  <si>
    <t>9, 11,17, 37</t>
  </si>
  <si>
    <t>Por días en casas</t>
  </si>
  <si>
    <t>No, 20 semanal</t>
  </si>
  <si>
    <t>Hay infiltraciones cuando llueve, el techo esta en malas condiciones</t>
  </si>
  <si>
    <t>Felipe zicer</t>
  </si>
  <si>
    <t>La Paz</t>
  </si>
  <si>
    <t>Luis Andres Urrego</t>
  </si>
  <si>
    <t>Marleny Higuita, esposa</t>
  </si>
  <si>
    <t>20 dias</t>
  </si>
  <si>
    <t>38, 44</t>
  </si>
  <si>
    <t>Aseo y desinfeccion</t>
  </si>
  <si>
    <t>Calle nueva parte baja</t>
  </si>
  <si>
    <t>Ludys Moreno Valencia</t>
  </si>
  <si>
    <t>El celular que me dieron fue el de la mona la cual vive cerca ya que la persona no tiene numero telefonico</t>
  </si>
  <si>
    <t>Pide, sale a pedir</t>
  </si>
  <si>
    <t>Lo que le den</t>
  </si>
  <si>
    <t xml:space="preserve">Es una señora de bastante edad, la cual vive sola, y la casa se le está cayendo </t>
  </si>
  <si>
    <t>Juliana mendez h</t>
  </si>
  <si>
    <t>Colinas de Jersusalen</t>
  </si>
  <si>
    <t>natalia Andrea Herrera</t>
  </si>
  <si>
    <t>Suegra, Rocio</t>
  </si>
  <si>
    <t>5, 30, 36</t>
  </si>
  <si>
    <t>Aseo en casas</t>
  </si>
  <si>
    <t>50 semanal</t>
  </si>
  <si>
    <t>En el 2017 vivio 2 años, se fue a vivir a otro barrio, despues volvio, y ahora esta hace 8 meses</t>
  </si>
  <si>
    <t>Luz Marleny Higuitq Manco</t>
  </si>
  <si>
    <t>De ella</t>
  </si>
  <si>
    <t>1, 83, 24, ,21, 19, 44</t>
  </si>
  <si>
    <t>A vecew vendiendo confites</t>
  </si>
  <si>
    <t>500 mensual</t>
  </si>
  <si>
    <t>Viven en asinamiento</t>
  </si>
  <si>
    <t xml:space="preserve">Juan Camilo Rodríguez Reyes </t>
  </si>
  <si>
    <t>Actual Calle Nueva (va a vivir en la cancha)</t>
  </si>
  <si>
    <t>Sol María Ramos</t>
  </si>
  <si>
    <t>Ivan Sánchez, esposo</t>
  </si>
  <si>
    <t>5-6 años</t>
  </si>
  <si>
    <t>54, 56</t>
  </si>
  <si>
    <t>Si, el esposo trabaja</t>
  </si>
  <si>
    <t xml:space="preserve">La señora tiene una discapacidad de artrosis y con lo que el esposo gana es muy poco para pagar el arriendo y costear las otras necesidades </t>
  </si>
  <si>
    <t>Juliana Mendez H</t>
  </si>
  <si>
    <t>Luisa Fernanda vasquez Higuita</t>
  </si>
  <si>
    <t>Luz  Marleny Higuita</t>
  </si>
  <si>
    <t>24, 44, 84</t>
  </si>
  <si>
    <t>Lo que le resulte</t>
  </si>
  <si>
    <t>Tanto la mama como ella tienen terreno, las dos se escribieron</t>
  </si>
  <si>
    <t>Terreno en los pinos actualmente vive por la virgen</t>
  </si>
  <si>
    <t>Paula Andrea cotera rojas</t>
  </si>
  <si>
    <t xml:space="preserve">Mamá </t>
  </si>
  <si>
    <t>14, 12, 13, 17, 34</t>
  </si>
  <si>
    <t>Rebusque</t>
  </si>
  <si>
    <t>Trabajos temporales</t>
  </si>
  <si>
    <t>Cerca de la Cancha de La Paz y colegio Fe y alegria</t>
  </si>
  <si>
    <t>Hermana Luz Ocampo</t>
  </si>
  <si>
    <t>14 años ( Manantiales sector 6)</t>
  </si>
  <si>
    <t>Niña 10 años, Beneficiario 45, esposa 35</t>
  </si>
  <si>
    <t>Sin información</t>
  </si>
  <si>
    <t>El beneficiario vivía en Manantiales, pero su casa se quemó en Octubre. Ya tuvo una primera entrevista con Techo pero no fué considerado porque el terreno era de alto riesgo. Indica que se le solicitó buscar otro terreno y ya lo tiene al lado de la acción comunidad ( cancha Aldolfo Pac)
La información está dada por su hermana, quién es la que lo ha estado ayudando pero ya no puede seguirle pagando arriendo</t>
  </si>
  <si>
    <t>Yasmin Adriana Guisao</t>
  </si>
  <si>
    <t>Ana (mamá)</t>
  </si>
  <si>
    <t>Auxiliar de parilla</t>
  </si>
  <si>
    <t>El minimo legal</t>
  </si>
  <si>
    <t>Calle Nueva</t>
  </si>
  <si>
    <t>Martha Eulalia callejas Mazo</t>
  </si>
  <si>
    <t>42, 22, 18</t>
  </si>
  <si>
    <t>400 mil pesos mensuales</t>
  </si>
  <si>
    <t xml:space="preserve">Monica Medina </t>
  </si>
  <si>
    <t xml:space="preserve">Cosecheros </t>
  </si>
  <si>
    <t xml:space="preserve">Sandra patricia zapata palencia </t>
  </si>
  <si>
    <t>Anderson coronel vega jesus</t>
  </si>
  <si>
    <t xml:space="preserve">2 años </t>
  </si>
  <si>
    <t>26, 36,11meses</t>
  </si>
  <si>
    <t xml:space="preserve">No, ocasionales </t>
  </si>
  <si>
    <t xml:space="preserve">Pareja de padres de familia compuesta por padre, madre e hija, padres con discapacidad auditiva  </t>
  </si>
  <si>
    <t>Caballerizas, calle nueva</t>
  </si>
  <si>
    <t>Leidy Bibiana David Gomez</t>
  </si>
  <si>
    <t>Amiga</t>
  </si>
  <si>
    <t>36,20,12</t>
  </si>
  <si>
    <t>500 mil pesos</t>
  </si>
  <si>
    <t>Tiene terreno en comunidad hace 3 años, pero no vivía en la comunidad, en la misma vive hace 3 meses  desde enero 2024</t>
  </si>
  <si>
    <t>Olmedo de Jesús Pineda Vargas</t>
  </si>
  <si>
    <t xml:space="preserve">Rocío </t>
  </si>
  <si>
    <t xml:space="preserve">Reciclaje </t>
  </si>
  <si>
    <t xml:space="preserve">Aníbal Avendaño Calle </t>
  </si>
  <si>
    <t xml:space="preserve">Sector 3 cabildo </t>
  </si>
  <si>
    <t xml:space="preserve">María Eloisa </t>
  </si>
  <si>
    <t xml:space="preserve">Empleada doméstica </t>
  </si>
  <si>
    <t xml:space="preserve">Anibal Avendaño Calle </t>
  </si>
  <si>
    <t xml:space="preserve">Sector 4 cabildo </t>
  </si>
  <si>
    <t xml:space="preserve">Nelly Yuliana Echavarria Ramirez </t>
  </si>
  <si>
    <t>Bibiana</t>
  </si>
  <si>
    <t xml:space="preserve">16 años </t>
  </si>
  <si>
    <t>34, 19, 17, 29, 52</t>
  </si>
  <si>
    <t xml:space="preserve">Cajera </t>
  </si>
  <si>
    <t>La carretera vieja de Guarne, El Pinar. Cerca de la acción comunal y la cancha Adolfo Paz</t>
  </si>
  <si>
    <t xml:space="preserve">Luz Ocampo hermana </t>
  </si>
  <si>
    <t>Todo la vida</t>
  </si>
  <si>
    <t>44, 36, 10</t>
  </si>
  <si>
    <t>Caletero</t>
  </si>
  <si>
    <t xml:space="preserve">No especifica... Se caracteriza la hermana </t>
  </si>
  <si>
    <t>Su casa se le quemó y ahora está viviendo rentado pero no tiene como seguir pagando</t>
  </si>
  <si>
    <t xml:space="preserve">Jaider Vergara </t>
  </si>
  <si>
    <t xml:space="preserve">Sector iglesia la paz </t>
  </si>
  <si>
    <t xml:space="preserve">Mairelis ríos </t>
  </si>
  <si>
    <t>5199877 PPT</t>
  </si>
  <si>
    <t xml:space="preserve">Roney perez </t>
  </si>
  <si>
    <t>38,35,17,14,13,12,8</t>
  </si>
  <si>
    <t xml:space="preserve">Ama de Casa </t>
  </si>
  <si>
    <t xml:space="preserve">Los Girasoles </t>
  </si>
  <si>
    <t>Nubia Leticia Gomez Pineda</t>
  </si>
  <si>
    <t>Daniel Hijo</t>
  </si>
  <si>
    <t>24, 20, 17, 10, 18, 56</t>
  </si>
  <si>
    <t>Sólo trabaja su hijo mínimo, y ella unos 400 mil</t>
  </si>
  <si>
    <t>La beneficiaria es desplazada de Carepa y desalojada del Cortado.
Hay dos núcleos familiares,
1. la señora con 4 hijos 
2.- uno de sus hijos con su pareja</t>
  </si>
  <si>
    <t>Ana Iris Arrieta Ramirez</t>
  </si>
  <si>
    <t>María Camila, Vecina</t>
  </si>
  <si>
    <t>10, 8, 6, 1, 27, 25</t>
  </si>
  <si>
    <t>Ama de casa, su pareja trabaja en una empresa de construcción, los niños estudiando.</t>
  </si>
  <si>
    <t>Si por parte de la pareja.</t>
  </si>
  <si>
    <t xml:space="preserve">El bebé sufre de la clavícula </t>
  </si>
  <si>
    <t xml:space="preserve">Valentina posada </t>
  </si>
  <si>
    <t xml:space="preserve">Luz Elaida Areiza Yepez </t>
  </si>
  <si>
    <t>Ferney Jaramillo, Pareja</t>
  </si>
  <si>
    <t>6, 3meses, 22, 22</t>
  </si>
  <si>
    <t xml:space="preserve">Confeccionista y trabaja de lunes a viernes, su pareja trabaja en construcción de lunes a sábado, niño estudiando. </t>
  </si>
  <si>
    <t xml:space="preserve">Lote en las flores </t>
  </si>
  <si>
    <t xml:space="preserve">Diana Sirley España Henao </t>
  </si>
  <si>
    <t>Jilma, Vecina.</t>
  </si>
  <si>
    <t>26, 40, 5, 3</t>
  </si>
  <si>
    <t>Ama de casa, la pareja trabaja en tapicería, niños estudiando.</t>
  </si>
  <si>
    <t>Terreno en flores, ella está en embarazo de gemelas</t>
  </si>
  <si>
    <t xml:space="preserve">Elva María Aguirre </t>
  </si>
  <si>
    <t>20, 57</t>
  </si>
  <si>
    <t xml:space="preserve">Ama de casa y su hija está trabajando en lo que le resulte, ella quiere terminar el bachillerato </t>
  </si>
  <si>
    <t>Luz Alvarado</t>
  </si>
  <si>
    <t xml:space="preserve">Luz Dary Jiménez </t>
  </si>
  <si>
    <t>21 años</t>
  </si>
  <si>
    <t>No, trabajo ocasional. 800 quincenal</t>
  </si>
  <si>
    <t>Mejorar la vivienda</t>
  </si>
  <si>
    <t>Daniela Calderón</t>
  </si>
  <si>
    <t>Manantiales sector 5</t>
  </si>
  <si>
    <t>Maria Camila Ayala Ayala</t>
  </si>
  <si>
    <t xml:space="preserve">Alexander Vasquez (padre de los hijos) </t>
  </si>
  <si>
    <t>26, 18, 9, 8, 4, 2</t>
  </si>
  <si>
    <t>No, los ingresos familiares son por acuerdo de pago del padre de hijos</t>
  </si>
  <si>
    <t>El lote en Granizal, Manantiales</t>
  </si>
  <si>
    <t xml:space="preserve">Luz Alvarado </t>
  </si>
  <si>
    <t xml:space="preserve">Nubia Elena Posso Martínez </t>
  </si>
  <si>
    <t>16,8,2</t>
  </si>
  <si>
    <t xml:space="preserve">No, trabaja ocasionalmente </t>
  </si>
  <si>
    <t>Tiene un terreno en manantiales</t>
  </si>
  <si>
    <t>Raúl Antonio Chavarria</t>
  </si>
  <si>
    <t>Juan, hijo</t>
  </si>
  <si>
    <t xml:space="preserve">Ver comentario </t>
  </si>
  <si>
    <t xml:space="preserve">El señor viene de un pueblo desplazado, le dieron una plática de victimas y se sostienen de eso y de algunos animales que ha vendido, cambió su finca en el pueblo por un terreno y ranchito en la comunidad. </t>
  </si>
  <si>
    <t>Manantiales sector 6</t>
  </si>
  <si>
    <t>Jesus Alberto Mora Carmona</t>
  </si>
  <si>
    <t>Maria Fabiola Carmona, mamá</t>
  </si>
  <si>
    <t>3, 29, 65</t>
  </si>
  <si>
    <t>Procedimientos en alturas, no es fijo</t>
  </si>
  <si>
    <t>Fijos no, solo cuando le sale trabajo</t>
  </si>
  <si>
    <t>El lote es en Manantiales</t>
  </si>
  <si>
    <t>4. Cra 24BA 69D-143</t>
  </si>
  <si>
    <t>Gloria González Patiño</t>
  </si>
  <si>
    <t>3142197550, esposo</t>
  </si>
  <si>
    <t>56, 70</t>
  </si>
  <si>
    <t>Oficios varios en casa de familia</t>
  </si>
  <si>
    <t>Subiendo por la tienda de Marina, sector la invasión, la tercera casa subiendo. Trabaja solo la señora, el señor no por temas de salud.</t>
  </si>
  <si>
    <t xml:space="preserve">Claudia Patricia Serna </t>
  </si>
  <si>
    <t xml:space="preserve">13 años </t>
  </si>
  <si>
    <t xml:space="preserve">No. Trabaja en lo que le resulte </t>
  </si>
  <si>
    <t xml:space="preserve">La vivienda está en mal estado. La hija y el nieto se tuvieron que ir temporalmente dónde un familiar por el estado de la vivienda </t>
  </si>
  <si>
    <t xml:space="preserve">Juliana Gil Gallego </t>
  </si>
  <si>
    <t>Vive con su hijo y su hermana en arriendo. No tiene ingresos fijos. Tiene 18 años.</t>
  </si>
  <si>
    <t xml:space="preserve">Vive en París, pero tiene terreno en la comunidad </t>
  </si>
  <si>
    <t>Maria Fanny Correa Parra</t>
  </si>
  <si>
    <t>Erika (hija)</t>
  </si>
  <si>
    <t>Vivio un año en la  comunidad  hasta hace 3 meses</t>
  </si>
  <si>
    <t xml:space="preserve">3 meses </t>
  </si>
  <si>
    <t>38, 23 , 64</t>
  </si>
  <si>
    <t>Trabaja en la minorista en revueltería</t>
  </si>
  <si>
    <t>No vive, en la comunidad pero se le dejó claro que era una condicionante.</t>
  </si>
  <si>
    <t>Mas arriba de ventanales (el plano)</t>
  </si>
  <si>
    <t>Daniela Portillo Puerta</t>
  </si>
  <si>
    <t>Cristian Ramos (pareja)</t>
  </si>
  <si>
    <t>1 y medios</t>
  </si>
  <si>
    <t>10, 27 , 30</t>
  </si>
  <si>
    <t>Trabaja por días en casas</t>
  </si>
  <si>
    <t xml:space="preserve">Esta recién operada, de la vesícula e higado </t>
  </si>
  <si>
    <t>Dahiana Montoya</t>
  </si>
  <si>
    <t>50, 3, 49, 19, 23, 8 meses</t>
  </si>
  <si>
    <t>500.000 todo el hogar con la gente que trabaja dentro del mismo</t>
  </si>
  <si>
    <t>Es una familia grande, que residen todos, en el hogar. Hay un bebe en el hogar.</t>
  </si>
  <si>
    <t>Altos 2</t>
  </si>
  <si>
    <t>Johan Mauricio Arias Cuartas</t>
  </si>
  <si>
    <t>Angela Cuartas - Madre</t>
  </si>
  <si>
    <t>14, 9, 38</t>
  </si>
  <si>
    <t>Ayudante de pintura</t>
  </si>
  <si>
    <t>Padre soltero con 2 hijas</t>
  </si>
  <si>
    <t xml:space="preserve">Luz Alvarado Cano </t>
  </si>
  <si>
    <t>El 7</t>
  </si>
  <si>
    <t xml:space="preserve">Luz Dary Cataño Luján </t>
  </si>
  <si>
    <t>23 años</t>
  </si>
  <si>
    <t>20, 20</t>
  </si>
  <si>
    <t xml:space="preserve">Tiene una tienda de mecatos en la que mensualmente se puede ganar 200 mil pesos </t>
  </si>
  <si>
    <t>Los cosecheros</t>
  </si>
  <si>
    <t xml:space="preserve">Jhon charrasquiel </t>
  </si>
  <si>
    <t xml:space="preserve">Neivi compañero de trabajo </t>
  </si>
  <si>
    <t>4,39,37</t>
  </si>
  <si>
    <t xml:space="preserve">No, es depende de si puede trabajar </t>
  </si>
  <si>
    <t xml:space="preserve">Tiene una vivienda propia en otro sector del barrio. No es una necesidad alta </t>
  </si>
  <si>
    <t>Esteban Mauricio Arrieta cortes</t>
  </si>
  <si>
    <t>Masia Alexa morales (pareja)</t>
  </si>
  <si>
    <t xml:space="preserve">24 años </t>
  </si>
  <si>
    <t>27, 47, 55</t>
  </si>
  <si>
    <t xml:space="preserve">Bodeguero </t>
  </si>
  <si>
    <t xml:space="preserve">Dependiendo d ellos días trabajados </t>
  </si>
  <si>
    <t>La vivienda es de madera, en el lugar que viven hay demasiadas personas y no hay espacio suficiente para todos.</t>
  </si>
  <si>
    <t xml:space="preserve">Cristina Cadavid </t>
  </si>
  <si>
    <t>Sector 6</t>
  </si>
  <si>
    <t>Reinerio bejarano</t>
  </si>
  <si>
    <t>Solo él, 64</t>
  </si>
  <si>
    <t>Trabajo ambulante</t>
  </si>
  <si>
    <t>Está un poco enfermo y vive del día a día.</t>
  </si>
  <si>
    <t xml:space="preserve">Jesica Ballesteros </t>
  </si>
  <si>
    <t>Manantial</t>
  </si>
  <si>
    <t>Erika del Carmen Bello</t>
  </si>
  <si>
    <t>Maria Doralba (La señora que la aloja en la casa)</t>
  </si>
  <si>
    <t>59, 36, 30, 17, 14, 12, 4 (meses), 45</t>
  </si>
  <si>
    <t xml:space="preserve">La señora la aloja sin cobrar </t>
  </si>
  <si>
    <t>Por el momento está desempleada, entonces no tiene ningún tipo de ingreso</t>
  </si>
  <si>
    <t xml:space="preserve">La mujer es desplazada, es extranjera, no tiene donde vivir, cumple 11 años en el país y vive en una casa con una señora que le dio hospedaje en su casa, no le cobra porque sabe que no tiene empleo, y vive con 7 personas en el mismo lugar </t>
  </si>
  <si>
    <t>Portal</t>
  </si>
  <si>
    <t>Dixiomara Elena Vera</t>
  </si>
  <si>
    <t>9, 8, 4, 32, 30</t>
  </si>
  <si>
    <t>1'200.000</t>
  </si>
  <si>
    <t>Aníbal avendaño</t>
  </si>
  <si>
    <t>Ventanales por Don marcos</t>
  </si>
  <si>
    <t>Jhon Fredy rendon</t>
  </si>
  <si>
    <t>3170353148 espposa</t>
  </si>
  <si>
    <t>17, 14, 41, 44</t>
  </si>
  <si>
    <t>Jardinero desempleado</t>
  </si>
  <si>
    <t>Anibal Avendaño</t>
  </si>
  <si>
    <t xml:space="preserve">Colinas de la nueva </t>
  </si>
  <si>
    <t>Sandra Milena usuga Jaramillo</t>
  </si>
  <si>
    <t xml:space="preserve">Eunice palacio Ex suegra </t>
  </si>
  <si>
    <t>29, 23, 14, 12, 10</t>
  </si>
  <si>
    <t xml:space="preserve">Estudiante </t>
  </si>
  <si>
    <t xml:space="preserve">Aníbal Avendaño </t>
  </si>
  <si>
    <t>Yenny David</t>
  </si>
  <si>
    <t>Madre</t>
  </si>
  <si>
    <t>9 ños</t>
  </si>
  <si>
    <t>10, 39</t>
  </si>
  <si>
    <t>Ferney Rios Duran</t>
  </si>
  <si>
    <t>24, 19, 17, 4, 32, 42</t>
  </si>
  <si>
    <t>Número para WhatsApp 3043411591</t>
  </si>
  <si>
    <t>Andrés Alejandro Alzate Vásquez</t>
  </si>
  <si>
    <t>Ventanales hacia torre 11</t>
  </si>
  <si>
    <t>Fabiola Moreno Montoya</t>
  </si>
  <si>
    <t xml:space="preserve"> Carolina Moreno 17 año hija</t>
  </si>
  <si>
    <t>34, 17, 14</t>
  </si>
  <si>
    <t>Asesora</t>
  </si>
  <si>
    <t>Mensual un poco menos del mínimo</t>
  </si>
  <si>
    <t xml:space="preserve">María Alejandra Cano López </t>
  </si>
  <si>
    <t>Ventanales, a torre 11</t>
  </si>
  <si>
    <t xml:space="preserve">Mariana Martinez Moreno </t>
  </si>
  <si>
    <t>Daira Vanesa Pérez Martinez, hija</t>
  </si>
  <si>
    <t>55, 26, 21</t>
  </si>
  <si>
    <t>Yésica Mazo</t>
  </si>
  <si>
    <t>Altos2</t>
  </si>
  <si>
    <t>Daysi Bravo Ramirez</t>
  </si>
  <si>
    <t>28, 50</t>
  </si>
  <si>
    <t>Emprendedora</t>
  </si>
  <si>
    <t>Jefersson Paniagua Bedoya</t>
  </si>
  <si>
    <t>Ana Fanny - madre</t>
  </si>
  <si>
    <t>20, 54</t>
  </si>
  <si>
    <t xml:space="preserve">Lizeth Alejandra Ovalle Pedraza </t>
  </si>
  <si>
    <t xml:space="preserve">Altos 2 </t>
  </si>
  <si>
    <t xml:space="preserve">Maria Dolly Santa Valencia </t>
  </si>
  <si>
    <t>5,9, 64, 57</t>
  </si>
  <si>
    <t>Ana Joaquina Estrada Sanchez</t>
  </si>
  <si>
    <t>Marta Rivera - nuera</t>
  </si>
  <si>
    <t>Juvenal Nicolas Arrieta Rodríguez</t>
  </si>
  <si>
    <t xml:space="preserve">Verónica María Durango </t>
  </si>
  <si>
    <t xml:space="preserve">Adriana Patricia Durango </t>
  </si>
  <si>
    <t>12,9,7</t>
  </si>
  <si>
    <t>Marta Rivera Restrepo</t>
  </si>
  <si>
    <t>Victoria Quintero - cuñada</t>
  </si>
  <si>
    <t>9, 51, 45</t>
  </si>
  <si>
    <t>Ninguna</t>
  </si>
  <si>
    <t xml:space="preserve">Lizeth Ovalle </t>
  </si>
  <si>
    <t xml:space="preserve">Ruth Ramirez </t>
  </si>
  <si>
    <t xml:space="preserve">Ama de casa  </t>
  </si>
  <si>
    <t xml:space="preserve">400.000 al mes </t>
  </si>
  <si>
    <t>Lina Andrea Sanchez Acevedo</t>
  </si>
  <si>
    <t>Trabaja en la minorista</t>
  </si>
  <si>
    <t xml:space="preserve">Salario Mínimo </t>
  </si>
  <si>
    <t xml:space="preserve">Juvenal Nicolas Arrieta Rodríguez </t>
  </si>
  <si>
    <t>Paola Andrea Agudelo Palacio</t>
  </si>
  <si>
    <t xml:space="preserve">Verónica Durango </t>
  </si>
  <si>
    <t>10,2,1,28</t>
  </si>
  <si>
    <t>Terreno</t>
  </si>
  <si>
    <t xml:space="preserve">Jhany Mallerly Ruiz Rodriguez </t>
  </si>
  <si>
    <t>David - hermano</t>
  </si>
  <si>
    <t>16 meses, 16, 18</t>
  </si>
  <si>
    <t>Confecciones</t>
  </si>
  <si>
    <t xml:space="preserve">Altos 1 </t>
  </si>
  <si>
    <t>Luis Eduardo Brands</t>
  </si>
  <si>
    <t xml:space="preserve">No tiene </t>
  </si>
  <si>
    <t>Gabriel Antonio Gallego Cardona</t>
  </si>
  <si>
    <t>Resiclador</t>
  </si>
  <si>
    <t>Ana María García Santana</t>
  </si>
  <si>
    <t>Claudia - Hija</t>
  </si>
  <si>
    <t>84, 65, 37, 60</t>
  </si>
  <si>
    <t>El portal</t>
  </si>
  <si>
    <t xml:space="preserve">Claudia Patricia Gonzalz Coronado </t>
  </si>
  <si>
    <t>5,20,38</t>
  </si>
  <si>
    <t xml:space="preserve">No es propia ni paga arriendo </t>
  </si>
  <si>
    <t>Érica Vanessa Ramirez</t>
  </si>
  <si>
    <t>Cathe - hermana</t>
  </si>
  <si>
    <t>7, 12, 38</t>
  </si>
  <si>
    <t>Trabaja en una cafeteria</t>
  </si>
  <si>
    <t xml:space="preserve">Norbey Ospina </t>
  </si>
  <si>
    <t>68,72 14,53</t>
  </si>
  <si>
    <t>Oficios varios (Discapacitado)</t>
  </si>
  <si>
    <t xml:space="preserve">Arley Antonio Lujan García </t>
  </si>
  <si>
    <t>47, 6, 11</t>
  </si>
  <si>
    <t>Taxista</t>
  </si>
  <si>
    <t>No sabe</t>
  </si>
  <si>
    <t xml:space="preserve">Marly Saldarriaga Zapata </t>
  </si>
  <si>
    <t>19,11,38</t>
  </si>
  <si>
    <t xml:space="preserve">Servicios generales </t>
  </si>
  <si>
    <t>José Nodier Bedoya</t>
  </si>
  <si>
    <t>37, 10</t>
  </si>
  <si>
    <t xml:space="preserve">Lizeth Johana Moreno Cardona </t>
  </si>
  <si>
    <t>27, 10,7</t>
  </si>
  <si>
    <t xml:space="preserve">Trabaja como interna </t>
  </si>
  <si>
    <t xml:space="preserve">Si  trabaja como interna el registro lo hace la abuela por lo que no tiene el dato de cuanto gana </t>
  </si>
  <si>
    <t>Victor Giraldo</t>
  </si>
  <si>
    <t xml:space="preserve">Andrés Felipe Osorio Castrillon </t>
  </si>
  <si>
    <t xml:space="preserve">- mamá </t>
  </si>
  <si>
    <t xml:space="preserve">1 año </t>
  </si>
  <si>
    <t xml:space="preserve">5 meses </t>
  </si>
  <si>
    <t>1,10,18,27</t>
  </si>
  <si>
    <t>Sandra Milena Castrillon Franco</t>
  </si>
  <si>
    <t>Geidy Osorio</t>
  </si>
  <si>
    <t>18,28,32,43</t>
  </si>
  <si>
    <t xml:space="preserve">Servicio doméstico </t>
  </si>
  <si>
    <t>Luz Marina Orozco Loaiza</t>
  </si>
  <si>
    <t>Armando Jaramillo - esposo</t>
  </si>
  <si>
    <t>47, 51, 18</t>
  </si>
  <si>
    <t xml:space="preserve">Paula Andrea Garces Jimenez </t>
  </si>
  <si>
    <t>21,73,46</t>
  </si>
  <si>
    <t>Si en promedio 2.000.000</t>
  </si>
  <si>
    <t>José Elquin Jiménez Giral</t>
  </si>
  <si>
    <t xml:space="preserve">Victor Giraldo </t>
  </si>
  <si>
    <t>Fabiola Torres Gutiérrez</t>
  </si>
  <si>
    <t>64,14,41,24</t>
  </si>
  <si>
    <t xml:space="preserve">Lo que le ayude la hija y el nieto </t>
  </si>
  <si>
    <t>Juan Camilo Duque</t>
  </si>
  <si>
    <t>Tendero</t>
  </si>
  <si>
    <t xml:space="preserve">Isabel Garcia Mendez </t>
  </si>
  <si>
    <t>51,40,17,12</t>
  </si>
  <si>
    <t>En promedio un minimo</t>
  </si>
  <si>
    <t xml:space="preserve">Johana Quintero </t>
  </si>
  <si>
    <t>Luz Marina Ciro</t>
  </si>
  <si>
    <t>Norberto Castro Ciro</t>
  </si>
  <si>
    <t>7x5m</t>
  </si>
  <si>
    <t>Sí, pero en mal estado</t>
  </si>
  <si>
    <t xml:space="preserve">Daniela Vásquez Mejía </t>
  </si>
  <si>
    <t>Blanca Nelly Valencia Valencia</t>
  </si>
  <si>
    <t>Leidy Daza</t>
  </si>
  <si>
    <t>2 y medio</t>
  </si>
  <si>
    <t>7x11</t>
  </si>
  <si>
    <t>El número principal solo responde por Whatsapp</t>
  </si>
  <si>
    <t>3 alta</t>
  </si>
  <si>
    <t xml:space="preserve">Luis Alfonso Pérez </t>
  </si>
  <si>
    <t>9*5</t>
  </si>
  <si>
    <t xml:space="preserve">Hace 15 días se le quemó la vivienda </t>
  </si>
  <si>
    <t>Ventanales</t>
  </si>
  <si>
    <t>Estella Gonzalez</t>
  </si>
  <si>
    <t>Jhon Freddy Rendón - Pareja</t>
  </si>
  <si>
    <t>8x7</t>
  </si>
  <si>
    <t>No tiene claridad en las otras soluciones, dice que tiene agua de nacimiento, entonces no está interesada ni en baño, ni en torre, ni SCPALL. Validar estado de baño</t>
  </si>
  <si>
    <t xml:space="preserve">Esteban Lozano </t>
  </si>
  <si>
    <t xml:space="preserve">Ventanales </t>
  </si>
  <si>
    <t xml:space="preserve">Eloiza María usuga García </t>
  </si>
  <si>
    <t xml:space="preserve">Este es nombre del padre de la comunidad </t>
  </si>
  <si>
    <t>12x10</t>
  </si>
  <si>
    <t>Sí, en buen estado.</t>
  </si>
  <si>
    <t>El contacto puesto es el del padre de la comunidad ya que ella no cuenta con número de contacto ,el es el encargado de dar aviso.</t>
  </si>
  <si>
    <t xml:space="preserve">Cerca a la iglesia </t>
  </si>
  <si>
    <t xml:space="preserve">Daisy Alejandra Montaño Arango </t>
  </si>
  <si>
    <t>Alejandro sanchez</t>
  </si>
  <si>
    <t>4x6</t>
  </si>
  <si>
    <t xml:space="preserve">Giscela López </t>
  </si>
  <si>
    <t xml:space="preserve">La paz </t>
  </si>
  <si>
    <t>Wilmar Carmona</t>
  </si>
  <si>
    <t>10*10</t>
  </si>
  <si>
    <t xml:space="preserve">No tan prioritario, tiene vivienda en condiciones aceptables </t>
  </si>
  <si>
    <t>Cristina cadavid</t>
  </si>
  <si>
    <t xml:space="preserve">Los rieles </t>
  </si>
  <si>
    <t>Sor Elena manco</t>
  </si>
  <si>
    <t>Marina</t>
  </si>
  <si>
    <t>3 ancho 12 largo</t>
  </si>
  <si>
    <t>Hace un tiempo se quemó la vivienda y solo puede recibir visitas los domingos.</t>
  </si>
  <si>
    <t xml:space="preserve">Calle la cancha </t>
  </si>
  <si>
    <t xml:space="preserve">Elizabeth garcia </t>
  </si>
  <si>
    <t>Joan Diaz</t>
  </si>
  <si>
    <t xml:space="preserve">Salome Morales Acosta </t>
  </si>
  <si>
    <t>La cancha</t>
  </si>
  <si>
    <t>Diana Patricia Villamizar Romero</t>
  </si>
  <si>
    <t xml:space="preserve">Jieser Diaz </t>
  </si>
  <si>
    <t>7 * 11</t>
  </si>
  <si>
    <t>Luza Alvarado</t>
  </si>
  <si>
    <t>Ventanales, una cuadra arriba, entre ventanales y torre 11. Ecopetrol</t>
  </si>
  <si>
    <t>Ana Cecilia Naranjo Montoya</t>
  </si>
  <si>
    <t>Diomer Arbey Naranjo Montoya</t>
  </si>
  <si>
    <t>8x4</t>
  </si>
  <si>
    <t>No tienen vivienda porque la que tenían se les quemó en un incendio el 25 de diciembre de 2023. En este momento viven en la casa de un familiar</t>
  </si>
  <si>
    <t xml:space="preserve">María Carolina Caicedo </t>
  </si>
  <si>
    <t xml:space="preserve">Los cosecheros </t>
  </si>
  <si>
    <t>Rober de Jesús Mejía Vanega</t>
  </si>
  <si>
    <t xml:space="preserve">Nelly del Socorro Vanegas </t>
  </si>
  <si>
    <t xml:space="preserve">11 años </t>
  </si>
  <si>
    <t>7*3</t>
  </si>
  <si>
    <t xml:space="preserve">Luza Alvarado </t>
  </si>
  <si>
    <t>Por los pinos, cerca de la casa rosada</t>
  </si>
  <si>
    <t>Maria Fany Correa Parra</t>
  </si>
  <si>
    <t xml:space="preserve">Maicol Tamayo </t>
  </si>
  <si>
    <t>10x10</t>
  </si>
  <si>
    <t>El terreno está en proceso de compra, la señora vive en otro sector alquilada.</t>
  </si>
  <si>
    <t>Don Dario Marin Correa</t>
  </si>
  <si>
    <t>Segundo celular</t>
  </si>
  <si>
    <t xml:space="preserve">Si posee. Ver observaciones </t>
  </si>
  <si>
    <t>Sería una torre de agua para la vivienda y compartir con algunos vecinos. No es sólo para utilizar en baños sino también para consumo</t>
  </si>
  <si>
    <t>Beatriz Elena Muñoz Londoño</t>
  </si>
  <si>
    <t xml:space="preserve">Valentina Yotagri </t>
  </si>
  <si>
    <t>4*11,5</t>
  </si>
  <si>
    <t>Vive en la comunidad hace seis meses. Vive arrendada</t>
  </si>
  <si>
    <t>Santiago Agualimpia Hurtado</t>
  </si>
  <si>
    <t xml:space="preserve">Mariela Hurtado </t>
  </si>
  <si>
    <t>5*3</t>
  </si>
  <si>
    <t>Vive con su pareja</t>
  </si>
  <si>
    <t>Bibiana Valencia</t>
  </si>
  <si>
    <t xml:space="preserve">Yeison Gonzalez </t>
  </si>
  <si>
    <t>16x18</t>
  </si>
  <si>
    <t xml:space="preserve">Ya tiene vivienda de Techo quiere que se la mejoren </t>
  </si>
  <si>
    <t xml:space="preserve">Claudia Garcés Giraldo </t>
  </si>
  <si>
    <t>Amparo Giraldo</t>
  </si>
  <si>
    <t>No recuerda</t>
  </si>
  <si>
    <t>Tiene vivienda de Techo hace 13 años, la casa está en mal estado y quiere una mejora</t>
  </si>
  <si>
    <t>Bianca Alcaraz Santa</t>
  </si>
  <si>
    <t>Camila Usuga</t>
  </si>
  <si>
    <t>9x8</t>
  </si>
  <si>
    <t>Tiene vivienda de Techo hace 5 años. Requiere mejorar su vivienda o en si defecto construir un baño</t>
  </si>
  <si>
    <t xml:space="preserve">Juan Pablo Castaño Zuluaga </t>
  </si>
  <si>
    <t xml:space="preserve">Sector 6 </t>
  </si>
  <si>
    <t xml:space="preserve">María Inelda Moreno Machado </t>
  </si>
  <si>
    <t>7X06</t>
  </si>
  <si>
    <t xml:space="preserve">No tiene hijos / la vivienda se encuentra en situación de riesgo </t>
  </si>
  <si>
    <t>Maria Cristina Cadavid Marin</t>
  </si>
  <si>
    <t>La Nueva Jerusalen</t>
  </si>
  <si>
    <t>Maribel Sucerquia</t>
  </si>
  <si>
    <t>7*9</t>
  </si>
  <si>
    <t>La información de TECHO llegó a traves de una amiga de ella que le facilitó mi número y yo llene su ficha de Caracterización por WhatsAPP, su vivienda es de tablas y vive por Dos Torres parte Alta.</t>
  </si>
  <si>
    <t>Elena Zamora</t>
  </si>
  <si>
    <t>Mairon Gallego</t>
  </si>
  <si>
    <t>11x6</t>
  </si>
  <si>
    <t xml:space="preserve">Amanda López Duque </t>
  </si>
  <si>
    <t xml:space="preserve">Lesly Arroyave Márquez </t>
  </si>
  <si>
    <t>19 años</t>
  </si>
  <si>
    <t>6x8</t>
  </si>
  <si>
    <t xml:space="preserve">La señora Amanda en este momento vive en una vivienda arrendada. Cuenta con un terreno propio </t>
  </si>
  <si>
    <t xml:space="preserve">Maria Cristina Cadavid Marin </t>
  </si>
  <si>
    <t xml:space="preserve">La nueva Jerusalén </t>
  </si>
  <si>
    <t>Urieta del socorro Martinez tapias</t>
  </si>
  <si>
    <t>Luz dary</t>
  </si>
  <si>
    <t>11 años en torre 11</t>
  </si>
  <si>
    <t xml:space="preserve">La casa actualmente está destruida, porque le cayó un árbol sobre ella y actualmente no la está habitando por temor, es de madera construida de tablas y ella actualmente está de arrimada en otra vivienda.
En la encuesta esta interesada en la torre de agua, pero la encuesta solo me dejó poner que no.
</t>
  </si>
  <si>
    <t xml:space="preserve">La virgen </t>
  </si>
  <si>
    <t>Maria Cecilia palomino nuñez</t>
  </si>
  <si>
    <t>Carlos babilonia</t>
  </si>
  <si>
    <t>Actualmente vive en una casita en arriendo porque en la vivienda que habitaban anteriormente la cambiaron por un lote en la zona de más abajo, porque presenta una enfermedad Guillain barre y no puede caminar tan arriba.</t>
  </si>
  <si>
    <t>Luis Arciniegas</t>
  </si>
  <si>
    <t>Parte alta</t>
  </si>
  <si>
    <t>Eriberto Cartagena</t>
  </si>
  <si>
    <t>8x8</t>
  </si>
  <si>
    <t>Interesado en torre de agua.</t>
  </si>
  <si>
    <t xml:space="preserve">Cosecheros 2 - vecino de Boris </t>
  </si>
  <si>
    <t xml:space="preserve">Ingrid Yulieth estrada Ayala </t>
  </si>
  <si>
    <t xml:space="preserve">Luz Dary estrada </t>
  </si>
  <si>
    <t>13*4</t>
  </si>
  <si>
    <t>El terreno actualmente está vacío, tiene acceso a manguera de agua, pero no es potable, actualmente viven con una tía.</t>
  </si>
  <si>
    <t>Por la virgen</t>
  </si>
  <si>
    <t>Maria del Carmen Carmona bravo</t>
  </si>
  <si>
    <t>14*4</t>
  </si>
  <si>
    <t>Vive con. Su hija de arrimada en otra vivienda y alguien le dió la oportunidad de ir pagando el terreno, el terreno actualmente tiene un rancho para descartar.</t>
  </si>
  <si>
    <t>Colinas de LNJ</t>
  </si>
  <si>
    <t>Yurti Valencia</t>
  </si>
  <si>
    <t>Ramon</t>
  </si>
  <si>
    <t>8*4</t>
  </si>
  <si>
    <t>Actualmente viven en un espacio dentro de la vivienda de la suegra y tienen una niña pequeña y lo que está construido está en muy mal estado.</t>
  </si>
  <si>
    <t>Francisco Jesús Granda Mora</t>
  </si>
  <si>
    <t>0.08</t>
  </si>
  <si>
    <t>60 m</t>
  </si>
  <si>
    <t>El señor lleva un mes en la comunidad, antes vivía en Manrique, está viviendo en una iglesia, dice que le darán un terreno.</t>
  </si>
  <si>
    <t>Luz Deidania Palacios Serna</t>
  </si>
  <si>
    <t>Dani, Hija</t>
  </si>
  <si>
    <t xml:space="preserve">La mamá cabeza de hogar, 4 hijos y 2 nietos, la mamá trabaja como procesadora de alimentos en un colegios, casi todos estudiando, condiciones de la vivienda en mal estado. </t>
  </si>
  <si>
    <t>Carmen ospina</t>
  </si>
  <si>
    <t xml:space="preserve">Carmenza Beltrán </t>
  </si>
  <si>
    <t>10*4</t>
  </si>
  <si>
    <t>La señora la desalojaron de la vivienda, vive con su nietecita pero cada noche no sabe dónde pasar la noche, los vecinos le ayudaron a conseguir el terreno, necesita un hogar fijo y estable con su nietecita porque son solo ellas dos y cada noche es a la deriva.</t>
  </si>
  <si>
    <t xml:space="preserve">Maria Cristina Cadavid </t>
  </si>
  <si>
    <t xml:space="preserve">Sandra Maritza Saldarriaga </t>
  </si>
  <si>
    <t xml:space="preserve">Manuela </t>
  </si>
  <si>
    <t>18*5</t>
  </si>
  <si>
    <t>Actualmente viven en una casita de tablas, no hay agua potable de epm, si salen beneficiados desmontan el ranchito a la señora anteriormente le construyó Techo, pero un derrumbe en otra zona donde residía le daño la casita.</t>
  </si>
  <si>
    <t>Cafetal</t>
  </si>
  <si>
    <t xml:space="preserve">Mauricio Álvarez </t>
  </si>
  <si>
    <t>Zuleima Andrea Carrera</t>
  </si>
  <si>
    <t>8x15m</t>
  </si>
  <si>
    <t xml:space="preserve">Los pinos </t>
  </si>
  <si>
    <t xml:space="preserve">Ever Galindo </t>
  </si>
  <si>
    <t>Cindy herrera</t>
  </si>
  <si>
    <t>12*5</t>
  </si>
  <si>
    <t>El terreno es compartido con la hermana, llega manguera de agua, el núcleo familiar está compuesto por 2 niños, 7 y 11 años.</t>
  </si>
  <si>
    <t>Surley urbano</t>
  </si>
  <si>
    <t>Rosny ospino</t>
  </si>
  <si>
    <t>10 ñaos</t>
  </si>
  <si>
    <t>5*12</t>
  </si>
  <si>
    <t>Núcleo familiar, dos niñas 3 y 12 años y vive con la pareja.</t>
  </si>
  <si>
    <t>Vive en el Hueco - La construcción sería en Torre 11</t>
  </si>
  <si>
    <t>Yamile Quintana</t>
  </si>
  <si>
    <t>Olga Lucia Holguin</t>
  </si>
  <si>
    <t>Viven en una vivienda alquilada</t>
  </si>
  <si>
    <t>Luisa Acevedo</t>
  </si>
  <si>
    <t>Maria del Carmen diaz</t>
  </si>
  <si>
    <t>N/A</t>
  </si>
  <si>
    <t>Sor María meneses</t>
  </si>
  <si>
    <t>María dolly caro</t>
  </si>
  <si>
    <t>María Georgina Hernández carvajal</t>
  </si>
  <si>
    <t>María Inelda moreno machado</t>
  </si>
  <si>
    <t>Altos 1-Marranera</t>
  </si>
  <si>
    <t xml:space="preserve">Xiomara González </t>
  </si>
  <si>
    <t>10x5</t>
  </si>
  <si>
    <t>Vive con una sola persona. Menor de edad</t>
  </si>
  <si>
    <t>Altos 1 Marranera</t>
  </si>
  <si>
    <t xml:space="preserve">Alejandra Giraldo </t>
  </si>
  <si>
    <t>8*6</t>
  </si>
  <si>
    <t xml:space="preserve">Vive con 4 personas. 1 menor de edad </t>
  </si>
  <si>
    <t xml:space="preserve">Carmen Tulia Ospina </t>
  </si>
  <si>
    <t>7x4</t>
  </si>
  <si>
    <t xml:space="preserve">La familia ya estaba inscrita pero no tenían terreno, así si tienen terreno para la construcción </t>
  </si>
  <si>
    <t xml:space="preserve">Erika coronado </t>
  </si>
  <si>
    <t xml:space="preserve">Sector las Florez </t>
  </si>
  <si>
    <t xml:space="preserve">Antonio Jose Vasquez Gutiérrez </t>
  </si>
  <si>
    <t>Jose hiladio Vasquez (hijo )</t>
  </si>
  <si>
    <t xml:space="preserve">7*9 metros </t>
  </si>
  <si>
    <t xml:space="preserve">EStefania Conde rosario </t>
  </si>
  <si>
    <t xml:space="preserve">Inelda ( vecina) </t>
  </si>
  <si>
    <t xml:space="preserve">6 meses </t>
  </si>
  <si>
    <t xml:space="preserve">11*8 metros </t>
  </si>
  <si>
    <t>Sergio Lopez</t>
  </si>
  <si>
    <t>Natalia Zapata Giraldo</t>
  </si>
  <si>
    <t>No se sabe el número de cedula</t>
  </si>
  <si>
    <t>0 años</t>
  </si>
  <si>
    <t>Isabela Gallo</t>
  </si>
  <si>
    <t xml:space="preserve">Intersección entre manantiales y altos de oriente </t>
  </si>
  <si>
    <t>Francisco Antonio Leal Castaño</t>
  </si>
  <si>
    <t>Leonor Castaño</t>
  </si>
  <si>
    <t>20años</t>
  </si>
  <si>
    <t>5.70x8m</t>
  </si>
  <si>
    <t>Vive en la parte alta de altos de oriente, desea su vivienda al lado de la casa de su mamá. Se debe agendar con anticipación  la encuesta ya que trabaja</t>
  </si>
  <si>
    <t>Yesica Alexandra Mazo Gallego</t>
  </si>
  <si>
    <t>Alba Lucia Velez</t>
  </si>
  <si>
    <t>Javier Silva</t>
  </si>
  <si>
    <t>31x32</t>
  </si>
  <si>
    <t>La nueva Jerusalén</t>
  </si>
  <si>
    <t>Saida Toro Mendoza</t>
  </si>
  <si>
    <t>7x5</t>
  </si>
  <si>
    <t xml:space="preserve">El morro </t>
  </si>
  <si>
    <t xml:space="preserve">Liliana María Betancourt </t>
  </si>
  <si>
    <t xml:space="preserve">Luis María Betancourt </t>
  </si>
  <si>
    <t xml:space="preserve">Las medidas son parciales </t>
  </si>
  <si>
    <t>Guadalupe (por el puente amarillo)</t>
  </si>
  <si>
    <t>Sandra Milena Bedoya Rojas</t>
  </si>
  <si>
    <t>Sebastián Bedoya</t>
  </si>
  <si>
    <t>Se le quemó la vivienda y perdió todo, pero tenía todos los servicios</t>
  </si>
  <si>
    <t>La Guadalupe</t>
  </si>
  <si>
    <t>Ledy María Pila Miranda</t>
  </si>
  <si>
    <t>Vicenta Maria</t>
  </si>
  <si>
    <t>Se le incendio la vivienda y contaba con todos los servicios</t>
  </si>
  <si>
    <t xml:space="preserve">Guadalupe- la marranera ale a la vuelta </t>
  </si>
  <si>
    <t xml:space="preserve">Ana de Jesús Ceballos </t>
  </si>
  <si>
    <t xml:space="preserve">Adonay guerra-esposo </t>
  </si>
  <si>
    <t>10x7.5</t>
  </si>
  <si>
    <t xml:space="preserve">Doña Ana nagnificada del incendio </t>
  </si>
  <si>
    <t>Amelis Junior Risquez La rosa</t>
  </si>
  <si>
    <t>Eliartis</t>
  </si>
  <si>
    <t>Se le incendio la vivienda parcialmente pero no tienen terreno.</t>
  </si>
  <si>
    <t xml:space="preserve">Guadalupe </t>
  </si>
  <si>
    <t xml:space="preserve">Luz marina misa zapata </t>
  </si>
  <si>
    <t xml:space="preserve">Jhn edison porras </t>
  </si>
  <si>
    <t>12x6</t>
  </si>
  <si>
    <t>Perdida de techo y conexión eléctrica debido a incendio</t>
  </si>
  <si>
    <t>Delbie Palacios Palacios</t>
  </si>
  <si>
    <t>Maria Palacios</t>
  </si>
  <si>
    <t>Vive en vivienda arrendada</t>
  </si>
  <si>
    <t xml:space="preserve">Margarita Salazar </t>
  </si>
  <si>
    <t xml:space="preserve">Gloria Salazar </t>
  </si>
  <si>
    <t xml:space="preserve">6 frente 12 fondo </t>
  </si>
  <si>
    <t xml:space="preserve">Escribir a WhatsApp </t>
  </si>
  <si>
    <t xml:space="preserve">Luisa Fernanda González </t>
  </si>
  <si>
    <t>Olga Lucia Miranda</t>
  </si>
  <si>
    <t xml:space="preserve">26 años </t>
  </si>
  <si>
    <t>Verificar si tiene vivienda de techo, posiblemente la tenga</t>
  </si>
  <si>
    <t>Leonor Castaño Graciano</t>
  </si>
  <si>
    <t>Maria Inelda</t>
  </si>
  <si>
    <t>7*4</t>
  </si>
  <si>
    <t>Maria Isabel Cifuentes</t>
  </si>
  <si>
    <t xml:space="preserve">Jhon Alex Garzón </t>
  </si>
  <si>
    <t>10x6</t>
  </si>
  <si>
    <t xml:space="preserve">Se construye en el terreno donde edta la vivienda actual </t>
  </si>
  <si>
    <t>Lina Yotagri</t>
  </si>
  <si>
    <t>Margarita Yotagri</t>
  </si>
  <si>
    <t>16*22</t>
  </si>
  <si>
    <t xml:space="preserve">Reside en el barrio la Francia, tiene terreno en altos 2 hace 7 años. </t>
  </si>
  <si>
    <t>Luisa acevedo</t>
  </si>
  <si>
    <t>Noreley Hernández hernandez</t>
  </si>
  <si>
    <t>4x4</t>
  </si>
  <si>
    <t>Maria Georgina hernandez</t>
  </si>
  <si>
    <t>7x7</t>
  </si>
  <si>
    <t xml:space="preserve">Comunicación por WhatsApp </t>
  </si>
  <si>
    <t xml:space="preserve">Altos 1 - Cerca la Marranera </t>
  </si>
  <si>
    <t xml:space="preserve">Jhon Alexander Garzón </t>
  </si>
  <si>
    <t xml:space="preserve">Maria Isabel Cifuentes </t>
  </si>
  <si>
    <t>20x12</t>
  </si>
  <si>
    <t xml:space="preserve">Edelmira Jiménez </t>
  </si>
  <si>
    <t>Yeison Vargas</t>
  </si>
  <si>
    <t>12*15</t>
  </si>
  <si>
    <t>Escribir a WhatsApp, la vivienda es para el hijo ella le va a pasar los papeles de la vivienda al hijo</t>
  </si>
  <si>
    <t>Maria oliva mena</t>
  </si>
  <si>
    <t>6x6</t>
  </si>
  <si>
    <t>Jesid Villaneda</t>
  </si>
  <si>
    <t>Lina Botero</t>
  </si>
  <si>
    <t>25x30</t>
  </si>
  <si>
    <t xml:space="preserve">Vive en arriendo </t>
  </si>
  <si>
    <t>Alexa andrade</t>
  </si>
  <si>
    <t>50 metros cuadrados</t>
  </si>
  <si>
    <t xml:space="preserve">Lina Andre Botero </t>
  </si>
  <si>
    <t xml:space="preserve">Jesid Villaneda </t>
  </si>
  <si>
    <t>Cerca a la Marranera - Calle larga</t>
  </si>
  <si>
    <t xml:space="preserve">Dora Silva </t>
  </si>
  <si>
    <t>Juan David Urrego</t>
  </si>
  <si>
    <t>15x7</t>
  </si>
  <si>
    <t xml:space="preserve">Vive en vivienda familiar </t>
  </si>
  <si>
    <t>Alba Yaneth García loaiza</t>
  </si>
  <si>
    <t>No viven en la comunidad</t>
  </si>
  <si>
    <t>Luisa Fernanda Ramirez garcia</t>
  </si>
  <si>
    <t>No vive en la comunidad</t>
  </si>
  <si>
    <t>Juan Camilo Ramírez garcia</t>
  </si>
  <si>
    <t>No vive en la cominodad</t>
  </si>
  <si>
    <t>Gabriel ángel Graciano tamayo</t>
  </si>
  <si>
    <t>1 mes</t>
  </si>
  <si>
    <t xml:space="preserve">La Marranera </t>
  </si>
  <si>
    <t xml:space="preserve">Juan Angel Henao Ochoa </t>
  </si>
  <si>
    <t>Ana del Socorro Valodas</t>
  </si>
  <si>
    <t>6x7</t>
  </si>
  <si>
    <t xml:space="preserve">Solo WhatsApp </t>
  </si>
  <si>
    <t xml:space="preserve">Altos 2 - cerca a la iglesia blanca </t>
  </si>
  <si>
    <t xml:space="preserve">Gabriel Rendón </t>
  </si>
  <si>
    <t xml:space="preserve">Rocio Rendón </t>
  </si>
  <si>
    <t>14x8</t>
  </si>
  <si>
    <t>Vive arrendado</t>
  </si>
  <si>
    <t>Maria Rita Garcia galvis</t>
  </si>
  <si>
    <t>8x3</t>
  </si>
  <si>
    <t>Nancy Vidal</t>
  </si>
  <si>
    <t>Joselito Ruiz</t>
  </si>
  <si>
    <t>7*12</t>
  </si>
  <si>
    <t>Jair Alberto monsalve henao</t>
  </si>
  <si>
    <t>33x100</t>
  </si>
  <si>
    <t xml:space="preserve">Luis Angel Velásquez Vallejo </t>
  </si>
  <si>
    <t>Alexa Sofía Andrade</t>
  </si>
  <si>
    <t>5*10</t>
  </si>
  <si>
    <t>WhatsApp o llamadas.</t>
  </si>
  <si>
    <t>Luz Farelys Loaiza</t>
  </si>
  <si>
    <t>Luis Zapata</t>
  </si>
  <si>
    <t>Tiene una vivienda construida en buen estado que no es de techo, pero desea que se le construya una torre de agua o SCPALL</t>
  </si>
  <si>
    <t>Altos 1 - Cerca a punto elite</t>
  </si>
  <si>
    <t xml:space="preserve">Antonio José Guzmán </t>
  </si>
  <si>
    <t>Gladis Emilsen</t>
  </si>
  <si>
    <t>5x7</t>
  </si>
  <si>
    <t>Solo vivienda</t>
  </si>
  <si>
    <t>Elkin Fernando Garcia loaiza</t>
  </si>
  <si>
    <t>20x20</t>
  </si>
  <si>
    <t>Alexandra arias osorio</t>
  </si>
  <si>
    <t>7x6</t>
  </si>
  <si>
    <t>Sector altos 2</t>
  </si>
  <si>
    <t xml:space="preserve">Arístides García David </t>
  </si>
  <si>
    <t xml:space="preserve">Julian Arango </t>
  </si>
  <si>
    <t>John Jairo loaiza arango</t>
  </si>
  <si>
    <t xml:space="preserve">Ivan Loaiza </t>
  </si>
  <si>
    <t xml:space="preserve">Rosalía Arango </t>
  </si>
  <si>
    <t>Consuelo Zuleta</t>
  </si>
  <si>
    <t>Roselia Arango</t>
  </si>
  <si>
    <t>La vivienda en la que vive es de Techo, pero fue una herencia de su suegra. La vivienda ya está en manos estado</t>
  </si>
  <si>
    <t>Esneda Mazo David</t>
  </si>
  <si>
    <t>Alex Herrera</t>
  </si>
  <si>
    <t>5*5</t>
  </si>
  <si>
    <t xml:space="preserve">El vivienda tiene probabilidad de ampliación </t>
  </si>
  <si>
    <t>Emilse Velásquez Cartagena</t>
  </si>
  <si>
    <t>Jose Díaz Polo</t>
  </si>
  <si>
    <t>10x12</t>
  </si>
  <si>
    <t>Nora Guerra</t>
  </si>
  <si>
    <t>Robinson Oquendo</t>
  </si>
  <si>
    <t xml:space="preserve">Angie Paola Martinez Cuesta </t>
  </si>
  <si>
    <t xml:space="preserve">Estefan David González </t>
  </si>
  <si>
    <t xml:space="preserve">Blanca Dolly higuita higuita </t>
  </si>
  <si>
    <t xml:space="preserve">Martha Ligia higuita higuita </t>
  </si>
  <si>
    <t xml:space="preserve">12 metros </t>
  </si>
  <si>
    <t xml:space="preserve">Gracias por la ayuda </t>
  </si>
  <si>
    <t>Elizabeth Quiceno</t>
  </si>
  <si>
    <t>Guillermo Arley Viana Zapata</t>
  </si>
  <si>
    <t>8 de largo por 6 de ancho.</t>
  </si>
  <si>
    <t>Melba Linicet Mena</t>
  </si>
  <si>
    <t>8x5</t>
  </si>
  <si>
    <t xml:space="preserve">Mariana Urrego Uribe </t>
  </si>
  <si>
    <t>Fany del Socorro Usuga</t>
  </si>
  <si>
    <t>5x18 (Eso creo la señora)</t>
  </si>
  <si>
    <t>El terreno está a nombre del hijo, viven en una casa del hijo por ahora</t>
  </si>
  <si>
    <t>Maria Eloisa Oquendo David</t>
  </si>
  <si>
    <t>Linda Oquendo</t>
  </si>
  <si>
    <t>3192829729 3145010097</t>
  </si>
  <si>
    <t>10 x 10 m</t>
  </si>
  <si>
    <t>Leslie Rosa España Cervantes</t>
  </si>
  <si>
    <t>Juan Camilo Suárez Oquendo</t>
  </si>
  <si>
    <t>10x12 m</t>
  </si>
  <si>
    <t xml:space="preserve">Julián Arango </t>
  </si>
  <si>
    <t xml:space="preserve">Jeimy Rubio </t>
  </si>
  <si>
    <t>Eloísa David</t>
  </si>
  <si>
    <t xml:space="preserve">Eloisa David </t>
  </si>
  <si>
    <t>Lizeth Johana Moreno cardona</t>
  </si>
  <si>
    <t>50 mts 2</t>
  </si>
  <si>
    <t xml:space="preserve">Osmer bello perez </t>
  </si>
  <si>
    <t>18 mts 2</t>
  </si>
  <si>
    <t>Marranera</t>
  </si>
  <si>
    <t>Luisa Fernanda muñoz</t>
  </si>
  <si>
    <t>7x15</t>
  </si>
  <si>
    <t>Maria Isabel jurado</t>
  </si>
  <si>
    <t>20x6</t>
  </si>
  <si>
    <t>Angie liliana Guerra Fernandez</t>
  </si>
  <si>
    <t>El portar</t>
  </si>
  <si>
    <t>Yuliana Maria Gaviria Avellaneda</t>
  </si>
  <si>
    <t>Nelson Gaviria</t>
  </si>
  <si>
    <t>10x22m</t>
  </si>
  <si>
    <t>Comumicarse solo por whatsapp, no llamadas</t>
  </si>
  <si>
    <t>Flores 2</t>
  </si>
  <si>
    <t>Diana María Ocampo reinosa</t>
  </si>
  <si>
    <t>N|a</t>
  </si>
  <si>
    <t>Maria Angelica Ortiz Posada</t>
  </si>
  <si>
    <t>Andri Tatiana Ortiz Posada</t>
  </si>
  <si>
    <t>13x27m</t>
  </si>
  <si>
    <t>Sara santaella</t>
  </si>
  <si>
    <t>Maria Fabiola Carmona</t>
  </si>
  <si>
    <t>Monica valencia</t>
  </si>
  <si>
    <t>10x14</t>
  </si>
  <si>
    <t>Altos granizal</t>
  </si>
  <si>
    <t>Manuel Alejandro cardona</t>
  </si>
  <si>
    <t xml:space="preserve">Juliana Pacheco </t>
  </si>
  <si>
    <t xml:space="preserve">manantiales 5 </t>
  </si>
  <si>
    <t xml:space="preserve">Gloria Aidé Jaramillo Diana </t>
  </si>
  <si>
    <t>Cc 42937945</t>
  </si>
  <si>
    <t>Saray Quintero (hija)</t>
  </si>
  <si>
    <t xml:space="preserve">No se encuentra residiendo en granizal porque su casa está en muy mal estado, reside en un pueblo </t>
  </si>
  <si>
    <t xml:space="preserve">Juan Pablo Castaño </t>
  </si>
  <si>
    <t xml:space="preserve">Sector 6 de manantiales </t>
  </si>
  <si>
    <t xml:space="preserve">Hernan Darío Muñoz </t>
  </si>
  <si>
    <t xml:space="preserve">Jhon Alexander </t>
  </si>
  <si>
    <t xml:space="preserve">7x9 </t>
  </si>
  <si>
    <t xml:space="preserve">Ya se le construyó vivienda a la persona hace 12 años. NO TIENE OTRO LOTE PARA CONSTRUIR </t>
  </si>
  <si>
    <t>Pinar</t>
  </si>
  <si>
    <t>4x12</t>
  </si>
  <si>
    <t>Ya se le ha hecho visita pero fue hace dos años, el dice que aprovecho el tiempo para dejar todo listo para la construcción</t>
  </si>
  <si>
    <t>Sector 5 manantiales</t>
  </si>
  <si>
    <t>Luz Dary Jimenez</t>
  </si>
  <si>
    <t>Ema sepulveda</t>
  </si>
  <si>
    <t>Sonia Yasmin Sepulveda Vargas</t>
  </si>
  <si>
    <t>Manuel Cardona</t>
  </si>
  <si>
    <t>6x6m</t>
  </si>
  <si>
    <t>Solo comunicarsw por whapsapp, no llamadas</t>
  </si>
  <si>
    <t>Julián solarte arando</t>
  </si>
  <si>
    <t>0.5</t>
  </si>
  <si>
    <t>Sonia yasmin Sepulveda Vargas</t>
  </si>
  <si>
    <t>Solo comunicarse por whatsapp</t>
  </si>
  <si>
    <t xml:space="preserve">manantiales sector 5 </t>
  </si>
  <si>
    <t>María Nohaba</t>
  </si>
  <si>
    <t>Cc 21813485</t>
  </si>
  <si>
    <t xml:space="preserve">10x8 </t>
  </si>
  <si>
    <t xml:space="preserve">Manifiesta que es un señor de mayor edad que reside solo y manifiesta no conocer su apellido no mucha información, el señor se llama libardo </t>
  </si>
  <si>
    <t>Pinar - Cometas</t>
  </si>
  <si>
    <t>Nilsa Blanco</t>
  </si>
  <si>
    <t>David Martinez</t>
  </si>
  <si>
    <t>Sandra Chavarria</t>
  </si>
  <si>
    <t>Jaime Urrego</t>
  </si>
  <si>
    <t>9x9</t>
  </si>
  <si>
    <t>Aura Diana</t>
  </si>
  <si>
    <t>Gelman Zapata</t>
  </si>
  <si>
    <t>Por confirmar pero si tiene el espacio</t>
  </si>
  <si>
    <t xml:space="preserve">La Paz </t>
  </si>
  <si>
    <t xml:space="preserve">Ana María Alvis </t>
  </si>
  <si>
    <t xml:space="preserve">Jhaider Amell </t>
  </si>
  <si>
    <t>6*11</t>
  </si>
  <si>
    <t xml:space="preserve">oasis de paz </t>
  </si>
  <si>
    <t xml:space="preserve">Efigenia del rosario zapata </t>
  </si>
  <si>
    <t xml:space="preserve">Sara elizabeth giraldo </t>
  </si>
  <si>
    <t xml:space="preserve">25 años </t>
  </si>
  <si>
    <t>Colina</t>
  </si>
  <si>
    <t xml:space="preserve">Rosmery morales </t>
  </si>
  <si>
    <t>Eliezer serna</t>
  </si>
  <si>
    <t>7años</t>
  </si>
  <si>
    <t>7 mtros de frente x 12 de fondo</t>
  </si>
  <si>
    <t xml:space="preserve">Elibeth Carreño </t>
  </si>
  <si>
    <t xml:space="preserve">Sector flores - altos de oriente </t>
  </si>
  <si>
    <t>Maria Rosalía quiceno</t>
  </si>
  <si>
    <t>6x4</t>
  </si>
  <si>
    <t xml:space="preserve">Es para el hijo que no tiene vivienda, la señora sufre de mala salud mental. El hijo no puede trabajar </t>
  </si>
  <si>
    <t>Altos de las flores - Por la Marranera calle larga</t>
  </si>
  <si>
    <t>Luis Alberto Brunal Mejia</t>
  </si>
  <si>
    <t xml:space="preserve">Cédula </t>
  </si>
  <si>
    <t>Eyisenia</t>
  </si>
  <si>
    <t>5,8x9,5</t>
  </si>
  <si>
    <t xml:space="preserve">Piso de tierra revisar caso, dos niños pequeños </t>
  </si>
  <si>
    <t>Sector 6, por la marranera</t>
  </si>
  <si>
    <t xml:space="preserve">Luz Adriana Naranjo Girón </t>
  </si>
  <si>
    <t xml:space="preserve">Actualmente vive en arriendo, pero están pagando un terreno. Viven 4 personas adultas y una bebé </t>
  </si>
  <si>
    <t>Luza Alvarado Cano</t>
  </si>
  <si>
    <t>Por dónde don Pastor hacia abajo.Altos 1</t>
  </si>
  <si>
    <t xml:space="preserve">María Angélica Ortíz Posada </t>
  </si>
  <si>
    <t>Andry Ortiz</t>
  </si>
  <si>
    <t xml:space="preserve">22 años </t>
  </si>
  <si>
    <t>15x30</t>
  </si>
  <si>
    <t xml:space="preserve">Actualmente tiene una vivienda en mal estado. A la hija de le construyó hace algunos años en el mismo terreno pero menciona que es muy grande como para que se pueda ocupar por dos viviendas. </t>
  </si>
  <si>
    <t xml:space="preserve">Elibeth Carreño Sáenz </t>
  </si>
  <si>
    <t xml:space="preserve">Sector la cruz roja </t>
  </si>
  <si>
    <t xml:space="preserve">Yuli Andrea Guerra Echavarría </t>
  </si>
  <si>
    <t xml:space="preserve">Luz Marina Echavarría </t>
  </si>
  <si>
    <t>6 año8x10</t>
  </si>
  <si>
    <t>8x10</t>
  </si>
  <si>
    <t>Se encuentra viviendo actualmente en arriendo, bebé con dos menores de edad.</t>
  </si>
  <si>
    <t>Alejandro Alzate</t>
  </si>
  <si>
    <t>Cerca a la virgen de Guadalupe. Por el laboratorio de odontología.</t>
  </si>
  <si>
    <t>Dora Dilia Mosquera Torres</t>
  </si>
  <si>
    <t>12x17</t>
  </si>
  <si>
    <t xml:space="preserve">Sector calle vieja, las caballerizas </t>
  </si>
  <si>
    <t xml:space="preserve">Nancy Ester Restrepo Mercado </t>
  </si>
  <si>
    <t xml:space="preserve">Luis Javier Londoño </t>
  </si>
  <si>
    <t>El terreno se encuentra parejo.</t>
  </si>
  <si>
    <t>El mirador</t>
  </si>
  <si>
    <t>Luz Irene Marín</t>
  </si>
  <si>
    <t>Mide más de la medida mínima</t>
  </si>
  <si>
    <t>Ella es una persona muy enferma y mando representante a la mesa (el hermano)</t>
  </si>
  <si>
    <t>FECHA INGRESO</t>
  </si>
  <si>
    <t>NOMBRE COMPLETO</t>
  </si>
  <si>
    <t>CEDULA</t>
  </si>
  <si>
    <t>CONTACTO 1</t>
  </si>
  <si>
    <t>COMUNIDAD</t>
  </si>
  <si>
    <t>SECTOR</t>
  </si>
  <si>
    <t>DETALLE DIRECCIÓN</t>
  </si>
  <si>
    <t>NOMBRE CONTACTO 2</t>
  </si>
  <si>
    <t>CONTACTO 2</t>
  </si>
  <si>
    <t>TERRENO PROPIO</t>
  </si>
  <si>
    <t>AÑOS EN COMUNIDAD</t>
  </si>
  <si>
    <t>BENEFICIARIO ANTIGUO PROGRAMA GRANIZAL</t>
  </si>
  <si>
    <t>ESTADO</t>
  </si>
  <si>
    <t>FECHA ENCUESTA</t>
  </si>
  <si>
    <t>PRIORIDAD DE VIVIENDA</t>
  </si>
  <si>
    <t>CC VDE</t>
  </si>
  <si>
    <t>FECHA CC VDE</t>
  </si>
  <si>
    <t>CC VP</t>
  </si>
  <si>
    <t>FECHA CC VP</t>
  </si>
  <si>
    <t>CC BAÑO</t>
  </si>
  <si>
    <t>FECHA CC BAÑO</t>
  </si>
  <si>
    <t>CC SCPALL</t>
  </si>
  <si>
    <t>FECHA CC SCPAL</t>
  </si>
  <si>
    <t>CC TORRE</t>
  </si>
  <si>
    <t>FECHA CC TORRE</t>
  </si>
  <si>
    <t>OBSERVACIONES GENERALES</t>
  </si>
  <si>
    <t>Oscar Dario Velasquez</t>
  </si>
  <si>
    <t>Por la y, donde llegan los buses</t>
  </si>
  <si>
    <t>Gustavo Velasquez, Hermano</t>
  </si>
  <si>
    <t>Encuestado</t>
  </si>
  <si>
    <t>Media</t>
  </si>
  <si>
    <t>Oasis de Paz</t>
  </si>
  <si>
    <t>Caracterizado</t>
  </si>
  <si>
    <t>Onasis Palacios Palacios</t>
  </si>
  <si>
    <t>Por calle los puentes, cerca de donde vive el señor muletas</t>
  </si>
  <si>
    <t>Maria Victoria, Pareja</t>
  </si>
  <si>
    <t>Martha Gonzalez</t>
  </si>
  <si>
    <t>San José del Pinar</t>
  </si>
  <si>
    <t>Al frente de la fundación Ancla</t>
  </si>
  <si>
    <t>Por la iglesia pequeña del portal de oriente</t>
  </si>
  <si>
    <t>Contacto 2</t>
  </si>
  <si>
    <t>Alta</t>
  </si>
  <si>
    <t>Encuesta no encontrada</t>
  </si>
  <si>
    <t>Zaida Riascos Quintero</t>
  </si>
  <si>
    <t>Por la cañada, por la entrada de las piedras</t>
  </si>
  <si>
    <t>Isabella, Hija</t>
  </si>
  <si>
    <t>Sandra Milena Acevedo Gomez</t>
  </si>
  <si>
    <t>Por el clan</t>
  </si>
  <si>
    <t>Sandra Patricia Sosa Días</t>
  </si>
  <si>
    <t>Por la tienda de Alberto, arriba de la iglesia Amarilla</t>
  </si>
  <si>
    <t>Mamá</t>
  </si>
  <si>
    <t>Al frente de la tienda de coco</t>
  </si>
  <si>
    <t>Sandra Alzate, Mamá</t>
  </si>
  <si>
    <t>Alba Lucía Moreno, Mamá</t>
  </si>
  <si>
    <t>Natanael Santos</t>
  </si>
  <si>
    <t>Ana Cecilia Marin</t>
  </si>
  <si>
    <t>Por el deposito "hogar" don Diuner</t>
  </si>
  <si>
    <t>Faisury Esmeralda Ulcue</t>
  </si>
  <si>
    <t>El regalo de Dios</t>
  </si>
  <si>
    <t>Brenda Maca</t>
  </si>
  <si>
    <t>Hernan Ospina</t>
  </si>
  <si>
    <t>Por el supermercado Valentina</t>
  </si>
  <si>
    <t>Leidy, Hija</t>
  </si>
  <si>
    <t>Asignado</t>
  </si>
  <si>
    <t>No asignable</t>
  </si>
  <si>
    <t>Construido</t>
  </si>
  <si>
    <t>Sorely Taborda, Mamá</t>
  </si>
  <si>
    <t>Inactivo</t>
  </si>
  <si>
    <t>No esta interesadx</t>
  </si>
  <si>
    <t>Pedro Pablo García Arellano, Pareja</t>
  </si>
  <si>
    <t>Beatriz Elena Zapata</t>
  </si>
  <si>
    <t>Omar Ortiz, Pareja</t>
  </si>
  <si>
    <t>Maria Rosa Sepulveda</t>
  </si>
  <si>
    <t>Nancy Sanpedro</t>
  </si>
  <si>
    <t>Por punto elite</t>
  </si>
  <si>
    <t>Baja</t>
  </si>
  <si>
    <t>Rosa Elena Florez, Pareja</t>
  </si>
  <si>
    <t>Oscar Dario Velásquez, Hermano</t>
  </si>
  <si>
    <t>Ana Lucía Carvajal</t>
  </si>
  <si>
    <t>Por la cancha</t>
  </si>
  <si>
    <t>Adriana Patricia Durango</t>
  </si>
  <si>
    <t>Sede Altos 2</t>
  </si>
  <si>
    <t>Elda Vanessa Cortes</t>
  </si>
  <si>
    <t>Por el billar de don Pedro y la tienda de don Wilo</t>
  </si>
  <si>
    <t>Por la marranera</t>
  </si>
  <si>
    <t>Olga Jaramillo, Mamá</t>
  </si>
  <si>
    <t>Por el filo</t>
  </si>
  <si>
    <t>Luz Amparo Moreno</t>
  </si>
  <si>
    <t>Por punto elite, en la segunda rampa</t>
  </si>
  <si>
    <t>Yesenia Guzman, Nuera</t>
  </si>
  <si>
    <t>Rubiela Del Carmen Guerra</t>
  </si>
  <si>
    <t>Camila Lopez, Hija</t>
  </si>
  <si>
    <t>Nelson De Jesús Sepúlveda Sepúlveda</t>
  </si>
  <si>
    <t>Maria Rosa Sepulveda, Mamá</t>
  </si>
  <si>
    <t>Por el supermercado mercasara</t>
  </si>
  <si>
    <t>Maria Aguirre, Suegra</t>
  </si>
  <si>
    <t>Maria Aguirre Castro</t>
  </si>
  <si>
    <t>Por el supermercado mercasara, por rancho de lata</t>
  </si>
  <si>
    <t>Silvia Patricia Mejía Marqués</t>
  </si>
  <si>
    <t>Por Granisalud</t>
  </si>
  <si>
    <t>Ana Adelia, Cuñada</t>
  </si>
  <si>
    <t>Leidy Johana Martinez</t>
  </si>
  <si>
    <t>Por la peluqueria el primo</t>
  </si>
  <si>
    <t>Jesus Blandon</t>
  </si>
  <si>
    <t>Arnoldo De Jesus Duque</t>
  </si>
  <si>
    <t>Rosa, Vecina</t>
  </si>
  <si>
    <t>Jose Bernardo Monsalve</t>
  </si>
  <si>
    <t>Adriana Monsalve, Hija</t>
  </si>
  <si>
    <t>Kelly Johana Mosquera</t>
  </si>
  <si>
    <t>Por la antiguan panederia de don Chuco, por la sede de Ancla de arriba</t>
  </si>
  <si>
    <t>Esmeralda, Prima</t>
  </si>
  <si>
    <t>Por donde Junior</t>
  </si>
  <si>
    <t>Luis Alberto Vargas Villas, Pareja</t>
  </si>
  <si>
    <t>Papá</t>
  </si>
  <si>
    <t>Claudia Elena Duque Mejía</t>
  </si>
  <si>
    <t>Por el kiosko de don Danilo o de la tienda de doña Sofia y don Hector</t>
  </si>
  <si>
    <t>Carmenza Duque, Hermana</t>
  </si>
  <si>
    <t>José Roque Molina Miranda</t>
  </si>
  <si>
    <t>Angela Maria, Amiga</t>
  </si>
  <si>
    <t>Por la iglesia amarilla</t>
  </si>
  <si>
    <t>Por la tienda de don Alberto y la tienda de doña Marina</t>
  </si>
  <si>
    <t>Vainney, Pareja</t>
  </si>
  <si>
    <t>Por la tienda de don Saul, abajo de la iglesia amarilla</t>
  </si>
  <si>
    <t>Por la casa de la lider Monica</t>
  </si>
  <si>
    <t>Monica, Líder-Luz, Hermana</t>
  </si>
  <si>
    <t>3137341044-3228450535</t>
  </si>
  <si>
    <t>La familia ha logrado conseguir los recursos para construir el baño, estan conectados al agua comunitaria y tienen buen acceso a agua potable por medio de los tanques de abastecimiento comunitarios que le quedan a una cuadra y los recargan frecuentemente.</t>
  </si>
  <si>
    <t>Mauricio Alejandro Agudelo Restrepo</t>
  </si>
  <si>
    <t>Por la y</t>
  </si>
  <si>
    <t>Angie, Pareja</t>
  </si>
  <si>
    <t>Eliana Yulieth Berrio Valderrama</t>
  </si>
  <si>
    <t>Por la entrada a Altos de oriente 1 , por la y, por la tienda San Miguel</t>
  </si>
  <si>
    <t>Gloria, Mamá</t>
  </si>
  <si>
    <t>Otro</t>
  </si>
  <si>
    <t>Cervelina Obregón</t>
  </si>
  <si>
    <t>Por la tienda de saul</t>
  </si>
  <si>
    <t>Héctor Herrera</t>
  </si>
  <si>
    <t xml:space="preserve">La familia esta conectada al agua comunitaria, tienen filtro de agua (caneca especial), quieren conseguir la plata para comprar el saywer y tambien hierven el agua. </t>
  </si>
  <si>
    <t>Luis Eduardo Medina</t>
  </si>
  <si>
    <t>Olga Patricia, Arrendataria</t>
  </si>
  <si>
    <t>Por la marranera, por la tienda de Saul</t>
  </si>
  <si>
    <t>Jesús Alberto Mora, Vecino</t>
  </si>
  <si>
    <t>Amilcar Ruiz Machado</t>
  </si>
  <si>
    <t>Por la entrada de mantiales</t>
  </si>
  <si>
    <t>Marla Aponte Martín, Esposa</t>
  </si>
  <si>
    <t>Luz Dary Cataño Lujan</t>
  </si>
  <si>
    <t>Sergio Taborda, Hermano</t>
  </si>
  <si>
    <t>Luz Diana Bedoya</t>
  </si>
  <si>
    <t xml:space="preserve">La familia esta conectada al agua comunitaria, se le debe hacer post a la tuveria de la progresiva, tiene un filtro saywer que les dono otra fundación y ademas tiene un tanque de EPM al lado de la puerta, la carretera la estan arreglando y asi el carro puede subir más seguido </t>
  </si>
  <si>
    <t>Javier Cortés Aguirre</t>
  </si>
  <si>
    <t>Por la iglesia amarilla, 3122999632 Flor Angela Tobón</t>
  </si>
  <si>
    <t>Luis Octavia Quiroz Rodriguez</t>
  </si>
  <si>
    <t>María, Cuñada</t>
  </si>
  <si>
    <t>Katia Marcela Posada Vasquez</t>
  </si>
  <si>
    <t>María Palacios, Amiga</t>
  </si>
  <si>
    <t>María Ángela Correa Jaramillo</t>
  </si>
  <si>
    <t>Erika Paola Seguro Zapata</t>
  </si>
  <si>
    <t>Doris Baena</t>
  </si>
  <si>
    <t>Joaquín Sánchez, Esposo</t>
  </si>
  <si>
    <t>Gonzalo de Jesús Gaviria</t>
  </si>
  <si>
    <t>Por calle larga, entrada por la marranera</t>
  </si>
  <si>
    <t>Edilma Duque, Vecina</t>
  </si>
  <si>
    <t>Gilma Duque, Vecina</t>
  </si>
  <si>
    <t>Jorge Arango, Esposo</t>
  </si>
  <si>
    <t>Hernán Darío, Esposo</t>
  </si>
  <si>
    <t>Maria Isabel Ospina</t>
  </si>
  <si>
    <t>Marta Liliana Ramírez Sánchez</t>
  </si>
  <si>
    <t>Nelson Zuluaga, Pareja</t>
  </si>
  <si>
    <t>Daniel Giraldo, Tío</t>
  </si>
  <si>
    <t>María Alejandra Ramirez</t>
  </si>
  <si>
    <t>Paola, Suegra</t>
  </si>
  <si>
    <t>Luz Elaida Areiza Yepez</t>
  </si>
  <si>
    <t>Diana Sirley España Henao</t>
  </si>
  <si>
    <t>Jilma, Vecina</t>
  </si>
  <si>
    <t>Luz Dary Jiménez</t>
  </si>
  <si>
    <t>Alexander Vasquez, Padre de los hijos)</t>
  </si>
  <si>
    <t>Nubia Elena Posso Martínez</t>
  </si>
  <si>
    <t>Juan, Hijo</t>
  </si>
  <si>
    <t>Maria Fabiola Carmona, Mamá</t>
  </si>
  <si>
    <t>Angela Cuartas, Madre</t>
  </si>
  <si>
    <t>Luis Miguel Restrepo Ospina.</t>
  </si>
  <si>
    <t>Luis Calvo Avellaneda</t>
  </si>
  <si>
    <t>Maria Dolly Santa Valencia</t>
  </si>
  <si>
    <t>Verónica María Durango</t>
  </si>
  <si>
    <t>Adriana Durango su hermana tiene scpall y baño en la casa contigua, sin embargo no tienen buenas relaciones.</t>
  </si>
  <si>
    <t>Ruth Ramirez</t>
  </si>
  <si>
    <t>Es una VDE de 22,5 m2 con baño.</t>
  </si>
  <si>
    <t>Verónica Durango</t>
  </si>
  <si>
    <t>Jhany Mallerly Ruiz Rodriguez</t>
  </si>
  <si>
    <t>Claudia Patricia Gonzalz Coronado</t>
  </si>
  <si>
    <t>Norbey Ospina</t>
  </si>
  <si>
    <t>Arley Antonio Lujan García</t>
  </si>
  <si>
    <t>Marly Saldarriaga Zapata</t>
  </si>
  <si>
    <t>Lizeth Johana Moreno Cardona</t>
  </si>
  <si>
    <t>Andrés Felipe Osorio Castrillon</t>
  </si>
  <si>
    <t>- mamá</t>
  </si>
  <si>
    <t>Su madre Sandra Castrillon tiene scpall y vive en la casa contigua.</t>
  </si>
  <si>
    <t>Paula Andrea Garces Jimenez</t>
  </si>
  <si>
    <t>Isabel Garcia Mendez</t>
  </si>
  <si>
    <t>Valentina Yotagri</t>
  </si>
  <si>
    <t>Mariela Hurtado</t>
  </si>
  <si>
    <t>Yeison Gonzalez</t>
  </si>
  <si>
    <t>Tiene vivienda antigua de Techo.</t>
  </si>
  <si>
    <t>Claudia Garcés Giraldo</t>
  </si>
  <si>
    <t>Amanda López Duque</t>
  </si>
  <si>
    <t>Lesly Arroyave Márquez</t>
  </si>
  <si>
    <t>Xiomara González</t>
  </si>
  <si>
    <t>No quiere meterse en deudas hasta terminar de pagar la VDE y la TORRE.</t>
  </si>
  <si>
    <t>Antonio Jose Vasquez Gutiérrez</t>
  </si>
  <si>
    <t>Margarita Salazar</t>
  </si>
  <si>
    <t>Gloria Salazar</t>
  </si>
  <si>
    <t>Luisa Fernanda González</t>
  </si>
  <si>
    <t>Jhon Alex Garzón</t>
  </si>
  <si>
    <t>Jhon Alexander Garzón</t>
  </si>
  <si>
    <t>Edelmira Jiménez</t>
  </si>
  <si>
    <t>Lina Andre Botero</t>
  </si>
  <si>
    <t>Dora Silva</t>
  </si>
  <si>
    <t>Juan Angel Henao Ochoa</t>
  </si>
  <si>
    <t>Gabriel Rendón</t>
  </si>
  <si>
    <t>Iglesia blanca</t>
  </si>
  <si>
    <t>Rocio Rendón</t>
  </si>
  <si>
    <t>Luis Angel Velásquez Vallejo</t>
  </si>
  <si>
    <t>Antonio José Guzmán</t>
  </si>
  <si>
    <t>Punto elite</t>
  </si>
  <si>
    <t>Arístides García David</t>
  </si>
  <si>
    <t>Julian Arango</t>
  </si>
  <si>
    <t>Ivan Loaiza</t>
  </si>
  <si>
    <t>Rosalía Arango</t>
  </si>
  <si>
    <t>Julián Arango</t>
  </si>
  <si>
    <t>Osmer bello perez</t>
  </si>
  <si>
    <t>Gloria Aidé Jaramillo Diana</t>
  </si>
  <si>
    <t>Hernan Darío Muñoz</t>
  </si>
  <si>
    <t>Jhon Alexander</t>
  </si>
  <si>
    <t>Efigenia del rosario zapata</t>
  </si>
  <si>
    <t>Sara elizabeth giraldo</t>
  </si>
  <si>
    <t>Noemí Henao</t>
  </si>
  <si>
    <t>Ovidio de jesus henao</t>
  </si>
  <si>
    <t>Iglesia amarilla</t>
  </si>
  <si>
    <t>Marta Elena baena baena</t>
  </si>
  <si>
    <t>Sandra Milena Restrepo</t>
  </si>
  <si>
    <t>Escalera por punto elite</t>
  </si>
  <si>
    <t>José Guillermo Herrera Lobo</t>
  </si>
  <si>
    <t>Tienda don William</t>
  </si>
  <si>
    <t>Climaco Gallo</t>
  </si>
  <si>
    <t>Sede Altos de oriente 1</t>
  </si>
  <si>
    <t>Situación comunitaria</t>
  </si>
  <si>
    <t>Marleny Rodriguez</t>
  </si>
  <si>
    <t>DETALLES DE LA DIRECCIÓN</t>
  </si>
  <si>
    <t>BENEFICIARIO ANTIGUO</t>
  </si>
  <si>
    <t>OBSERVACIONES</t>
  </si>
  <si>
    <t>POST 1</t>
  </si>
  <si>
    <t>FECHA POST 1</t>
  </si>
  <si>
    <t>POST 2</t>
  </si>
  <si>
    <t>FECHA POST 2</t>
  </si>
  <si>
    <t>FORMATOS ????</t>
  </si>
  <si>
    <t>Alba Lucia Bedoya Suárez</t>
  </si>
  <si>
    <t>30-jul-22 |16-abr-23</t>
  </si>
  <si>
    <t>Media Alta</t>
  </si>
  <si>
    <t>Alba Luz Borja</t>
  </si>
  <si>
    <t>Carlos Quintero</t>
  </si>
  <si>
    <t>Sin definir</t>
  </si>
  <si>
    <t>Alexandra Patricia Jaramillo Rodríguez</t>
  </si>
  <si>
    <t>28-sep-24</t>
  </si>
  <si>
    <t>Cardiopatia y lesion en mano dominante, desplazada.</t>
  </si>
  <si>
    <t>Amancio Manyoma</t>
  </si>
  <si>
    <t>Ana Luisa Rendón Giraldo</t>
  </si>
  <si>
    <t>22-ene-23 | 16-abr-23</t>
  </si>
  <si>
    <t>Media Baja</t>
  </si>
  <si>
    <t>Adulta (casi mayor), vive sola , dice que está empezando a padecer de alzaimer aún no ha consultado. La casa está en muy mala condición pero aunque pase eso a nuestra percepción no alcanza la prioridad media alta o alta</t>
  </si>
  <si>
    <t>Ana María Bedoya</t>
  </si>
  <si>
    <t>Ana Rosa Quintana</t>
  </si>
  <si>
    <t>Anabel David David</t>
  </si>
  <si>
    <t>Anyi Vargas</t>
  </si>
  <si>
    <t>Arnolfo Valencia</t>
  </si>
  <si>
    <t>Aureliano Benítez</t>
  </si>
  <si>
    <t>Badry Johan Orozco Roldan</t>
  </si>
  <si>
    <t>Cel del vecino Rodolfo</t>
  </si>
  <si>
    <t>Pareja joven con una bebé de 7 meses, la mamá no trabaja se queda en la casa con la bebé, él no tiene un trabajo estable. Al terreno se le deben hacer adecuaciones grandes para la construcción de la vivienda</t>
  </si>
  <si>
    <t>Boris Leon Montoya</t>
  </si>
  <si>
    <t>Candida Zuleta</t>
  </si>
  <si>
    <t>10-sep-21</t>
  </si>
  <si>
    <t>Candy Libeth Jiménez Munera</t>
  </si>
  <si>
    <t>No cuenta con las dimensiones del terreno 6*40 3*40</t>
  </si>
  <si>
    <t>Carlos Alberto Quintero Ramírez</t>
  </si>
  <si>
    <t>Senaida Alejandra Giraldo Garcés</t>
  </si>
  <si>
    <t>Son una pareja la cual tiene un hijo de un año,no tienen residencia fija.</t>
  </si>
  <si>
    <t>Carlos Arturo Rivas Suárez</t>
  </si>
  <si>
    <t>La vivienda está en un estado aceptable, tienen un menor de edad viviendo con ellos, la esposa tiene diabetes. Sin embargo el señor tiene algunos animales y de vez en cuando hace trabajos, lo que les permite subusistir de manera más o menos aceptable.</t>
  </si>
  <si>
    <t>Carlos Mario Restrepo</t>
  </si>
  <si>
    <t>Vivienda que se incendio el día domingo 9 de julio. Persona que está próxima a una cirugía la pierna por accidente de tránsito</t>
  </si>
  <si>
    <t>Carlos Mario Muñoz Baena</t>
  </si>
  <si>
    <t>Carmen Tulia Ospina Patiño</t>
  </si>
  <si>
    <t>Daniela Ospina</t>
  </si>
  <si>
    <t>Persona desalojada hace 6 años regreso al barrio por qué no les dieron mas arriendos, se alimenta en comedor comunitario del barrio</t>
  </si>
  <si>
    <t>Cecilia Amparo Bedoya Cano</t>
  </si>
  <si>
    <t>Tiene un esposo con enfermedad terminal, año y medio de vida. Vivirían juntos en la vivienda</t>
  </si>
  <si>
    <t>Cielo Severiche</t>
  </si>
  <si>
    <t>El piso es concreto sin embargo se ha partido ya que el terreno es irregular una parte de la vivienda está sobre tierra, y hay otra parte que está sobre madera y ladrillos por eso se parte, las paredes son de plástico por eso se filtra el agua cuando llueve.</t>
  </si>
  <si>
    <t>Claudia Rivas</t>
  </si>
  <si>
    <t>El lote es grande una parte del piso es concreto y la otra es es tierra, la parte de tierra no tiene el ancho de 4 metros es aproximadamente 2.9 metros por lo que tocaría levantar una parte.</t>
  </si>
  <si>
    <t>Cruz Darío Mejia Rodríguez</t>
  </si>
  <si>
    <t>Son 10 personas en total, 8 hijos, viven con los 2 menores. No tienen ayudas del gobierno ni tienen ningún ingreso fijo, la vivienda se inunda y están en precarias condiciones, entran todas las aguas lluvia y las paredes están forradas con algunos plasticos</t>
  </si>
  <si>
    <t>Diana Maria Hoyos</t>
  </si>
  <si>
    <t>Diana Patricia Otalvaro</t>
  </si>
  <si>
    <t>La señora Diana viviria con sus hijas de 12 y 3 años, actualmente vive en la casa de sus padres con sus hijas y sobrino. Se puede construir debido a que en la vivienda actual se maneja hacinamiento.</t>
  </si>
  <si>
    <t>Dona Benavides</t>
  </si>
  <si>
    <t>Dora Elsy Quiroga</t>
  </si>
  <si>
    <t>Dora Lina</t>
  </si>
  <si>
    <t>Dora Mamá de Ana</t>
  </si>
  <si>
    <t>Eider Fernando Urrego Moreno</t>
  </si>
  <si>
    <t>Erika Esther Pérez Puerta</t>
  </si>
  <si>
    <t>Es prioridad 3 debido a que la vivienda no cuenta ni con paredes ni con ventanas para los dormitorios, además tienen un niño de 3 años y otro hijo con discapacidad de 17 años que ocasionalmente duerme en una "vivienda" construida prácticamente en el aire, el terreno toca banquearlo</t>
  </si>
  <si>
    <t>Esperanza Morelos Wilches</t>
  </si>
  <si>
    <t>13-ago-23 | 27-ago-23</t>
  </si>
  <si>
    <t>La señora necesita casa urgente, no tiene baño, la estructura de la vivienda está en muy malas condiciones en cuanto a paredes, se le entran a robar ya que no cuenta con paredes, vive sola. Hay que blanquear entre dos y tres metros. La señora no cuenta con compraventa pero dice que puede obtener un papel con los muchachos del barrio ya que ella es la dueña del lote y se los compro a ellos</t>
  </si>
  <si>
    <t>Fabio Antonio Cañaberal Molina</t>
  </si>
  <si>
    <t>ADULTO MAYOR, CON PROBLEMA EN LA RODILLA, SIN TERRENO. SE LE QUEMO LA CASA EN 2010 BARRIO MANRIQUE ORIENTAL.</t>
  </si>
  <si>
    <t>Flor Estrella Garcia</t>
  </si>
  <si>
    <t>Es una familia conformada con una pareja, un señor mayor que trabaja en lo que resulte, su esposa que se dedica al hogar, hija e hijo de 23 años aprox que trabajan de vez en cuando y otras dos hijas de 10 y 13 años estudiando, su vivienda se encuentra en muy mal estado, con muchos problemas de viento, filtraciones de agua, mal estado del techo de las paredes entre otros</t>
  </si>
  <si>
    <t>Gerardo Cardona</t>
  </si>
  <si>
    <t>Rosalba</t>
  </si>
  <si>
    <t>La vivienda está en muy mal estado, deterioro evidente, inclinación de las paredes, está apunto de caerse.</t>
  </si>
  <si>
    <t>Francy Florez</t>
  </si>
  <si>
    <t>Franci(técnica siso) vive con su madre(ama de casa), hija(estudiando) y pareja(cotero), vivieron una situación dura ya que el incendio del 2021 se inició en el hogar de ellos, la madre sufre de transtorno de bipolaridad y está en</t>
  </si>
  <si>
    <t>Fredy Manuel Hernández</t>
  </si>
  <si>
    <t>Girgiani Jaramillo</t>
  </si>
  <si>
    <t>Es una familia de dos adultos y dos niños, que vinieron desplazados por violencia desde Nechi y viven arrendados en la casa de un hermano del señor Jairo. José el niño de 10 años tiene Síndrome de Down e hipotiroidismo, la señora</t>
  </si>
  <si>
    <t>Gladys del Socorro Cartagena Arboleda</t>
  </si>
  <si>
    <t>Es importante hacer la encuesta un día que este presente la madre, se pone media alta porque hay hacinamiento la mayoría de las personas son niños y la madre en este momento está desempleada</t>
  </si>
  <si>
    <t>En proceso compra de terreno, ya se inició. Es una familia que viven arrendados en una vivienda muy buena y que no manifiestan dificultad para pagar arriendo ya que tiene un carrito con el que trabajan en la comunidad</t>
  </si>
  <si>
    <t>Hernando Bedoya</t>
  </si>
  <si>
    <t>Idalides Santos</t>
  </si>
  <si>
    <t>Irma Marín Rodriguez</t>
  </si>
  <si>
    <t>Jackeline Banguera</t>
  </si>
  <si>
    <t>Jirgian, esposa</t>
  </si>
  <si>
    <t>Jairo Atehortua Marulanda</t>
  </si>
  <si>
    <t>Persona próxima a adulto mayor, con condiciones precarias en la vivienda con cortinas como muros. Cuenta con entrada por su labor en la realización de veladoras. Alto interés</t>
  </si>
  <si>
    <t>Janeidis Aguiar Calle</t>
  </si>
  <si>
    <t>Vive con 4 personas, de ellas dos menores de 7 y 6 años, terreno propio. La vivienda está en muy mal estado, hay mucho hacinamiento</t>
  </si>
  <si>
    <t>Jennifer Vidales</t>
  </si>
  <si>
    <t>El señor es discapacitado</t>
  </si>
  <si>
    <t>Jesús Lopez</t>
  </si>
  <si>
    <t>Tiene que adecuar el lote un poco estrecho. Lote comprado. Viven en barrio París en arriendo.</t>
  </si>
  <si>
    <t>Jesús</t>
  </si>
  <si>
    <t>Jesús Emilio Palacio</t>
  </si>
  <si>
    <t>Jhoanny Lopera</t>
  </si>
  <si>
    <t>Jhon Edilson Cruz Agudelo</t>
  </si>
  <si>
    <t>No se pudo estar en la vivienda actual, el terreno que posee está en buenas condiciones</t>
  </si>
  <si>
    <t>Jhon Saldarriaga</t>
  </si>
  <si>
    <t>Jhony Montoya Zapata</t>
  </si>
  <si>
    <t>Luz dary zapata Osorio</t>
  </si>
  <si>
    <t>Afectada por incendio</t>
  </si>
  <si>
    <t>Joan Sebastian Garcia Montoya</t>
  </si>
  <si>
    <t>Lúcelly</t>
  </si>
  <si>
    <t>Viven en arriendo actualmente, pagan 600. Vivienda actual en buen estado. Hay dos personas que tienen discapacidad, una trabaja eventualmente y el otro no.</t>
  </si>
  <si>
    <t>Jonathan Yepes</t>
  </si>
  <si>
    <t>Jonh Ferney Gómez</t>
  </si>
  <si>
    <t>11-sep-21</t>
  </si>
  <si>
    <t>Jorge Arlei Tuberquia</t>
  </si>
  <si>
    <t>Jose David Mejia Briceño</t>
  </si>
  <si>
    <t>Familia venezolana que vivivia arrendada y está se quemó el día domingo 9 de julio, no posee terreno. La comunidad está en la ayuda de consecución de uno. En el momento está viviendo donde una vecina</t>
  </si>
  <si>
    <t>José Joaquín Gallego</t>
  </si>
  <si>
    <t>El señor José tiene 78 años vive hace 8 años en comunidad pero a finales del 2020 se cayó su vivienda y desde ese tiempo está de arrimado en diferentes casas ya sea en la comunidad o en otros lugares, tiene un discapacidad auditiva, actualmente no trabaja y vive de lo que le dan sus hijos, viviría solo en la vivienda y el terreno se lo cedió su hijo.</t>
  </si>
  <si>
    <t>José Maria Urda</t>
  </si>
  <si>
    <t>María Contreras (Esposa)</t>
  </si>
  <si>
    <t>Juan Horacio Ortega</t>
  </si>
  <si>
    <t>La casa es un espacio grande, una parte tiene vigas y columnas en el piso son aproximadamente 40 metros cuadrados la otra mitad está construido sobre pilotes de madera artesanales el Terrero no está plano y están construyendo columnas en la parte de abajo, el terreno está cerca a la quebrada por lo que hay riesgo de que se acabe el terreno (es la última casa cerca de la quebrada)</t>
  </si>
  <si>
    <t>Julieta</t>
  </si>
  <si>
    <t>18-sep-22</t>
  </si>
  <si>
    <t>Julio David Caldera</t>
  </si>
  <si>
    <t>Karina Escobar</t>
  </si>
  <si>
    <t>Yuli Escobar</t>
  </si>
  <si>
    <t>Kelly Henao</t>
  </si>
  <si>
    <t>Gente joven sin trabajo. Pero hay una bebé y los están sacando de dónde arriendan porque no han pagado por pagar el terreno que compraron.</t>
  </si>
  <si>
    <t>Leidy Alvárez</t>
  </si>
  <si>
    <t>Lidia Diaz</t>
  </si>
  <si>
    <t>Lili Johana Velez</t>
  </si>
  <si>
    <t>Liliana Arango</t>
  </si>
  <si>
    <t>El terreno tiene alto desnivel por lo que habria que informar a la familia que tipo de mejoramiento se le debe hacer a este. Muestran toda la disposición de hacerlo</t>
  </si>
  <si>
    <t>Lucely Torres</t>
  </si>
  <si>
    <t>Vive sola con la niña estudiante y se preocupa mucho por la comunidad, siempre está en pro de ayudar y apoyar a todos. Hace ventas en las tardes para poder pagar sus gastos</t>
  </si>
  <si>
    <t>Luis Ernesto Grande Espinoza</t>
  </si>
  <si>
    <t>Adulto mayor, vive de arrimado con la familia, problemas de sordera y no recibe ninguna ayuda económica.</t>
  </si>
  <si>
    <t>Luis Miguel Gutiérrez Padilla</t>
  </si>
  <si>
    <t>Ana María Oyola</t>
  </si>
  <si>
    <t>El lote donde se va a construir es diferente a la vivienda donde viven</t>
  </si>
  <si>
    <t>Luis Carlos Sucerquia</t>
  </si>
  <si>
    <t>Luis Avila</t>
  </si>
  <si>
    <t>Tiburcio / Papá</t>
  </si>
  <si>
    <t>Luis hace poco retomo su contrato laboral (contrato a termino fijo / Construcción) es una persona joven que junto a su pareja (19 años / no trabaja / no estudia) e hija Luciana 2 años,viven en casa de su padre, las condiciones de la vivienda son aceptables. Luis posee un terreno donde en el momento hay una vivienda de 4x6 aprox, con servicios públicos.</t>
  </si>
  <si>
    <t>Luisa Fernanda Muñoz Cardona</t>
  </si>
  <si>
    <t>22-may-22 23-jul-22</t>
  </si>
  <si>
    <t>La vivienda está en un estado aceptable, tendria que desmontar la vivienda actual. El estado actual del terreno presenta un reto bastante alto. Madre soltera sin ingresos. Dos niños pequeños uno de ellos bebé. Casa en condiciones precarias. Terreno viable para construir.</t>
  </si>
  <si>
    <t>Luisa Uran</t>
  </si>
  <si>
    <t>Luz Adriana Celis Valencia</t>
  </si>
  <si>
    <t>Robinson Callejas (esposo)</t>
  </si>
  <si>
    <t>Media baja</t>
  </si>
  <si>
    <t>El esposo trabaja. El piso del terreno es de concreto y deberían desmontar el techo. Al niño hay que hacerle controles de una catarata en un ojo. Viven arrendados y en el espacio la mamá tiene máquinas con las cuales trabaja confeccionando. En caso de asignación debería arrendar un espacio para esta labor</t>
  </si>
  <si>
    <t>Luz Ángela Gomez Ospina</t>
  </si>
  <si>
    <t>Un niño pequeño</t>
  </si>
  <si>
    <t>Luz Damaris Monsalve Garcia</t>
  </si>
  <si>
    <t>Tiene vivienda propia, la vivienda de techo seria para traer a vivir a su mamá, para poderla cuidar</t>
  </si>
  <si>
    <t>Luz Dary Zapata</t>
  </si>
  <si>
    <t>Luz Dary Bustamante Bustamante</t>
  </si>
  <si>
    <t>Adecuación del terreno, banqueo, suelo y desmonte, complejidad de adecuación media</t>
  </si>
  <si>
    <t>Luz Dary Zapata Osorio</t>
  </si>
  <si>
    <t>Marta Nubia Zapata</t>
  </si>
  <si>
    <t>Afectada por incendio, ya se le había construido</t>
  </si>
  <si>
    <t>Luz Mary Montoya</t>
  </si>
  <si>
    <t>Luz Karine Escobar Barajas</t>
  </si>
  <si>
    <t>Es una mujer que vive sola, trabaja para una empresa que tiene puestos de crispetas en centros comerciales, tiene 42 años, el predio se lo compró a su expareja, necesita adecuar el terreno. Se le filtra el agua lluvia por el techo y paredes, se inunda una de las habitaciones por la cuneta que está perpendicular al callejón.</t>
  </si>
  <si>
    <t>Manuel Henao</t>
  </si>
  <si>
    <t>Son 5 menores. Ellos y sus 2 padres viven de "arrimados" con el hermano y la mamá. El terreno es apto, pero aún no tienen documentación</t>
  </si>
  <si>
    <t>Maria Amparo López Cardona</t>
  </si>
  <si>
    <t>Maria Alfonsina Londoño Restrepo</t>
  </si>
  <si>
    <t>Victima de desplazamiento</t>
  </si>
  <si>
    <t>Maria Elizabeth Carillo Alarcon</t>
  </si>
  <si>
    <t>Se debería desmontar la estructura superior de la vivienda. El terreno cumple pero es justo. La señora es la abuela de la nieta, quienes habitan la vivienda.</t>
  </si>
  <si>
    <t>Maria Esther Saenz Arisal</t>
  </si>
  <si>
    <t>3006652324 - 3004983366</t>
  </si>
  <si>
    <t>Es desplazada con cuatro hijos. Está construyendo el techo pero no tiene con que continuar. Debe abandonar la vivienda en febrero</t>
  </si>
  <si>
    <t>Maria Aracelly Henao</t>
  </si>
  <si>
    <t>Maria Arnobia Castaño</t>
  </si>
  <si>
    <t>Maria Marléni Garcia Patiño</t>
  </si>
  <si>
    <t>Es una familia madre cabeza de hogar que trabaja fines de semana cuidando ancianos, el hijo de 24 ocasionalmente es vendedor ambulante y recoge café, el niño de 12 está estudiando, la vivienda se encuentra muy deteriorada y vivien los 3 en un mismo cuarto, tienen espacio para la construcción y terreno propio, es muy arriba, mo tienen baño ni cocina, me parece muy asignarle.</t>
  </si>
  <si>
    <t>Maria Milena Valencia Suárez</t>
  </si>
  <si>
    <t>La vivienda en la que viven está en un estado muy regular y además es prestada. Hay hacinamiento</t>
  </si>
  <si>
    <t>Maria Isabel Torres</t>
  </si>
  <si>
    <t>Diego Andres, esposo</t>
  </si>
  <si>
    <t>Zona en riesgo.
  Se deben mover al lote en zona más segura</t>
  </si>
  <si>
    <t>María de los Ángeles, doña Ángela Mesa Mazo</t>
  </si>
  <si>
    <t>El hijo le ayuda con la comida, trabaja pero sólo alcanza para.comer. Tiene una gotera leve en el techo del dormitorio. Tendría que desmontar gran parte de la vivienda actual. Las paredes son de madera y tienen humedad, sin embargo</t>
  </si>
  <si>
    <t>Marianelida Celis</t>
  </si>
  <si>
    <t>Mariela Hernández</t>
  </si>
  <si>
    <t>Mariluz.</t>
  </si>
  <si>
    <t>Mariluz estuvo damnificada por el incendio del 2021, tiene 5 hijas (todas estudian) , una de ellas tiene un bebé que vive intermitentemente con ellos, pagan arriendo en una vivienda aceptable. Recibe apoyo del padre de las hijas y ayudas externas ( padre del nieto)</t>
  </si>
  <si>
    <t>Marta Cecilia Guisao</t>
  </si>
  <si>
    <t>Tiene una capa de cemento gruesa y paredes de madera puestas hace poco, no tiene divisiones, no hay asinamiento ni peligro de enfermedades por el estado de la vivienda. Un estado de la.viviemda aceptable con comodidades respeto al contexto</t>
  </si>
  <si>
    <t>Marta Janeth Álvarez</t>
  </si>
  <si>
    <t>Martha Liliana Quintero Muñoz</t>
  </si>
  <si>
    <t>Vive en en asinamiento, entre mucho aire frío y humedad lo que afecta la enfermedad pulmonar de la madre</t>
  </si>
  <si>
    <t>Martha Nelly Bernal Cano</t>
  </si>
  <si>
    <t>Yuleidy Alcalá hija Leonardo Lopez</t>
  </si>
  <si>
    <t>3044538594 3123243968</t>
  </si>
  <si>
    <t>buscar encuesta</t>
  </si>
  <si>
    <t>Martha Rosa Cardona Chaverra</t>
  </si>
  <si>
    <t>Son 2 adultos mayores, ambos con discapacidades físicas y enfermedades crónicas: derrames cerebrales, hipertensión, osteoporosis, artrosis, y accidente de movilidad en una pierna cuentan con un ingreso mensual de 80 mil pesos, riesgo muy alto de colapso de un muro de contención sobre la vivienda</t>
  </si>
  <si>
    <t>Martha Alvarez</t>
  </si>
  <si>
    <t>Adultos mayores con algunos problemas de salud. Viven del comercio de molinillos. Sostienen a una hija de 17 años que está embarazada. La muchacha estudia.</t>
  </si>
  <si>
    <t>Martín Piedrahíta</t>
  </si>
  <si>
    <t>Tiene un terreno donde está la vivienda en la cual, el vive que es madera, está en malas condiciones, ahí en ese terreno tiene una habitación arrendada, el ingreso de esto le suple la alimentación, trabaja en ocasiones en el sector de confecciones (el 50% de la semana pero de manera esporádica)</t>
  </si>
  <si>
    <t>Gustavo Rojas; el papá</t>
  </si>
  <si>
    <t>Mayerly Galeano Ruíz</t>
  </si>
  <si>
    <t>La vivienda está en bien estado y no hay hacinamiento, aunque vive en casa de su madre</t>
  </si>
  <si>
    <t>Melby Rodríguez Tabares</t>
  </si>
  <si>
    <t>Michael Andrés Bedoya</t>
  </si>
  <si>
    <t>06-ago-22 | 22-ene-23</t>
  </si>
  <si>
    <t>Volver a encuestar, la vivienda se encuentra en un estado muy bajo pero la información que dio el solicitante da la impresión de ser inexacta</t>
  </si>
  <si>
    <t>Miledis Zapata</t>
  </si>
  <si>
    <t>Monica María Jordan</t>
  </si>
  <si>
    <t>La vivienda tiene problemas estructurales graves y hay una persona con discapacidad, otra de la tercera edad y no cuentan con un ingreso económico suficiente ni continuo</t>
  </si>
  <si>
    <t>Natalia Marcela Sepulveda</t>
  </si>
  <si>
    <t>Omero De Jesus Montoya</t>
  </si>
  <si>
    <t>Señor sin una pierna. Vive con los nietos. Señor discapacitado con enfermedades cardíacas, la vivienda está afectada por la humedad proveniente de la casa del lado, el terreno se está deslizando y necesitaría mucho trabajo para ser apto para construcción</t>
  </si>
  <si>
    <t>Orlando Garcia Patiño</t>
  </si>
  <si>
    <t>Un señor con dos hijos mayores trabajan los 3, viven en el barrio París en vivienda de adobe, con servicios públicos, hace 10 años allá, es familiar y no deben pagar arriendo, solo que el señor tiene un terreno en la nueva jerusalem</t>
  </si>
  <si>
    <t>Osler de Jesús Manco Goez</t>
  </si>
  <si>
    <t>Adecuacion del terreno solo desmonte, ningun miembro con ingresos</t>
  </si>
  <si>
    <t>Paola Andrea Torres Cartagena</t>
  </si>
  <si>
    <t>Pedro</t>
  </si>
  <si>
    <t>Reina Barrientos</t>
  </si>
  <si>
    <t>El lote ya cuenta con una vivienda de material construida. Reina desearía contruir en la terraza. Se le explica como es el proceso de construcción de techo y que no es posible realizarlo de esta manera, el caso NO es asignable. Tener en cuenta si en algún momento consiguen lote</t>
  </si>
  <si>
    <t>Robinson Callejas Mazo</t>
  </si>
  <si>
    <t>Muy asignable</t>
  </si>
  <si>
    <t>Rocio del Socorro Alvarez Cardenas</t>
  </si>
  <si>
    <t>Son una pareja que viven solos, la vivienda está en muy mal estado, el techo es demasiado bajo y les toca andar agachados. La señora sufre del azúcar e hipertensión. La señora es de la tercera edad.</t>
  </si>
  <si>
    <t>Rodolfo Velásquez</t>
  </si>
  <si>
    <t>Rosa Savala</t>
  </si>
  <si>
    <t>El terreno es irregular</t>
  </si>
  <si>
    <t>Rositer Morelos Wilches</t>
  </si>
  <si>
    <t>No cumple con los criterios de asignación los materiales de la vivienda estab en buen estado</t>
  </si>
  <si>
    <t>03-sep-22</t>
  </si>
  <si>
    <t>Ruben Darío Vargas Gómez</t>
  </si>
  <si>
    <t>Tía Yolanda Gómez</t>
  </si>
  <si>
    <t>Sandra Zapata Aguiar</t>
  </si>
  <si>
    <t>Mujer soltera, tiene 3 hijos de 15,3,7. Viven con la mamá de Ella hace 1 año por que la vivienda de Ella está es muy malas condiciones, se quieren ir por que tienen problemas de violencia con la la mamá de Sandra. Hay huecos en la historia. No vive en la comunidad.</t>
  </si>
  <si>
    <t>Sandra Garcés Hernández</t>
  </si>
  <si>
    <t>Familiar de Carlos Alberto Quintero, la señora dice que se iría a vivir con ellos pero al grupo familiar también se me realizó la encuesta</t>
  </si>
  <si>
    <t>Shirley Monsalve</t>
  </si>
  <si>
    <t>Pese a que la vivienda es de madera y zinc no está en tan malas condiciones. Terreno irregular</t>
  </si>
  <si>
    <t>Sindy Seña</t>
  </si>
  <si>
    <t>La familia tiene ingresos estables. No es un caso urgente. Terreno requiere trabajo de lleno</t>
  </si>
  <si>
    <t>La señora Teresa se mudó en la casa al lado de su hijo para cuidarlo de la operación de pierna, el terreno es del hijo Carlos Mario y la señora Teresa se mudó cuando él le construyó la casa a ella al lado para que lo ayudara en su recuperación. La señora Teresa antes vivía con su hija y se mudó a su nueva casa hace un año aproximadamente.</t>
  </si>
  <si>
    <t>Vanessa Quintero Montoya</t>
  </si>
  <si>
    <t>Se elige una prioridad media alta debido a que la vivienda está en malas condiciones, hay niños, es una mujer madre cabeza de hogar, no tiene un trabajo estable porque tiene que estar pendiente de sus hijos, padece depresión y consideramos que la construcción de vivienda sería un gran impacto para que la familia avance, no solo en cuestión de la vivienda sino en todos los aspectos</t>
  </si>
  <si>
    <t>Victor Rodriguez</t>
  </si>
  <si>
    <t>Victor actualmente tiene 34, hace poco firmo un contrato laboral en una empresa, sus hijos y ex pareja ( 52 años que no tiene trabajo) y se encuentran viviendo en el barrio París en una vivienda alquilada donde pagan al rededor de 550.000 COP, víctor de momento está viviendo en casa de su madre (vivienda descrita) y posee un terreno contiguo a la vivienda de su madre donde se podría construir la vivienda, la finalidad es proporcionarle una vivienda a sus hijos 9 y 10 años que actualmente se encuentran estudiando.</t>
  </si>
  <si>
    <t>Wilson Antonio Barrientos Cardona</t>
  </si>
  <si>
    <t>El material de la vivienda es irreparable, no tienen buenos ingresos para repararla pronto, mejorando las condiciones de este terreno se mitiga el riesgo de derrumbar la vivienda de 2 adultos mayores.</t>
  </si>
  <si>
    <t>Yarlis Maria Torres Montes</t>
  </si>
  <si>
    <t>Yeraldin Seña Padilla</t>
  </si>
  <si>
    <t>Es una familia que depende económicamente del hombre del hogar, en el cual la madre es joven y tiene 3 hijos de la familia y un "adoptado". Por favor visitar el terreno para corroborar las medidas. Vive en arriendo.</t>
  </si>
  <si>
    <t>Yolima Saldarriaga</t>
  </si>
  <si>
    <t>El lote de Yolima y Lus Damary es el mismo (madre 3 hija) y sus dimensiones son 7,3 x 8. Lus Damary no es un caso asignable, yolima si pues no tiene casa propia y vive con su hijo de 8 años</t>
  </si>
  <si>
    <t>Yudy Orozco</t>
  </si>
  <si>
    <t>Señora que vive con su esposo, el trabaja en construcciones y lo que le salga en el barrio. Esta a la espera de una cirugia en la columna por tanto no le funciona que en la condiciones actuales en la que vive tiene muchos deniveles en la vivienda.</t>
  </si>
  <si>
    <t>Karina escobar</t>
  </si>
  <si>
    <t>Yuliana Alejandra Valencia</t>
  </si>
  <si>
    <t>Luisa</t>
  </si>
  <si>
    <t>Contestó la abuela, yaneth. Dice que sí están interesadas en la visita</t>
  </si>
  <si>
    <t>Yuliana Maria Valencia Castaño</t>
  </si>
  <si>
    <t>La vivienda tiene riesgo de caída debido a que tiene muchas fallas en la estructura, por lo que estarían en riesgo 3 vidas. Es una muchacha con dos hijas, vive en la casa de los suegros pero se separo y le estan pidiendo que SE vaya lo antes posible. Tiene El lote del papá donde tiene una casa tambien en muy mala's condiciones</t>
  </si>
  <si>
    <t>Yurley Eliana Vélez Usuga</t>
  </si>
  <si>
    <t>Necesita conseguir otro terreno para que la asignación sea viable. Si tuvieran el terreno, el caso sería súper asignable. Son victimas de desplazamiento forzado y no tienen trabajo. Viven de la ayuda de dos vecinos que los ayudan económicamente. Se les deja la observación que traten de conseguir terreno para poder ser asignables. Lastimosamente el terreno no cuenta con las dimensiones mínimas para poder construir el módulo de 18 m. Queda muy cerca a una cañada, con muchísimo desnivel, con riesgo de deslizamiento,</t>
  </si>
  <si>
    <t>Yusleidy Ortega Crespo</t>
  </si>
  <si>
    <t>1 niño en la vivienda</t>
  </si>
  <si>
    <t>Elidi Mariana Giraldo Crespo</t>
  </si>
  <si>
    <t>Saira Patricia Ballesta Sencio</t>
  </si>
  <si>
    <t>Yasmin Adriana Guisao Higuita</t>
  </si>
  <si>
    <t>Ruth Damaris Cardona Sánchez</t>
  </si>
  <si>
    <t>Leidy Bibiana David Gómez</t>
  </si>
  <si>
    <t>Las caballerizas, arriba Iglesia San Cirilo</t>
  </si>
  <si>
    <t>Madre soltera, cabeza de hogar, trabaja en albailería, no ha querido buscar empleo de tiempo completo ya que le quiere brindar un acompañamiento a su hijo adolescente (13 años)</t>
  </si>
  <si>
    <t>Natalia Andrea Herrera González</t>
  </si>
  <si>
    <t>Sector de la casa caída</t>
  </si>
  <si>
    <t>Paula Andrea Cotera Rojas</t>
  </si>
  <si>
    <t>Vegachi</t>
  </si>
  <si>
    <t>Medidas de terreno: 7.7 x 7.7 mts2. - Consideramos que la propiedad no tiene un papel legítimo que valide que es de ella, son solo acuerdos verbales, y el terreno es pura roca, y el acceso no es tan amplio para los materiales. Pero entendemos la situación que vive y que le tocó irse a vivir a un municipio porque consiguió trabajo para poder sacar adelante a ella y sus hijos. Nos cuenta que está terminando el bachillerato y que paga arriendo y paga la cuota del terreno, lo apunta en un cuaderno.</t>
  </si>
  <si>
    <t>Liliana Roja</t>
  </si>
  <si>
    <t>Al lado del Cacique, al frente de la iglesia Pentecostal (bajando por la casa rosada)</t>
  </si>
  <si>
    <t>Se construiría en el terreno que queda al lado de donde vive, tendrían que demoler la pared del baño para la construcción. Desea una vivienda para independizarse de el papá de sus hijos, es una persona que no aporta</t>
  </si>
  <si>
    <t>Delio de Jesús Rojas</t>
  </si>
  <si>
    <t>El señor no desea reducir el espacio de su vivienda, por tal razón se le informa que no seguirá el proceso</t>
  </si>
  <si>
    <t>Calle La Paz sector los pinos</t>
  </si>
  <si>
    <t>La familia está compuesta por dos núcleos viven en una vivienda con condiciones adecuadas, baño en condiciones óptimas para el uso. El motivo principal para querer un módulo de emergencia es separa los núcleos para mayor comodidad</t>
  </si>
  <si>
    <t>Elda Yaneth Higuita</t>
  </si>
  <si>
    <t>El morro</t>
  </si>
  <si>
    <t>No es priorizable porque el terreno es bastante amplio, cumple con condiciones favorables en temas de privacidad, som bastantes habitaciones, cuenta con servicios públicos</t>
  </si>
  <si>
    <t>Diana Cristina Durango Benítez</t>
  </si>
  <si>
    <t>Brisas de Guadalupe, bajando a mano izquierda por el deposito de Richard</t>
  </si>
  <si>
    <t>Tiene vivienda en ladrillo con piso en concreto, el problema es solo techos y probable mejora de cocina. Las paredes están en buenas condiciones y tiene suficientes habitaciones.</t>
  </si>
  <si>
    <t>Francy Rojas</t>
  </si>
  <si>
    <t>El banqueo es arduo y estabilizar el terreno</t>
  </si>
  <si>
    <t>Adriana Rincón Gómez</t>
  </si>
  <si>
    <t>Torre11 al lado de la escuelita vieja N.1680306172000</t>
  </si>
  <si>
    <t>Consideramos que es priorizable por las condiciones en las que está construida la vivienda</t>
  </si>
  <si>
    <t>Cornelio Aguirre</t>
  </si>
  <si>
    <t>Sector brisas de Guadalupe, al frente del plan de Ecopetrol</t>
  </si>
  <si>
    <t>En general la familia cuenta con las condiciones básicas, y gran parte de la casa tiene contrucciónes de material. Numero de teléfono esposa del señor 3145359472</t>
  </si>
  <si>
    <t>Anderson Zapata</t>
  </si>
  <si>
    <t>Los dos adultos son sordomudos y la bebé es la única que escucha y habla</t>
  </si>
  <si>
    <t>Marta Callejas</t>
  </si>
  <si>
    <t>Las personas no viven ahí porque se inunda, además la beneficiaria trabaja en Toledo y viene cada 15 días a la vivienda. Quien viviría en el módulo sería su hija</t>
  </si>
  <si>
    <t>La caballerizas</t>
  </si>
  <si>
    <t>Mónica Iliana Serna</t>
  </si>
  <si>
    <t>Aunque los materiales de la vivienda no son los mejores, se nota el esfuerzo de la familia por mantenerla en buenas condiciones. Ella dice que en invierno es complicada la situación en la vivienda, sería bueno realizar nueva encuesta</t>
  </si>
  <si>
    <t>Paola Andrea Arenas</t>
  </si>
  <si>
    <t>Por la peluquería de Leidy 1 cuadra arriba y a las derecha</t>
  </si>
  <si>
    <t>Paula no cuenta con vivienda propia y la vivienda compartida en la que está puede representar un riesgo para sus hijos. Ella está enferma del corazón, por lo que ha tenido parálisis de la mitad de su cuerpo y por esto no ha conseguido un trabajo estable. La única fuente de ingreso es su esposo que es vendedor ambulante. El terrero para construir es una herencia y no se tiene compra y venta ni común acuerdo con la familia del esposo, sin embargo nos manifiesta que cuenta con un ahorro el cual incrementará para la compra de un lote a futuro, por lo que quiere seguir en el programa y quiere más información sobre educación para La Paz para sus hijos.</t>
  </si>
  <si>
    <t>Piedad Cecilia Montoya Vásquez</t>
  </si>
  <si>
    <t>Cerca a los tanques de las marranearas</t>
  </si>
  <si>
    <t>Familia conformada por mamá cabeza de hogar y 3 hijos, de los cuales 2 tienen condiciones de discapacidad, una física y el otra mental. El terreno está en óptimas condiciones para construcción (cerca de la casa de María Ester). Por tema de ubicación si llegase a ser asignada se puede tener en cuenta el SCPALL ya que el tema agua es condicionante en el sector</t>
  </si>
  <si>
    <t>Luz Marleny Higuita Manco</t>
  </si>
  <si>
    <t>La Paz por el callejón de la tienda rosada</t>
  </si>
  <si>
    <t>Vivienda actual en malas condiciones, hacinamiento.</t>
  </si>
  <si>
    <t>Juan Esteban Vasquez</t>
  </si>
  <si>
    <t>Callejón tienda rosada</t>
  </si>
  <si>
    <t>Hacinamiento en la vivienda actual. El terreno donde se construiría la nueva vivienda es adecuado</t>
  </si>
  <si>
    <t>Milagros Florez</t>
  </si>
  <si>
    <t>Cra 80-49</t>
  </si>
  <si>
    <t>Están construyendo un muro de contención de 2.4 m en el terreno el cual se ve inestable puesto que van a banquear un espacio considerable</t>
  </si>
  <si>
    <t>Leidi Montes Buelvas</t>
  </si>
  <si>
    <t>La familia puede quedarse sin hogar puesto que el ex esposo ejecutó una orden de liquidación de bienes . Leidi no podrá quedarse en la vivienda que habita actualmente</t>
  </si>
  <si>
    <t>Rosa Carrillo</t>
  </si>
  <si>
    <t>Torres 11 barrio la Nueva Jerusalén</t>
  </si>
  <si>
    <t>Es amable, sus vecinos la conocen lleva 12 años viviendo en el barrio</t>
  </si>
  <si>
    <t>Martha Alvarez Perez</t>
  </si>
  <si>
    <t>Humberto Antonio Rojas</t>
  </si>
  <si>
    <t>María Isabel Arango Valencia</t>
  </si>
  <si>
    <t>Valentina Zurique Sáenz</t>
  </si>
  <si>
    <t>Leidy Montes</t>
  </si>
  <si>
    <t>Sara Daniela Orrego</t>
  </si>
  <si>
    <t>Oscar de la Rosa</t>
  </si>
  <si>
    <t>Adriana María Rincón Gómez</t>
  </si>
  <si>
    <t>Vianney Berna Sánchez</t>
  </si>
  <si>
    <t>Natalia Andrea Herrera</t>
  </si>
  <si>
    <t>Luisa Fernanda Vásquez Higuita</t>
  </si>
  <si>
    <t>Sandra Patricia Zapata Valencia</t>
  </si>
  <si>
    <t>Mairelis Ríos</t>
  </si>
  <si>
    <t>Nubia Leticia Gómez Pineda</t>
  </si>
  <si>
    <t>Claudia Patricia Serna</t>
  </si>
  <si>
    <t>Juliana Gil Gallego</t>
  </si>
  <si>
    <t>Jhon Charrasquiel</t>
  </si>
  <si>
    <t>Jhon Fredy Rendón</t>
  </si>
  <si>
    <t>Sandra Milena Usuga Jaramillo</t>
  </si>
  <si>
    <t>Mariana Martinez Moreno</t>
  </si>
  <si>
    <t>Felicita Rosa Murillo</t>
  </si>
  <si>
    <t>Marco Fidel Otalvaro</t>
  </si>
  <si>
    <t>Familias y Soluciones LNJ</t>
  </si>
  <si>
    <t>Caracterizadas</t>
  </si>
  <si>
    <t>Encuestadas</t>
  </si>
  <si>
    <t xml:space="preserve">Con vivienda </t>
  </si>
  <si>
    <t>Con baño</t>
  </si>
  <si>
    <t>Con SCPALL</t>
  </si>
  <si>
    <t>Con torre</t>
  </si>
  <si>
    <t>FECHA CONSTRUCCIÓN VIVIENDA</t>
  </si>
  <si>
    <t>NOMBRE 1</t>
  </si>
  <si>
    <t>NOMBRE 2</t>
  </si>
  <si>
    <t>APELLIDO 1</t>
  </si>
  <si>
    <t>APELLIDO 2</t>
  </si>
  <si>
    <t>CASO TORRE</t>
  </si>
  <si>
    <t>CASO BAÑO</t>
  </si>
  <si>
    <t>CASO SCPALL</t>
  </si>
  <si>
    <t>CASO VIVIENDA</t>
  </si>
  <si>
    <t>PRIORIDAD</t>
  </si>
  <si>
    <t>SEGUIMIENTO 1</t>
  </si>
  <si>
    <t>SEGUIMIENTO 2</t>
  </si>
  <si>
    <t>SEGUIMIENTO 3</t>
  </si>
  <si>
    <t>COMENTARIOS</t>
  </si>
  <si>
    <t>PENDIENTES</t>
  </si>
  <si>
    <t>Ana</t>
  </si>
  <si>
    <t>María</t>
  </si>
  <si>
    <t>Bedoya</t>
  </si>
  <si>
    <t>Activo para posconstrucciones</t>
  </si>
  <si>
    <t>Tiempo de garantia cumplido</t>
  </si>
  <si>
    <t>Sin pendientes</t>
  </si>
  <si>
    <t>Emilio</t>
  </si>
  <si>
    <t>Palacio</t>
  </si>
  <si>
    <t>Activo</t>
  </si>
  <si>
    <t>08/06/2023: Llamada realizada. El telefono se va a correo de voz</t>
  </si>
  <si>
    <t>Remitir caso a gestión comunitaria para verificar número de contacto.</t>
  </si>
  <si>
    <t>Tulio</t>
  </si>
  <si>
    <t>08/06/2023: Llamada realizada. Número equivocado.</t>
  </si>
  <si>
    <t>Maria</t>
  </si>
  <si>
    <t>Isabel</t>
  </si>
  <si>
    <t>Torres</t>
  </si>
  <si>
    <t>Zona en riesgo.
 Se deben mover al lote en zona más segura</t>
  </si>
  <si>
    <t>El cosechero</t>
  </si>
  <si>
    <t>Mauricio</t>
  </si>
  <si>
    <t>Rojas</t>
  </si>
  <si>
    <t>Carlos</t>
  </si>
  <si>
    <t>Santiago</t>
  </si>
  <si>
    <t>Zuleta</t>
  </si>
  <si>
    <t>13/ago/23: Llamada realizada para encuestamiento. Carlos suena correo de voz enseguida, el de Rosa se hicieron 3 llamadas y no respondió</t>
  </si>
  <si>
    <t>27/ago/23: Llamada realizada para encuestamiento. No fue posible comunicarse, el teléfono del señor Carlos sale apagado y el otro contacto suena repetidas veces pero no contestan</t>
  </si>
  <si>
    <t>Gloria</t>
  </si>
  <si>
    <t>del Carmen</t>
  </si>
  <si>
    <t>Susertia</t>
  </si>
  <si>
    <t>Juan</t>
  </si>
  <si>
    <t>de Dios</t>
  </si>
  <si>
    <t>Gaviria</t>
  </si>
  <si>
    <t>Melby</t>
  </si>
  <si>
    <t>Rodríguez</t>
  </si>
  <si>
    <t>Tabares</t>
  </si>
  <si>
    <t>Miledis</t>
  </si>
  <si>
    <t>Zapata</t>
  </si>
  <si>
    <t>La caballeriza</t>
  </si>
  <si>
    <t>17/08/2022: Hablar con los referentes comunitarios para ver si les pueden facilitar la documentación</t>
  </si>
  <si>
    <t>Karina</t>
  </si>
  <si>
    <t>Escobar</t>
  </si>
  <si>
    <t>Guillermo</t>
  </si>
  <si>
    <t>Rengifo</t>
  </si>
  <si>
    <t>09/08/2022: Encuestar la próxima vez que vengamos al barrio</t>
  </si>
  <si>
    <t>Encuestar proxima visita</t>
  </si>
  <si>
    <t>Mary</t>
  </si>
  <si>
    <t>Luz</t>
  </si>
  <si>
    <t>Jaramillo</t>
  </si>
  <si>
    <t>13/ago/23: Se realizo visita para encuesta pero se evidencia y la familia manifiesta que no necesita la vivienda ya que ya hicieron la vivienda en material.</t>
  </si>
  <si>
    <t>Gladis</t>
  </si>
  <si>
    <t>Omaira</t>
  </si>
  <si>
    <t>Urrego</t>
  </si>
  <si>
    <t>Jesus</t>
  </si>
  <si>
    <t>Otoniel</t>
  </si>
  <si>
    <t>Jorge</t>
  </si>
  <si>
    <t>Arlei</t>
  </si>
  <si>
    <t>Tuberquia</t>
  </si>
  <si>
    <t>Liliana</t>
  </si>
  <si>
    <t>Arango</t>
  </si>
  <si>
    <t>23/04/24 Manifiesta estar indispuesta y no poder recibir la visita para encuesta</t>
  </si>
  <si>
    <t>Anyi</t>
  </si>
  <si>
    <t>Vargas</t>
  </si>
  <si>
    <t>Parte baja</t>
  </si>
  <si>
    <t>23/04/2023 No está en comunidad, manifiesta interés en encuestarse el próximo domingo</t>
  </si>
  <si>
    <t>15/jul/2023: Durante la jornada de encuestas manifesto que piensa realizar la vivienda en material.</t>
  </si>
  <si>
    <t>Eider</t>
  </si>
  <si>
    <t>Fernando</t>
  </si>
  <si>
    <t>Moreno</t>
  </si>
  <si>
    <t>23/04/2023: No se logro concretar el encuentro, tenía muy mala señal</t>
  </si>
  <si>
    <t>Leidy</t>
  </si>
  <si>
    <t>Alvárez</t>
  </si>
  <si>
    <t>Mariela</t>
  </si>
  <si>
    <t>Hernández</t>
  </si>
  <si>
    <t>Rodolfo</t>
  </si>
  <si>
    <t>Velásquez</t>
  </si>
  <si>
    <t>Colinas de Jerusalén</t>
  </si>
  <si>
    <t>12/03/2023: Se hace visita a vivienda porque la información inicial era que la familia tenia una vivienda de Techo en un terreno inestable.</t>
  </si>
  <si>
    <t>23/04-23 No contesta</t>
  </si>
  <si>
    <t>Irma</t>
  </si>
  <si>
    <t>Marín</t>
  </si>
  <si>
    <t>Rodriguez</t>
  </si>
  <si>
    <t>Anabel</t>
  </si>
  <si>
    <t>David</t>
  </si>
  <si>
    <t>Fredy</t>
  </si>
  <si>
    <t>Manuel</t>
  </si>
  <si>
    <t>Amancio</t>
  </si>
  <si>
    <t>Manyoma</t>
  </si>
  <si>
    <t>Jhoanny</t>
  </si>
  <si>
    <t>Lopera</t>
  </si>
  <si>
    <t>Luis</t>
  </si>
  <si>
    <t>Sucerquia</t>
  </si>
  <si>
    <t>Idalides</t>
  </si>
  <si>
    <t>Santos</t>
  </si>
  <si>
    <t>La escuelita</t>
  </si>
  <si>
    <t>Jhon</t>
  </si>
  <si>
    <t>Saldarriaga</t>
  </si>
  <si>
    <t>Aracelly</t>
  </si>
  <si>
    <t>Henao</t>
  </si>
  <si>
    <t>Arnobia</t>
  </si>
  <si>
    <t>Castaño</t>
  </si>
  <si>
    <t>Dora</t>
  </si>
  <si>
    <t>Mamá de Ana</t>
  </si>
  <si>
    <t>Lina</t>
  </si>
  <si>
    <t>Montoya</t>
  </si>
  <si>
    <t>Dona</t>
  </si>
  <si>
    <t>Benavides</t>
  </si>
  <si>
    <t>Al frente de donde Yudy</t>
  </si>
  <si>
    <t>Mario</t>
  </si>
  <si>
    <t>Restrepo</t>
  </si>
  <si>
    <t>Bombillo Rojo</t>
  </si>
  <si>
    <t>Vivienda que se incendio el día domingo 9 de julio,
 Persona que está próxima a una cirugía la pierna por accidente de tránsito</t>
  </si>
  <si>
    <t>Jose</t>
  </si>
  <si>
    <t>Mejia</t>
  </si>
  <si>
    <t>Briceño</t>
  </si>
  <si>
    <t>Familia venezolana que vivivia arrendada y está se quemó el día domingo 9 de julio, no posee terreno
 La comunidad está en la ayuda de consecución de uno 
 En el momento está viviendo donde una vecina</t>
  </si>
  <si>
    <t>Teresa</t>
  </si>
  <si>
    <t>Olaya</t>
  </si>
  <si>
    <t>Blanca</t>
  </si>
  <si>
    <t>Nubia</t>
  </si>
  <si>
    <t>Jimenez</t>
  </si>
  <si>
    <t>Garcia</t>
  </si>
  <si>
    <t>Reversadero, torre 11 para arriba</t>
  </si>
  <si>
    <t>Carmen</t>
  </si>
  <si>
    <t>Tulia</t>
  </si>
  <si>
    <t>Ospina</t>
  </si>
  <si>
    <t>Patiño</t>
  </si>
  <si>
    <t>LA TORRE , EL REVERSADERO</t>
  </si>
  <si>
    <t>Fabio</t>
  </si>
  <si>
    <t>Antonio</t>
  </si>
  <si>
    <t>Cañaberal</t>
  </si>
  <si>
    <t>Molina</t>
  </si>
  <si>
    <t>Lili</t>
  </si>
  <si>
    <t>Velez</t>
  </si>
  <si>
    <t>Ernesto</t>
  </si>
  <si>
    <t>Grande</t>
  </si>
  <si>
    <t>Espinoza</t>
  </si>
  <si>
    <t>BRISAS DE GUADALUPE</t>
  </si>
  <si>
    <t>Alfonsina</t>
  </si>
  <si>
    <t>Londoño</t>
  </si>
  <si>
    <t>Zoraida</t>
  </si>
  <si>
    <t>Ruiz</t>
  </si>
  <si>
    <t>Mosquera</t>
  </si>
  <si>
    <t>Marcando</t>
  </si>
  <si>
    <t>Ruben</t>
  </si>
  <si>
    <t>Darío</t>
  </si>
  <si>
    <t>Gómez</t>
  </si>
  <si>
    <t>Julio</t>
  </si>
  <si>
    <t>Ortiz</t>
  </si>
  <si>
    <t>Al lado de la virgen</t>
  </si>
  <si>
    <t>Rosa</t>
  </si>
  <si>
    <t>Quintana</t>
  </si>
  <si>
    <t>Hernando</t>
  </si>
  <si>
    <t>Jennifer</t>
  </si>
  <si>
    <t>Vidales</t>
  </si>
  <si>
    <t>Natalia</t>
  </si>
  <si>
    <t>Marcela</t>
  </si>
  <si>
    <t>Sepulveda</t>
  </si>
  <si>
    <t>Diana</t>
  </si>
  <si>
    <t>Hoyos</t>
  </si>
  <si>
    <t>Jonathan</t>
  </si>
  <si>
    <t>Yepes</t>
  </si>
  <si>
    <t>Caldera</t>
  </si>
  <si>
    <t>Lidia</t>
  </si>
  <si>
    <t>Diaz</t>
  </si>
  <si>
    <t>Uran</t>
  </si>
  <si>
    <t>Dary</t>
  </si>
  <si>
    <t>SCPALL construido</t>
  </si>
  <si>
    <t>Francy</t>
  </si>
  <si>
    <t>Florez</t>
  </si>
  <si>
    <t>La paz, cerca de tienda yolanda</t>
  </si>
  <si>
    <t>Girgiani</t>
  </si>
  <si>
    <t>Colinas de Jerusalén, de la iglesia para arriba</t>
  </si>
  <si>
    <t>12/08/2022: Explicar el compromiso con el descargue</t>
  </si>
  <si>
    <t>12/03/2023: Una de las vigas de piso no estaba anclada al pilote entonces la familia le toco poner una estaca para fijar la viga</t>
  </si>
  <si>
    <t>Reparar viga de piso</t>
  </si>
  <si>
    <t>Leon</t>
  </si>
  <si>
    <t>Cosecheros parte alta rural</t>
  </si>
  <si>
    <t>21/08/2022: Desmonte, ingreso por marranera y gallineros inestables</t>
  </si>
  <si>
    <t>Cruz Darío</t>
  </si>
  <si>
    <t>Sector la virgen</t>
  </si>
  <si>
    <t>Tiene vivienda de techo. Se evaluó la posibilidad de un SCPALL, pero se encontraron complicaciones sociales que impidieron la asignación del mismo</t>
  </si>
  <si>
    <t>Gladys</t>
  </si>
  <si>
    <t>del Socorro</t>
  </si>
  <si>
    <t>Cartagena</t>
  </si>
  <si>
    <t>Arboleda</t>
  </si>
  <si>
    <t>17/08/2022: Hablar con el encuestador para determinar porque recomienda repetir la encuesta. Verificar si el beneciario es Doña Sandra, cuya hija es yeira torres.</t>
  </si>
  <si>
    <t>Alexandra</t>
  </si>
  <si>
    <t>Patricia</t>
  </si>
  <si>
    <t>La Paz, muy cerca a la iglesia san Cirilio</t>
  </si>
  <si>
    <t>9/08/2022: En este momento se encuentra en un proceso de resguardo de victimas. El terreno está difícil pero es factible. Beneficiaria se compromete a adecuarlo.</t>
  </si>
  <si>
    <t>Cielo</t>
  </si>
  <si>
    <t>Severiche</t>
  </si>
  <si>
    <t>Abajo del bombillo rojo</t>
  </si>
  <si>
    <t>Yeraldin</t>
  </si>
  <si>
    <t>Seña</t>
  </si>
  <si>
    <t>Padilla</t>
  </si>
  <si>
    <t>Del coyote para abajo a mano izquierda</t>
  </si>
  <si>
    <t>Construido (VDE, baño)</t>
  </si>
  <si>
    <t>06-ago-22       22-ene-23</t>
  </si>
  <si>
    <t>Michael</t>
  </si>
  <si>
    <t>Andrés</t>
  </si>
  <si>
    <t>23/07/2022: Encuestar nuevamente</t>
  </si>
  <si>
    <t>23/04/2023: Pendiente definicion de pilotaje y pintura</t>
  </si>
  <si>
    <t>Osorio</t>
  </si>
  <si>
    <t>Las Marraneras</t>
  </si>
  <si>
    <t>Entrada a la cancha; al frente de las marraneras</t>
  </si>
  <si>
    <t>23/04/24 Se visito el terreno, se le hizo recomendación de limpieza y recordatorio de compromisos</t>
  </si>
  <si>
    <t>Esther</t>
  </si>
  <si>
    <t>Saenz</t>
  </si>
  <si>
    <t>Arisal</t>
  </si>
  <si>
    <t>Yudy</t>
  </si>
  <si>
    <t>Orozco</t>
  </si>
  <si>
    <t>22-ene-23           16-abr-23</t>
  </si>
  <si>
    <t>Rendón</t>
  </si>
  <si>
    <t>Giraldo</t>
  </si>
  <si>
    <t>Abajo de la mona. 27A N26</t>
  </si>
  <si>
    <t>16/04/2023: Se hace segunda encuesta.</t>
  </si>
  <si>
    <t>Bustamante</t>
  </si>
  <si>
    <t>La Guadalupana</t>
  </si>
  <si>
    <t>Sector la Guadalupana</t>
  </si>
  <si>
    <t>23/04/2023: Muy interesada en el programa pero no se encuentra en la vivienda. Programa para siguiente visita a la comunidad.</t>
  </si>
  <si>
    <t>Candida</t>
  </si>
  <si>
    <t>Marta</t>
  </si>
  <si>
    <t>Janeth</t>
  </si>
  <si>
    <t>Álvarez</t>
  </si>
  <si>
    <t>Jonh</t>
  </si>
  <si>
    <t>Ferney</t>
  </si>
  <si>
    <t>Omero</t>
  </si>
  <si>
    <t>De Jesus</t>
  </si>
  <si>
    <t xml:space="preserve">23/04/2023: Encuesta realizada el </t>
  </si>
  <si>
    <t>16/02/2024. Se inactiva el caso por declinación del beneficiario</t>
  </si>
  <si>
    <t>22-ene-23       16-abr-23</t>
  </si>
  <si>
    <t>Marianelida</t>
  </si>
  <si>
    <t>Celis</t>
  </si>
  <si>
    <t>Abajo de donde la mona. C 27 A N13</t>
  </si>
  <si>
    <t xml:space="preserve">01/10/2023: Marianelida tiene contrato a termino fijo haciendo aseos en empresas. Los gemelos estudian y los hijos menores estudian. </t>
  </si>
  <si>
    <t xml:space="preserve">Tiene 4 hijos, vive con 3, 23 años, y10 años, son gemelos. súper asignable, en el algún momento ya estuvieron en el proceso. Los ingresos no le alcanzan para realizar adecuaciones. Solo para las obligaciones </t>
  </si>
  <si>
    <t>Flover</t>
  </si>
  <si>
    <t>Castro</t>
  </si>
  <si>
    <t>Muñoz</t>
  </si>
  <si>
    <t>Cosecheros nuevo mirador</t>
  </si>
  <si>
    <t>Badry</t>
  </si>
  <si>
    <t>Johan</t>
  </si>
  <si>
    <t>Roldan</t>
  </si>
  <si>
    <t>Colinas de Jerusalen</t>
  </si>
  <si>
    <t>Marléni</t>
  </si>
  <si>
    <t>Cosecheros Parte Alta</t>
  </si>
  <si>
    <t>Llamar para asignación</t>
  </si>
  <si>
    <t>Otalvaro</t>
  </si>
  <si>
    <t>Brisas guadalupe</t>
  </si>
  <si>
    <t>Brisas de Guadalupe</t>
  </si>
  <si>
    <t>Construido (baño)</t>
  </si>
  <si>
    <t>Llamada en diferentes ocasiones y no contesta, insistir</t>
  </si>
  <si>
    <t>Baena</t>
  </si>
  <si>
    <t>Los pinos - Iglesia San Cirilo</t>
  </si>
  <si>
    <t>Atrás de la iglesia San Cirilo, por los pinos</t>
  </si>
  <si>
    <t>Discutir caso con Erika</t>
  </si>
  <si>
    <t>22-may-22        23-jul-22</t>
  </si>
  <si>
    <t>Fernanda</t>
  </si>
  <si>
    <t>Cardona</t>
  </si>
  <si>
    <t>Yendo para los pinos, iglesia san sirilo</t>
  </si>
  <si>
    <t>08/06/2023: Llamada realizada. Se encuesto este año</t>
  </si>
  <si>
    <t>Flor</t>
  </si>
  <si>
    <t>Estrella</t>
  </si>
  <si>
    <t>Sector La Paz</t>
  </si>
  <si>
    <t>12/08/2022: NO INTERESADA EN EL PROGRAMA</t>
  </si>
  <si>
    <t>23/04/2023: No interesada en el programa.</t>
  </si>
  <si>
    <t>Sindy</t>
  </si>
  <si>
    <t>La Nueva Jerusalén - La Virgen</t>
  </si>
  <si>
    <t>08/06/2023: Llamada realizada. Ya construyó</t>
  </si>
  <si>
    <t>Yuliana</t>
  </si>
  <si>
    <t>Alejandra</t>
  </si>
  <si>
    <t>Valencia</t>
  </si>
  <si>
    <t>La NuevaJerusalen</t>
  </si>
  <si>
    <t>Es una muchacha con dos hijas, vive en la casa de los suegros pero se separo y le estan pidiendo que SE vaya lo antes posible. Tiene El lote del papá donde tiene una casa tambien en muy mala's condiciones</t>
  </si>
  <si>
    <t>Lucely</t>
  </si>
  <si>
    <t>17/08/2022: Discutir este caso, para ver si se verificó el terreno y si la prioridad es adecuada</t>
  </si>
  <si>
    <t>14/05/2023: Pregunto por su proceso</t>
  </si>
  <si>
    <t>08/06/2023: Llamada realizada. Ya esta encuestada</t>
  </si>
  <si>
    <t>Horacio</t>
  </si>
  <si>
    <t>Ortega</t>
  </si>
  <si>
    <t>17/08/2022: Validar con Ramiro qué tan cerca de la quebrada estaba ubicada esta vivienda. Tocaría revisar el terreno.</t>
  </si>
  <si>
    <t>23/04/2023: Se intento comunicar con el beneficiario para evaluar asignación pero no contestó la llamada.</t>
  </si>
  <si>
    <t xml:space="preserve">08/06/2023: Llamada realizada. Número equivocado. 16/02/2024. Inactivación del caso </t>
  </si>
  <si>
    <t>Aureliano</t>
  </si>
  <si>
    <t>Benítez</t>
  </si>
  <si>
    <t>08/06/2023: Llamada realizada. No contestó ninguno de los dos números que se tiene registrados.</t>
  </si>
  <si>
    <t>13/08/2023: Encuesta realizada. El señor vive en una habitación arrendada con su hijo, la hija vive con la mamá de ella. Los datos que se tomaron en cuento a temas de vivienda es donde el está arrendando, las medidas y demás son respecto al lote donde se le va a construir, es un lote grande que está dividido por la casa que es de su ex mujer y el terreno donde se le condstruiria, los dueños de todo el terreno son los dos, aunque en el impuesto predial de la casa aparece la ex mujer. Él desea construir su propia casa ya que no vive con la ex esposa y está pagando arriendo y tiene dos hijos que mantener. El señor no tiene un trabajo estable.</t>
  </si>
  <si>
    <t>Kelly</t>
  </si>
  <si>
    <t>Abajo de la cancha</t>
  </si>
  <si>
    <t>29/10/2022: Verificar si ya pagaron y tienen documentos del terreno</t>
  </si>
  <si>
    <t>Cecilia</t>
  </si>
  <si>
    <t>Guisao</t>
  </si>
  <si>
    <t>El Terreno queda abajo cerca a la entrada de la mitad. Revisar bien el tema del riesgo</t>
  </si>
  <si>
    <t>Martha</t>
  </si>
  <si>
    <t>Nelly</t>
  </si>
  <si>
    <t>Bernal</t>
  </si>
  <si>
    <t>Cano</t>
  </si>
  <si>
    <t>Mayerly</t>
  </si>
  <si>
    <t>Galeano</t>
  </si>
  <si>
    <t>Ruíz</t>
  </si>
  <si>
    <t>Ventanales muy arriba</t>
  </si>
  <si>
    <t>Rocio</t>
  </si>
  <si>
    <t>Alvarez</t>
  </si>
  <si>
    <t>Cardenas</t>
  </si>
  <si>
    <t>23/04/2023: Se intento comunicar con la beneficiaria para evaluar asignación pero no contestó la llamada.</t>
  </si>
  <si>
    <t>08/06/2023: Llamada realizada. No contestó la llamada.</t>
  </si>
  <si>
    <t>Rositer</t>
  </si>
  <si>
    <t>Morelos</t>
  </si>
  <si>
    <t>Wilches</t>
  </si>
  <si>
    <t>Sandra</t>
  </si>
  <si>
    <t>Aguiar</t>
  </si>
  <si>
    <t>La Nueva, cerca a la caballeriza</t>
  </si>
  <si>
    <t>04/08/2022: Analizar la posibilidad de encuestarla de nuevo, ya que el encuestador manifiesta que hay huecos en la historia que contó inicialmente.</t>
  </si>
  <si>
    <t>Yolima</t>
  </si>
  <si>
    <t>23/07/2022: Verificar más datos del caso, para confirmar la prioridad. Preguntarle a Yesica Mazo que fue la encuestadora</t>
  </si>
  <si>
    <t>Candy</t>
  </si>
  <si>
    <t>Libeth</t>
  </si>
  <si>
    <t>Jiménez</t>
  </si>
  <si>
    <t>Munera</t>
  </si>
  <si>
    <t>La torre</t>
  </si>
  <si>
    <t>17/08/2022: Verificar de nuevo el terreno, para ver qué tanto hay que desmontar y si sí dan las dimensiones.</t>
  </si>
  <si>
    <t>16/09/2023: LLamada realizar para posible asignación. La familia ya no esta interesada en el programa, ya construyó.</t>
  </si>
  <si>
    <t>30/07/2022: Hacinamiento</t>
  </si>
  <si>
    <t>Estaba como encuestado pero no esta la información</t>
  </si>
  <si>
    <t>Arturo</t>
  </si>
  <si>
    <t>Rivas</t>
  </si>
  <si>
    <t>Suárez</t>
  </si>
  <si>
    <t>Karine</t>
  </si>
  <si>
    <t>Barajas</t>
  </si>
  <si>
    <t>Los 7 metros de largo están muy precisos, incluso inferior, 6.70 m</t>
  </si>
  <si>
    <t>Revisar encuesta y nivel de priorización</t>
  </si>
  <si>
    <t>de los Ángeles, doña Ángela</t>
  </si>
  <si>
    <t>Mesa</t>
  </si>
  <si>
    <t>Mazo</t>
  </si>
  <si>
    <t>Por la tienda de los cosecheros, preguntar por doña Ángela</t>
  </si>
  <si>
    <t>Osler</t>
  </si>
  <si>
    <t>de Jesús</t>
  </si>
  <si>
    <t>Manco</t>
  </si>
  <si>
    <t>goez</t>
  </si>
  <si>
    <t>18/08/2022: Verificar historia. Dice que no tienen ingresos, pero que están pagando la vivienda.</t>
  </si>
  <si>
    <t>Robinson</t>
  </si>
  <si>
    <t>Callejas</t>
  </si>
  <si>
    <t>Calle nueva, las marraneras</t>
  </si>
  <si>
    <t>18/08/2022: Inicialmente era para qué viviera solo, preguntar si desea postular a la hermana que tiene una hija.</t>
  </si>
  <si>
    <t>Yuli</t>
  </si>
  <si>
    <t>Por la tienda de yolanda</t>
  </si>
  <si>
    <t>Es una mujer que vive sola, trabaja para una empresa que tiene puestos de crispetas en centros comerciales, tiene 42 años, el predio se lo compró a su expareja, necesita adecuar el terreno. Se le filtra el agua lluvia por el techo y paredes, se inunda una de las habitaciones por la cuneta que está perpendicular al callejón</t>
  </si>
  <si>
    <t>Claudia</t>
  </si>
  <si>
    <t>Abajo de bombillo rojo</t>
  </si>
  <si>
    <t>30-jul-22         16-abr-23</t>
  </si>
  <si>
    <t>Alba</t>
  </si>
  <si>
    <t>Lucia</t>
  </si>
  <si>
    <t>Abajo de la virgen Por la carretera al lado de los cuatro locales</t>
  </si>
  <si>
    <t>6/08/2022: Nivelar el terreno posiblemente contenerlo</t>
  </si>
  <si>
    <t>16/04/2023: Segunda encuesta realizada. Hay que devastar, pero es prioritaria: ella tiene cáncer y un hijo que está buscando detención domiciliaria y le exigen un lugar específico</t>
  </si>
  <si>
    <t>Amparo</t>
  </si>
  <si>
    <t>23/04/2023: No interesada en el programa. Comenta que ya logró solucionar</t>
  </si>
  <si>
    <t>Elsy</t>
  </si>
  <si>
    <t>Quiroga</t>
  </si>
  <si>
    <t>La Torre</t>
  </si>
  <si>
    <t>Se le explicó el tema del transporte de los materiales y ella dijo que en caso de quedar seleccionada se encarga de la subida de los mismos</t>
  </si>
  <si>
    <t>Jackeline</t>
  </si>
  <si>
    <t>Banguera</t>
  </si>
  <si>
    <t>06/08/2088: No tiene terreno propio, se le informa que es un requisito y cuando lo tenga se vuelve a comunicar con techo</t>
  </si>
  <si>
    <t>Janeidis</t>
  </si>
  <si>
    <t>Calle</t>
  </si>
  <si>
    <t>Está construyendo un muro de contención para prevenir un posible deslizamiento de tierra de la vivienda vecina. Habría que evaluar el avance de esto para determinar si es viable reactivar el caso</t>
  </si>
  <si>
    <t>Lopez</t>
  </si>
  <si>
    <t>Don Ramon</t>
  </si>
  <si>
    <t>La esquina de don Ramón por la casa rosada</t>
  </si>
  <si>
    <t>Jhony</t>
  </si>
  <si>
    <t>Al frente de la marranera</t>
  </si>
  <si>
    <t>23/04/24 Encuestado. Inactivo, familiar de Luz Dary Zapata</t>
  </si>
  <si>
    <t>José</t>
  </si>
  <si>
    <t>Joaquín</t>
  </si>
  <si>
    <t>Gallego</t>
  </si>
  <si>
    <t>Ángela</t>
  </si>
  <si>
    <t>Gomez</t>
  </si>
  <si>
    <t>Damaris</t>
  </si>
  <si>
    <t>Monsalve</t>
  </si>
  <si>
    <t>Caso no asignable</t>
  </si>
  <si>
    <t>Milena</t>
  </si>
  <si>
    <t>17/08/2022: Hay 3 personas que podrían trabajar. Además el terreno posiblemente queda ubicado muy arriba.</t>
  </si>
  <si>
    <t>Quintero</t>
  </si>
  <si>
    <t>La señora no vive en la vivienda la tiene arrendada en 100mil pero debe tumbaroa porque se encuentra en parte de otro terreno.</t>
  </si>
  <si>
    <t xml:space="preserve">18/feb/2024: Visita para evaluar asignación. Vive donde una amiga y en el lote construyo una parte en madera para l estadia de una tia y tiene techo. Tiene agua, baño y organizo una medio cocina </t>
  </si>
  <si>
    <t>La mamá está enferma, y están viviendo temporalmente en otro sitio. Está interesada en el programa.</t>
  </si>
  <si>
    <t>Chaverra</t>
  </si>
  <si>
    <t>Sector don ramón</t>
  </si>
  <si>
    <t>La familia debe ser reubicada, el terreno no es apto para construir</t>
  </si>
  <si>
    <t>23/04/2023: Se intento comunicar con la beneficiaria para evaluar asignación pero no salió la llamada.</t>
  </si>
  <si>
    <t>15/09/23: Se realiza llamada para posible asignado pero el telefono se encuentra apagado</t>
  </si>
  <si>
    <t>Opción para VDE</t>
  </si>
  <si>
    <t>Orlando</t>
  </si>
  <si>
    <t>Reina</t>
  </si>
  <si>
    <t>Barrientos</t>
  </si>
  <si>
    <t>No disponible</t>
  </si>
  <si>
    <t>Savala</t>
  </si>
  <si>
    <t>Shirley</t>
  </si>
  <si>
    <t>Wilson</t>
  </si>
  <si>
    <t>23/04/2023: Se intento comunicar con el beneficiario para evaluar asignación pero no salió la llamada.</t>
  </si>
  <si>
    <t>Yusleidy</t>
  </si>
  <si>
    <t>Crespo</t>
  </si>
  <si>
    <t>Jairo</t>
  </si>
  <si>
    <t>Se va a buzón</t>
  </si>
  <si>
    <t>Borja</t>
  </si>
  <si>
    <t>Casa bonita, bombillo rojo</t>
  </si>
  <si>
    <t>el esposo esta enfermo y como tiene 58 años es muy dificil que le den trabajo, ella no trabaja porque tiene que cuidar a su mamá y a su sobrino que sufre de una enfermedad y requiere de asistencia 24/7. La casa es de madera u se está cayendo hacia un lado, por lo que en el momento viven asinados con su madre para evitar riesgos</t>
  </si>
  <si>
    <t>Dice que en la visita le informaron que el terreno está demasiado complicado para poder construirlo. Que tiene mucho desnivel.</t>
  </si>
  <si>
    <t>Urda</t>
  </si>
  <si>
    <t>23/04/2023: La vivienda se construiría en en un lote lejos de la vivienda actual</t>
  </si>
  <si>
    <t>Joan</t>
  </si>
  <si>
    <t>Sebastian</t>
  </si>
  <si>
    <t>La marranera sector calle nueva</t>
  </si>
  <si>
    <t>22/01/2023: Pendiente visita al terreno.</t>
  </si>
  <si>
    <t>22-ene-23        16-abr-23</t>
  </si>
  <si>
    <t>Avila</t>
  </si>
  <si>
    <t>Cerca de la Virgen</t>
  </si>
  <si>
    <t>Necesitamos una segunda visita para verificar si el terreno es apto</t>
  </si>
  <si>
    <t>23/04/2023: Tiene 1 niña de 2 años, es una familia de jóvenes que quieren salir adelante, el muchacho trabaja fijo en la construcción</t>
  </si>
  <si>
    <t xml:space="preserve">15/09/23: Se visita para posible asignación pero hay incertidumbre en el terreno y si esto dificultaria la construcción </t>
  </si>
  <si>
    <t>Adriana</t>
  </si>
  <si>
    <t>Mariluz</t>
  </si>
  <si>
    <t>La paz / cerca tienda rosada (viviendas incendio 2021)</t>
  </si>
  <si>
    <t>Victor</t>
  </si>
  <si>
    <t>Tienda Rosada</t>
  </si>
  <si>
    <t>Atehortua</t>
  </si>
  <si>
    <t>Marulanda</t>
  </si>
  <si>
    <t>Torre 11 arriba</t>
  </si>
  <si>
    <t>Arriba de reversadero</t>
  </si>
  <si>
    <t>Martín</t>
  </si>
  <si>
    <t>Piedrahíta</t>
  </si>
  <si>
    <t>Nueva Jerusalén de la Paz para abajo, donde Ramón</t>
  </si>
  <si>
    <t>Monica</t>
  </si>
  <si>
    <t>Jordan</t>
  </si>
  <si>
    <t>23/04/2023: Pendiente documentación del lote.</t>
  </si>
  <si>
    <t>Vanessa</t>
  </si>
  <si>
    <t>El Puente amarillo, en seguida del almacén</t>
  </si>
  <si>
    <t>Entre la Virgen, el hueco, La Paz</t>
  </si>
  <si>
    <t>12/08/2022: Caso asignable, pero el terreno está difícil (muy justo)</t>
  </si>
  <si>
    <t>23/04/23 No se encuentra en comunidad, el próximo domingo estará</t>
  </si>
  <si>
    <t xml:space="preserve"> 15/09/23: Se realiza llamada para posible asignado pero el telefono se encuentra apagado</t>
  </si>
  <si>
    <t>Arnolfo</t>
  </si>
  <si>
    <t>Paola</t>
  </si>
  <si>
    <t>Andrea</t>
  </si>
  <si>
    <t>16/04/2023: Tiene un trabajo estable desde hace 2 años, vive sola, su vivienda esta bien distribuida con sala, habitación, cocina y baño, es un terreno aparentemente estables, con algunos problemas de filtración en la vivienda</t>
  </si>
  <si>
    <t>Alberto</t>
  </si>
  <si>
    <t>Ramírez</t>
  </si>
  <si>
    <t>La Jerusalén</t>
  </si>
  <si>
    <t>Edilson</t>
  </si>
  <si>
    <t>Cruz</t>
  </si>
  <si>
    <t>Agudelo</t>
  </si>
  <si>
    <t>Al lado de la vivienda de Jairo (Construcción techo)</t>
  </si>
  <si>
    <t>Posible opción</t>
  </si>
  <si>
    <t>Miguel</t>
  </si>
  <si>
    <t>Gutiérrez</t>
  </si>
  <si>
    <t>López</t>
  </si>
  <si>
    <t>Persona mayor con baja visión y diabetes</t>
  </si>
  <si>
    <t>Garcés</t>
  </si>
  <si>
    <t>13-ago-23           27-ago-23</t>
  </si>
  <si>
    <t>Esperanza</t>
  </si>
  <si>
    <t>Ferretería de don Osvaldo, subiendo a la derecha</t>
  </si>
  <si>
    <t>27/08/2023. Segunda encuesta realizada. Doña esperanza vive sola, es desplazada de la costa, vive del reciclaje y vende fritos los domingos</t>
  </si>
  <si>
    <t>No contestó la llamada.</t>
  </si>
  <si>
    <t>Sector la cancha</t>
  </si>
  <si>
    <t>Elizabeth</t>
  </si>
  <si>
    <t>Carillo</t>
  </si>
  <si>
    <t>Alarcon</t>
  </si>
  <si>
    <t>Torre 11 parte alta</t>
  </si>
  <si>
    <t>Sí está interesada.</t>
  </si>
  <si>
    <t>Erika</t>
  </si>
  <si>
    <t>Pérez</t>
  </si>
  <si>
    <t>Puerta</t>
  </si>
  <si>
    <t>Todavía está interesada. Es un caso muy prioritario, igual en la visita se corroborará.</t>
  </si>
  <si>
    <t>Yarlis</t>
  </si>
  <si>
    <t>Montes</t>
  </si>
  <si>
    <t>Los cosecheros, torres, parte alta</t>
  </si>
  <si>
    <t xml:space="preserve">10/feb/2024: No contesto llamada para evaluar asignaturas </t>
  </si>
  <si>
    <t>Tiene que hacer muro de contención. Habría que visitarla...</t>
  </si>
  <si>
    <t>Yurley</t>
  </si>
  <si>
    <t>Eliana</t>
  </si>
  <si>
    <t>Vélez</t>
  </si>
  <si>
    <t>Usuga</t>
  </si>
  <si>
    <t>Sector la virgen, tienda de Alex</t>
  </si>
  <si>
    <t>Elidi</t>
  </si>
  <si>
    <t>Mariana</t>
  </si>
  <si>
    <t>Sector de la virgen</t>
  </si>
  <si>
    <t>Si bien su vivienda actual es arrendada la familia actualmente vive en buenas condiciones en comparación con las personas más vulnerables de la misma comunidad</t>
  </si>
  <si>
    <t>Saira</t>
  </si>
  <si>
    <t>Ballesta</t>
  </si>
  <si>
    <t>Sencio</t>
  </si>
  <si>
    <t>Nueva Jerusalén sector la virgen escaleras</t>
  </si>
  <si>
    <t>El terreno donde vive no es propio, la vivienda es compartida y es más grande que el módulo. Tiene divisiones como cocina. El terreno se está desnivelando</t>
  </si>
  <si>
    <t>Yasmin</t>
  </si>
  <si>
    <t>Higuita</t>
  </si>
  <si>
    <t>Diagonal a la iglesia la paz (Sector la paz), Antes de llegar a la tienda de la señora Yolanda</t>
  </si>
  <si>
    <t>En términos generales se podría decir que la familia tiene las condiciones básicas para la supervivencia y no presentan riesgo alguno que comprometa la vivienda</t>
  </si>
  <si>
    <t xml:space="preserve">Ruth  </t>
  </si>
  <si>
    <t xml:space="preserve">Cardona </t>
  </si>
  <si>
    <t>Sánchez</t>
  </si>
  <si>
    <t>Tienen una niña con síndrome de down y el señor es mayor de 60 años. Terreno adecuado para la construcción.</t>
  </si>
  <si>
    <t>Viven en otras casas por qué o de ellas se cayó</t>
  </si>
  <si>
    <t xml:space="preserve">Leidy </t>
  </si>
  <si>
    <t xml:space="preserve">David </t>
  </si>
  <si>
    <t xml:space="preserve">Natalia </t>
  </si>
  <si>
    <t xml:space="preserve">Herrera </t>
  </si>
  <si>
    <t>González</t>
  </si>
  <si>
    <t xml:space="preserve">Paula </t>
  </si>
  <si>
    <t xml:space="preserve">Cotera </t>
  </si>
  <si>
    <t>Roja</t>
  </si>
  <si>
    <t xml:space="preserve">Delio </t>
  </si>
  <si>
    <t>de jesus</t>
  </si>
  <si>
    <t xml:space="preserve">Sol </t>
  </si>
  <si>
    <t>Ramos</t>
  </si>
  <si>
    <t xml:space="preserve">Elda </t>
  </si>
  <si>
    <t>Yaneth</t>
  </si>
  <si>
    <t xml:space="preserve">Diana </t>
  </si>
  <si>
    <t>Cristina</t>
  </si>
  <si>
    <t>Durango</t>
  </si>
  <si>
    <t>Ludys</t>
  </si>
  <si>
    <t xml:space="preserve">Moreno </t>
  </si>
  <si>
    <t xml:space="preserve">Adriana </t>
  </si>
  <si>
    <t xml:space="preserve">Rincón </t>
  </si>
  <si>
    <t>Cornelio</t>
  </si>
  <si>
    <t>Aguirre</t>
  </si>
  <si>
    <t xml:space="preserve">Sandra </t>
  </si>
  <si>
    <t>Eugenia</t>
  </si>
  <si>
    <t xml:space="preserve">Callejas </t>
  </si>
  <si>
    <t>Acevedo</t>
  </si>
  <si>
    <t xml:space="preserve">Mónica </t>
  </si>
  <si>
    <t>Iliana</t>
  </si>
  <si>
    <t>Serna</t>
  </si>
  <si>
    <t xml:space="preserve">Paola </t>
  </si>
  <si>
    <t>Arenas</t>
  </si>
  <si>
    <t xml:space="preserve">Piedad  </t>
  </si>
  <si>
    <t xml:space="preserve">Montoya </t>
  </si>
  <si>
    <t>Vásquez</t>
  </si>
  <si>
    <t xml:space="preserve">Luz </t>
  </si>
  <si>
    <t>Marleny</t>
  </si>
  <si>
    <t xml:space="preserve">Juan </t>
  </si>
  <si>
    <t>Esteban</t>
  </si>
  <si>
    <t>Vasquez</t>
  </si>
  <si>
    <t>Milagros</t>
  </si>
  <si>
    <t>Leidi</t>
  </si>
  <si>
    <t xml:space="preserve">Montes </t>
  </si>
  <si>
    <t>Buelvas</t>
  </si>
  <si>
    <t xml:space="preserve">Rosa </t>
  </si>
  <si>
    <t>Carrillo</t>
  </si>
  <si>
    <t>Elda</t>
  </si>
  <si>
    <t>Yanet</t>
  </si>
  <si>
    <t>Perez</t>
  </si>
  <si>
    <t>El Reversadero</t>
  </si>
  <si>
    <t>Humberto</t>
  </si>
  <si>
    <t>rojas</t>
  </si>
  <si>
    <t>Palmitas</t>
  </si>
  <si>
    <t>Angelica</t>
  </si>
  <si>
    <t>Grajales</t>
  </si>
  <si>
    <t>No hay otro contacto</t>
  </si>
  <si>
    <t>Cosecheros. Camino a la torre</t>
  </si>
  <si>
    <t>Valentina</t>
  </si>
  <si>
    <t>zurique</t>
  </si>
  <si>
    <t>Sáenz</t>
  </si>
  <si>
    <t>Mamá. Georgina Sáenz</t>
  </si>
  <si>
    <t>La cancha. Junto a la vivienda de María Ester</t>
  </si>
  <si>
    <t>montes</t>
  </si>
  <si>
    <t>Julián</t>
  </si>
  <si>
    <t>Arriba de torre 11, cerca de la iglesia católica</t>
  </si>
  <si>
    <t>Sara</t>
  </si>
  <si>
    <t>Daniela</t>
  </si>
  <si>
    <t>Orrego</t>
  </si>
  <si>
    <t>Sebastian Ortiz</t>
  </si>
  <si>
    <t>José Jaramillo</t>
  </si>
  <si>
    <t>Oscar</t>
  </si>
  <si>
    <t>de</t>
  </si>
  <si>
    <t>la</t>
  </si>
  <si>
    <t>Rincón</t>
  </si>
  <si>
    <t>Hija Katherine</t>
  </si>
  <si>
    <t>Vianney</t>
  </si>
  <si>
    <t>Berna</t>
  </si>
  <si>
    <t>Yulieth Berna</t>
  </si>
  <si>
    <t>Yonis</t>
  </si>
  <si>
    <t>Vanegas</t>
  </si>
  <si>
    <t>Las caballerizas</t>
  </si>
  <si>
    <t>Andres</t>
  </si>
  <si>
    <t>natalia</t>
  </si>
  <si>
    <t>Herrera</t>
  </si>
  <si>
    <t>Higuitq</t>
  </si>
  <si>
    <t>Sol</t>
  </si>
  <si>
    <t>vasquez</t>
  </si>
  <si>
    <t>Luz Marleny Higuita</t>
  </si>
  <si>
    <t>Paula</t>
  </si>
  <si>
    <t>cotera</t>
  </si>
  <si>
    <t>Eulalia</t>
  </si>
  <si>
    <t>callejas</t>
  </si>
  <si>
    <t>patricia</t>
  </si>
  <si>
    <t>zapata</t>
  </si>
  <si>
    <t>palencia</t>
  </si>
  <si>
    <t>Mairelis</t>
  </si>
  <si>
    <t>ríos</t>
  </si>
  <si>
    <t>Roney perez</t>
  </si>
  <si>
    <t>Sector iglesia la paz</t>
  </si>
  <si>
    <t>Leticia</t>
  </si>
  <si>
    <t>Pineda</t>
  </si>
  <si>
    <t>Los Girasoles</t>
  </si>
  <si>
    <t>Juliana</t>
  </si>
  <si>
    <t>Gil</t>
  </si>
  <si>
    <t>Fanny</t>
  </si>
  <si>
    <t>Correa</t>
  </si>
  <si>
    <t>Parra</t>
  </si>
  <si>
    <t>Vive en París, pero tiene terreno en la comunidad</t>
  </si>
  <si>
    <t>Portillo</t>
  </si>
  <si>
    <t>Dahiana</t>
  </si>
  <si>
    <t>charrasquiel</t>
  </si>
  <si>
    <t>Neivi compañero de trabajo</t>
  </si>
  <si>
    <t>rendon</t>
  </si>
  <si>
    <t>usuga</t>
  </si>
  <si>
    <t>Eunice palacio Ex suegra</t>
  </si>
  <si>
    <t>Colinas de la nueva</t>
  </si>
  <si>
    <t>Yenny</t>
  </si>
  <si>
    <t>Rios</t>
  </si>
  <si>
    <t>Duran</t>
  </si>
  <si>
    <t>Fabiola</t>
  </si>
  <si>
    <t>Carolina Moreno 17 año hija</t>
  </si>
  <si>
    <t>Martinez</t>
  </si>
  <si>
    <t>Ciro</t>
  </si>
  <si>
    <t>FECHA CONSTRUCCIÓN</t>
  </si>
  <si>
    <t>Observaciones</t>
  </si>
  <si>
    <t>POST 3</t>
  </si>
  <si>
    <t>FECHA POST 3</t>
  </si>
  <si>
    <t>Deisy Borja</t>
  </si>
  <si>
    <t>Viven dos personas que podrían trabajar y mejorar la vivienda que tienen pero no.</t>
  </si>
  <si>
    <t>23-Jan-22</t>
  </si>
  <si>
    <t>Elvia Rosa Cortinez Zapata</t>
  </si>
  <si>
    <t>Cra 24 #69-20</t>
  </si>
  <si>
    <t>Caso muy prioritario, viven varios niños, entre esos 1 bebé de 1 año. Son 9 personas en total. Hay muchos zancudos dentro de la casa, lo que significa un problema de salud y de alimentación.</t>
  </si>
  <si>
    <t>Fanny Borja</t>
  </si>
  <si>
    <t>Gloria Yaneth Jaramillo</t>
  </si>
  <si>
    <t>Cl 71 AD CR 22-27</t>
  </si>
  <si>
    <t>El estado de la vivienda actual es bueno y amplio, la persona cuenta con dos ingresos, cuidado de niños y contrato de alimentación para velar por otras personas.</t>
  </si>
  <si>
    <t>Julián Mauricio Villada Zapata</t>
  </si>
  <si>
    <t>Cr 24 ba 71-02 interior 102</t>
  </si>
  <si>
    <t>Solo trabaja Julián, Yuliana se encuentra estudiando regencia de farmacia. Pagan arriendo, tienen 2 niños. La casa está en buen estado, pero quieren tener lo propio. El terreno es propio, pero necesita tratamiento.</t>
  </si>
  <si>
    <t>Luis Caro</t>
  </si>
  <si>
    <t>En arriendo y les pidieron porque van a vender la casa. El lote bueno para vender. Jefe de hogar es tercera edad. La señora joven con problemas de vision.</t>
  </si>
  <si>
    <t>Luis Fernando Mesa Cansare</t>
  </si>
  <si>
    <t>Cra 23 #72 136 int 148</t>
  </si>
  <si>
    <t>#de hijos, ingresos, condiciones familiares</t>
  </si>
  <si>
    <t>Luznelli Gaviria</t>
  </si>
  <si>
    <t>Cra 24A #69D-157</t>
  </si>
  <si>
    <t>Es una señora de la tercera edad que requiere de cuidado, por ello, al inundarse la casa lo que hace es agravar más la situación.</t>
  </si>
  <si>
    <t>señora de edad. Vive en una vivienda prestada en la parte alta donde sólo paga el agua pero necesita vivir más abajo por qué es difícil llegar y es peligro para ella por qué tiene osteoporosis. También tiene artritis y azúcar alta. Viviría con el hijo y el nieto si sale favorecida. El terreno es complicado 3.4x8.7, da a un Barranco pequeño la parte más corta del terreno.</t>
  </si>
  <si>
    <t>Malfi Del Carmen Teran Diaz</t>
  </si>
  <si>
    <t>Cra 24A #69D-161</t>
  </si>
  <si>
    <t>Silvia Teherán Díaz (Hija)</t>
  </si>
  <si>
    <t>La vivienda actual no está en buen estado</t>
  </si>
  <si>
    <t>El terreno está a nombre de la ex pareja, le vana hacer unas adecuaciones al terreno.</t>
  </si>
  <si>
    <t>Daniela Andrea Gonzalez Tuberquia</t>
  </si>
  <si>
    <t>El Cabildo encima de la caseta comunal</t>
  </si>
  <si>
    <t>Luz Dary Tuberquia (Mamá)</t>
  </si>
  <si>
    <t>Hay hacinamiento y el terreno es óptimo para la construcción de la vivienda</t>
  </si>
  <si>
    <t>Viven varias personas. El terreno es muy estrecho. Queda en el mismo predio de una casa de las de Techo.</t>
  </si>
  <si>
    <t>Segunda encuesta realizada</t>
  </si>
  <si>
    <t>Vivienda en madera, tiene problemas de seguridad y se le entra constantemente el agua</t>
  </si>
  <si>
    <t>Albert Hurtado</t>
  </si>
  <si>
    <t>03-sep-23</t>
  </si>
  <si>
    <t>Aleida Bedoya</t>
  </si>
  <si>
    <t>Angie Paola Montoya</t>
  </si>
  <si>
    <t>Calle 71 AC 21-20</t>
  </si>
  <si>
    <t>Necesita el banqueo y que la madre le seda el terreno</t>
  </si>
  <si>
    <t>Johagen Smit Muñoz Rosales</t>
  </si>
  <si>
    <t>Gerly stephania</t>
  </si>
  <si>
    <t>Se le asigna una prioridad media alta, pues a pesar de que es un caso donde solo hay una persona sola que trabaja y tiene condiciones de vivienda aceptable, puede ser un impulso para mejorar su calidad de vida y tener más oportunidades</t>
  </si>
  <si>
    <t>Manuela Zapata Villa</t>
  </si>
  <si>
    <t>Madre cabeza de familia.</t>
  </si>
  <si>
    <t>Amanda Cecilia Gómez</t>
  </si>
  <si>
    <t>Asinamiento con menores de edad, asistió a proceso con recuperadores. Vivienda cerca a droguería y surtimax</t>
  </si>
  <si>
    <t>Llamada, Numero ocupado, volver a llamar</t>
  </si>
  <si>
    <t>300.000 arriendo</t>
  </si>
  <si>
    <t>Llamada, Ya construyó</t>
  </si>
  <si>
    <t>Omaira Higuita</t>
  </si>
  <si>
    <t>Mateo higuita, hijo</t>
  </si>
  <si>
    <t>Terreno 7*8 sector 3 parte alta</t>
  </si>
  <si>
    <t>Llamada, sigue interesada en el programa</t>
  </si>
  <si>
    <t>Caso no asignable. La familia fue beneficiada por el proyecto de mejoramiento de argos</t>
  </si>
  <si>
    <t>5/28/2023</t>
  </si>
  <si>
    <t>Jaime de Jesús Mazo Hernández</t>
  </si>
  <si>
    <t>Crr 24 c 69d - 112</t>
  </si>
  <si>
    <t>. El señor vive solo y no tiene enfermedades,la casa está estado regular</t>
  </si>
  <si>
    <t>Blanca Doly Higuita Higuita</t>
  </si>
  <si>
    <t>Martha Higuita</t>
  </si>
  <si>
    <t>La vivienda la construyeron ellos con madera, plástico y otros materiales. Hasta el momento la vivienda no tiene el mejor estado</t>
  </si>
  <si>
    <t>Numero obtenido de la jornada anterior, no contestó.</t>
  </si>
  <si>
    <t>Laura Rosa González de Aristizabal</t>
  </si>
  <si>
    <t>Arriba de la cancha</t>
  </si>
  <si>
    <t>. Adultos mayores, terreno apto, problemas con la lluvia, paredes en mal estado entre madera y plásticos. Ambos adultos mayores son dispacacitados (Brazos)</t>
  </si>
  <si>
    <t>Maria Fanny Franco</t>
  </si>
  <si>
    <t>1 familiar con discapacidad, adulto mayor.</t>
  </si>
  <si>
    <t>Tiene un hijo con necesidades especiales y no tiene ningún ingreso</t>
  </si>
  <si>
    <t>17-Apr-22</t>
  </si>
  <si>
    <t>No tiene documentos del terreno</t>
  </si>
  <si>
    <t>5/22/2022</t>
  </si>
  <si>
    <t>Andrea Juliana Velez</t>
  </si>
  <si>
    <t>Tito</t>
  </si>
  <si>
    <t>Estudiante que se que independizar para poder estudiar tranquila y mantener la beca que tiene</t>
  </si>
  <si>
    <t>Nieta de Tito. Problemas familiares donde habita actualmente</t>
  </si>
  <si>
    <t>Carmen Omaira Usuga Castañeda</t>
  </si>
  <si>
    <t>Llamada, sigue interesado en el programa</t>
  </si>
  <si>
    <t>Fabiola Jesus Garcia Mejia</t>
  </si>
  <si>
    <t>Cr 24 AD 70 bb 32</t>
  </si>
  <si>
    <t>Jazmín Marcela Mejía García</t>
  </si>
  <si>
    <t>Se debe llamar en semana para confirmar el desmonte de la vivienda, es una señora de la tercera edad, vive sola y tiene riesgo de colapso, tiene tiroides, asma e hipertensión</t>
  </si>
  <si>
    <t>Maria Cristina Álvarez</t>
  </si>
  <si>
    <t>Francisco (Pareja)</t>
  </si>
  <si>
    <t>Hacinamiento</t>
  </si>
  <si>
    <t>Condiciones muy deficientes de la vivienda actual. Varias personas habitando la vivienda. Jóvenes que requieren apoyo adicional</t>
  </si>
  <si>
    <t>Maria Leticia Henao</t>
  </si>
  <si>
    <t>Vivienda de madera. La compraventa la tiene un señor con el que a veces convive.</t>
  </si>
  <si>
    <t>Sufre de muchas enfermedades. Debe decidir acerca del desmonte del terreno. Tercera edad</t>
  </si>
  <si>
    <t>Blanca luz Oquendo</t>
  </si>
  <si>
    <t>El lote no hay construcción, arrienda en la zona</t>
  </si>
  <si>
    <t>Llamada realizada para encuestar. Esta interesada pero no estará el fin de semana. Encuestar en la siguiente jornada</t>
  </si>
  <si>
    <t>10-Sep-23</t>
  </si>
  <si>
    <t>Yanith Alexandra Vanegas Parra</t>
  </si>
  <si>
    <t>Cr 24 bb# 69 d-128 int 106</t>
  </si>
  <si>
    <t>La vivienda está en peligro de colapso, vive con dos niños y uno de los niños tiene problemas de alergia por la humedad</t>
  </si>
  <si>
    <t>Encuesta realizada pero el terreno no cumple con las medidas. Familia joven asignable, se le indica que si consigue un terreno más amplio comunicarse con nosotros.</t>
  </si>
  <si>
    <t>Llamada y visita, no está interesada en el programa</t>
  </si>
  <si>
    <t>Llamada, vive en la cruz</t>
  </si>
  <si>
    <t>Gloria Estrada</t>
  </si>
  <si>
    <t>Vive con dos nietos. No trabaja, una de las nietas (Emiliana) tiene asma y tiene crisis recurrente es dodne la hospitalizan. No dice por que Los nietos viven con ella. El otro niño tiene 12.</t>
  </si>
  <si>
    <t>Llamada, Ya ha realizado mejoras en la vivienda y solo necesaria el techo por tanto no esta interesada en el programa.</t>
  </si>
  <si>
    <t>Maria Isela Higuita Ochoa</t>
  </si>
  <si>
    <t>Calle 71 #24 c 66 la Honda sector 4</t>
  </si>
  <si>
    <t>Sebastian hijo</t>
  </si>
  <si>
    <t>Madre cabeza de familia. Vive con dos mejores, uno con posible transtorno psiquiátrico. La señora no tiene empleo estable, vive de arriendo; tiene trabajo informal y no estable. Paga 70 de arriendo. Terreno apto, aunque estrecho. Caso muy asignable.</t>
  </si>
  <si>
    <t>Luz Dary</t>
  </si>
  <si>
    <t>Encuesta realizada. Marco vive con la esposa y el papá. Tiene otras propiedades con las cuales se sustentan más el aporte que le realiza el gobierno al papá por ser la de la tercera edad.</t>
  </si>
  <si>
    <t>Blanca Nieves Rivera</t>
  </si>
  <si>
    <t>Blanca rocío Rivera</t>
  </si>
  <si>
    <t>Necesitan más espacio porque son muchas personas</t>
  </si>
  <si>
    <t>Luz Marina Córdoba Moreno</t>
  </si>
  <si>
    <t>Amelia Córdoba</t>
  </si>
  <si>
    <t>23-jul-2022: Persona afectada por el movimiento en masa del sector 3. La persona sigue viviendo en la casa en riesgo. El lote queda en otro sector. Es un casi prioritario</t>
  </si>
  <si>
    <t>La comunidad nos manifiesta que la familia no esta habitando la vivienda. Se visitó y efectivamente no estaba desde hace 15 dias. Nos comunicamos con ella y nos indica que esta saliendo constamente de la comunidad a visitar y cuidar de su madre la cual está enferma en estado terminal.</t>
  </si>
  <si>
    <t>Familia que no está habitando la vivienda. Pendiente llamada y visita</t>
  </si>
  <si>
    <t>Nelly luz Beltrán Torres</t>
  </si>
  <si>
    <t>Cr 23 N 70BB 77 int 103</t>
  </si>
  <si>
    <t>Dora rosa torres</t>
  </si>
  <si>
    <t>23-jul-2022: Son 3 menores de edad, 2 hijos de la señora Nelly y un nieto hijo dr la hija qie es menor de edad. En la casa donde estan viviendo los hijos es del es marido de la señora pero la situación entre ellos es complicada, la señora duerme en em terreno que esta encerrado en lona, y le dq "vuelta" a sus hijos</t>
  </si>
  <si>
    <t>Andrea Higuita</t>
  </si>
  <si>
    <t>Cl 70 BB cra 23 3 (165)</t>
  </si>
  <si>
    <t>La señora tiene una discapacidad para trabajar, tiene parte de la casa enchapada(ojo)</t>
  </si>
  <si>
    <t>7/31/2022</t>
  </si>
  <si>
    <t>Arturo Antonio Almario Arrieta</t>
  </si>
  <si>
    <t>Cr 24 ac #69d-198</t>
  </si>
  <si>
    <t>Yerlis Adriana Rosario</t>
  </si>
  <si>
    <t>31-jul-2022: En la vivienda viven 4 personas en 1 sola habitación las condiciones no son las mejores entre las personas hay un menor de edad</t>
  </si>
  <si>
    <t>La comunidad nos manifiesta que la familia no esta habitando la vivienda. Se visitaron y efectivamente no estaban pero aún no se hemos podido hablar con la familia. Algunos vecinos nos dicen que hace 8 dias no está en la vivienda desde una discusion que tuvo con su pareja.</t>
  </si>
  <si>
    <t>Leidy Holguin</t>
  </si>
  <si>
    <t>Cll 71AA F 21 69</t>
  </si>
  <si>
    <t>Nubia Holguín Ortiz</t>
  </si>
  <si>
    <t>31-jul-2022: Prioridad media alta, el terreno no es propio, pero es de la mamá</t>
  </si>
  <si>
    <t>Leonardo Antonio Ceballos Borrero</t>
  </si>
  <si>
    <t>Cr 24 Bb #71-14</t>
  </si>
  <si>
    <t>Edier Ceballos</t>
  </si>
  <si>
    <t>31-jul-2022: Don Leonardo tiene un terreno grande donde tiene 2 viviendas, 1 de estas está rentada y cumple con las medidas, las paredes laterales del lote completo están construidas en material, la vivienda rentada que cumple las medidas el piso es concreto, la vivienda donde vive don Leonardo no cumple con las medidas sin embargo el manifiesta que se trasladaría a la casa que se construya y donde vive actualmente viviria un hijo</t>
  </si>
  <si>
    <t>Sector 3 parte baja, ha participado en actividades</t>
  </si>
  <si>
    <t>Llamada, Telefono fuera de servicio</t>
  </si>
  <si>
    <t>Referir caso a gestión comunitaria para pedir informacion de contacto</t>
  </si>
  <si>
    <t>Manuel Salvador Rios</t>
  </si>
  <si>
    <t>CL 71c #23-15 int 101</t>
  </si>
  <si>
    <t>Adiela Aleida Escudero</t>
  </si>
  <si>
    <t>31-jul-2022: El señor encuestado (Don Manuel) hizo el proceso pensando más en que la hija de la mujer fuese la beneficiaria final de la vivienda, ya que ella a veces hace uso de la vivienda donde se encuestó al señor, ella tiene 2 hijos uno de 4 años y otro de 1 año aproximadamente, en la casa donde vive actualmente están en un proyecto de mejoramiento de vivienda preguntar caso completo a los encuestadores, la prioridad que se calificó se da por el estado actual de la vivienda donde el señor vive y las personas que habitan el lugar (con los hijos de la hija de la mujer son 7)</t>
  </si>
  <si>
    <t>Nubia Holguin Ortiz</t>
  </si>
  <si>
    <t>Prioridad media alta, el terreno no es propio, pero es de la mamá.</t>
  </si>
  <si>
    <t>Vanessa Moreno Tuberquia</t>
  </si>
  <si>
    <t>Cl 71A 21 75 (al lado)</t>
  </si>
  <si>
    <t>. No tiene documento de propiedad y no habita la honda</t>
  </si>
  <si>
    <t>Yuly Andrea Acevedo Villa</t>
  </si>
  <si>
    <t>Carrera 24 c #69 d-87 int 105</t>
  </si>
  <si>
    <t>Jorge Ocampo (Cuñado)</t>
  </si>
  <si>
    <t>Las condiciones de la vivienda son muy regulares, y se les ha inundado la casa cuando ha caído granizo, porque se rompe la lona, el sustento económico es el trabajo del padre</t>
  </si>
  <si>
    <t>Conrado de Jesús Chaverra Patiño</t>
  </si>
  <si>
    <t>Calle 72 #22-07 int 102. Al lado de don Tito</t>
  </si>
  <si>
    <t>Blanca oliva Ortiz</t>
  </si>
  <si>
    <t>06-ago-2022: La infraestructura de la vivienda afecta a la familia en situaciones de climas difíciles</t>
  </si>
  <si>
    <t>Blanca Aurora Gómez Usuga</t>
  </si>
  <si>
    <t>Vive sola con sus tres hijas y trabaja en el comedor comunitario.</t>
  </si>
  <si>
    <t>Segunda encuesta. La familia es muy asignable. El terreno requiere adecuaciones, nivelecion, relleno, adecuación de perímetro. Ella se compromete a acondicionarlo pero nos avisa el próximo martes según lo que le diga el maestro de obras.</t>
  </si>
  <si>
    <t>Se iba a asignar pero tuvo los recursos para adecuar el terreno a tiempo</t>
  </si>
  <si>
    <t>Caso muy asignable. Revisar si ya adecuo el terreno</t>
  </si>
  <si>
    <t>Jeraldin Rodriguez</t>
  </si>
  <si>
    <t>CL 71AD CR 22-27</t>
  </si>
  <si>
    <t>La beneficiaria actualmente vive sola, no hay hacinamiento y el único factor de prioridad es el estado de la vivienda</t>
  </si>
  <si>
    <t>8/14/2022</t>
  </si>
  <si>
    <t>Jorge Alberto Benitez</t>
  </si>
  <si>
    <t>al lado la escuela refuerzo</t>
  </si>
  <si>
    <t>No es Cabildo, pero es zona alta. Recientemente se separó de la esposa y está viviendo temporalmente con el hermano mientras encuentra una solución.</t>
  </si>
  <si>
    <t>. Persona sola. Joven. En malas condiciones pero no se ve con ánimo de salir adelante...</t>
  </si>
  <si>
    <t>14-Aug-22</t>
  </si>
  <si>
    <t>Carlos Bedoya</t>
  </si>
  <si>
    <t>Cristina Núñez</t>
  </si>
  <si>
    <t>Ya se había caracterizado. No es el cabildo, pero es zona alta del sector 4 en posible riesgo</t>
  </si>
  <si>
    <t>Llamada, No contestó</t>
  </si>
  <si>
    <t>5/26/2022</t>
  </si>
  <si>
    <t>Llamada realizada para encuestar. Numeros fuera de servicio</t>
  </si>
  <si>
    <t>10-sep-2023</t>
  </si>
  <si>
    <t>Zona escuela refuerzo escolar.</t>
  </si>
  <si>
    <t>Sandra Milena</t>
  </si>
  <si>
    <t>No es Cabildo pero es zona alta de probable alto riesgo</t>
  </si>
  <si>
    <t>Tienen buenas condiciones. Trabajan.</t>
  </si>
  <si>
    <t>Liliana Patricia Castaño Gil</t>
  </si>
  <si>
    <t>Clle 72 #22 60 int 113</t>
  </si>
  <si>
    <t>Luis Enrique Salas</t>
  </si>
  <si>
    <t>Es una señora discpacitada que es vendedora ambulante, vive con su marido, hijo y nieto, la señora también esta estudiando, con muchas ganas de salir adelante, cuentan con el terreno</t>
  </si>
  <si>
    <t>Carlos Daniel Montoya</t>
  </si>
  <si>
    <t>Luz Dary Marín Orozco</t>
  </si>
  <si>
    <t>Cra 24 ab 69 d 151</t>
  </si>
  <si>
    <t>14/08/2022 10/06/2023</t>
  </si>
  <si>
    <t>Hay más prioridad con otras familias, y no tiene otras necesidades como otras familias</t>
  </si>
  <si>
    <t>Es una lider comunitaria. Tiene un terreno muy amplio y vive sola. La vivienda está en buen estado, no es prioridad.</t>
  </si>
  <si>
    <t>Maria Stella Jaramillo</t>
  </si>
  <si>
    <t>Cll 71B CR 24 DF 07 218</t>
  </si>
  <si>
    <t>2 personas discapacitadas en el hogar, entre ellos un bebé de 3 meses, me preocupa un poco el terreno porqie aun no esta acondicionado pero ella se compromete a arreglarlo en caso de quedar favorecida</t>
  </si>
  <si>
    <t>Mariseli Orozco</t>
  </si>
  <si>
    <t>CR 24 DD CL 69 D 101 (132)</t>
  </si>
  <si>
    <t>Juan Miguel Hernández</t>
  </si>
  <si>
    <t>No asignable, tienen piso de concreto y no se puede romper.</t>
  </si>
  <si>
    <t>Vivienda en la parte alta. Tuvieron un problema de deslizamiento y están arrendando en otro lugar mientras buscan una solución</t>
  </si>
  <si>
    <t>No asignable, tienen piso de concreto y no se puede romper</t>
  </si>
  <si>
    <t>Melba llinicet Mena Chala</t>
  </si>
  <si>
    <t>Cra 24 AC 69D 149</t>
  </si>
  <si>
    <t>Doralis</t>
  </si>
  <si>
    <t>318 8000525</t>
  </si>
  <si>
    <t>Es un nucleo familiar con una niña, las condiciones de la casa no son las mejores, y tinen muchas ganas de salir adelante</t>
  </si>
  <si>
    <t>Erica (Hermana)</t>
  </si>
  <si>
    <t>En el núcleo familiar hay niñas menores de 10 años y no cuentan con espacio suficiente ni la infraestructura para todo el núcleo familiar</t>
  </si>
  <si>
    <t>11-Aug-22</t>
  </si>
  <si>
    <t>Never Enrique Coneo Gonzales</t>
  </si>
  <si>
    <t>Calle 71 aa 22-25</t>
  </si>
  <si>
    <t>No asignable, tienen muy buena vivienda y solo quieren el modulo para tener una habitación de mas.</t>
  </si>
  <si>
    <t>Raul Cossio</t>
  </si>
  <si>
    <t>Jenny</t>
  </si>
  <si>
    <t>El señor es relativamente joven. Trabaja en construcción. Tiene hija que trabaja en oficina. Y hermana vive al lado y trabaja en confección. El terreno apenas da las medidas. No está en tan malas condiciones</t>
  </si>
  <si>
    <t>Romelia Rivas lopez</t>
  </si>
  <si>
    <t>CL 71 b # 23 b 07. / Upa 137</t>
  </si>
  <si>
    <t>Francisco</t>
  </si>
  <si>
    <t>14-ago-2022: Estado de señora de edad , techo en mal estado con múltiples goteras(chorros internos), piso inestable , rata , cucaracha, serpientes, niño temporalmente</t>
  </si>
  <si>
    <t>Siris Sanchez</t>
  </si>
  <si>
    <t>Siris</t>
  </si>
  <si>
    <t>Señora de edad. Bajos ingresos. Pero en consideración. No se le ve muy interes por el desmonte del piso de concreto</t>
  </si>
  <si>
    <t>Viviana Patricia Jaramillo</t>
  </si>
  <si>
    <t>Encuesta realizada. Posible asignación</t>
  </si>
  <si>
    <t>Yadi Barrio Barón</t>
  </si>
  <si>
    <t>Calle 71C -carrera 23 -16</t>
  </si>
  <si>
    <t>Yolinis</t>
  </si>
  <si>
    <t>Terreno le pertenece a su esposo , problemas de salud ( cardíacos y tiroidismo )</t>
  </si>
  <si>
    <t>Carmen Arreola</t>
  </si>
  <si>
    <t>Gloria Helena Cossío Flórez</t>
  </si>
  <si>
    <t>Vive con el hermano porque no tiene donde vivir</t>
  </si>
  <si>
    <t>Llamada, ya solucionó</t>
  </si>
  <si>
    <t>Llamada realizada para encuestar. Manifiesta que ya construyó</t>
  </si>
  <si>
    <t>Daisy Yurani Largo Usuga</t>
  </si>
  <si>
    <t>Camen Omaira Usuga (mamá)</t>
  </si>
  <si>
    <t>Darbis José Perez</t>
  </si>
  <si>
    <t>El señor tiene su terreno para no ha construido, habita una vivienda en arriendo en la comunidad</t>
  </si>
  <si>
    <t>Diana Gusman Oquendo</t>
  </si>
  <si>
    <t>Rafael</t>
  </si>
  <si>
    <t>Llamar a Don Tito</t>
  </si>
  <si>
    <t>Dora Milena Sora Escudero</t>
  </si>
  <si>
    <t>Fabio Ospina Bedoya</t>
  </si>
  <si>
    <t>Carrera 24AB#69D-135</t>
  </si>
  <si>
    <t>Compañero</t>
  </si>
  <si>
    <t>2 opciones del terreno para construir, uno con las medidas de 3*7 y otro con las 4*7 pero con piedras en todo la zona</t>
  </si>
  <si>
    <t>No se puede asignar por dificultades del relleno del terreno</t>
  </si>
  <si>
    <t>Aracely del socorro Ortiz Meneses</t>
  </si>
  <si>
    <t>Calle 71 #22-06</t>
  </si>
  <si>
    <t>Blanca Oliva Ortiz - Hermana (esposa de don Tito )</t>
  </si>
  <si>
    <t>Se le había hecho encuesta anteriormente pero no tenía terreno. Su prioridad es que den desocupar el espacio donde vive porque es prestado y la persona dueña de la vivienda está detenido y sale pronto y ella no puede vivir con el. Por otro lado la vivienda se moja porque el techo no está en buen estado. Doña aracelly vive con su hija y recibe ingreso de una pensión que le dan por la muerte de su hijo</t>
  </si>
  <si>
    <t>Gloria Patricia Villa</t>
  </si>
  <si>
    <t>Isabel Cristina Núñez Mena</t>
  </si>
  <si>
    <t>More-padrastro</t>
  </si>
  <si>
    <t>Madre cabeza de familia, desempleada y sin ingresos fijos</t>
  </si>
  <si>
    <t>Lucelly Usuga</t>
  </si>
  <si>
    <t>Rocío Usuga - hermana</t>
  </si>
  <si>
    <t>La señora provee el hogar, los hijos de vez en cuando colaboran. Son evidentes las necesidades materiales en la estructura de la vivienda.</t>
  </si>
  <si>
    <t>Luz Mary Guzmán</t>
  </si>
  <si>
    <t>Cabildo Indigena parte alta</t>
  </si>
  <si>
    <t>Hija Mayor Liliana Andrea Serna Guzman</t>
  </si>
  <si>
    <t>Terreno construible 7×4</t>
  </si>
  <si>
    <t>Milbia del Socorro Henao</t>
  </si>
  <si>
    <t>Carrera 24 ab</t>
  </si>
  <si>
    <t>Alberto Munera Hermano del padrastro</t>
  </si>
  <si>
    <t>263 7119</t>
  </si>
  <si>
    <t>Omar Antonio Castaño Vanegas</t>
  </si>
  <si>
    <t>Calle 71aa #22-45</t>
  </si>
  <si>
    <t>Pacho</t>
  </si>
  <si>
    <t>El terreno tiene las dimensiones adecuadas, hay que tener cuidado con la tubería de las aguas negras. La vivienda está en muy malas condiciones y uno de sus habitantes duerme en el espacio donde está el baño. Las paredes están desniveladas lo que hace que en cualquier momento se pueda derrumbar la vivienda. Son dos adultos mayores hermanos y no tienen ingresos fijos</t>
  </si>
  <si>
    <t>Ruth Amparo Suárez</t>
  </si>
  <si>
    <t>Cr 24BA 71-53</t>
  </si>
  <si>
    <t>Carol Vallejo</t>
  </si>
  <si>
    <t>Son numerosos pero no hay bebés, no hay discapacitados, no hay embarazas, son jóvenes y un mayor de 65 pero con buena salud. Las condiciones materiales materiales no son tan precarias. Solo un apersona del núcleo familiar trabaja. Una persona hija ya está estudiando en nivel técnico y haciendo prácticas laborales.</t>
  </si>
  <si>
    <t>Jefferson Córdoba Bejarano</t>
  </si>
  <si>
    <t>Jefferson Córdoba (hermano)</t>
  </si>
  <si>
    <t>Ruth Algarin De la Rosa</t>
  </si>
  <si>
    <t>cra 24ac #69b-208</t>
  </si>
  <si>
    <t>Yeison esposo</t>
  </si>
  <si>
    <t>El terreno de la vivienda se está cayendo por tanto está en peligro la estructura sin embargo el esposo cuenta con un trabajo estable.</t>
  </si>
  <si>
    <t>Emilia Luna</t>
  </si>
  <si>
    <t>La beneficiaria sería la hija. Las condiciones en que vive Emilia no son tan malas. Se les dice que es necesario contactar a la hija e iniciar proceso.</t>
  </si>
  <si>
    <t>Blanca Rosa Fuentes</t>
  </si>
  <si>
    <t>Calle 71a #75-21 interior 126</t>
  </si>
  <si>
    <t>Luz Nay Fuentes Ávila</t>
  </si>
  <si>
    <t>Hacinamiento. Condiciones precarias. Terreno media facil</t>
  </si>
  <si>
    <t>Emilia Presentada Luna</t>
  </si>
  <si>
    <t>03-nov-2022 01-jul-2023</t>
  </si>
  <si>
    <t>Se le realiza segunda encuesta donde la beneficiaria no manifiesta que tenga que irse de la casa donde esta.</t>
  </si>
  <si>
    <t>Maria Oralis Florez</t>
  </si>
  <si>
    <t>Cerezal arriba cancha tierra</t>
  </si>
  <si>
    <t>Diana sobrina</t>
  </si>
  <si>
    <t>No está en malas condiciones. Quiere algo para agrandar espacio y tal vez arrendar.</t>
  </si>
  <si>
    <t>Raul Benitez</t>
  </si>
  <si>
    <t>Martha Iguita</t>
  </si>
  <si>
    <t>Tiene casa y quiere ampliar. Terreno muy inclinado</t>
  </si>
  <si>
    <t>Llamada, Error en el número</t>
  </si>
  <si>
    <t>Yuliana Andrea Mazo Jaramillo</t>
  </si>
  <si>
    <t>Cra 24bc #69D-131</t>
  </si>
  <si>
    <t>La beneficiaria vive con la mamá y el hijo pero ellos van y vienen, es decir vive casi sola. Tiene un trabajo con contrato en una empresa de velas. Le tocaria desmontar, el terreno tiene un muro de contención</t>
  </si>
  <si>
    <t>John Erney Usuga</t>
  </si>
  <si>
    <t>Jorge Mario Munera Arango</t>
  </si>
  <si>
    <t>Julio Espinoza</t>
  </si>
  <si>
    <t>Gloria Yaneth Montoya Alvarez</t>
  </si>
  <si>
    <t>Encuesta realizada pero no debido a que el terreno es compartido con el hermano, su parte no cumple con las medidas</t>
  </si>
  <si>
    <t>Mayerli (Hija)</t>
  </si>
  <si>
    <t>Encuesta realizada</t>
  </si>
  <si>
    <t>Bibiana Jaramillo</t>
  </si>
  <si>
    <t>Jose Alberto Benítez</t>
  </si>
  <si>
    <t>El celular anterior es de doña Rocio</t>
  </si>
  <si>
    <t>Jose Alvarado Arteaga</t>
  </si>
  <si>
    <t>Luis Enrique Brand</t>
  </si>
  <si>
    <t>Lilia Vecina</t>
  </si>
  <si>
    <t>Señores de la tercera edad que no tienen empleo, reciben ayuda de unos hijos, que los llevan al medico, les traen comida, solo los ayudan los hijos de la señora</t>
  </si>
  <si>
    <t>Jose Napoleón Correa</t>
  </si>
  <si>
    <t>Lina Marcela Arango Gutierrez</t>
  </si>
  <si>
    <t>Prioridad para encuesta</t>
  </si>
  <si>
    <t>Luis Alfonso Perez</t>
  </si>
  <si>
    <t>Carmen (Vecina)</t>
  </si>
  <si>
    <t>Interesado pero en construcción de baños</t>
  </si>
  <si>
    <t>Luis Edilberto Herrera</t>
  </si>
  <si>
    <t>Felicita Madrid Gómez</t>
  </si>
  <si>
    <t>El teléfono relacionado es de la vecina, está sin empleo pero llegó a la comunidad hace 15 días</t>
  </si>
  <si>
    <t>3005671858/3127327282</t>
  </si>
  <si>
    <t>Nuraily Nathalia Romero Briseño</t>
  </si>
  <si>
    <t>Maria Briseño</t>
  </si>
  <si>
    <t>Ramiro Enrique Casillas Vargas</t>
  </si>
  <si>
    <t>Cra 24BB 69D41</t>
  </si>
  <si>
    <t>El señor vive con la esposa, trabaja con una contratista de epm. Su hijo con la familia vive al lado</t>
  </si>
  <si>
    <t>Maria Doralis Correa Restrepo</t>
  </si>
  <si>
    <t>Cr 24a 69-135.</t>
  </si>
  <si>
    <t>Adriana Patricia Correa Restrepo . Es la abuela de Isaac, El Niño tiene SIDA , el bienestar familiar le entregó la custodia a la abuela pero no podían vivir en la vivienda por qué no tiene piso y por que el agua no es potable. Actualmente vive en Santa Fe arrendados en una habitación que cuenta con cocina y baño. La señora trabaja limpiando casas y vende empanadas. El Niño tiene 4 años.Isaac Agudelo.</t>
  </si>
  <si>
    <t>Ana Neida Bejarano Palacio</t>
  </si>
  <si>
    <t>Norian Durango (lider)</t>
  </si>
  <si>
    <t>La señora vive sola con un niño de un año, es el nieto, el hijo vive en un campamento en dabeiba y le manda mensualmente para el sustento. Las condiciones del hogar le estan generando problemas de salud al niño, por la humedad y el polvo</t>
  </si>
  <si>
    <t>Omeldo Jesús Pineda Vargas</t>
  </si>
  <si>
    <t>Roció</t>
  </si>
  <si>
    <t>Es un señor mayor que vive solo. Trabaja como reciclados, tiene un dolor crónico en la rodilla izquierda. La vivienda está en malas consiciones.</t>
  </si>
  <si>
    <t>Eluzdany Patiño Gonzales</t>
  </si>
  <si>
    <t>Maria Doralis Patiño (mama)</t>
  </si>
  <si>
    <t>Tiene dos hijos, esta estudiando y trabaja en confecciones</t>
  </si>
  <si>
    <t>Aldemar Molina</t>
  </si>
  <si>
    <t>Aura Vergara</t>
  </si>
  <si>
    <t>Bibiana Murillo</t>
  </si>
  <si>
    <t>German Martinez</t>
  </si>
  <si>
    <t>Gloria Gutierrez</t>
  </si>
  <si>
    <t>Juliana Velez</t>
  </si>
  <si>
    <t>Ligia Vergara</t>
  </si>
  <si>
    <t>Lucia Uribe</t>
  </si>
  <si>
    <t>Luz Helena Ávila Sánchez</t>
  </si>
  <si>
    <t>Manuela Vasco</t>
  </si>
  <si>
    <t>Rodrigo Jimenez</t>
  </si>
  <si>
    <t>Rosa Henao</t>
  </si>
  <si>
    <t>Yomaira Contreras</t>
  </si>
  <si>
    <t>Llamada, sigue interesado en el programa (Preguntar si es el mismo nucleo familiar de Rosalba)</t>
  </si>
  <si>
    <t>Maria Ibarra</t>
  </si>
  <si>
    <t>María Elda Martinez</t>
  </si>
  <si>
    <t>Doralis Correa:amiga</t>
  </si>
  <si>
    <t>Vive en un espacio que no está en buen estado y se lo presto el hermano.</t>
  </si>
  <si>
    <t>Viven dos personas sin enfermedades</t>
  </si>
  <si>
    <t>María Lucrecia Rendón</t>
  </si>
  <si>
    <t>Maribel Ruiz</t>
  </si>
  <si>
    <t>mamá María</t>
  </si>
  <si>
    <t>Viven en una sola habitación todos, se les entra el agua constantemente cuando llueve, construida en madera</t>
  </si>
  <si>
    <t>Cerca a vivienda de Rosa</t>
  </si>
  <si>
    <t>Es parte alta. Considerar zonas de riesgo.</t>
  </si>
  <si>
    <t>Llamada realizada para encuestar. Numero equivocado y la esposa no conestó.</t>
  </si>
  <si>
    <t>Nohelia Rodriguez David</t>
  </si>
  <si>
    <t>Rocío Usuga</t>
  </si>
  <si>
    <t>Lucelly usuga</t>
  </si>
  <si>
    <t>Mal estado de la vivienda</t>
  </si>
  <si>
    <t>Rosalba de Jesús Gonzalez Jaramillo</t>
  </si>
  <si>
    <t>Llamada, sigue interesado en el programa (Preguntar si es el mismo nucleo familiar de Manuel)</t>
  </si>
  <si>
    <t>Sin nombre</t>
  </si>
  <si>
    <t>Viviana Muñoz Zuzuga</t>
  </si>
  <si>
    <t>Maria, mamá</t>
  </si>
  <si>
    <t>La mamá tiene insuficiencia renal</t>
  </si>
  <si>
    <t>Wendy Caballero</t>
  </si>
  <si>
    <t>Yeferon Esteban Castañeda Cardenas</t>
  </si>
  <si>
    <t>Yeferson Córdoba</t>
  </si>
  <si>
    <t>Yeison Higuita</t>
  </si>
  <si>
    <t>Yesica Paola Vasquez</t>
  </si>
  <si>
    <t>Abuela Luz Maria</t>
  </si>
  <si>
    <t>Vivienda en tablilla, vive en conflicto con su expareja.</t>
  </si>
  <si>
    <t>Llamada, no contestó</t>
  </si>
  <si>
    <t>Maria Echavarria</t>
  </si>
  <si>
    <t>Luz Maria Marin</t>
  </si>
  <si>
    <t>Luis Henry Vallejo Guerra</t>
  </si>
  <si>
    <t>Carol Dayana Vallejo</t>
  </si>
  <si>
    <t>Gloria Del Carmen Susertia</t>
  </si>
  <si>
    <t>Luis Argiro Cossio</t>
  </si>
  <si>
    <t>Jose Parra</t>
  </si>
  <si>
    <t>Sandra - Esposa</t>
  </si>
  <si>
    <t>Candido Chaverra</t>
  </si>
  <si>
    <t>Jose Barco</t>
  </si>
  <si>
    <t>Julian Mauricio</t>
  </si>
  <si>
    <t>Cindy Jeaneth Giron Bedoya</t>
  </si>
  <si>
    <t>María Girón Bedoya</t>
  </si>
  <si>
    <t>Cindy está embarazada</t>
  </si>
  <si>
    <t>Nelsy Antonia Giron Murillo</t>
  </si>
  <si>
    <t>Luisa Gonzalez</t>
  </si>
  <si>
    <t>Pedro González</t>
  </si>
  <si>
    <t>Julian Mauricio Villada Zapata</t>
  </si>
  <si>
    <t>Maria Patricia Morales Hoyos</t>
  </si>
  <si>
    <t>Nubia Stella Medina Garzon</t>
  </si>
  <si>
    <t>Santiago Velez</t>
  </si>
  <si>
    <t>Vive en el sector de la cruz.</t>
  </si>
  <si>
    <t>No hay terreno tan amplio, dice que puede ampliar</t>
  </si>
  <si>
    <t>Ariel Giovany Usuga</t>
  </si>
  <si>
    <t>Jhon Faber</t>
  </si>
  <si>
    <t>Esteban - Amigo</t>
  </si>
  <si>
    <t>Cabildo</t>
  </si>
  <si>
    <t>Reubicaron la vivienda y ya dejaron de ayudarle con el pago de arriendo</t>
  </si>
  <si>
    <t>Sergio - Pareja</t>
  </si>
  <si>
    <t>Maria Eloisa</t>
  </si>
  <si>
    <t>Nelly Yuliana Echavarria Ramirez</t>
  </si>
  <si>
    <t>Gloria Gonzalez Patiño</t>
  </si>
  <si>
    <t>Subiendo por la tienda de Marina, sector la invasión, la tercera casa subiendo. Trabaja solo la señora, el señor no por temas de salud. Cra 24BA 69D-143</t>
  </si>
  <si>
    <t>10-sep-23</t>
  </si>
  <si>
    <t>Luz Dary Montoya Arenas</t>
  </si>
  <si>
    <t>Calle 71AD carrera 22</t>
  </si>
  <si>
    <t>Aún falta establecer la base para poder construir, aún falta para poder hacerlo.</t>
  </si>
  <si>
    <t>Luz Margarita</t>
  </si>
  <si>
    <t>La honda cabildo sector 3 parte alta</t>
  </si>
  <si>
    <t>La señora nos indica que cuenta con otra vivienda donde viven los hijos y en ocasiones se queda con ellos, no se evidencia que la señora cocine en la casa, dice que viven 4 personas pero el espacio es muy reducido y no cuenta con la capacidad para tantas personas</t>
  </si>
  <si>
    <t>Carrera 22#71AD 31</t>
  </si>
  <si>
    <t>El terreno debe adecuarse, es pura piedra y tierra, hay unas vigas, y deben remover las piedras y acomodar la base</t>
  </si>
  <si>
    <t>Cra 24 bb #69 -D</t>
  </si>
  <si>
    <t>Terreno inestable, sin construcción, no viable para construir</t>
  </si>
  <si>
    <t>Noelia Rodriguez David</t>
  </si>
  <si>
    <t>Carrera 24 DB 71 58</t>
  </si>
  <si>
    <t>La situación es demasiado crítica porque es una persona de edad la cual no tiene trabajo fijo normalmente, la situación de saneamiento por partes de ella y de los animales con las cuales convive es demasiado crítico y las condiciones de fitosanitarias son algo precarias</t>
  </si>
  <si>
    <t>Darvis Jose Perez</t>
  </si>
  <si>
    <t>Sector 3 por la ferretería de don melón para arriba</t>
  </si>
  <si>
    <t>El señor paga arriendo en una pequeña habitación. No cuenta ni con baño ni con cocina propia. Viven tres personas en una habitación y los otros dos hijos viven con la abuela que también paga arriendo. Se irían a vivir los 6 en la casa de techo. El señor tiene un terreno el cual se lo dio la acción comunal donado por don Héctor. Tienen 3 hijos menores de edad y una señora de la tercera edad. Viven en una habitación pequeña.</t>
  </si>
  <si>
    <t>Erica Jhoana Evao Monsalve</t>
  </si>
  <si>
    <t>Crr 24AD #70Bb-18</t>
  </si>
  <si>
    <t>Paga arriendo y no trabaja, tiene 2 hijas la casa que tenía se le quemó. Necesita la casa ya que le está quedando muy duro la manutención</t>
  </si>
  <si>
    <t>Luz Dary Tuberquia</t>
  </si>
  <si>
    <t>Sector 2-</t>
  </si>
  <si>
    <t>Blanca Higuita</t>
  </si>
  <si>
    <t>Sector 2, cerca de la cancha y a senderos de la paz</t>
  </si>
  <si>
    <t>La vivienda sería para la hermana de la beneficiaria ya que la encuestada solo la habita los fines de semana, la hermana está embarazada y sería importante hacerle mejoras a la vivienda, sin embargo, está se encuentra en condiciones aceptables por lo que no es una situación urgente o de primera necesidad</t>
  </si>
  <si>
    <t>Urías Graciano</t>
  </si>
  <si>
    <t>Carrera 23 D # 69D154</t>
  </si>
  <si>
    <t>Solo trabaja una persona</t>
  </si>
  <si>
    <t>María Luz Berta Higuita</t>
  </si>
  <si>
    <t>Sector 3 parte alta cabildo</t>
  </si>
  <si>
    <t>La señora cuenta con dos terrenos adicionales y no se mantiene en la vivienda visitada, vive en otro lugar</t>
  </si>
  <si>
    <t>Diana Guzman Oquendo</t>
  </si>
  <si>
    <t>Sector 3 parte alta - cabildo</t>
  </si>
  <si>
    <t>Por condiciones de vivienda, madre soltera con dos hijos, no tiene ingresos fijos.</t>
  </si>
  <si>
    <t>María Elvia Ramirez</t>
  </si>
  <si>
    <t>Blanca Leida Restrepo</t>
  </si>
  <si>
    <t>Sector 4, La Honda</t>
  </si>
  <si>
    <t>No sé recomienda priorizar porque las proyecciones familiares es contruir en material la vivienda y trabajar para qué sea de dos pisos.</t>
  </si>
  <si>
    <t>Carlos Daniel Montoya David</t>
  </si>
  <si>
    <t>Sector 3 finalizando pavimento junto al sector 2.</t>
  </si>
  <si>
    <t>Si bien la vivienda se encuentra en condiciones aceptables en ella viven 8 personas por lo que se presenta asinamiento en el sitio. Para este núcleo familiar el módulo de emergencia garantizaría condiciones más dignas y un espacio adicional en el que habitar y se puedan distribuir mejor</t>
  </si>
  <si>
    <t>Carrera 24 BB#69D 112 (103)</t>
  </si>
  <si>
    <t>Carrera 24 BB-69B 112 interior 104</t>
  </si>
  <si>
    <t>José Joaquín Barco Lopera</t>
  </si>
  <si>
    <t>Calle 71ac 21-15</t>
  </si>
  <si>
    <t>Nombre Líderes de cuadrilla</t>
  </si>
  <si>
    <t>Nombre de Monitores</t>
  </si>
  <si>
    <t>Nombre Líderes de trabajo</t>
  </si>
  <si>
    <t>Fecha de la construcción</t>
  </si>
  <si>
    <t>Comunidad</t>
  </si>
  <si>
    <t>Sector</t>
  </si>
  <si>
    <t>Nombre del beneficiario/a</t>
  </si>
  <si>
    <t>CC Beneficiario</t>
  </si>
  <si>
    <t>Número de contacto del beneficiario/a</t>
  </si>
  <si>
    <t>Solución construida</t>
  </si>
  <si>
    <t>¿Se culminó la construcción?</t>
  </si>
  <si>
    <t>Anexa fotos del estado final en la que se entregó la solución</t>
  </si>
  <si>
    <t>Escribe todo los comentarios generales que tienes sobre la entrega de la solución</t>
  </si>
  <si>
    <t xml:space="preserve">¿En qué estado se encuentra la bomba? </t>
  </si>
  <si>
    <t xml:space="preserve">¿La bomba quedó correctamente fijada?  </t>
  </si>
  <si>
    <t xml:space="preserve">¿La bomba quedó conectada a la manguera?  </t>
  </si>
  <si>
    <t>¿En qué estado se encuentra el filtro de anillos?</t>
  </si>
  <si>
    <t>¿El filtró de anillos quedó fijado al sistema?</t>
  </si>
  <si>
    <t>¿En qué estado quedó el filtro cerámico?</t>
  </si>
  <si>
    <t>Observaciones con respecto al tanque</t>
  </si>
  <si>
    <t>Observaciones con respecto a la canaleta</t>
  </si>
  <si>
    <t>¿En qué estado quedó la bomba eléctrica?</t>
  </si>
  <si>
    <t>¿La torre quedó conectada a otro servicio?</t>
  </si>
  <si>
    <t>Observaciones con respecto a los tanques</t>
  </si>
  <si>
    <t>¿En qué estado quedó el techo?</t>
  </si>
  <si>
    <t>¿En qué estado quedó la puerta?</t>
  </si>
  <si>
    <t>¿En qué estado quedaron las ventanas?</t>
  </si>
  <si>
    <t>Observaciones con respecto a las ventanas</t>
  </si>
  <si>
    <t>¿El sanitario quedó conectado?</t>
  </si>
  <si>
    <t>¿El lavamanos quedó conectado?</t>
  </si>
  <si>
    <t>¿La ducha quedó conectada?</t>
  </si>
  <si>
    <t>¿El desagüe de la ducha quedó correctamente instalado?</t>
  </si>
  <si>
    <t>Observaciones generales con respecto al baño</t>
  </si>
  <si>
    <t>Menciona todos los pendientes que se tienen para concluir la construcción</t>
  </si>
  <si>
    <t>¿Se dejaron herramientas en custodia de la familia?</t>
  </si>
  <si>
    <t>¿Requiere visita de POST?</t>
  </si>
  <si>
    <t>¿Se estableció algún compromiso con la familia beneficiaria?</t>
  </si>
  <si>
    <t>Columna 1</t>
  </si>
  <si>
    <t>Andrea Uparela Bedoya, David Gaviria Acevedo, Maria de los Ángeles Deluque Zapata</t>
  </si>
  <si>
    <t>Alejandro Alzate (Feb 01), Isabel Sierra (Feb 02)</t>
  </si>
  <si>
    <t>Valentina Posada, Juan Esteban Arango, Andrea Mora</t>
  </si>
  <si>
    <t>Vereda Granizal</t>
  </si>
  <si>
    <t>Sandra Castrillón</t>
  </si>
  <si>
    <t>Vivienda 18m2</t>
  </si>
  <si>
    <t>https://drive.google.com/open?id=1AVGpRzx69FDQpEIP2Q1rLdSeaSpJAole, https://drive.google.com/open?id=1ia5KNIQgeYy1mVQFVelMi6cJP8j_2HJ3, https://drive.google.com/open?id=11I0EafvT0zibFfEsVOy3RGm0d6qa6Ov0</t>
  </si>
  <si>
    <t xml:space="preserve">Observación estado de los materiales 1: Las viguetas de los paneles de piso tenían alturas diferentes por lo que se creo un desnivel entre los paneles de piso y las vigas de piso. Para darle solución se tuvo que que poner un pedazo de madera adicional para suplir el espacio faltante. Se adjunta foto de evidencia. 
Observación estado de los materiales 2: La madera en los paneles se quebró en varias ocasiones (cuando se pegaron las C a piso, cuando se instalaron las correas) al momento de instalar las puntillas dejando espacios en las paredes que puede ocasionar filtraciones de agua, animales, entre otros. Se adjunta foto de evidencia. 
Para Postconstrucción: Comunicarse con Juanes o Isa sobre los tornillos del techo a los cuales hay que hacerle ajuste por posibles goteras. Revisar la instalación de las ventanas que realizó la familia que quedara en buen estado. 
</t>
  </si>
  <si>
    <t>Se tiene sospecha de goteras, hacer seguimiento</t>
  </si>
  <si>
    <t>Instalada, sin novedades</t>
  </si>
  <si>
    <t>Sin instalar. Pendiente instalación por parte de la familia</t>
  </si>
  <si>
    <t xml:space="preserve">La familia quedó con el compromiso de instalar las ventanas. Realizar seguimiento de la correcta instalación de estas. </t>
  </si>
  <si>
    <t>Instalar ventanas.</t>
  </si>
  <si>
    <t xml:space="preserve">Revisar instalación de ventanas por parte de la familia. Revisar si quedo alguna gotera en el techo </t>
  </si>
  <si>
    <t xml:space="preserve">Sebas Montoya Cris Cadavid </t>
  </si>
  <si>
    <t>Daniel Montoya Anibal</t>
  </si>
  <si>
    <t>Valentina - Andrea Mora</t>
  </si>
  <si>
    <t xml:space="preserve">Miguel </t>
  </si>
  <si>
    <t>Ni idea :c</t>
  </si>
  <si>
    <t xml:space="preserve">Nu se </t>
  </si>
  <si>
    <t>Torre de agua</t>
  </si>
  <si>
    <t>https://drive.google.com/open?id=1T47mOwUOC7RBDNBPGnB2ayHcktRfebKq, https://drive.google.com/open?id=1cu13PM8rZAHQg9-iIpSCorjFf2Ebgzwo, https://drive.google.com/open?id=1eG1whMFQD7JGgu0K8ixm5Cq3eZyzDM9L, https://drive.google.com/open?id=1xBeR5MMF42dCPwIox1-GWISFusjRafKQ, https://drive.google.com/open?id=1eRuPiTMkPBXAr6LIj2cgufLDEfcFXq35, https://drive.google.com/open?id=1UffKLypyBIjW5enTgOCBsJMOyoCY9Bna, https://drive.google.com/open?id=112Z9opC3m5Cg56OK-KpttHGb2ys_m_0b, https://drive.google.com/open?id=13yBSQcRq3RK_ZHQNVcAM_d2SPylAkSbn, https://drive.google.com/open?id=1lSebNJBxf5RViUZM4G3B9IZtc7DKDJ3G, https://drive.google.com/open?id=1whJ5OOHSzW44Qkh-6mQcgJ_KX8ibset0</t>
  </si>
  <si>
    <t>Creería que nada, a la familia se le explicó y mostró su funcionamiento. En el inventario de descargue especificar el juego de tubería, ya que en descargue solo decía Caja de kit de torre.</t>
  </si>
  <si>
    <t>Enciende y bombea correctamente</t>
  </si>
  <si>
    <t>No, conexión pendiente</t>
  </si>
  <si>
    <t>Todo quedó Ok, el beneficiario no tenía nada específico listo para conectar, se dejó un tubo en lo que usuario tiene en mente mejorar un baño. Y está cerca de la vivienda por si desea sacar agua hacia la vivienda.</t>
  </si>
  <si>
    <t>El cuidado de la bomba, que siempre debe tener agua.</t>
  </si>
  <si>
    <t>Conexión pendiente de la torre a otro servicio.</t>
  </si>
  <si>
    <t xml:space="preserve">Luisa López, Sebastián Alzate </t>
  </si>
  <si>
    <t xml:space="preserve">Ana Tovar, Alejandro Alzate </t>
  </si>
  <si>
    <t xml:space="preserve">Valentina Posada, Andrea Mora, Juan Esteban Arango </t>
  </si>
  <si>
    <t xml:space="preserve">Verónica </t>
  </si>
  <si>
    <t>https://drive.google.com/open?id=1K0l4GObeIAbXLN4QvbxoM72Le5DicQks</t>
  </si>
  <si>
    <t>La bomba quedó purgada y se encendió y funcionó, pero no hay conexión de la torre a otro sistema de agua. Es importante recalcar en las asignaciones la distancia que debe tener la torre y los baños. 
En el manual de construcción hay una válvula de salida en la parte superior, en este caso no vino con los materiales y no se instaló, el sistema sigue siendo funcional sin ella</t>
  </si>
  <si>
    <t xml:space="preserve">Flanche por verificar </t>
  </si>
  <si>
    <t>La familia debe acercar el baño a la torre para poder que está cumpla con su función, también se les recomendó un pequeño muro de contención en dónde se encontraba el árbol de aguacates (RIP)</t>
  </si>
  <si>
    <t>Conexión pendiente de la torre a otro servicio. La familia debe acercar el baño a la torre para poder que está cumpla con su función, también se les recomendó un pequeño muro de contención en dónde se encontraba el árbol de aguacates (RIP). Flanche por verificar</t>
  </si>
  <si>
    <t xml:space="preserve">Samir, Karen, Stefany </t>
  </si>
  <si>
    <t xml:space="preserve">Aníbal, Daniel Montoya </t>
  </si>
  <si>
    <t xml:space="preserve">Andrea Mora, Jacqueline Ramirez </t>
  </si>
  <si>
    <t>Andres Felipe Osorio</t>
  </si>
  <si>
    <t>-</t>
  </si>
  <si>
    <t>304 4684722</t>
  </si>
  <si>
    <t xml:space="preserve">La vivienda fue entregada a las 12pm, sin mayor complicaciones. Durante la construcción se rompió un flexómetro de 3 metros. Durante la proconstrucción es importante prestar antención a las goteras del techo.
 </t>
  </si>
  <si>
    <t>Instalado, sin novedades</t>
  </si>
  <si>
    <t>no aplica</t>
  </si>
  <si>
    <t>no.</t>
  </si>
  <si>
    <t>Revisar posibles goteras en el techo</t>
  </si>
  <si>
    <t>Camilo Quintero - Daniela Montoya Urrego - Daniela Montoya Tejada</t>
  </si>
  <si>
    <t>Daniel Montoya - Anibal Avendaño</t>
  </si>
  <si>
    <t xml:space="preserve">Andrea Mora - Jacqueline Ramirez </t>
  </si>
  <si>
    <t xml:space="preserve">Miguel Ángel Giraldo </t>
  </si>
  <si>
    <t xml:space="preserve">Verificar que la silicona del techo sí esté cubriendo todos los orificios, hubo que mover dos tejas por lo que se cubrieron los huecos que se habían hecho inicialmente. 
Confirmar si don Miguel va a hacer el arreglo de la puerta para que cierre bien. 
Hubo que desarmar parcialmente el bastidor de los paneles frontal y posterior para desplazar correctamente la ubicación de la correa del punto más alto de la vivienda, y lograr que el caballete pudiera tener punto de apoyo, ya que como llegaron los paneles y de acuerdo con el manual, la distancia entre los bastidores no permitía que el caballete se apoyara sobre las tejas. 
Hubo que cortar pilotes de 2,5 m y de 2,0 m. </t>
  </si>
  <si>
    <t>Se tiene sospecha de gotera, se taparon con silicona</t>
  </si>
  <si>
    <t>Instalada, pendiente por ajustes</t>
  </si>
  <si>
    <t xml:space="preserve">La ventana quedó bien instalada. Sin embargo el marco no está a la medida de la ventana y el tinglado no permitía la instalación, siempre se debe comer 1 cm a la madera. </t>
  </si>
  <si>
    <t xml:space="preserve">Ajustar el marco de la puerta. </t>
  </si>
  <si>
    <t>La familia iba a ajustar la puerta, verficiar.  Revisar posibles goteras en el techo.</t>
  </si>
  <si>
    <t>Harold Escobar, Owen González</t>
  </si>
  <si>
    <t>Daniel Montoya, Aníbal Avendaño</t>
  </si>
  <si>
    <t>Valentina Posada y Nathalia Nieto</t>
  </si>
  <si>
    <t>Sector 1</t>
  </si>
  <si>
    <t>302 3280117</t>
  </si>
  <si>
    <t>Baño</t>
  </si>
  <si>
    <t>https://drive.google.com/open?id=1qZ5NADUiReMci-4llkrsWiBbnR-ipp99, https://drive.google.com/open?id=1kEDdZhWu7RUhAFc3UsCgw_7dy2aeZHW_, https://drive.google.com/open?id=1FSVnlTgUVBa8PKuZ9KHHtO_oWwxAARvU</t>
  </si>
  <si>
    <t xml:space="preserve">Hay que ajustar y sellar con silicona el desagüe del baño porque el plato  no encajo bien con el hueco del desagüe. Toca sellar las juntas de la ducha con silicona blanca o transparente. No mandaron silicona negra. </t>
  </si>
  <si>
    <t>tamaño del plato no coincide, la puerta nunca llegó</t>
  </si>
  <si>
    <t>conectar el agua, a la linea que lleve a su pozo séptico y oner silicona en las juntas y ajustar el desagüe y sellarlo con silicona</t>
  </si>
  <si>
    <t>Compromiso de la familia: conectar el agua, a la linea que lleve a su pozo séptico y oner silicona en las juntas y ajustar el desagüe y sellarlo con silicona. Preguntar si llegó la puerta</t>
  </si>
  <si>
    <t>Estefania López, Cindy Rojas, luz amparo alvarado</t>
  </si>
  <si>
    <t xml:space="preserve">Daniel Montoya, Aníbal Avendaño </t>
  </si>
  <si>
    <t>Valentina posada, Juan Esteban, Andrea mora</t>
  </si>
  <si>
    <t xml:space="preserve">La marranera </t>
  </si>
  <si>
    <t xml:space="preserve">Sandra Milena Castrillón </t>
  </si>
  <si>
    <t>SCPALL</t>
  </si>
  <si>
    <t>No fue posible verificar el sistema, la beneficiaria hizo desmontar la sistema, ya que ella no estará viviendo allí, hasta no tener un baño y una cocina construida.</t>
  </si>
  <si>
    <t>No sé (No se instaló)</t>
  </si>
  <si>
    <t>Completo y en buen estado</t>
  </si>
  <si>
    <t>No se realizó pruebas de calidad al sistema instalado.</t>
  </si>
  <si>
    <t xml:space="preserve">Las tejas estaban más largas, por lo que se tuvo que extender las L de madera, es importante que se tenga una buena comunicación al momentos de una construcción conjunta. </t>
  </si>
  <si>
    <t xml:space="preserve">Se quedo con el compromiso de que ella nos informa cuando tenga sus contrucciones terminadas, instalar el sistema </t>
  </si>
  <si>
    <t>Se quedo con el compromiso de que ella nos informa cuando tenga sus contrucciones terminadas, instalar el sistema. Completar instalación de la bomba</t>
  </si>
  <si>
    <t xml:space="preserve">Johana Quintero, Jose Medina, Juliana Duque </t>
  </si>
  <si>
    <t>Ana Tobar, Alejandro A</t>
  </si>
  <si>
    <t xml:space="preserve">Yessica y Juanes </t>
  </si>
  <si>
    <t xml:space="preserve">parte alta </t>
  </si>
  <si>
    <t>https://drive.google.com/open?id=1C2iU4f3x8anrtZfasvuWHieZ56Kp9kk4, https://drive.google.com/open?id=17JLU0unmsBtG8xydgZCgt1_vVBHOt7R2, https://drive.google.com/open?id=13p5bw4JC5PivFYzjMiOETYEkt5TKGech, https://drive.google.com/open?id=1kiEbijHYqU-VhvLKkC5eVSgM1aWixJ-d, https://drive.google.com/open?id=1FGq1VhdUjv8NZu2QXKTn3tooh4rJ2xL4, https://drive.google.com/open?id=1MQUa_TRV6z79s6slVTtmm3HeVWFhFGn0</t>
  </si>
  <si>
    <t xml:space="preserve">la torre no quedo conectada a los servicios de la vivienda porque no tiene red, es necesario un codo de 45° de 1" para hacer el muñequero de salida del tanque superior para bajarlo por el muro de la vivienda. se le dejaron todos los accesorios, el limpiador y la soldadura a la señora Marleny junto con dos tubos de 3m aproximadamente de 1", es necesario llevar un tubo de 1/2" para hacer la coneccion de la cocina. </t>
  </si>
  <si>
    <t xml:space="preserve">la vivienda no tiene red, se dejo la salida del tanque superior hasta la llave de paso, hace falta un codo de 45° de 1" para hacer la salida al muro de la vivienda </t>
  </si>
  <si>
    <t>los tanques quedaron sin fugas, los acoples de manguera quedan pendiente por abrazaderas.</t>
  </si>
  <si>
    <t xml:space="preserve">la Sra Marleny quedo en buscar el tanque del sanitario que no estaba instalado pero dijo tenerlo y notificar cuando lo encontrara para en la posconstruccion hacer la coneccion, </t>
  </si>
  <si>
    <t>la Sra Marleny quedo en buscar el tanque del sanitario que no estaba instalado pero dijo tenerlo y notificar cuando lo encontrara para en la posconstruccion hacer la coneXion. llevar tubo de 1/2" para conexión de la torre faltante</t>
  </si>
  <si>
    <t xml:space="preserve">Jacqueline </t>
  </si>
  <si>
    <t>Altos</t>
  </si>
  <si>
    <t>Sully Martinez</t>
  </si>
  <si>
    <t>:c</t>
  </si>
  <si>
    <t>+57 310 2707351</t>
  </si>
  <si>
    <t>https://drive.google.com/open?id=175rjcSwXdsxuphAtXeUI8GrPA57SEDIz, https://drive.google.com/open?id=1RFPV4oE4LQmx0rgaE6NwVK9w3jC5QPCu, https://drive.google.com/open?id=1rL-MVA8q7ARE7tfQxhl6Yqs5BXiSgeef</t>
  </si>
  <si>
    <t>Todo ok</t>
  </si>
  <si>
    <t>Completa y en buen estado</t>
  </si>
  <si>
    <t>Buen estado</t>
  </si>
  <si>
    <t>Perfecto todo</t>
  </si>
  <si>
    <t>Todo Ok, depronto fijar mejor la bomba manual, reforzarndo con madera a los durmientes.
Se explicó y quedó en funcionamiento.</t>
  </si>
  <si>
    <t>Si les queda tiempo pregunta si necesitan algo</t>
  </si>
  <si>
    <t>Ana Roldan, Santiago Velez , Jairo Dario y Laura Mendoza</t>
  </si>
  <si>
    <t>Alejadro Alzare y Ana Maria Tobar</t>
  </si>
  <si>
    <t xml:space="preserve">Valnetina Restrepo y  Juanes </t>
  </si>
  <si>
    <t>Altos dos</t>
  </si>
  <si>
    <t>https://drive.google.com/open?id=1l-NRVF-wuTVpXY2_p1taEPCORVtXksha</t>
  </si>
  <si>
    <t>Revisar el relleno del frente que si lo haya reforzado, posibles goteras por la parte del caballete, revisar los pilote debido que uno de estos se rajo(abrió) al momento de pegar la viga de piso.</t>
  </si>
  <si>
    <t>Ellos deben terminar de pintar la vivienda.</t>
  </si>
  <si>
    <t>Revisar el relleno del frente que si lo haya reforzado, posibles goteras por la parte del caballete, revisar los pilote debido que uno de estos se rajo(abrió) al momento de pegar la viga de piso. La familia debia terminar de pintat</t>
  </si>
  <si>
    <t xml:space="preserve">Giscela López Asprilla </t>
  </si>
  <si>
    <t xml:space="preserve">Jacqueline Ramirez </t>
  </si>
  <si>
    <t xml:space="preserve">Valen Posada - Andrea Mora - Juanes </t>
  </si>
  <si>
    <t>ADO2</t>
  </si>
  <si>
    <t xml:space="preserve">Se requiere revisar goteras, además el techo no tiene tornillos en la parte posterior izquierda porque se traslapaba con otro techo y el acceso fue casi imposible. 
- Revisar luces internas específicamente en la esquina posterior izquierda, debido a las condiciones de la madera quedó un hueco de al menos 5 cm </t>
  </si>
  <si>
    <t>Instaladas, pendiente por ajustes</t>
  </si>
  <si>
    <t xml:space="preserve">Ventana izquierda sin seguro </t>
  </si>
  <si>
    <t xml:space="preserve">Revisar el seguro de la ventana. </t>
  </si>
  <si>
    <t>Revisar el seguro de la ventana. "Se requiere revisar goteras, además el techo no tiene tornillos en la parte posterior izquierda porque se traslapaba con otro techo y el acceso fue casi imposible. 
- Revisar luces internas específicamente en la esquina posterior izquierda, debido a las condiciones de la madera quedó un hueco de al menos 5 cm "</t>
  </si>
  <si>
    <t>Jacqueline Ramirez ( antes Cindy Rojas)</t>
  </si>
  <si>
    <t xml:space="preserve">Valen Posada
Juanes Arango
Andrea Mora
</t>
  </si>
  <si>
    <t>Paola Agudelo</t>
  </si>
  <si>
    <t>https://drive.google.com/open?id=1i9cpYfIPUtZtbnwlVr4aW66tudnK7oCb</t>
  </si>
  <si>
    <t>No se instaló el filtro cerámico porque la familia aún no ha decidido en donde va a estar la cocina. Con las lluvias el tanque se llenó y no presentó fuga de agua. No se dejó colocada una pastilla clorada porque el tanque estaba muy sucio. 
Se les dejó ensamblado la bomba y el dispensador del filtro cerámico</t>
  </si>
  <si>
    <t>Se dejó la manguera externa instalada, pero sin conexión a la bomba porque la familia se comprometió en instalarla</t>
  </si>
  <si>
    <t>Para que el agua llegara al tubo de primeras lluvias se incluyó dos codos de 3", y se sujetó con una abrazadera. Se hizo la prueba de caída y fue positiva, pero hay que estar pendiente en la visita de postconstrucción</t>
  </si>
  <si>
    <t>Se recomienda contactar a la familia antes de ir, para saber si ya tienen definido el tema de la instalación del filtro cerámico</t>
  </si>
  <si>
    <t>Se recomienda contactar a la familia antes de ir, para saber si ya tienen definido el tema de la instalación del filtro cerámico. "No se instaló el filtro cerámico porque la familia aún no ha decidido en donde va a estar la cocina. Con las lluvias el tanque se llenó y no presentó fuga de agua. No se dejó colocada una pastilla clorada porque el tanque estaba muy sucio. 
Se les dejó ensamblado la bomba y el dispensador del filtro cerámico"</t>
  </si>
  <si>
    <t>Oswald Aguero - Osman - Nathalia Gonzalez</t>
  </si>
  <si>
    <t>Valentina posada - Juan Esteban</t>
  </si>
  <si>
    <t>altos 1</t>
  </si>
  <si>
    <t>Ruth</t>
  </si>
  <si>
    <t>Vivienda 22,5m2</t>
  </si>
  <si>
    <t>esta pendiente que se le instale la puerta del baño ya que se puso  una cortina provisional</t>
  </si>
  <si>
    <t>instalar puerta del baño</t>
  </si>
  <si>
    <t>Cristina Cadavid - Jaunes</t>
  </si>
  <si>
    <t>Juanes</t>
  </si>
  <si>
    <t xml:space="preserve">Juanes </t>
  </si>
  <si>
    <t>Aiuda</t>
  </si>
  <si>
    <t xml:space="preserve">No tengo fotos bote el celular:v </t>
  </si>
  <si>
    <t>Todo quedó ajustado ñ, caída de máximo 1 cm x mt
Instalado y funcionando, a la espera de la primera lluvia, se explico funcionamiento, limpieza y purga.</t>
  </si>
  <si>
    <t xml:space="preserve">Todo ok, estaban un poco lejos pero no tanto como a 30 cm, se pegó con pie amigos y pernos </t>
  </si>
  <si>
    <t>Esperar la lluvia para probar el sistema</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</si>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</sst>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yy\ h:mm:ss"/>
    <numFmt numFmtId="165" formatCode="dd/mm/yyyy"/>
    <numFmt numFmtId="166" formatCode="d/m/yyyy"/>
    <numFmt numFmtId="167" formatCode="dd\-mmm\-yy"/>
    <numFmt numFmtId="168" formatCode="d\-mmm\-yyyy"/>
  </numFmts>
  <fonts count="19" x14ac:knownFonts="1">
    <font>
      <sz val="10"/>
      <color rgb="FF000000"/>
      <name val="Arial"/>
      <scheme val="minor"/>
    </font>
    <font>
      <sz val="10"/>
      <color theme="1"/>
      <name val="Arial"/>
      <scheme val="minor"/>
    </font>
    <font>
      <b/>
      <sz val="10"/>
      <color theme="1"/>
      <name val="Arial"/>
      <scheme val="minor"/>
    </font>
    <font>
      <b/>
      <strike/>
      <sz val="10"/>
      <color theme="1"/>
      <name val="Arial"/>
      <scheme val="minor"/>
    </font>
    <font>
      <sz val="12"/>
      <color rgb="FFFFFFFF"/>
      <name val="Calibri"/>
    </font>
    <font>
      <sz val="12"/>
      <color rgb="FF000000"/>
      <name val="Calibri"/>
    </font>
    <font>
      <sz val="12"/>
      <color theme="1"/>
      <name val="Calibri"/>
    </font>
    <font>
      <b/>
      <sz val="12"/>
      <color rgb="FFFFFFFF"/>
      <name val="Calibri"/>
    </font>
    <font>
      <sz val="12"/>
      <color rgb="FF1F1F1F"/>
      <name val="Calibri"/>
    </font>
    <font>
      <b/>
      <sz val="12"/>
      <color rgb="FF000000"/>
      <name val="Calibri"/>
    </font>
    <font>
      <sz val="11"/>
      <color rgb="FF000000"/>
      <name val="Calibri"/>
    </font>
    <font>
      <b/>
      <sz val="11"/>
      <color rgb="FF000000"/>
      <name val="Calibri"/>
    </font>
    <font>
      <b/>
      <sz val="12"/>
      <color theme="1"/>
      <name val="Calibri"/>
    </font>
    <font>
      <b/>
      <sz val="11"/>
      <color theme="1"/>
      <name val="Calibri"/>
    </font>
    <font>
      <sz val="11"/>
      <color theme="1"/>
      <name val="Calibri"/>
    </font>
    <font>
      <b/>
      <sz val="11"/>
      <color rgb="FF006100"/>
      <name val="Calibri"/>
    </font>
    <font>
      <u/>
      <sz val="10"/>
      <color rgb="FF0000FF"/>
      <name val="Arial"/>
    </font>
    <font>
      <u/>
      <sz val="10"/>
      <color rgb="FF0000FF"/>
      <name val="Roboto"/>
    </font>
    <font>
      <u/>
      <sz val="10"/>
      <color rgb="FF0000FF"/>
      <name val="Roboto"/>
    </font>
  </fonts>
  <fills count="12">
    <fill>
      <patternFill patternType="none"/>
    </fill>
    <fill>
      <patternFill patternType="gray125"/>
    </fill>
    <fill>
      <patternFill patternType="solid">
        <fgColor rgb="FFC9DAF8"/>
        <bgColor rgb="FFC9DAF8"/>
      </patternFill>
    </fill>
    <fill>
      <patternFill patternType="solid">
        <fgColor rgb="FFB6D7A8"/>
        <bgColor rgb="FFB6D7A8"/>
      </patternFill>
    </fill>
    <fill>
      <patternFill patternType="solid">
        <fgColor rgb="FFC6EFCE"/>
        <bgColor rgb="FFC6EFCE"/>
      </patternFill>
    </fill>
    <fill>
      <patternFill patternType="solid">
        <fgColor rgb="FFD9EAD3"/>
        <bgColor rgb="FFD9EAD3"/>
      </patternFill>
    </fill>
    <fill>
      <patternFill patternType="solid">
        <fgColor rgb="FFFFFF00"/>
        <bgColor rgb="FFFFFF00"/>
      </patternFill>
    </fill>
    <fill>
      <patternFill patternType="solid">
        <fgColor rgb="FF008DD8"/>
        <bgColor rgb="FF008DD8"/>
      </patternFill>
    </fill>
    <fill>
      <patternFill patternType="solid">
        <fgColor rgb="FFFFFFFF"/>
        <bgColor rgb="FFFFFFFF"/>
      </patternFill>
    </fill>
    <fill>
      <patternFill patternType="solid">
        <fgColor rgb="FFFFC7CE"/>
        <bgColor rgb="FFFFC7CE"/>
      </patternFill>
    </fill>
    <fill>
      <patternFill patternType="solid">
        <fgColor rgb="FFDCE6F1"/>
        <bgColor rgb="FFDCE6F1"/>
      </patternFill>
    </fill>
    <fill>
      <patternFill patternType="solid">
        <fgColor theme="0"/>
        <bgColor theme="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4F81BD"/>
      </top>
      <bottom style="thin">
        <color rgb="FF000000"/>
      </bottom>
      <diagonal/>
    </border>
    <border>
      <left/>
      <right style="thin">
        <color rgb="FF000000"/>
      </right>
      <top/>
      <bottom style="thin">
        <color rgb="FF000000"/>
      </bottom>
      <diagonal/>
    </border>
    <border>
      <left/>
      <right style="thin">
        <color rgb="FF000000"/>
      </right>
      <top style="thin">
        <color rgb="FF4F81BD"/>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1">
    <xf numFmtId="0" fontId="0" fillId="0" borderId="0"/>
  </cellStyleXfs>
  <cellXfs count="139">
    <xf numFmtId="0" fontId="0" fillId="0" borderId="0" xfId="0"/>
    <xf numFmtId="0" fontId="1" fillId="0" borderId="0" xfId="0" applyFont="1" applyAlignment="1">
      <alignment horizontal="left" vertical="center"/>
    </xf>
    <xf numFmtId="164" fontId="1" fillId="2" borderId="0" xfId="0" applyNumberFormat="1"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164" fontId="1" fillId="0" borderId="0" xfId="0" applyNumberFormat="1" applyFont="1" applyAlignment="1">
      <alignment horizontal="left" vertical="center"/>
    </xf>
    <xf numFmtId="164" fontId="3" fillId="0" borderId="0" xfId="0" applyNumberFormat="1" applyFont="1" applyAlignment="1">
      <alignment horizontal="left" vertical="center"/>
    </xf>
    <xf numFmtId="0" fontId="3" fillId="0" borderId="0" xfId="0" applyFont="1" applyAlignment="1">
      <alignment horizontal="left" vertical="center"/>
    </xf>
    <xf numFmtId="3" fontId="1" fillId="0" borderId="0" xfId="0" applyNumberFormat="1" applyFont="1" applyAlignment="1">
      <alignment horizontal="left" vertical="center"/>
    </xf>
    <xf numFmtId="0" fontId="1" fillId="2" borderId="0" xfId="0" quotePrefix="1" applyFont="1" applyFill="1" applyAlignment="1">
      <alignment horizontal="left" vertical="center"/>
    </xf>
    <xf numFmtId="0" fontId="1" fillId="0" borderId="0" xfId="0" quotePrefix="1" applyFont="1" applyAlignment="1">
      <alignment horizontal="left" vertical="center"/>
    </xf>
    <xf numFmtId="3" fontId="1" fillId="2" borderId="0" xfId="0" applyNumberFormat="1" applyFont="1" applyFill="1" applyAlignment="1">
      <alignment horizontal="left" vertical="center"/>
    </xf>
    <xf numFmtId="164" fontId="1" fillId="3" borderId="0" xfId="0" applyNumberFormat="1" applyFont="1" applyFill="1" applyAlignment="1">
      <alignment horizontal="left" vertical="center"/>
    </xf>
    <xf numFmtId="0" fontId="1" fillId="3" borderId="0" xfId="0" applyFont="1" applyFill="1" applyAlignment="1">
      <alignment horizontal="left" vertical="center"/>
    </xf>
    <xf numFmtId="0" fontId="1" fillId="3" borderId="0" xfId="0" quotePrefix="1" applyFont="1" applyFill="1" applyAlignment="1">
      <alignment horizontal="left" vertical="center"/>
    </xf>
    <xf numFmtId="3" fontId="1" fillId="3" borderId="0" xfId="0" applyNumberFormat="1" applyFont="1" applyFill="1" applyAlignment="1">
      <alignment horizontal="left" vertical="center"/>
    </xf>
    <xf numFmtId="0" fontId="1" fillId="4" borderId="0" xfId="0" applyFont="1" applyFill="1" applyAlignment="1">
      <alignment horizontal="left" vertical="center"/>
    </xf>
    <xf numFmtId="0" fontId="1" fillId="5" borderId="0" xfId="0" applyFont="1" applyFill="1" applyAlignment="1">
      <alignment horizontal="left" vertical="center"/>
    </xf>
    <xf numFmtId="164" fontId="1" fillId="6" borderId="0" xfId="0" applyNumberFormat="1" applyFont="1" applyFill="1" applyAlignment="1">
      <alignment horizontal="left" vertical="center"/>
    </xf>
    <xf numFmtId="0" fontId="1" fillId="6" borderId="0" xfId="0" applyFont="1" applyFill="1" applyAlignment="1">
      <alignment horizontal="left" vertical="center"/>
    </xf>
    <xf numFmtId="164" fontId="1" fillId="0" borderId="0" xfId="0" applyNumberFormat="1" applyFont="1"/>
    <xf numFmtId="0" fontId="1" fillId="0" borderId="0" xfId="0" applyFont="1"/>
    <xf numFmtId="0" fontId="4" fillId="7" borderId="1" xfId="0" applyFont="1" applyFill="1" applyBorder="1" applyAlignment="1">
      <alignment horizontal="left" vertical="center" wrapText="1"/>
    </xf>
    <xf numFmtId="0" fontId="4" fillId="7" borderId="0" xfId="0" applyFont="1" applyFill="1" applyAlignment="1">
      <alignment horizontal="left" vertical="center" wrapText="1"/>
    </xf>
    <xf numFmtId="165" fontId="5" fillId="8" borderId="1" xfId="0" applyNumberFormat="1" applyFont="1" applyFill="1" applyBorder="1" applyAlignment="1">
      <alignment horizontal="left"/>
    </xf>
    <xf numFmtId="0" fontId="5" fillId="8" borderId="1" xfId="0" applyFont="1" applyFill="1" applyBorder="1" applyAlignment="1">
      <alignment horizontal="left"/>
    </xf>
    <xf numFmtId="0" fontId="6" fillId="8" borderId="1" xfId="0" applyFont="1" applyFill="1" applyBorder="1" applyAlignment="1">
      <alignment horizontal="left" vertical="center"/>
    </xf>
    <xf numFmtId="0" fontId="7" fillId="8" borderId="1" xfId="0" applyFont="1" applyFill="1" applyBorder="1" applyAlignment="1">
      <alignment horizontal="left" vertical="center"/>
    </xf>
    <xf numFmtId="166" fontId="5" fillId="8" borderId="1" xfId="0" applyNumberFormat="1" applyFont="1" applyFill="1" applyBorder="1" applyAlignment="1">
      <alignment horizontal="left"/>
    </xf>
    <xf numFmtId="0" fontId="5" fillId="8" borderId="1" xfId="0" applyFont="1" applyFill="1" applyBorder="1" applyAlignment="1">
      <alignment horizontal="left" vertical="center"/>
    </xf>
    <xf numFmtId="0" fontId="5" fillId="8" borderId="0" xfId="0" applyFont="1" applyFill="1" applyAlignment="1">
      <alignment horizontal="left" vertical="center"/>
    </xf>
    <xf numFmtId="0" fontId="8" fillId="8" borderId="1" xfId="0" applyFont="1" applyFill="1" applyBorder="1" applyAlignment="1">
      <alignment horizontal="left"/>
    </xf>
    <xf numFmtId="0" fontId="9" fillId="8" borderId="1" xfId="0" applyFont="1" applyFill="1" applyBorder="1" applyAlignment="1">
      <alignment horizontal="left" vertical="center"/>
    </xf>
    <xf numFmtId="166" fontId="5" fillId="8" borderId="1" xfId="0" applyNumberFormat="1" applyFont="1" applyFill="1" applyBorder="1" applyAlignment="1">
      <alignment horizontal="left" vertical="center"/>
    </xf>
    <xf numFmtId="165" fontId="5" fillId="8" borderId="1" xfId="0" applyNumberFormat="1" applyFont="1" applyFill="1" applyBorder="1" applyAlignment="1">
      <alignment horizontal="left" vertical="center"/>
    </xf>
    <xf numFmtId="0" fontId="6" fillId="0" borderId="0" xfId="0" applyFont="1" applyAlignment="1">
      <alignment horizontal="left"/>
    </xf>
    <xf numFmtId="0" fontId="5" fillId="0" borderId="0" xfId="0" applyFont="1" applyAlignment="1">
      <alignment horizontal="left"/>
    </xf>
    <xf numFmtId="0" fontId="7" fillId="7" borderId="1" xfId="0" applyFont="1" applyFill="1" applyBorder="1" applyAlignment="1">
      <alignment horizontal="center" vertical="center"/>
    </xf>
    <xf numFmtId="3" fontId="7" fillId="7" borderId="1" xfId="0" applyNumberFormat="1" applyFont="1" applyFill="1" applyBorder="1" applyAlignment="1">
      <alignment horizontal="center" vertical="center"/>
    </xf>
    <xf numFmtId="167" fontId="10" fillId="0" borderId="2" xfId="0" applyNumberFormat="1" applyFont="1" applyBorder="1" applyAlignment="1">
      <alignment horizontal="center"/>
    </xf>
    <xf numFmtId="0" fontId="10" fillId="0" borderId="1" xfId="0" applyFont="1" applyBorder="1" applyAlignment="1">
      <alignment horizontal="center"/>
    </xf>
    <xf numFmtId="3" fontId="10" fillId="0" borderId="2" xfId="0" applyNumberFormat="1" applyFont="1" applyBorder="1" applyAlignment="1">
      <alignment horizontal="center"/>
    </xf>
    <xf numFmtId="0" fontId="10" fillId="0" borderId="2" xfId="0" applyFont="1" applyBorder="1" applyAlignment="1">
      <alignment horizontal="right"/>
    </xf>
    <xf numFmtId="0" fontId="10" fillId="0" borderId="3" xfId="0" applyFont="1" applyBorder="1" applyAlignment="1">
      <alignment horizontal="right"/>
    </xf>
    <xf numFmtId="0" fontId="10" fillId="0" borderId="4" xfId="0" applyFont="1" applyBorder="1"/>
    <xf numFmtId="0" fontId="10" fillId="0" borderId="4" xfId="0" applyFont="1" applyBorder="1" applyAlignment="1">
      <alignment horizontal="right"/>
    </xf>
    <xf numFmtId="0" fontId="10" fillId="0" borderId="1" xfId="0" applyFont="1" applyBorder="1"/>
    <xf numFmtId="0" fontId="10" fillId="0" borderId="2" xfId="0" applyFont="1" applyBorder="1" applyAlignment="1">
      <alignment horizontal="center"/>
    </xf>
    <xf numFmtId="0" fontId="11" fillId="0" borderId="2" xfId="0" applyFont="1" applyBorder="1" applyAlignment="1">
      <alignment horizontal="left"/>
    </xf>
    <xf numFmtId="0" fontId="5" fillId="8"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2" xfId="0" applyFont="1" applyBorder="1"/>
    <xf numFmtId="15" fontId="10" fillId="0" borderId="5" xfId="0" applyNumberFormat="1" applyFont="1" applyBorder="1" applyAlignment="1">
      <alignment horizontal="center"/>
    </xf>
    <xf numFmtId="15" fontId="10" fillId="0" borderId="2" xfId="0" applyNumberFormat="1" applyFont="1" applyBorder="1" applyAlignment="1">
      <alignment horizontal="center"/>
    </xf>
    <xf numFmtId="167" fontId="10" fillId="0" borderId="5" xfId="0" applyNumberFormat="1" applyFont="1" applyBorder="1" applyAlignment="1">
      <alignment horizontal="center"/>
    </xf>
    <xf numFmtId="167" fontId="10" fillId="0" borderId="1" xfId="0" applyNumberFormat="1" applyFont="1" applyBorder="1" applyAlignment="1">
      <alignment horizontal="center"/>
    </xf>
    <xf numFmtId="0" fontId="10" fillId="0" borderId="5" xfId="0" applyFont="1" applyBorder="1" applyAlignment="1">
      <alignment horizontal="center"/>
    </xf>
    <xf numFmtId="15" fontId="10" fillId="0" borderId="1" xfId="0" applyNumberFormat="1" applyFont="1" applyBorder="1" applyAlignment="1">
      <alignment horizont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15" fontId="5" fillId="8" borderId="1" xfId="0" applyNumberFormat="1" applyFont="1" applyFill="1" applyBorder="1" applyAlignment="1">
      <alignment horizontal="center" vertical="center"/>
    </xf>
    <xf numFmtId="167" fontId="10" fillId="8" borderId="5" xfId="0" applyNumberFormat="1" applyFont="1" applyFill="1" applyBorder="1" applyAlignment="1">
      <alignment horizontal="center"/>
    </xf>
    <xf numFmtId="167" fontId="10" fillId="8" borderId="1" xfId="0" applyNumberFormat="1" applyFont="1" applyFill="1" applyBorder="1" applyAlignment="1">
      <alignment horizontal="center"/>
    </xf>
    <xf numFmtId="0" fontId="10" fillId="8" borderId="5" xfId="0" applyFont="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10" fillId="9" borderId="0" xfId="0" applyFont="1" applyFill="1" applyAlignment="1">
      <alignment horizontal="center"/>
    </xf>
    <xf numFmtId="3" fontId="10" fillId="9" borderId="0" xfId="0" applyNumberFormat="1" applyFont="1" applyFill="1" applyAlignment="1">
      <alignment horizontal="center"/>
    </xf>
    <xf numFmtId="0" fontId="10" fillId="9" borderId="0" xfId="0" applyFont="1" applyFill="1" applyAlignment="1">
      <alignment horizontal="right"/>
    </xf>
    <xf numFmtId="0" fontId="6" fillId="9" borderId="0" xfId="0" applyFont="1" applyFill="1" applyAlignment="1">
      <alignment horizontal="left" vertical="center"/>
    </xf>
    <xf numFmtId="0" fontId="9" fillId="9" borderId="0" xfId="0" applyFont="1" applyFill="1" applyAlignment="1">
      <alignment horizontal="left" vertical="center"/>
    </xf>
    <xf numFmtId="0" fontId="10" fillId="9" borderId="0" xfId="0" applyFont="1" applyFill="1"/>
    <xf numFmtId="0" fontId="11" fillId="9" borderId="2" xfId="0" applyFont="1" applyFill="1" applyBorder="1" applyAlignment="1">
      <alignment horizontal="left"/>
    </xf>
    <xf numFmtId="0" fontId="9" fillId="9" borderId="0" xfId="0" applyFont="1" applyFill="1" applyAlignment="1">
      <alignment horizontal="center" vertical="center"/>
    </xf>
    <xf numFmtId="0" fontId="1" fillId="9" borderId="0" xfId="0" applyFont="1" applyFill="1"/>
    <xf numFmtId="0" fontId="10" fillId="0" borderId="0" xfId="0" applyFont="1" applyAlignment="1">
      <alignment horizontal="center"/>
    </xf>
    <xf numFmtId="3" fontId="10" fillId="0" borderId="0" xfId="0" applyNumberFormat="1" applyFont="1" applyAlignment="1">
      <alignment horizontal="center"/>
    </xf>
    <xf numFmtId="0" fontId="10" fillId="0" borderId="0" xfId="0" applyFont="1" applyAlignment="1">
      <alignment horizontal="right"/>
    </xf>
    <xf numFmtId="0" fontId="6" fillId="8" borderId="0" xfId="0" applyFont="1" applyFill="1" applyAlignment="1">
      <alignment horizontal="left" vertical="center"/>
    </xf>
    <xf numFmtId="0" fontId="9" fillId="8" borderId="0" xfId="0" applyFont="1" applyFill="1" applyAlignment="1">
      <alignment horizontal="left" vertical="center"/>
    </xf>
    <xf numFmtId="0" fontId="10" fillId="0" borderId="0" xfId="0" applyFont="1"/>
    <xf numFmtId="0" fontId="11" fillId="0" borderId="0" xfId="0" applyFont="1" applyAlignment="1">
      <alignment horizontal="left"/>
    </xf>
    <xf numFmtId="0" fontId="9" fillId="8" borderId="0" xfId="0" applyFont="1" applyFill="1" applyAlignment="1">
      <alignment horizontal="center" vertical="center"/>
    </xf>
    <xf numFmtId="0" fontId="12" fillId="8" borderId="6" xfId="0" applyFont="1" applyFill="1" applyBorder="1" applyAlignment="1">
      <alignment horizontal="center" vertical="center"/>
    </xf>
    <xf numFmtId="0" fontId="12" fillId="8" borderId="7"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0" borderId="1" xfId="0" applyFont="1" applyFill="1" applyBorder="1" applyAlignment="1">
      <alignment horizontal="right" vertical="center" wrapText="1"/>
    </xf>
    <xf numFmtId="0" fontId="13" fillId="10" borderId="1" xfId="0" applyFont="1" applyFill="1" applyBorder="1" applyAlignment="1">
      <alignment horizontal="left" vertical="center" wrapText="1"/>
    </xf>
    <xf numFmtId="0" fontId="14" fillId="0" borderId="1" xfId="0" applyFont="1" applyBorder="1" applyAlignment="1">
      <alignment vertical="center"/>
    </xf>
    <xf numFmtId="167" fontId="14" fillId="0" borderId="2" xfId="0" applyNumberFormat="1" applyFont="1" applyBorder="1" applyAlignment="1">
      <alignment horizontal="right" vertical="center"/>
    </xf>
    <xf numFmtId="0" fontId="14" fillId="0" borderId="2" xfId="0" applyFont="1" applyBorder="1" applyAlignment="1">
      <alignment vertical="center" wrapText="1"/>
    </xf>
    <xf numFmtId="15" fontId="14" fillId="0" borderId="2" xfId="0" applyNumberFormat="1" applyFont="1" applyBorder="1" applyAlignment="1">
      <alignment horizontal="right" vertical="center" wrapText="1"/>
    </xf>
    <xf numFmtId="0" fontId="14" fillId="0" borderId="2" xfId="0" applyFont="1" applyBorder="1" applyAlignment="1">
      <alignment vertical="center"/>
    </xf>
    <xf numFmtId="0" fontId="14" fillId="0" borderId="2" xfId="0" applyFont="1" applyBorder="1" applyAlignment="1">
      <alignment horizontal="left" vertical="center"/>
    </xf>
    <xf numFmtId="0" fontId="14" fillId="0" borderId="2" xfId="0" applyFont="1" applyBorder="1" applyAlignment="1">
      <alignment horizontal="right" vertical="center"/>
    </xf>
    <xf numFmtId="0" fontId="14" fillId="0" borderId="2" xfId="0" applyFont="1" applyBorder="1" applyAlignment="1">
      <alignment horizontal="right" vertical="center" wrapText="1"/>
    </xf>
    <xf numFmtId="0" fontId="13" fillId="0" borderId="2" xfId="0" applyFont="1" applyBorder="1" applyAlignment="1">
      <alignment horizontal="left" vertical="center"/>
    </xf>
    <xf numFmtId="0" fontId="15" fillId="4" borderId="2" xfId="0" applyFont="1" applyFill="1" applyBorder="1" applyAlignment="1">
      <alignment vertical="center" wrapText="1"/>
    </xf>
    <xf numFmtId="0" fontId="14" fillId="0" borderId="1" xfId="0" applyFont="1" applyBorder="1" applyAlignment="1">
      <alignment vertical="center" wrapText="1"/>
    </xf>
    <xf numFmtId="0" fontId="1" fillId="0" borderId="2" xfId="0" applyFont="1" applyBorder="1"/>
    <xf numFmtId="0" fontId="14" fillId="11" borderId="1" xfId="0" applyFont="1" applyFill="1" applyBorder="1" applyAlignment="1">
      <alignment vertical="center" wrapText="1"/>
    </xf>
    <xf numFmtId="0" fontId="14" fillId="0" borderId="5" xfId="0" applyFont="1" applyBorder="1" applyAlignment="1">
      <alignment vertical="center" wrapText="1"/>
    </xf>
    <xf numFmtId="15" fontId="14" fillId="0" borderId="1" xfId="0" applyNumberFormat="1" applyFont="1" applyBorder="1" applyAlignment="1">
      <alignment horizontal="right" vertical="center" wrapText="1"/>
    </xf>
    <xf numFmtId="167" fontId="14" fillId="0" borderId="1" xfId="0" applyNumberFormat="1" applyFont="1" applyBorder="1" applyAlignment="1">
      <alignment horizontal="right" vertical="center" wrapText="1"/>
    </xf>
    <xf numFmtId="167" fontId="14" fillId="11" borderId="1" xfId="0" applyNumberFormat="1" applyFont="1" applyFill="1" applyBorder="1" applyAlignment="1">
      <alignment horizontal="right" vertical="center" wrapText="1"/>
    </xf>
    <xf numFmtId="0" fontId="14" fillId="0" borderId="1" xfId="0" applyFont="1" applyBorder="1" applyAlignment="1">
      <alignment horizontal="right" vertical="center" wrapText="1"/>
    </xf>
    <xf numFmtId="0" fontId="15" fillId="0" borderId="2" xfId="0" applyFont="1" applyBorder="1" applyAlignment="1">
      <alignment vertical="center" wrapText="1"/>
    </xf>
    <xf numFmtId="0" fontId="14" fillId="11" borderId="5" xfId="0" applyFont="1" applyFill="1" applyBorder="1" applyAlignment="1">
      <alignment vertical="center" wrapText="1"/>
    </xf>
    <xf numFmtId="0" fontId="14" fillId="0" borderId="0" xfId="0" applyFont="1" applyAlignment="1">
      <alignment vertical="center" wrapText="1"/>
    </xf>
    <xf numFmtId="0" fontId="14" fillId="11" borderId="1" xfId="0" applyFont="1" applyFill="1" applyBorder="1" applyAlignment="1">
      <alignment horizontal="center" vertical="center" wrapText="1"/>
    </xf>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right" wrapText="1"/>
    </xf>
    <xf numFmtId="15" fontId="5" fillId="8" borderId="1" xfId="0" applyNumberFormat="1" applyFont="1" applyFill="1" applyBorder="1" applyAlignment="1">
      <alignment horizontal="left" vertical="center"/>
    </xf>
    <xf numFmtId="15" fontId="9" fillId="8" borderId="1" xfId="0" applyNumberFormat="1" applyFont="1" applyFill="1" applyBorder="1" applyAlignment="1">
      <alignment horizontal="left" vertical="center"/>
    </xf>
    <xf numFmtId="167" fontId="9" fillId="8" borderId="1" xfId="0" applyNumberFormat="1" applyFont="1" applyFill="1" applyBorder="1" applyAlignment="1">
      <alignment horizontal="left" vertical="center"/>
    </xf>
    <xf numFmtId="167" fontId="5" fillId="8" borderId="1" xfId="0" applyNumberFormat="1" applyFont="1" applyFill="1" applyBorder="1" applyAlignment="1">
      <alignment horizontal="left" vertical="center"/>
    </xf>
    <xf numFmtId="166" fontId="9" fillId="8" borderId="1" xfId="0" applyNumberFormat="1" applyFont="1" applyFill="1" applyBorder="1" applyAlignment="1">
      <alignment horizontal="left" vertical="center"/>
    </xf>
    <xf numFmtId="168" fontId="9" fillId="8" borderId="1" xfId="0" applyNumberFormat="1" applyFont="1" applyFill="1" applyBorder="1" applyAlignment="1">
      <alignment horizontal="left" vertical="center"/>
    </xf>
    <xf numFmtId="165" fontId="9" fillId="8" borderId="1" xfId="0" applyNumberFormat="1" applyFont="1" applyFill="1" applyBorder="1" applyAlignment="1">
      <alignment horizontal="left" vertical="center"/>
    </xf>
    <xf numFmtId="3" fontId="1" fillId="0" borderId="0" xfId="0" applyNumberFormat="1" applyFont="1"/>
    <xf numFmtId="49" fontId="1" fillId="0" borderId="0" xfId="0" applyNumberFormat="1" applyFont="1"/>
    <xf numFmtId="165" fontId="1" fillId="0" borderId="0" xfId="0" applyNumberFormat="1" applyFont="1"/>
    <xf numFmtId="10" fontId="1" fillId="0" borderId="0" xfId="0" applyNumberFormat="1" applyFont="1"/>
    <xf numFmtId="166" fontId="1" fillId="0" borderId="0" xfId="0" applyNumberFormat="1" applyFont="1"/>
    <xf numFmtId="0" fontId="16" fillId="0" borderId="0" xfId="0" applyFont="1"/>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vertical="center"/>
    </xf>
    <xf numFmtId="0" fontId="1" fillId="0" borderId="1" xfId="0" applyFont="1" applyBorder="1" applyAlignment="1">
      <alignment vertical="center"/>
    </xf>
    <xf numFmtId="14" fontId="1" fillId="0" borderId="1" xfId="0" applyNumberFormat="1" applyFont="1" applyBorder="1" applyAlignment="1">
      <alignment vertical="center"/>
    </xf>
    <xf numFmtId="0" fontId="1" fillId="0" borderId="1" xfId="0" applyFont="1" applyBorder="1" applyAlignment="1">
      <alignment vertical="center" wrapText="1"/>
    </xf>
    <xf numFmtId="0" fontId="1" fillId="0" borderId="1" xfId="0" applyFont="1" applyBorder="1"/>
    <xf numFmtId="0" fontId="17" fillId="0" borderId="1" xfId="0" applyFont="1" applyBorder="1" applyAlignment="1">
      <alignment vertical="center"/>
    </xf>
    <xf numFmtId="0" fontId="18" fillId="0" borderId="1" xfId="0" applyFont="1" applyBorder="1" applyAlignment="1">
      <alignment vertical="center"/>
    </xf>
    <xf numFmtId="0" fontId="10" fillId="0" borderId="0" xfId="0" applyFont="1"/>
    <xf numFmtId="0" fontId="0" fillId="0" borderId="0" xfId="0"/>
  </cellXfs>
  <cellStyles count="1">
    <cellStyle name="Normal" xfId="0" builtinId="0"/>
  </cellStyles>
  <dxfs count="27">
    <dxf>
      <font>
        <b/>
        <color rgb="FF38761D"/>
      </font>
      <fill>
        <patternFill patternType="solid">
          <fgColor rgb="FFB7E1CD"/>
          <bgColor rgb="FFB7E1CD"/>
        </patternFill>
      </fill>
    </dxf>
    <dxf>
      <font>
        <color rgb="FF000000"/>
      </font>
      <fill>
        <patternFill patternType="solid">
          <fgColor theme="4"/>
          <bgColor theme="4"/>
        </patternFill>
      </fill>
    </dxf>
    <dxf>
      <font>
        <b/>
      </font>
      <fill>
        <patternFill patternType="solid">
          <fgColor rgb="FFFFFF00"/>
          <bgColor rgb="FFFFFF00"/>
        </patternFill>
      </fill>
    </dxf>
    <dxf>
      <font>
        <b/>
        <color theme="1"/>
      </font>
      <fill>
        <patternFill patternType="solid">
          <fgColor rgb="FFB7E1CD"/>
          <bgColor rgb="FFB7E1CD"/>
        </patternFill>
      </fill>
    </dxf>
    <dxf>
      <font>
        <b/>
        <color rgb="FF000000"/>
      </font>
      <fill>
        <patternFill patternType="solid">
          <fgColor rgb="FFFCE5CD"/>
          <bgColor rgb="FFFCE5CD"/>
        </patternFill>
      </fill>
    </dxf>
    <dxf>
      <font>
        <color rgb="FFBF9000"/>
      </font>
      <fill>
        <patternFill patternType="solid">
          <fgColor rgb="FFFFEB9C"/>
          <bgColor rgb="FFFFEB9C"/>
        </patternFill>
      </fill>
    </dxf>
    <dxf>
      <font>
        <color rgb="FFCC0000"/>
      </font>
      <fill>
        <patternFill patternType="solid">
          <fgColor rgb="FFFFC7CE"/>
          <bgColor rgb="FFFFC7CE"/>
        </patternFill>
      </fill>
    </dxf>
    <dxf>
      <font>
        <color rgb="FF006100"/>
      </font>
      <fill>
        <patternFill patternType="solid">
          <fgColor rgb="FFB7E1CD"/>
          <bgColor rgb="FFB7E1CD"/>
        </patternFill>
      </fill>
    </dxf>
    <dxf>
      <font>
        <b/>
        <color rgb="FF38761D"/>
      </font>
      <fill>
        <patternFill patternType="solid">
          <fgColor rgb="FFB7E1CD"/>
          <bgColor rgb="FFB7E1CD"/>
        </patternFill>
      </fill>
    </dxf>
    <dxf>
      <font>
        <color rgb="FF000000"/>
      </font>
      <fill>
        <patternFill patternType="solid">
          <fgColor theme="4"/>
          <bgColor theme="4"/>
        </patternFill>
      </fill>
    </dxf>
    <dxf>
      <font>
        <b/>
      </font>
      <fill>
        <patternFill patternType="solid">
          <fgColor rgb="FFFFFF00"/>
          <bgColor rgb="FFFFFF00"/>
        </patternFill>
      </fill>
    </dxf>
    <dxf>
      <font>
        <b/>
        <color theme="1"/>
      </font>
      <fill>
        <patternFill patternType="solid">
          <fgColor rgb="FFB7E1CD"/>
          <bgColor rgb="FFB7E1CD"/>
        </patternFill>
      </fill>
    </dxf>
    <dxf>
      <font>
        <b/>
        <color rgb="FF000000"/>
      </font>
      <fill>
        <patternFill patternType="solid">
          <fgColor rgb="FFFCE5CD"/>
          <bgColor rgb="FFFCE5CD"/>
        </patternFill>
      </fill>
    </dxf>
    <dxf>
      <font>
        <b/>
        <color rgb="FF38761D"/>
      </font>
      <fill>
        <patternFill patternType="solid">
          <fgColor rgb="FFB7E1CD"/>
          <bgColor rgb="FFB7E1CD"/>
        </patternFill>
      </fill>
    </dxf>
    <dxf>
      <font>
        <color rgb="FF000000"/>
      </font>
      <fill>
        <patternFill patternType="solid">
          <fgColor theme="4"/>
          <bgColor theme="4"/>
        </patternFill>
      </fill>
    </dxf>
    <dxf>
      <font>
        <b/>
      </font>
      <fill>
        <patternFill patternType="solid">
          <fgColor rgb="FFFFFF00"/>
          <bgColor rgb="FFFFFF00"/>
        </patternFill>
      </fill>
    </dxf>
    <dxf>
      <font>
        <b/>
        <color theme="1"/>
      </font>
      <fill>
        <patternFill patternType="solid">
          <fgColor rgb="FFB7E1CD"/>
          <bgColor rgb="FFB7E1CD"/>
        </patternFill>
      </fill>
    </dxf>
    <dxf>
      <font>
        <b/>
        <color rgb="FF000000"/>
      </font>
      <fill>
        <patternFill patternType="solid">
          <fgColor rgb="FFFCE5CD"/>
          <bgColor rgb="FFFCE5CD"/>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3">
    <tableStyle name="migración nueva jeru-style" pivot="0" count="3" xr9:uid="{00000000-0011-0000-FFFF-FFFF00000000}">
      <tableStyleElement type="headerRow" dxfId="26"/>
      <tableStyleElement type="firstRowStripe" dxfId="25"/>
      <tableStyleElement type="secondRowStripe" dxfId="24"/>
    </tableStyle>
    <tableStyle name="INFORMES CONSTRUCCIÓN-style" pivot="0" count="3" xr9:uid="{00000000-0011-0000-FFFF-FFFF01000000}">
      <tableStyleElement type="headerRow" dxfId="23"/>
      <tableStyleElement type="firstRowStripe" dxfId="22"/>
      <tableStyleElement type="secondRowStripe" dxfId="21"/>
    </tableStyle>
    <tableStyle name="INFORMES CONSTRUCCIÓN-style 2" pivot="0" count="3" xr9:uid="{00000000-0011-0000-FFFF-FFFF02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E1069">
  <tableColumns count="31">
    <tableColumn id="1" xr3:uid="{00000000-0010-0000-0000-000001000000}" name="FECHA INGRESO"/>
    <tableColumn id="2" xr3:uid="{00000000-0010-0000-0000-000002000000}" name="NOMBRE COMPLETO"/>
    <tableColumn id="3" xr3:uid="{00000000-0010-0000-0000-000003000000}" name="CEDULA"/>
    <tableColumn id="4" xr3:uid="{00000000-0010-0000-0000-000004000000}" name="CONTACTO 1"/>
    <tableColumn id="5" xr3:uid="{00000000-0010-0000-0000-000005000000}" name="COMUNIDAD"/>
    <tableColumn id="6" xr3:uid="{00000000-0010-0000-0000-000006000000}" name="SECTOR"/>
    <tableColumn id="7" xr3:uid="{00000000-0010-0000-0000-000007000000}" name="DETALLES DE LA DIRECCIÓN"/>
    <tableColumn id="8" xr3:uid="{00000000-0010-0000-0000-000008000000}" name="NOMBRE CONTACTO 2"/>
    <tableColumn id="9" xr3:uid="{00000000-0010-0000-0000-000009000000}" name="CONTACTO 2"/>
    <tableColumn id="10" xr3:uid="{00000000-0010-0000-0000-00000A000000}" name="TERRENO PROPIO"/>
    <tableColumn id="11" xr3:uid="{00000000-0010-0000-0000-00000B000000}" name="AÑOS EN COMUNIDAD"/>
    <tableColumn id="12" xr3:uid="{00000000-0010-0000-0000-00000C000000}" name="BENEFICIARIO ANTIGUO"/>
    <tableColumn id="13" xr3:uid="{00000000-0010-0000-0000-00000D000000}" name="ESTADO"/>
    <tableColumn id="14" xr3:uid="{00000000-0010-0000-0000-00000E000000}" name="FECHA ENCUESTA"/>
    <tableColumn id="15" xr3:uid="{00000000-0010-0000-0000-00000F000000}" name="PRIORIDAD DE VIVIENDA"/>
    <tableColumn id="16" xr3:uid="{00000000-0010-0000-0000-000010000000}" name="CC VDE"/>
    <tableColumn id="17" xr3:uid="{00000000-0010-0000-0000-000011000000}" name="FECHA CC VDE"/>
    <tableColumn id="18" xr3:uid="{00000000-0010-0000-0000-000012000000}" name="CC VP"/>
    <tableColumn id="19" xr3:uid="{00000000-0010-0000-0000-000013000000}" name="FECHA CC VP"/>
    <tableColumn id="20" xr3:uid="{00000000-0010-0000-0000-000014000000}" name="CC BAÑO"/>
    <tableColumn id="21" xr3:uid="{00000000-0010-0000-0000-000015000000}" name="FECHA CC BAÑO"/>
    <tableColumn id="22" xr3:uid="{00000000-0010-0000-0000-000016000000}" name="CC SCPALL"/>
    <tableColumn id="23" xr3:uid="{00000000-0010-0000-0000-000017000000}" name="FECHA CC SCPAL"/>
    <tableColumn id="24" xr3:uid="{00000000-0010-0000-0000-000018000000}" name="CC TORRE"/>
    <tableColumn id="25" xr3:uid="{00000000-0010-0000-0000-000019000000}" name="FECHA CC TORRE"/>
    <tableColumn id="26" xr3:uid="{00000000-0010-0000-0000-00001A000000}" name="OBSERVACIONES"/>
    <tableColumn id="27" xr3:uid="{00000000-0010-0000-0000-00001B000000}" name="POST 1"/>
    <tableColumn id="28" xr3:uid="{00000000-0010-0000-0000-00001C000000}" name="FECHA POST 1"/>
    <tableColumn id="29" xr3:uid="{00000000-0010-0000-0000-00001D000000}" name="POST 2"/>
    <tableColumn id="30" xr3:uid="{00000000-0010-0000-0000-00001E000000}" name="FECHA POST 2"/>
    <tableColumn id="31" xr3:uid="{00000000-0010-0000-0000-00001F000000}" name="FORMATOS ????"/>
  </tableColumns>
  <tableStyleInfo name="migración nueva jeru-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rm_Responses1" displayName="Form_Responses1" ref="A1:AK15">
  <tableColumns count="37">
    <tableColumn id="1" xr3:uid="{00000000-0010-0000-0100-000001000000}" name="Marca temporal"/>
    <tableColumn id="2" xr3:uid="{00000000-0010-0000-0100-000002000000}" name="Nombre Líderes de cuadrilla"/>
    <tableColumn id="3" xr3:uid="{00000000-0010-0000-0100-000003000000}" name="Nombre de Monitores"/>
    <tableColumn id="4" xr3:uid="{00000000-0010-0000-0100-000004000000}" name="Nombre Líderes de trabajo"/>
    <tableColumn id="5" xr3:uid="{00000000-0010-0000-0100-000005000000}" name="Fecha de la construcción"/>
    <tableColumn id="6" xr3:uid="{00000000-0010-0000-0100-000006000000}" name="Comunidad"/>
    <tableColumn id="7" xr3:uid="{00000000-0010-0000-0100-000007000000}" name="Sector"/>
    <tableColumn id="8" xr3:uid="{00000000-0010-0000-0100-000008000000}" name="Nombre del beneficiario/a"/>
    <tableColumn id="9" xr3:uid="{00000000-0010-0000-0100-000009000000}" name="CC Beneficiario"/>
    <tableColumn id="10" xr3:uid="{00000000-0010-0000-0100-00000A000000}" name="Número de contacto del beneficiario/a"/>
    <tableColumn id="11" xr3:uid="{00000000-0010-0000-0100-00000B000000}" name="Solución construida"/>
    <tableColumn id="12" xr3:uid="{00000000-0010-0000-0100-00000C000000}" name="¿Se culminó la construcción?"/>
    <tableColumn id="13" xr3:uid="{00000000-0010-0000-0100-00000D000000}" name="Anexa fotos del estado final en la que se entregó la solución"/>
    <tableColumn id="14" xr3:uid="{00000000-0010-0000-0100-00000E000000}" name="Escribe todo los comentarios generales que tienes sobre la entrega de la solución"/>
    <tableColumn id="15" xr3:uid="{00000000-0010-0000-0100-00000F000000}" name="¿En qué estado se encuentra la bomba? "/>
    <tableColumn id="16" xr3:uid="{00000000-0010-0000-0100-000010000000}" name="¿La bomba quedó correctamente fijada?  "/>
    <tableColumn id="17" xr3:uid="{00000000-0010-0000-0100-000011000000}" name="¿La bomba quedó conectada a la manguera?  "/>
    <tableColumn id="18" xr3:uid="{00000000-0010-0000-0100-000012000000}" name="¿En qué estado se encuentra el filtro de anillos?"/>
    <tableColumn id="19" xr3:uid="{00000000-0010-0000-0100-000013000000}" name="¿El filtró de anillos quedó fijado al sistema?"/>
    <tableColumn id="20" xr3:uid="{00000000-0010-0000-0100-000014000000}" name="¿En qué estado quedó el filtro cerámico?"/>
    <tableColumn id="21" xr3:uid="{00000000-0010-0000-0100-000015000000}" name="Observaciones con respecto al tanque"/>
    <tableColumn id="22" xr3:uid="{00000000-0010-0000-0100-000016000000}" name="Observaciones con respecto a la canaleta"/>
    <tableColumn id="23" xr3:uid="{00000000-0010-0000-0100-000017000000}" name="¿En qué estado quedó la bomba eléctrica?"/>
    <tableColumn id="24" xr3:uid="{00000000-0010-0000-0100-000018000000}" name="¿La torre quedó conectada a otro servicio?"/>
    <tableColumn id="25" xr3:uid="{00000000-0010-0000-0100-000019000000}" name="Observaciones con respecto a los tanques"/>
    <tableColumn id="26" xr3:uid="{00000000-0010-0000-0100-00001A000000}" name="¿En qué estado quedó el techo?"/>
    <tableColumn id="27" xr3:uid="{00000000-0010-0000-0100-00001B000000}" name="¿En qué estado quedó la puerta?"/>
    <tableColumn id="28" xr3:uid="{00000000-0010-0000-0100-00001C000000}" name="¿En qué estado quedaron las ventanas?"/>
    <tableColumn id="29" xr3:uid="{00000000-0010-0000-0100-00001D000000}" name="Observaciones con respecto a las ventanas"/>
    <tableColumn id="30" xr3:uid="{00000000-0010-0000-0100-00001E000000}" name="¿El sanitario quedó conectado?"/>
    <tableColumn id="31" xr3:uid="{00000000-0010-0000-0100-00001F000000}" name="¿El lavamanos quedó conectado?"/>
    <tableColumn id="32" xr3:uid="{00000000-0010-0000-0100-000020000000}" name="¿La ducha quedó conectada?"/>
    <tableColumn id="33" xr3:uid="{00000000-0010-0000-0100-000021000000}" name="¿El desagüe de la ducha quedó correctamente instalado?"/>
    <tableColumn id="34" xr3:uid="{00000000-0010-0000-0100-000022000000}" name="Observaciones generales con respecto al baño"/>
    <tableColumn id="35" xr3:uid="{00000000-0010-0000-0100-000023000000}" name="Menciona todos los pendientes que se tienen para concluir la construcción"/>
    <tableColumn id="36" xr3:uid="{00000000-0010-0000-0100-000024000000}" name="¿Se dejaron herramientas en custodia de la familia?"/>
    <tableColumn id="37" xr3:uid="{00000000-0010-0000-0100-000025000000}" name="¿Requiere visita de POST?"/>
  </tableColumns>
  <tableStyleInfo name="INFORMES CONSTRUCCIÓ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_1" displayName="Tabla_1" ref="AL1:AM15">
  <tableColumns count="2">
    <tableColumn id="1" xr3:uid="{00000000-0010-0000-0200-000001000000}" name="¿Se estableció algún compromiso con la familia beneficiaria?"/>
    <tableColumn id="2" xr3:uid="{00000000-0010-0000-0200-000002000000}" name="Columna 1"/>
  </tableColumns>
  <tableStyleInfo name="INFORMES CONSTRUCCIÓN-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hyperlink" Target="https://maps.app.goo.gl/TYrLUEKfj4FKQJZh9" TargetMode="External"/><Relationship Id="rId13" Type="http://schemas.openxmlformats.org/officeDocument/2006/relationships/hyperlink" Target="https://maps.app.goo.gl/dXD3H3FapEpPFXrH8" TargetMode="External"/><Relationship Id="rId18" Type="http://schemas.openxmlformats.org/officeDocument/2006/relationships/hyperlink" Target="https://maps.app.goo.gl/jwdSXFf5UhMjg7oK8" TargetMode="External"/><Relationship Id="rId3" Type="http://schemas.openxmlformats.org/officeDocument/2006/relationships/hyperlink" Target="https://maps.app.goo.gl/2Y79GUF7BSA4w39k8" TargetMode="External"/><Relationship Id="rId21" Type="http://schemas.openxmlformats.org/officeDocument/2006/relationships/hyperlink" Target="https://www.google.com/maps/place/4%C2%B031'49.6%22N+74%C2%B009'03.1%22W/@4.5304033,-74.1509215,174m/data=!3m1!1e3!4m4!3m3!8m2!3d4.530444!4d-74.15087?entry=ttu&amp;g_ep=EgoyMDI1MDQyMi4wIKXMDSoASAFQAw%3D%3D" TargetMode="External"/><Relationship Id="rId7" Type="http://schemas.openxmlformats.org/officeDocument/2006/relationships/hyperlink" Target="https://maps.app.goo.gl/2Y79GUF7BSA4w39k8" TargetMode="External"/><Relationship Id="rId12" Type="http://schemas.openxmlformats.org/officeDocument/2006/relationships/hyperlink" Target="https://maps.app.goo.gl/grLjSNnx73vjkfTg9" TargetMode="External"/><Relationship Id="rId17" Type="http://schemas.openxmlformats.org/officeDocument/2006/relationships/hyperlink" Target="https://maps.app.goo.gl/jwdSXFf5UhMjg7oK8" TargetMode="External"/><Relationship Id="rId2" Type="http://schemas.openxmlformats.org/officeDocument/2006/relationships/hyperlink" Target="https://maps.app.goo.gl/LuJuVEDeo2D5hawk8" TargetMode="External"/><Relationship Id="rId16" Type="http://schemas.openxmlformats.org/officeDocument/2006/relationships/hyperlink" Target="https://maps.app.goo.gl/idyLQ2H64W64WiJz7" TargetMode="External"/><Relationship Id="rId20" Type="http://schemas.openxmlformats.org/officeDocument/2006/relationships/hyperlink" Target="https://www.google.com/maps/place/4.530441,-74.150807/data=!4m6!3m5!1s0!7e2!8m2!3d4.5304405999999995!4d-74.1508071?utm_source=mstt_1&amp;entry=gps&amp;coh=192189&amp;g_ep=CAESBzI1LjEzLjYYACD67A0qbCw5NDIyMzI5OSw5NDIxNjQxMyw5NDIxMjQ5Niw5NDIwNzM5NCw5NDIwNzUwNiw5NDIwODUwNiw5NDIxNzUyMyw5NDIxODY1Myw5NDIyOTgzOSw0NzA4NDM5Myw5NDIxMzIwMCw5NDI1ODMyNUICQ08%3D&amp;skid=cdcadf36-9656-4fe0-a2d9-122f6a9030e8&amp;g_st=aw" TargetMode="External"/><Relationship Id="rId1" Type="http://schemas.openxmlformats.org/officeDocument/2006/relationships/hyperlink" Target="https://maps.app.goo.gl/grLjSNnx73vjkfTg9" TargetMode="External"/><Relationship Id="rId6" Type="http://schemas.openxmlformats.org/officeDocument/2006/relationships/hyperlink" Target="https://maps.app.goo.gl/EVeHXdRv8BBnPLjJ7" TargetMode="External"/><Relationship Id="rId11" Type="http://schemas.openxmlformats.org/officeDocument/2006/relationships/hyperlink" Target="https://maps.app.goo.gl/TYrLUEKfj4FKQJZh9" TargetMode="External"/><Relationship Id="rId5" Type="http://schemas.openxmlformats.org/officeDocument/2006/relationships/hyperlink" Target="https://maps.app.goo.gl/KVqLFWqyoPgYjU4u6" TargetMode="External"/><Relationship Id="rId15" Type="http://schemas.openxmlformats.org/officeDocument/2006/relationships/hyperlink" Target="https://maps.app.goo.gl/ymoKyeUP1BTMm8iR9" TargetMode="External"/><Relationship Id="rId10" Type="http://schemas.openxmlformats.org/officeDocument/2006/relationships/hyperlink" Target="https://maps.app.goo.gl/LuJuVEDeo2D5hawk8" TargetMode="External"/><Relationship Id="rId19" Type="http://schemas.openxmlformats.org/officeDocument/2006/relationships/hyperlink" Target="https://www.google.com/maps?q=4.5325404,-74.15249&amp;z=17&amp;hl=en" TargetMode="External"/><Relationship Id="rId4" Type="http://schemas.openxmlformats.org/officeDocument/2006/relationships/hyperlink" Target="https://maps.app.goo.gl/1zjrgUVZ8Afo39Pn8" TargetMode="External"/><Relationship Id="rId9" Type="http://schemas.openxmlformats.org/officeDocument/2006/relationships/hyperlink" Target="https://maps.app.goo.gl/1zjrgUVZ8Afo39Pn8" TargetMode="External"/><Relationship Id="rId14" Type="http://schemas.openxmlformats.org/officeDocument/2006/relationships/hyperlink" Target="https://maps.app.goo.gl/KVqLFWqyoPgYjU4u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open?id=1i9cpYfIPUtZtbnwlVr4aW66tudnK7oCb" TargetMode="External"/><Relationship Id="rId2" Type="http://schemas.openxmlformats.org/officeDocument/2006/relationships/hyperlink" Target="https://drive.google.com/open?id=1l-NRVF-wuTVpXY2_p1taEPCORVtXksha" TargetMode="External"/><Relationship Id="rId1" Type="http://schemas.openxmlformats.org/officeDocument/2006/relationships/hyperlink" Target="https://drive.google.com/open?id=1K0l4GObeIAbXLN4QvbxoM72Le5DicQks" TargetMode="Externa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602"/>
  <sheetViews>
    <sheetView workbookViewId="0">
      <pane ySplit="1" topLeftCell="A2" activePane="bottomLeft" state="frozen"/>
      <selection pane="bottomLeft" activeCell="C9" sqref="C9"/>
    </sheetView>
  </sheetViews>
  <sheetFormatPr defaultColWidth="12.5703125" defaultRowHeight="15.75" customHeight="1" x14ac:dyDescent="0.2"/>
  <cols>
    <col min="1" max="1" width="18.140625" bestFit="1" customWidth="1"/>
    <col min="2" max="2" width="29.7109375" customWidth="1"/>
    <col min="3" max="3" width="18.7109375" customWidth="1"/>
    <col min="4" max="4" width="11.28515625" customWidth="1"/>
    <col min="5" max="5" width="25.7109375" customWidth="1"/>
    <col min="6" max="6" width="21.85546875" customWidth="1"/>
    <col min="7" max="7" width="30.5703125" customWidth="1"/>
    <col min="8" max="8" width="38" customWidth="1"/>
    <col min="9" max="9" width="20.85546875" customWidth="1"/>
    <col min="10" max="10" width="37.7109375" customWidth="1"/>
    <col min="11" max="11" width="34.42578125" customWidth="1"/>
    <col min="12" max="12" width="40.85546875" customWidth="1"/>
    <col min="13" max="13" width="40.28515625" customWidth="1"/>
    <col min="14" max="14" width="24.28515625" customWidth="1"/>
    <col min="15" max="15" width="73.140625" customWidth="1"/>
    <col min="16" max="16" width="27.140625" customWidth="1"/>
    <col min="17" max="17" width="35.140625" customWidth="1"/>
    <col min="18" max="18" width="115.28515625" customWidth="1"/>
    <col min="19" max="19" width="77.7109375" customWidth="1"/>
    <col min="20" max="20" width="139.28515625" customWidth="1"/>
    <col min="21" max="21" width="33.5703125" customWidth="1"/>
    <col min="22" max="22" width="53.7109375" customWidth="1"/>
    <col min="23" max="23" width="26.28515625" customWidth="1"/>
    <col min="24" max="24" width="50.140625" customWidth="1"/>
    <col min="25" max="25" width="40" customWidth="1"/>
    <col min="26" max="26" width="87.140625" customWidth="1"/>
    <col min="27" max="27" width="57.5703125" customWidth="1"/>
    <col min="28" max="28" width="18.85546875" customWidth="1"/>
    <col min="29" max="29" width="262.42578125" customWidth="1"/>
    <col min="30" max="30" width="18.85546875" customWidth="1"/>
    <col min="31" max="31" width="12.85546875" customWidth="1"/>
    <col min="32" max="36" width="18.85546875" customWidth="1"/>
  </cols>
  <sheetData>
    <row r="1" spans="1:3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27</v>
      </c>
      <c r="AE1" s="1"/>
      <c r="AF1" s="1"/>
      <c r="AG1" s="1"/>
      <c r="AH1" s="1"/>
      <c r="AI1" s="1"/>
      <c r="AJ1" s="1"/>
    </row>
    <row r="2" spans="1:36" x14ac:dyDescent="0.2">
      <c r="A2" s="2">
        <v>44647.554528194443</v>
      </c>
      <c r="B2" s="3" t="s">
        <v>29</v>
      </c>
      <c r="C2" s="3">
        <v>3213856495</v>
      </c>
      <c r="D2" s="3" t="s">
        <v>30</v>
      </c>
      <c r="E2" s="3" t="s">
        <v>31</v>
      </c>
      <c r="F2" s="3" t="s">
        <v>32</v>
      </c>
      <c r="G2" s="3" t="s">
        <v>33</v>
      </c>
      <c r="H2" s="3"/>
      <c r="I2" s="3">
        <v>3044794641</v>
      </c>
      <c r="J2" s="3" t="s">
        <v>34</v>
      </c>
      <c r="K2" s="3">
        <v>3006223557</v>
      </c>
      <c r="L2" s="3">
        <v>10</v>
      </c>
      <c r="M2" s="3">
        <v>10</v>
      </c>
      <c r="N2" s="3" t="s">
        <v>35</v>
      </c>
      <c r="O2" s="3"/>
      <c r="P2" s="3">
        <v>6</v>
      </c>
      <c r="Q2" s="3" t="s">
        <v>36</v>
      </c>
      <c r="R2" s="3" t="s">
        <v>37</v>
      </c>
      <c r="S2" s="3" t="s">
        <v>38</v>
      </c>
      <c r="T2" s="3" t="s">
        <v>39</v>
      </c>
      <c r="U2" s="3"/>
      <c r="V2" s="3"/>
      <c r="W2" s="3"/>
      <c r="X2" s="3"/>
      <c r="Y2" s="3"/>
      <c r="Z2" s="3"/>
      <c r="AA2" s="3"/>
      <c r="AB2" s="3"/>
      <c r="AC2" s="3"/>
      <c r="AD2" s="3"/>
      <c r="AE2" s="3">
        <v>10</v>
      </c>
      <c r="AF2" s="3"/>
      <c r="AG2" s="3"/>
      <c r="AH2" s="3"/>
      <c r="AI2" s="3"/>
      <c r="AJ2" s="3"/>
    </row>
    <row r="3" spans="1:36" x14ac:dyDescent="0.2">
      <c r="A3" s="2">
        <v>44668.352554340279</v>
      </c>
      <c r="B3" s="3" t="s">
        <v>40</v>
      </c>
      <c r="C3" s="3">
        <v>3124693592</v>
      </c>
      <c r="D3" s="3" t="s">
        <v>30</v>
      </c>
      <c r="E3" s="3" t="s">
        <v>31</v>
      </c>
      <c r="F3" s="3" t="s">
        <v>41</v>
      </c>
      <c r="G3" s="3" t="s">
        <v>42</v>
      </c>
      <c r="H3" s="3"/>
      <c r="I3" s="3">
        <v>3238078844</v>
      </c>
      <c r="J3" s="3" t="s">
        <v>43</v>
      </c>
      <c r="K3" s="3">
        <v>3108445468</v>
      </c>
      <c r="L3" s="3" t="s">
        <v>44</v>
      </c>
      <c r="M3" s="3" t="s">
        <v>44</v>
      </c>
      <c r="N3" s="3" t="s">
        <v>35</v>
      </c>
      <c r="O3" s="3"/>
      <c r="P3" s="3">
        <v>7</v>
      </c>
      <c r="Q3" s="3" t="s">
        <v>45</v>
      </c>
      <c r="R3" s="3" t="s">
        <v>46</v>
      </c>
      <c r="S3" s="3" t="s">
        <v>38</v>
      </c>
      <c r="T3" s="3" t="s">
        <v>47</v>
      </c>
      <c r="U3" s="3"/>
      <c r="V3" s="3"/>
      <c r="W3" s="3"/>
      <c r="X3" s="3"/>
      <c r="Y3" s="3"/>
      <c r="Z3" s="3"/>
      <c r="AA3" s="3"/>
      <c r="AB3" s="3"/>
      <c r="AC3" s="3" t="s">
        <v>48</v>
      </c>
      <c r="AD3" s="3"/>
      <c r="AE3" s="3" t="s">
        <v>44</v>
      </c>
      <c r="AF3" s="1"/>
      <c r="AG3" s="1"/>
      <c r="AH3" s="1"/>
      <c r="AI3" s="1"/>
      <c r="AJ3" s="1"/>
    </row>
    <row r="4" spans="1:36" x14ac:dyDescent="0.2">
      <c r="A4" s="2">
        <v>44668.717392025465</v>
      </c>
      <c r="B4" s="3" t="s">
        <v>49</v>
      </c>
      <c r="C4" s="3">
        <v>301398991</v>
      </c>
      <c r="D4" s="3" t="s">
        <v>30</v>
      </c>
      <c r="E4" s="3" t="s">
        <v>31</v>
      </c>
      <c r="F4" s="3">
        <v>4</v>
      </c>
      <c r="G4" s="3" t="s">
        <v>50</v>
      </c>
      <c r="H4" s="3"/>
      <c r="I4" s="3">
        <v>3117780890</v>
      </c>
      <c r="J4" s="3"/>
      <c r="K4" s="3"/>
      <c r="L4" s="3">
        <v>17</v>
      </c>
      <c r="M4" s="3">
        <v>17</v>
      </c>
      <c r="N4" s="3" t="s">
        <v>35</v>
      </c>
      <c r="O4" s="3"/>
      <c r="P4" s="3">
        <v>3</v>
      </c>
      <c r="Q4" s="3" t="s">
        <v>51</v>
      </c>
      <c r="R4" s="3" t="s">
        <v>52</v>
      </c>
      <c r="S4" s="3" t="s">
        <v>38</v>
      </c>
      <c r="T4" s="3" t="s">
        <v>53</v>
      </c>
      <c r="U4" s="3"/>
      <c r="V4" s="3"/>
      <c r="W4" s="3"/>
      <c r="X4" s="3"/>
      <c r="Y4" s="3"/>
      <c r="Z4" s="3"/>
      <c r="AA4" s="3"/>
      <c r="AB4" s="3"/>
      <c r="AC4" s="3" t="s">
        <v>54</v>
      </c>
      <c r="AD4" s="3"/>
      <c r="AE4" s="3">
        <v>17</v>
      </c>
      <c r="AF4" s="1"/>
      <c r="AG4" s="1"/>
      <c r="AH4" s="1"/>
      <c r="AI4" s="1"/>
      <c r="AJ4" s="1"/>
    </row>
    <row r="5" spans="1:36" x14ac:dyDescent="0.2">
      <c r="A5" s="2">
        <v>44680.705813773151</v>
      </c>
      <c r="B5" s="3" t="s">
        <v>55</v>
      </c>
      <c r="C5" s="3">
        <v>3502417455</v>
      </c>
      <c r="D5" s="3" t="s">
        <v>30</v>
      </c>
      <c r="E5" s="3" t="s">
        <v>31</v>
      </c>
      <c r="F5" s="3" t="s">
        <v>56</v>
      </c>
      <c r="G5" s="3" t="s">
        <v>57</v>
      </c>
      <c r="H5" s="3"/>
      <c r="I5" s="3">
        <v>3106239619</v>
      </c>
      <c r="J5" s="3" t="s">
        <v>58</v>
      </c>
      <c r="K5" s="3"/>
      <c r="L5" s="3" t="s">
        <v>59</v>
      </c>
      <c r="M5" s="3" t="s">
        <v>60</v>
      </c>
      <c r="N5" s="3" t="s">
        <v>35</v>
      </c>
      <c r="O5" s="3"/>
      <c r="P5" s="3">
        <v>4</v>
      </c>
      <c r="Q5" s="3" t="s">
        <v>61</v>
      </c>
      <c r="R5" s="3" t="s">
        <v>62</v>
      </c>
      <c r="S5" s="3" t="s">
        <v>38</v>
      </c>
      <c r="T5" s="3" t="s">
        <v>58</v>
      </c>
      <c r="U5" s="3"/>
      <c r="V5" s="3"/>
      <c r="W5" s="3"/>
      <c r="X5" s="3"/>
      <c r="Y5" s="3"/>
      <c r="Z5" s="3"/>
      <c r="AA5" s="3"/>
      <c r="AB5" s="3"/>
      <c r="AC5" s="3"/>
      <c r="AD5" s="3"/>
      <c r="AE5" s="3" t="s">
        <v>59</v>
      </c>
      <c r="AF5" s="1"/>
      <c r="AG5" s="1"/>
      <c r="AH5" s="1"/>
      <c r="AI5" s="1"/>
      <c r="AJ5" s="1"/>
    </row>
    <row r="6" spans="1:36" x14ac:dyDescent="0.2">
      <c r="A6" s="2">
        <v>44680.707595763888</v>
      </c>
      <c r="B6" s="3" t="s">
        <v>55</v>
      </c>
      <c r="C6" s="3">
        <v>3502417455</v>
      </c>
      <c r="D6" s="3" t="s">
        <v>30</v>
      </c>
      <c r="E6" s="3" t="s">
        <v>31</v>
      </c>
      <c r="F6" s="3" t="s">
        <v>56</v>
      </c>
      <c r="G6" s="3" t="s">
        <v>63</v>
      </c>
      <c r="H6" s="3"/>
      <c r="I6" s="3">
        <v>3108258953</v>
      </c>
      <c r="J6" s="3" t="s">
        <v>64</v>
      </c>
      <c r="K6" s="3">
        <v>3122771199</v>
      </c>
      <c r="L6" s="3" t="s">
        <v>65</v>
      </c>
      <c r="M6" s="3" t="s">
        <v>66</v>
      </c>
      <c r="N6" s="3" t="s">
        <v>35</v>
      </c>
      <c r="O6" s="3"/>
      <c r="P6" s="3">
        <v>3</v>
      </c>
      <c r="Q6" s="3" t="s">
        <v>67</v>
      </c>
      <c r="R6" s="3" t="s">
        <v>58</v>
      </c>
      <c r="S6" s="3" t="s">
        <v>38</v>
      </c>
      <c r="T6" s="3" t="s">
        <v>68</v>
      </c>
      <c r="U6" s="3"/>
      <c r="V6" s="3"/>
      <c r="W6" s="3"/>
      <c r="X6" s="3"/>
      <c r="Y6" s="3"/>
      <c r="Z6" s="3"/>
      <c r="AA6" s="3"/>
      <c r="AB6" s="3"/>
      <c r="AC6" s="3"/>
      <c r="AD6" s="3"/>
      <c r="AE6" s="3" t="s">
        <v>65</v>
      </c>
      <c r="AF6" s="1"/>
      <c r="AG6" s="1"/>
      <c r="AH6" s="1"/>
      <c r="AI6" s="1"/>
      <c r="AJ6" s="1"/>
    </row>
    <row r="7" spans="1:36" x14ac:dyDescent="0.2">
      <c r="A7" s="2">
        <v>44680.709399594911</v>
      </c>
      <c r="B7" s="3" t="s">
        <v>55</v>
      </c>
      <c r="C7" s="3">
        <v>3502417455</v>
      </c>
      <c r="D7" s="3" t="s">
        <v>30</v>
      </c>
      <c r="E7" s="3" t="s">
        <v>31</v>
      </c>
      <c r="F7" s="3" t="s">
        <v>56</v>
      </c>
      <c r="G7" s="3" t="s">
        <v>69</v>
      </c>
      <c r="H7" s="3"/>
      <c r="I7" s="3">
        <v>3108445468</v>
      </c>
      <c r="J7" s="3" t="s">
        <v>42</v>
      </c>
      <c r="K7" s="3">
        <v>3106006379</v>
      </c>
      <c r="L7" s="3" t="s">
        <v>70</v>
      </c>
      <c r="M7" s="3" t="s">
        <v>70</v>
      </c>
      <c r="N7" s="3" t="s">
        <v>35</v>
      </c>
      <c r="O7" s="3"/>
      <c r="P7" s="3">
        <v>1</v>
      </c>
      <c r="Q7" s="3" t="s">
        <v>71</v>
      </c>
      <c r="R7" s="3" t="s">
        <v>72</v>
      </c>
      <c r="S7" s="3" t="s">
        <v>38</v>
      </c>
      <c r="T7" s="3" t="s">
        <v>58</v>
      </c>
      <c r="U7" s="3"/>
      <c r="V7" s="3"/>
      <c r="W7" s="3"/>
      <c r="X7" s="3"/>
      <c r="Y7" s="3"/>
      <c r="Z7" s="3"/>
      <c r="AA7" s="3"/>
      <c r="AB7" s="3"/>
      <c r="AC7" s="3"/>
      <c r="AD7" s="3"/>
      <c r="AE7" s="3" t="s">
        <v>70</v>
      </c>
      <c r="AF7" s="1"/>
      <c r="AG7" s="1"/>
      <c r="AH7" s="1"/>
      <c r="AI7" s="1"/>
      <c r="AJ7" s="1"/>
    </row>
    <row r="8" spans="1:36" x14ac:dyDescent="0.2">
      <c r="A8" s="2">
        <v>44680.710969548614</v>
      </c>
      <c r="B8" s="3" t="s">
        <v>55</v>
      </c>
      <c r="C8" s="3">
        <v>3502417455</v>
      </c>
      <c r="D8" s="3" t="s">
        <v>30</v>
      </c>
      <c r="E8" s="3" t="s">
        <v>31</v>
      </c>
      <c r="F8" s="3" t="s">
        <v>56</v>
      </c>
      <c r="G8" s="3" t="s">
        <v>73</v>
      </c>
      <c r="H8" s="3"/>
      <c r="I8" s="3">
        <v>3106006379</v>
      </c>
      <c r="J8" s="3" t="s">
        <v>74</v>
      </c>
      <c r="K8" s="3">
        <v>3014567498</v>
      </c>
      <c r="L8" s="3" t="s">
        <v>75</v>
      </c>
      <c r="M8" s="3" t="s">
        <v>75</v>
      </c>
      <c r="N8" s="3" t="s">
        <v>35</v>
      </c>
      <c r="O8" s="3"/>
      <c r="P8" s="3">
        <v>2</v>
      </c>
      <c r="Q8" s="3" t="s">
        <v>67</v>
      </c>
      <c r="R8" s="3" t="s">
        <v>76</v>
      </c>
      <c r="S8" s="3" t="s">
        <v>38</v>
      </c>
      <c r="T8" s="3" t="s">
        <v>68</v>
      </c>
      <c r="U8" s="3"/>
      <c r="V8" s="3"/>
      <c r="W8" s="3"/>
      <c r="X8" s="3"/>
      <c r="Y8" s="3"/>
      <c r="Z8" s="3"/>
      <c r="AA8" s="3"/>
      <c r="AB8" s="3"/>
      <c r="AC8" s="3" t="s">
        <v>77</v>
      </c>
      <c r="AD8" s="3"/>
      <c r="AE8" s="3" t="s">
        <v>75</v>
      </c>
      <c r="AF8" s="1"/>
      <c r="AG8" s="1"/>
      <c r="AH8" s="1"/>
      <c r="AI8" s="1"/>
      <c r="AJ8" s="1"/>
    </row>
    <row r="9" spans="1:36" x14ac:dyDescent="0.2">
      <c r="A9" s="2">
        <v>44696.441852951393</v>
      </c>
      <c r="B9" s="3" t="s">
        <v>78</v>
      </c>
      <c r="C9" s="3">
        <v>3128250842</v>
      </c>
      <c r="D9" s="3" t="s">
        <v>79</v>
      </c>
      <c r="E9" s="3" t="s">
        <v>31</v>
      </c>
      <c r="F9" s="3" t="s">
        <v>80</v>
      </c>
      <c r="G9" s="3" t="s">
        <v>81</v>
      </c>
      <c r="H9" s="3"/>
      <c r="I9" s="3">
        <v>3004431592</v>
      </c>
      <c r="J9" s="3" t="s">
        <v>82</v>
      </c>
      <c r="K9" s="3">
        <v>3204095979</v>
      </c>
      <c r="L9" s="3" t="s">
        <v>83</v>
      </c>
      <c r="M9" s="3" t="s">
        <v>84</v>
      </c>
      <c r="N9" s="3" t="s">
        <v>35</v>
      </c>
      <c r="O9" s="3"/>
      <c r="P9" s="3">
        <v>4</v>
      </c>
      <c r="Q9" s="3" t="s">
        <v>85</v>
      </c>
      <c r="R9" s="3" t="s">
        <v>62</v>
      </c>
      <c r="S9" s="3" t="s">
        <v>38</v>
      </c>
      <c r="T9" s="3" t="s">
        <v>86</v>
      </c>
      <c r="U9" s="3"/>
      <c r="V9" s="3"/>
      <c r="W9" s="3"/>
      <c r="X9" s="3"/>
      <c r="Y9" s="3"/>
      <c r="Z9" s="3"/>
      <c r="AA9" s="3"/>
      <c r="AB9" s="3"/>
      <c r="AC9" s="3" t="s">
        <v>87</v>
      </c>
      <c r="AD9" s="3"/>
      <c r="AE9" s="3" t="s">
        <v>83</v>
      </c>
      <c r="AF9" s="1"/>
      <c r="AG9" s="1"/>
      <c r="AH9" s="1"/>
      <c r="AI9" s="1"/>
      <c r="AJ9" s="1"/>
    </row>
    <row r="10" spans="1:36" x14ac:dyDescent="0.2">
      <c r="A10" s="2">
        <v>44696.498508865741</v>
      </c>
      <c r="B10" s="3" t="s">
        <v>88</v>
      </c>
      <c r="C10" s="3">
        <v>3016234523</v>
      </c>
      <c r="D10" s="3" t="s">
        <v>30</v>
      </c>
      <c r="E10" s="3" t="s">
        <v>31</v>
      </c>
      <c r="F10" s="3" t="s">
        <v>89</v>
      </c>
      <c r="G10" s="3" t="s">
        <v>90</v>
      </c>
      <c r="H10" s="3"/>
      <c r="I10" s="3">
        <v>3216956922</v>
      </c>
      <c r="J10" s="3" t="s">
        <v>91</v>
      </c>
      <c r="K10" s="3">
        <v>3014861737</v>
      </c>
      <c r="L10" s="3">
        <v>25</v>
      </c>
      <c r="M10" s="3" t="s">
        <v>92</v>
      </c>
      <c r="N10" s="3" t="s">
        <v>35</v>
      </c>
      <c r="O10" s="3"/>
      <c r="P10" s="3">
        <v>3</v>
      </c>
      <c r="Q10" s="3" t="s">
        <v>93</v>
      </c>
      <c r="R10" s="3" t="s">
        <v>94</v>
      </c>
      <c r="S10" s="3" t="s">
        <v>38</v>
      </c>
      <c r="T10" s="3" t="s">
        <v>95</v>
      </c>
      <c r="U10" s="3"/>
      <c r="V10" s="3"/>
      <c r="W10" s="3"/>
      <c r="X10" s="3"/>
      <c r="Y10" s="3"/>
      <c r="Z10" s="3"/>
      <c r="AA10" s="3"/>
      <c r="AB10" s="3"/>
      <c r="AC10" s="3" t="s">
        <v>96</v>
      </c>
      <c r="AD10" s="3"/>
      <c r="AE10" s="3">
        <v>25</v>
      </c>
      <c r="AF10" s="1"/>
      <c r="AG10" s="1"/>
      <c r="AH10" s="1"/>
      <c r="AI10" s="1"/>
      <c r="AJ10" s="1"/>
    </row>
    <row r="11" spans="1:36" x14ac:dyDescent="0.2">
      <c r="A11" s="2">
        <v>44696.504392800925</v>
      </c>
      <c r="B11" s="3" t="s">
        <v>88</v>
      </c>
      <c r="C11" s="3">
        <v>3016234523</v>
      </c>
      <c r="D11" s="3" t="s">
        <v>30</v>
      </c>
      <c r="E11" s="3" t="s">
        <v>31</v>
      </c>
      <c r="F11" s="3" t="s">
        <v>97</v>
      </c>
      <c r="G11" s="3" t="s">
        <v>98</v>
      </c>
      <c r="H11" s="3"/>
      <c r="I11" s="3">
        <v>3234494670</v>
      </c>
      <c r="J11" s="3" t="s">
        <v>99</v>
      </c>
      <c r="K11" s="3">
        <v>3013168627</v>
      </c>
      <c r="L11" s="3" t="s">
        <v>100</v>
      </c>
      <c r="M11" s="3">
        <v>1</v>
      </c>
      <c r="N11" s="3" t="s">
        <v>35</v>
      </c>
      <c r="O11" s="3"/>
      <c r="P11" s="3">
        <v>3</v>
      </c>
      <c r="Q11" s="3" t="s">
        <v>101</v>
      </c>
      <c r="R11" s="3" t="s">
        <v>102</v>
      </c>
      <c r="S11" s="3" t="s">
        <v>38</v>
      </c>
      <c r="T11" s="3" t="s">
        <v>103</v>
      </c>
      <c r="U11" s="3"/>
      <c r="V11" s="3"/>
      <c r="W11" s="3"/>
      <c r="X11" s="3"/>
      <c r="Y11" s="3"/>
      <c r="Z11" s="3"/>
      <c r="AA11" s="3"/>
      <c r="AB11" s="3"/>
      <c r="AC11" s="3" t="s">
        <v>104</v>
      </c>
      <c r="AD11" s="3"/>
      <c r="AE11" s="3" t="s">
        <v>100</v>
      </c>
      <c r="AF11" s="1"/>
      <c r="AG11" s="1"/>
      <c r="AH11" s="1"/>
      <c r="AI11" s="1"/>
      <c r="AJ11" s="1"/>
    </row>
    <row r="12" spans="1:36" x14ac:dyDescent="0.2">
      <c r="A12" s="2">
        <v>44696.504729699074</v>
      </c>
      <c r="B12" s="3" t="s">
        <v>105</v>
      </c>
      <c r="C12" s="3">
        <v>3127400513</v>
      </c>
      <c r="D12" s="3" t="s">
        <v>30</v>
      </c>
      <c r="E12" s="3" t="s">
        <v>31</v>
      </c>
      <c r="F12" s="3">
        <v>2</v>
      </c>
      <c r="G12" s="3" t="s">
        <v>106</v>
      </c>
      <c r="H12" s="3"/>
      <c r="I12" s="3">
        <v>3015896241</v>
      </c>
      <c r="J12" s="3" t="s">
        <v>107</v>
      </c>
      <c r="K12" s="3">
        <v>3012174714</v>
      </c>
      <c r="L12" s="3">
        <v>19</v>
      </c>
      <c r="M12" s="3">
        <v>5</v>
      </c>
      <c r="N12" s="3" t="s">
        <v>35</v>
      </c>
      <c r="O12" s="3"/>
      <c r="P12" s="3">
        <v>6</v>
      </c>
      <c r="Q12" s="3" t="s">
        <v>108</v>
      </c>
      <c r="R12" s="3" t="s">
        <v>109</v>
      </c>
      <c r="S12" s="3" t="s">
        <v>110</v>
      </c>
      <c r="T12" s="3" t="s">
        <v>111</v>
      </c>
      <c r="U12" s="3"/>
      <c r="V12" s="3"/>
      <c r="W12" s="3"/>
      <c r="X12" s="3"/>
      <c r="Y12" s="3"/>
      <c r="Z12" s="3"/>
      <c r="AA12" s="3"/>
      <c r="AB12" s="3"/>
      <c r="AC12" s="3" t="s">
        <v>112</v>
      </c>
      <c r="AD12" s="3"/>
      <c r="AE12" s="3">
        <v>19</v>
      </c>
      <c r="AF12" s="1"/>
      <c r="AG12" s="1"/>
      <c r="AH12" s="1"/>
      <c r="AI12" s="1"/>
      <c r="AJ12" s="1"/>
    </row>
    <row r="13" spans="1:36" x14ac:dyDescent="0.2">
      <c r="A13" s="2">
        <v>44696.50727671296</v>
      </c>
      <c r="B13" s="3" t="s">
        <v>105</v>
      </c>
      <c r="C13" s="3">
        <v>3127400513</v>
      </c>
      <c r="D13" s="3" t="s">
        <v>30</v>
      </c>
      <c r="E13" s="3" t="s">
        <v>31</v>
      </c>
      <c r="F13" s="3">
        <v>3</v>
      </c>
      <c r="G13" s="3" t="s">
        <v>113</v>
      </c>
      <c r="H13" s="3"/>
      <c r="I13" s="3">
        <v>3003563750</v>
      </c>
      <c r="J13" s="3" t="s">
        <v>114</v>
      </c>
      <c r="K13" s="3">
        <v>3043269737</v>
      </c>
      <c r="L13" s="3">
        <v>16</v>
      </c>
      <c r="M13" s="3">
        <v>10</v>
      </c>
      <c r="N13" s="3" t="s">
        <v>35</v>
      </c>
      <c r="O13" s="3"/>
      <c r="P13" s="3">
        <v>3</v>
      </c>
      <c r="Q13" s="3" t="s">
        <v>115</v>
      </c>
      <c r="R13" s="3" t="s">
        <v>116</v>
      </c>
      <c r="S13" s="3" t="s">
        <v>38</v>
      </c>
      <c r="T13" s="3" t="s">
        <v>117</v>
      </c>
      <c r="U13" s="3"/>
      <c r="V13" s="3"/>
      <c r="W13" s="3"/>
      <c r="X13" s="3"/>
      <c r="Y13" s="3"/>
      <c r="Z13" s="3"/>
      <c r="AA13" s="3"/>
      <c r="AB13" s="3"/>
      <c r="AC13" s="3" t="s">
        <v>118</v>
      </c>
      <c r="AD13" s="3"/>
      <c r="AE13" s="3">
        <v>16</v>
      </c>
      <c r="AF13" s="1"/>
      <c r="AG13" s="1"/>
      <c r="AH13" s="1"/>
      <c r="AI13" s="1"/>
      <c r="AJ13" s="1"/>
    </row>
    <row r="14" spans="1:36" x14ac:dyDescent="0.2">
      <c r="A14" s="2">
        <v>44696.512674456018</v>
      </c>
      <c r="B14" s="3" t="s">
        <v>88</v>
      </c>
      <c r="C14" s="3">
        <v>3016234523</v>
      </c>
      <c r="D14" s="3" t="s">
        <v>30</v>
      </c>
      <c r="E14" s="3" t="s">
        <v>31</v>
      </c>
      <c r="F14" s="3" t="s">
        <v>97</v>
      </c>
      <c r="G14" s="3" t="s">
        <v>119</v>
      </c>
      <c r="H14" s="3"/>
      <c r="I14" s="3">
        <v>3003972304</v>
      </c>
      <c r="J14" s="3" t="s">
        <v>120</v>
      </c>
      <c r="K14" s="3">
        <v>3126087749</v>
      </c>
      <c r="L14" s="3">
        <v>25</v>
      </c>
      <c r="M14" s="3">
        <v>1</v>
      </c>
      <c r="N14" s="3" t="s">
        <v>35</v>
      </c>
      <c r="O14" s="3"/>
      <c r="P14" s="3">
        <v>1</v>
      </c>
      <c r="Q14" s="3">
        <v>31</v>
      </c>
      <c r="R14" s="3" t="s">
        <v>121</v>
      </c>
      <c r="S14" s="3" t="s">
        <v>110</v>
      </c>
      <c r="T14" s="3" t="s">
        <v>122</v>
      </c>
      <c r="U14" s="3"/>
      <c r="V14" s="3"/>
      <c r="W14" s="3"/>
      <c r="X14" s="3"/>
      <c r="Y14" s="3"/>
      <c r="Z14" s="3"/>
      <c r="AA14" s="3"/>
      <c r="AB14" s="3"/>
      <c r="AC14" s="3" t="s">
        <v>123</v>
      </c>
      <c r="AD14" s="3"/>
      <c r="AE14" s="3">
        <v>25</v>
      </c>
      <c r="AF14" s="1"/>
      <c r="AG14" s="1"/>
      <c r="AH14" s="1"/>
      <c r="AI14" s="1"/>
      <c r="AJ14" s="1"/>
    </row>
    <row r="15" spans="1:36" x14ac:dyDescent="0.2">
      <c r="A15" s="2">
        <v>44696.562141527778</v>
      </c>
      <c r="B15" s="3" t="s">
        <v>78</v>
      </c>
      <c r="C15" s="3">
        <v>3128250842</v>
      </c>
      <c r="D15" s="3" t="s">
        <v>30</v>
      </c>
      <c r="E15" s="3" t="s">
        <v>31</v>
      </c>
      <c r="F15" s="3">
        <v>3</v>
      </c>
      <c r="G15" s="3" t="s">
        <v>124</v>
      </c>
      <c r="H15" s="3"/>
      <c r="I15" s="3">
        <v>3015140662</v>
      </c>
      <c r="J15" s="3" t="s">
        <v>125</v>
      </c>
      <c r="K15" s="3">
        <v>3017483051</v>
      </c>
      <c r="L15" s="3">
        <v>30</v>
      </c>
      <c r="M15" s="3">
        <v>30</v>
      </c>
      <c r="N15" s="3" t="s">
        <v>35</v>
      </c>
      <c r="O15" s="3"/>
      <c r="P15" s="3">
        <v>1</v>
      </c>
      <c r="Q15" s="3">
        <v>72</v>
      </c>
      <c r="R15" s="3" t="s">
        <v>62</v>
      </c>
      <c r="S15" s="3" t="s">
        <v>38</v>
      </c>
      <c r="T15" s="3" t="s">
        <v>126</v>
      </c>
      <c r="U15" s="3"/>
      <c r="V15" s="3"/>
      <c r="W15" s="3"/>
      <c r="X15" s="3"/>
      <c r="Y15" s="3"/>
      <c r="Z15" s="3"/>
      <c r="AA15" s="3"/>
      <c r="AB15" s="3"/>
      <c r="AC15" s="3" t="s">
        <v>127</v>
      </c>
      <c r="AD15" s="3"/>
      <c r="AE15" s="3">
        <v>30</v>
      </c>
      <c r="AF15" s="1"/>
      <c r="AG15" s="1"/>
      <c r="AH15" s="1"/>
      <c r="AI15" s="1"/>
      <c r="AJ15" s="1"/>
    </row>
    <row r="16" spans="1:36" x14ac:dyDescent="0.2">
      <c r="A16" s="2">
        <v>44696.567421770829</v>
      </c>
      <c r="B16" s="3" t="s">
        <v>128</v>
      </c>
      <c r="C16" s="3">
        <v>3175749041</v>
      </c>
      <c r="D16" s="3" t="s">
        <v>30</v>
      </c>
      <c r="E16" s="3" t="s">
        <v>31</v>
      </c>
      <c r="F16" s="3" t="s">
        <v>56</v>
      </c>
      <c r="G16" s="3" t="s">
        <v>129</v>
      </c>
      <c r="H16" s="3"/>
      <c r="I16" s="3">
        <v>3117412645</v>
      </c>
      <c r="J16" s="3" t="s">
        <v>130</v>
      </c>
      <c r="K16" s="3">
        <v>3024163430</v>
      </c>
      <c r="L16" s="3">
        <v>20</v>
      </c>
      <c r="M16" s="3">
        <v>19</v>
      </c>
      <c r="N16" s="3" t="s">
        <v>35</v>
      </c>
      <c r="O16" s="3"/>
      <c r="P16" s="3">
        <v>1</v>
      </c>
      <c r="Q16" s="3">
        <v>52</v>
      </c>
      <c r="R16" s="3" t="s">
        <v>131</v>
      </c>
      <c r="S16" s="3" t="s">
        <v>38</v>
      </c>
      <c r="T16" s="3" t="s">
        <v>132</v>
      </c>
      <c r="U16" s="3"/>
      <c r="V16" s="3"/>
      <c r="W16" s="3"/>
      <c r="X16" s="3"/>
      <c r="Y16" s="3"/>
      <c r="Z16" s="3"/>
      <c r="AA16" s="3"/>
      <c r="AB16" s="3"/>
      <c r="AC16" s="3" t="s">
        <v>133</v>
      </c>
      <c r="AD16" s="3"/>
      <c r="AE16" s="3">
        <v>20</v>
      </c>
      <c r="AF16" s="1"/>
      <c r="AG16" s="1"/>
      <c r="AH16" s="1"/>
      <c r="AI16" s="1"/>
      <c r="AJ16" s="1"/>
    </row>
    <row r="17" spans="1:36" x14ac:dyDescent="0.2">
      <c r="A17" s="2">
        <v>44696.572684467596</v>
      </c>
      <c r="B17" s="3" t="s">
        <v>88</v>
      </c>
      <c r="C17" s="3">
        <v>3016234523</v>
      </c>
      <c r="D17" s="3" t="s">
        <v>30</v>
      </c>
      <c r="E17" s="3" t="s">
        <v>31</v>
      </c>
      <c r="F17" s="3" t="s">
        <v>134</v>
      </c>
      <c r="G17" s="3" t="s">
        <v>135</v>
      </c>
      <c r="H17" s="3"/>
      <c r="I17" s="3">
        <v>3116815932</v>
      </c>
      <c r="J17" s="3" t="s">
        <v>136</v>
      </c>
      <c r="K17" s="3">
        <v>3115188437</v>
      </c>
      <c r="L17" s="3">
        <v>6</v>
      </c>
      <c r="M17" s="3">
        <v>6</v>
      </c>
      <c r="N17" s="3" t="s">
        <v>35</v>
      </c>
      <c r="O17" s="3"/>
      <c r="P17" s="3">
        <v>2</v>
      </c>
      <c r="Q17" s="3" t="s">
        <v>137</v>
      </c>
      <c r="R17" s="3" t="s">
        <v>138</v>
      </c>
      <c r="S17" s="3" t="s">
        <v>38</v>
      </c>
      <c r="T17" s="3" t="s">
        <v>139</v>
      </c>
      <c r="U17" s="3"/>
      <c r="V17" s="3"/>
      <c r="W17" s="3"/>
      <c r="X17" s="3"/>
      <c r="Y17" s="3"/>
      <c r="Z17" s="3"/>
      <c r="AA17" s="3"/>
      <c r="AB17" s="3"/>
      <c r="AC17" s="3" t="s">
        <v>140</v>
      </c>
      <c r="AD17" s="3"/>
      <c r="AE17" s="3">
        <v>6</v>
      </c>
      <c r="AF17" s="1"/>
      <c r="AG17" s="1"/>
      <c r="AH17" s="1"/>
      <c r="AI17" s="1"/>
      <c r="AJ17" s="1"/>
    </row>
    <row r="18" spans="1:36" x14ac:dyDescent="0.2">
      <c r="A18" s="2">
        <v>44696.57330527778</v>
      </c>
      <c r="B18" s="4" t="s">
        <v>4475</v>
      </c>
      <c r="C18" s="3">
        <v>3213856495</v>
      </c>
      <c r="D18" s="3" t="s">
        <v>30</v>
      </c>
      <c r="E18" s="3" t="s">
        <v>31</v>
      </c>
      <c r="F18" s="3">
        <v>3</v>
      </c>
      <c r="G18" s="3" t="s">
        <v>141</v>
      </c>
      <c r="H18" s="3"/>
      <c r="I18" s="3">
        <v>3017483051</v>
      </c>
      <c r="J18" s="3"/>
      <c r="K18" s="3"/>
      <c r="L18" s="3">
        <v>30</v>
      </c>
      <c r="M18" s="3">
        <v>4</v>
      </c>
      <c r="N18" s="3" t="s">
        <v>35</v>
      </c>
      <c r="O18" s="3"/>
      <c r="P18" s="3">
        <v>5</v>
      </c>
      <c r="Q18" s="3" t="s">
        <v>142</v>
      </c>
      <c r="R18" s="3" t="s">
        <v>62</v>
      </c>
      <c r="S18" s="3" t="s">
        <v>38</v>
      </c>
      <c r="T18" s="3" t="s">
        <v>143</v>
      </c>
      <c r="U18" s="3"/>
      <c r="V18" s="3"/>
      <c r="W18" s="3"/>
      <c r="X18" s="3"/>
      <c r="Y18" s="3"/>
      <c r="Z18" s="3"/>
      <c r="AA18" s="3"/>
      <c r="AB18" s="3"/>
      <c r="AC18" s="3" t="s">
        <v>144</v>
      </c>
      <c r="AD18" s="3"/>
      <c r="AE18" s="3">
        <v>30</v>
      </c>
      <c r="AF18" s="1"/>
      <c r="AG18" s="1"/>
      <c r="AH18" s="1"/>
      <c r="AI18" s="1"/>
      <c r="AJ18" s="1"/>
    </row>
    <row r="19" spans="1:36" x14ac:dyDescent="0.2">
      <c r="A19" s="2">
        <v>44696.587625162036</v>
      </c>
      <c r="B19" s="3" t="s">
        <v>88</v>
      </c>
      <c r="C19" s="3">
        <v>3016234523</v>
      </c>
      <c r="D19" s="3" t="s">
        <v>30</v>
      </c>
      <c r="E19" s="3" t="s">
        <v>31</v>
      </c>
      <c r="F19" s="3" t="s">
        <v>89</v>
      </c>
      <c r="G19" s="3" t="s">
        <v>145</v>
      </c>
      <c r="H19" s="3"/>
      <c r="I19" s="3">
        <v>3234188576</v>
      </c>
      <c r="J19" s="3" t="s">
        <v>146</v>
      </c>
      <c r="K19" s="3">
        <v>3207196716</v>
      </c>
      <c r="L19" s="3">
        <v>3</v>
      </c>
      <c r="M19" s="3">
        <v>2</v>
      </c>
      <c r="N19" s="3" t="s">
        <v>35</v>
      </c>
      <c r="O19" s="3"/>
      <c r="P19" s="3">
        <v>4</v>
      </c>
      <c r="Q19" s="3" t="s">
        <v>147</v>
      </c>
      <c r="R19" s="3" t="s">
        <v>148</v>
      </c>
      <c r="S19" s="3" t="s">
        <v>38</v>
      </c>
      <c r="T19" s="3" t="s">
        <v>103</v>
      </c>
      <c r="U19" s="3"/>
      <c r="V19" s="3"/>
      <c r="W19" s="3"/>
      <c r="X19" s="3"/>
      <c r="Y19" s="3"/>
      <c r="Z19" s="3"/>
      <c r="AA19" s="3"/>
      <c r="AB19" s="3"/>
      <c r="AC19" s="3" t="s">
        <v>149</v>
      </c>
      <c r="AD19" s="3"/>
      <c r="AE19" s="3">
        <v>3</v>
      </c>
      <c r="AF19" s="1"/>
      <c r="AG19" s="1"/>
      <c r="AH19" s="1"/>
      <c r="AI19" s="1"/>
      <c r="AJ19" s="1"/>
    </row>
    <row r="20" spans="1:36" x14ac:dyDescent="0.2">
      <c r="A20" s="2">
        <v>44696.589374502313</v>
      </c>
      <c r="B20" s="3" t="s">
        <v>29</v>
      </c>
      <c r="C20" s="3">
        <v>3213856495</v>
      </c>
      <c r="D20" s="3" t="s">
        <v>30</v>
      </c>
      <c r="E20" s="3" t="s">
        <v>31</v>
      </c>
      <c r="F20" s="3">
        <v>2</v>
      </c>
      <c r="G20" s="3" t="s">
        <v>150</v>
      </c>
      <c r="H20" s="3"/>
      <c r="I20" s="3">
        <v>3242951071</v>
      </c>
      <c r="J20" s="3" t="s">
        <v>151</v>
      </c>
      <c r="K20" s="3">
        <v>3015765105</v>
      </c>
      <c r="L20" s="3">
        <v>10</v>
      </c>
      <c r="M20" s="3">
        <v>2</v>
      </c>
      <c r="N20" s="3" t="s">
        <v>35</v>
      </c>
      <c r="O20" s="3"/>
      <c r="P20" s="3">
        <v>6</v>
      </c>
      <c r="Q20" s="3" t="s">
        <v>152</v>
      </c>
      <c r="R20" s="3" t="s">
        <v>62</v>
      </c>
      <c r="S20" s="3" t="s">
        <v>38</v>
      </c>
      <c r="T20" s="3" t="s">
        <v>153</v>
      </c>
      <c r="U20" s="3"/>
      <c r="V20" s="3"/>
      <c r="W20" s="3"/>
      <c r="X20" s="3"/>
      <c r="Y20" s="3"/>
      <c r="Z20" s="3"/>
      <c r="AA20" s="3"/>
      <c r="AB20" s="3"/>
      <c r="AC20" s="3" t="s">
        <v>154</v>
      </c>
      <c r="AD20" s="3"/>
      <c r="AE20" s="3">
        <v>10</v>
      </c>
      <c r="AF20" s="1"/>
      <c r="AG20" s="1"/>
      <c r="AH20" s="1"/>
      <c r="AI20" s="1"/>
      <c r="AJ20" s="1"/>
    </row>
    <row r="21" spans="1:36" x14ac:dyDescent="0.2">
      <c r="A21" s="2">
        <v>44696.590188240742</v>
      </c>
      <c r="B21" s="3" t="s">
        <v>155</v>
      </c>
      <c r="C21" s="3">
        <v>3503054621</v>
      </c>
      <c r="D21" s="3" t="s">
        <v>30</v>
      </c>
      <c r="E21" s="3" t="s">
        <v>31</v>
      </c>
      <c r="F21" s="3" t="s">
        <v>56</v>
      </c>
      <c r="G21" s="3" t="s">
        <v>156</v>
      </c>
      <c r="H21" s="3"/>
      <c r="I21" s="3">
        <v>3016438125</v>
      </c>
      <c r="J21" s="3" t="s">
        <v>157</v>
      </c>
      <c r="K21" s="3">
        <v>3193833322</v>
      </c>
      <c r="L21" s="3" t="s">
        <v>158</v>
      </c>
      <c r="M21" s="3" t="s">
        <v>159</v>
      </c>
      <c r="N21" s="3" t="s">
        <v>35</v>
      </c>
      <c r="O21" s="3"/>
      <c r="P21" s="3">
        <v>2</v>
      </c>
      <c r="Q21" s="3" t="s">
        <v>160</v>
      </c>
      <c r="R21" s="3" t="s">
        <v>161</v>
      </c>
      <c r="S21" s="3" t="s">
        <v>110</v>
      </c>
      <c r="T21" s="3" t="s">
        <v>162</v>
      </c>
      <c r="U21" s="3"/>
      <c r="V21" s="3"/>
      <c r="W21" s="3"/>
      <c r="X21" s="3"/>
      <c r="Y21" s="3"/>
      <c r="Z21" s="3"/>
      <c r="AA21" s="3"/>
      <c r="AB21" s="3"/>
      <c r="AC21" s="3" t="s">
        <v>163</v>
      </c>
      <c r="AD21" s="3"/>
      <c r="AE21" s="3" t="s">
        <v>158</v>
      </c>
      <c r="AF21" s="1"/>
      <c r="AG21" s="1"/>
      <c r="AH21" s="1"/>
      <c r="AI21" s="1"/>
      <c r="AJ21" s="1"/>
    </row>
    <row r="22" spans="1:36" x14ac:dyDescent="0.2">
      <c r="A22" s="2">
        <v>44696.599446747685</v>
      </c>
      <c r="B22" s="3" t="s">
        <v>155</v>
      </c>
      <c r="C22" s="3">
        <v>3503054621</v>
      </c>
      <c r="D22" s="3" t="s">
        <v>30</v>
      </c>
      <c r="E22" s="3" t="s">
        <v>31</v>
      </c>
      <c r="F22" s="3" t="s">
        <v>164</v>
      </c>
      <c r="G22" s="3" t="s">
        <v>165</v>
      </c>
      <c r="H22" s="3"/>
      <c r="I22" s="3">
        <v>3125473192</v>
      </c>
      <c r="J22" s="3" t="s">
        <v>166</v>
      </c>
      <c r="K22" s="3">
        <v>3193833322</v>
      </c>
      <c r="L22" s="3" t="s">
        <v>167</v>
      </c>
      <c r="M22" s="3">
        <v>15</v>
      </c>
      <c r="N22" s="3" t="s">
        <v>35</v>
      </c>
      <c r="O22" s="3"/>
      <c r="P22" s="3">
        <v>3</v>
      </c>
      <c r="Q22" s="3" t="s">
        <v>168</v>
      </c>
      <c r="R22" s="3" t="s">
        <v>169</v>
      </c>
      <c r="S22" s="3" t="s">
        <v>38</v>
      </c>
      <c r="T22" s="3" t="s">
        <v>170</v>
      </c>
      <c r="U22" s="3"/>
      <c r="V22" s="3"/>
      <c r="W22" s="3"/>
      <c r="X22" s="3"/>
      <c r="Y22" s="3"/>
      <c r="Z22" s="3"/>
      <c r="AA22" s="3"/>
      <c r="AB22" s="3"/>
      <c r="AC22" s="3" t="s">
        <v>171</v>
      </c>
      <c r="AD22" s="3"/>
      <c r="AE22" s="3" t="s">
        <v>167</v>
      </c>
      <c r="AF22" s="1"/>
      <c r="AG22" s="1"/>
      <c r="AH22" s="1"/>
      <c r="AI22" s="1"/>
      <c r="AJ22" s="1"/>
    </row>
    <row r="23" spans="1:36" x14ac:dyDescent="0.2">
      <c r="A23" s="2">
        <v>44696.59999106481</v>
      </c>
      <c r="B23" s="3" t="s">
        <v>128</v>
      </c>
      <c r="C23" s="3">
        <v>3175749041</v>
      </c>
      <c r="D23" s="3" t="s">
        <v>30</v>
      </c>
      <c r="E23" s="3" t="s">
        <v>31</v>
      </c>
      <c r="F23" s="3">
        <v>3</v>
      </c>
      <c r="G23" s="3" t="s">
        <v>172</v>
      </c>
      <c r="H23" s="3"/>
      <c r="I23" s="3">
        <v>3235352308</v>
      </c>
      <c r="J23" s="3" t="s">
        <v>173</v>
      </c>
      <c r="K23" s="3">
        <v>3242045294</v>
      </c>
      <c r="L23" s="3">
        <v>7</v>
      </c>
      <c r="M23" s="3">
        <v>7</v>
      </c>
      <c r="N23" s="3" t="s">
        <v>35</v>
      </c>
      <c r="O23" s="3"/>
      <c r="P23" s="3">
        <v>2</v>
      </c>
      <c r="Q23" s="3">
        <v>33.26</v>
      </c>
      <c r="R23" s="3" t="s">
        <v>174</v>
      </c>
      <c r="S23" s="3" t="s">
        <v>38</v>
      </c>
      <c r="T23" s="3" t="s">
        <v>175</v>
      </c>
      <c r="U23" s="3"/>
      <c r="V23" s="3"/>
      <c r="W23" s="3"/>
      <c r="X23" s="3"/>
      <c r="Y23" s="3"/>
      <c r="Z23" s="3"/>
      <c r="AA23" s="3"/>
      <c r="AB23" s="3"/>
      <c r="AC23" s="3" t="s">
        <v>176</v>
      </c>
      <c r="AD23" s="3"/>
      <c r="AE23" s="3">
        <v>7</v>
      </c>
      <c r="AF23" s="1"/>
      <c r="AG23" s="1"/>
      <c r="AH23" s="1"/>
      <c r="AI23" s="1"/>
      <c r="AJ23" s="1"/>
    </row>
    <row r="24" spans="1:36" x14ac:dyDescent="0.2">
      <c r="A24" s="2">
        <v>44696.603267534723</v>
      </c>
      <c r="B24" s="3" t="s">
        <v>155</v>
      </c>
      <c r="C24" s="3">
        <v>3503054621</v>
      </c>
      <c r="D24" s="3" t="s">
        <v>30</v>
      </c>
      <c r="E24" s="3" t="s">
        <v>31</v>
      </c>
      <c r="F24" s="3" t="s">
        <v>177</v>
      </c>
      <c r="G24" s="3" t="s">
        <v>178</v>
      </c>
      <c r="H24" s="3"/>
      <c r="I24" s="3">
        <v>3242045294</v>
      </c>
      <c r="J24" s="3" t="s">
        <v>179</v>
      </c>
      <c r="K24" s="3">
        <v>3046625508</v>
      </c>
      <c r="L24" s="3" t="s">
        <v>180</v>
      </c>
      <c r="M24" s="3" t="s">
        <v>181</v>
      </c>
      <c r="N24" s="3" t="s">
        <v>35</v>
      </c>
      <c r="O24" s="3"/>
      <c r="P24" s="3">
        <v>4</v>
      </c>
      <c r="Q24" s="3" t="s">
        <v>182</v>
      </c>
      <c r="R24" s="3" t="s">
        <v>183</v>
      </c>
      <c r="S24" s="3" t="s">
        <v>38</v>
      </c>
      <c r="T24" s="3" t="s">
        <v>170</v>
      </c>
      <c r="U24" s="3"/>
      <c r="V24" s="3"/>
      <c r="W24" s="3"/>
      <c r="X24" s="3"/>
      <c r="Y24" s="3"/>
      <c r="Z24" s="3"/>
      <c r="AA24" s="3"/>
      <c r="AB24" s="3"/>
      <c r="AC24" s="3" t="s">
        <v>184</v>
      </c>
      <c r="AD24" s="3"/>
      <c r="AE24" s="3" t="s">
        <v>180</v>
      </c>
      <c r="AF24" s="1"/>
      <c r="AG24" s="1"/>
      <c r="AH24" s="1"/>
      <c r="AI24" s="1"/>
      <c r="AJ24" s="1"/>
    </row>
    <row r="25" spans="1:36" x14ac:dyDescent="0.2">
      <c r="A25" s="2">
        <v>44696.603940439818</v>
      </c>
      <c r="B25" s="3" t="s">
        <v>128</v>
      </c>
      <c r="C25" s="3">
        <v>3175749041</v>
      </c>
      <c r="D25" s="3" t="s">
        <v>30</v>
      </c>
      <c r="E25" s="3" t="s">
        <v>31</v>
      </c>
      <c r="F25" s="3">
        <v>3</v>
      </c>
      <c r="G25" s="3" t="s">
        <v>185</v>
      </c>
      <c r="H25" s="3"/>
      <c r="I25" s="3">
        <v>3022386120</v>
      </c>
      <c r="J25" s="3" t="s">
        <v>186</v>
      </c>
      <c r="K25" s="3">
        <v>3242045294</v>
      </c>
      <c r="L25" s="3">
        <v>7</v>
      </c>
      <c r="M25" s="3">
        <v>7</v>
      </c>
      <c r="N25" s="3" t="s">
        <v>35</v>
      </c>
      <c r="O25" s="3"/>
      <c r="P25" s="3">
        <v>2</v>
      </c>
      <c r="Q25" s="3">
        <v>38.39</v>
      </c>
      <c r="R25" s="3" t="s">
        <v>187</v>
      </c>
      <c r="S25" s="3" t="s">
        <v>38</v>
      </c>
      <c r="T25" s="3" t="s">
        <v>188</v>
      </c>
      <c r="U25" s="3"/>
      <c r="V25" s="3"/>
      <c r="W25" s="3"/>
      <c r="X25" s="3"/>
      <c r="Y25" s="3"/>
      <c r="Z25" s="3"/>
      <c r="AA25" s="3"/>
      <c r="AB25" s="3"/>
      <c r="AC25" s="3"/>
      <c r="AD25" s="3"/>
      <c r="AE25" s="3">
        <v>7</v>
      </c>
      <c r="AF25" s="1"/>
      <c r="AG25" s="1"/>
      <c r="AH25" s="1"/>
      <c r="AI25" s="1"/>
      <c r="AJ25" s="1"/>
    </row>
    <row r="26" spans="1:36" x14ac:dyDescent="0.2">
      <c r="A26" s="5">
        <v>44703.385684733796</v>
      </c>
      <c r="B26" s="1" t="s">
        <v>189</v>
      </c>
      <c r="C26" s="1">
        <v>3013896818</v>
      </c>
      <c r="D26" s="1" t="s">
        <v>79</v>
      </c>
      <c r="E26" s="1" t="s">
        <v>190</v>
      </c>
      <c r="F26" s="1" t="s">
        <v>191</v>
      </c>
      <c r="G26" s="1" t="s">
        <v>192</v>
      </c>
      <c r="H26" s="1"/>
      <c r="I26" s="1">
        <v>3116018971</v>
      </c>
      <c r="J26" s="1" t="s">
        <v>193</v>
      </c>
      <c r="K26" s="1">
        <v>3145359472</v>
      </c>
      <c r="L26" s="1" t="s">
        <v>194</v>
      </c>
      <c r="M26" s="1" t="s">
        <v>194</v>
      </c>
      <c r="N26" s="1" t="s">
        <v>35</v>
      </c>
      <c r="O26" s="1"/>
      <c r="P26" s="1">
        <v>3</v>
      </c>
      <c r="Q26" s="1" t="s">
        <v>195</v>
      </c>
      <c r="R26" s="1" t="s">
        <v>196</v>
      </c>
      <c r="S26" s="1" t="s">
        <v>38</v>
      </c>
      <c r="T26" s="1" t="s">
        <v>197</v>
      </c>
      <c r="U26" s="1"/>
      <c r="V26" s="1"/>
      <c r="W26" s="1"/>
      <c r="X26" s="1"/>
      <c r="Y26" s="1"/>
      <c r="Z26" s="1"/>
      <c r="AA26" s="1"/>
      <c r="AB26" s="1"/>
      <c r="AC26" s="1"/>
      <c r="AD26" s="1"/>
      <c r="AE26" s="1" t="s">
        <v>194</v>
      </c>
      <c r="AF26" s="1"/>
      <c r="AG26" s="1"/>
      <c r="AH26" s="1"/>
      <c r="AI26" s="1"/>
      <c r="AJ26" s="1"/>
    </row>
    <row r="27" spans="1:36" x14ac:dyDescent="0.2">
      <c r="A27" s="5">
        <v>44703.40193699074</v>
      </c>
      <c r="B27" s="1" t="s">
        <v>198</v>
      </c>
      <c r="C27" s="1">
        <v>3017674995</v>
      </c>
      <c r="D27" s="1" t="s">
        <v>79</v>
      </c>
      <c r="E27" s="1" t="s">
        <v>190</v>
      </c>
      <c r="F27" s="1" t="s">
        <v>199</v>
      </c>
      <c r="G27" s="1" t="s">
        <v>200</v>
      </c>
      <c r="H27" s="1"/>
      <c r="I27" s="1">
        <v>3126254104</v>
      </c>
      <c r="J27" s="1"/>
      <c r="K27" s="1"/>
      <c r="L27" s="1">
        <v>5</v>
      </c>
      <c r="M27" s="1">
        <v>5</v>
      </c>
      <c r="N27" s="1" t="s">
        <v>35</v>
      </c>
      <c r="O27" s="1"/>
      <c r="P27" s="1">
        <v>5</v>
      </c>
      <c r="Q27" s="1" t="s">
        <v>201</v>
      </c>
      <c r="R27" s="1" t="s">
        <v>202</v>
      </c>
      <c r="S27" s="1" t="s">
        <v>110</v>
      </c>
      <c r="T27" s="1" t="s">
        <v>203</v>
      </c>
      <c r="U27" s="1"/>
      <c r="V27" s="1"/>
      <c r="W27" s="1"/>
      <c r="X27" s="1"/>
      <c r="Y27" s="1"/>
      <c r="Z27" s="1"/>
      <c r="AA27" s="1"/>
      <c r="AB27" s="1"/>
      <c r="AC27" s="1" t="s">
        <v>204</v>
      </c>
      <c r="AD27" s="1"/>
      <c r="AE27" s="1">
        <v>5</v>
      </c>
      <c r="AF27" s="1"/>
      <c r="AG27" s="1"/>
      <c r="AH27" s="1"/>
      <c r="AI27" s="1"/>
      <c r="AJ27" s="1"/>
    </row>
    <row r="28" spans="1:36" x14ac:dyDescent="0.2">
      <c r="A28" s="2">
        <v>44703.465938090274</v>
      </c>
      <c r="B28" s="3" t="s">
        <v>88</v>
      </c>
      <c r="C28" s="3">
        <v>3016234523</v>
      </c>
      <c r="D28" s="3" t="s">
        <v>30</v>
      </c>
      <c r="E28" s="3" t="s">
        <v>31</v>
      </c>
      <c r="F28" s="3" t="s">
        <v>89</v>
      </c>
      <c r="G28" s="3" t="s">
        <v>205</v>
      </c>
      <c r="H28" s="3"/>
      <c r="I28" s="3">
        <v>3103777629</v>
      </c>
      <c r="J28" s="3"/>
      <c r="K28" s="3"/>
      <c r="L28" s="3" t="s">
        <v>206</v>
      </c>
      <c r="M28" s="3" t="s">
        <v>206</v>
      </c>
      <c r="N28" s="3" t="s">
        <v>35</v>
      </c>
      <c r="O28" s="3"/>
      <c r="P28" s="3">
        <v>2</v>
      </c>
      <c r="Q28" s="3" t="s">
        <v>207</v>
      </c>
      <c r="R28" s="3" t="s">
        <v>208</v>
      </c>
      <c r="S28" s="3" t="s">
        <v>110</v>
      </c>
      <c r="T28" s="3">
        <v>960</v>
      </c>
      <c r="U28" s="3"/>
      <c r="V28" s="3"/>
      <c r="W28" s="3"/>
      <c r="X28" s="3"/>
      <c r="Y28" s="3"/>
      <c r="Z28" s="3"/>
      <c r="AA28" s="3"/>
      <c r="AB28" s="3"/>
      <c r="AC28" s="3"/>
      <c r="AD28" s="3"/>
      <c r="AE28" s="3" t="s">
        <v>206</v>
      </c>
      <c r="AF28" s="1"/>
      <c r="AG28" s="1"/>
      <c r="AH28" s="1"/>
      <c r="AI28" s="1"/>
      <c r="AJ28" s="1"/>
    </row>
    <row r="29" spans="1:36" x14ac:dyDescent="0.2">
      <c r="A29" s="6" t="s">
        <v>4475</v>
      </c>
      <c r="B29" s="1" t="s">
        <v>209</v>
      </c>
      <c r="C29" s="1">
        <v>3165428133</v>
      </c>
      <c r="D29" s="1" t="s">
        <v>79</v>
      </c>
      <c r="E29" s="1" t="s">
        <v>190</v>
      </c>
      <c r="F29" s="1" t="s">
        <v>210</v>
      </c>
      <c r="G29" s="1" t="s">
        <v>211</v>
      </c>
      <c r="H29" s="1"/>
      <c r="I29" s="1">
        <v>3006890125</v>
      </c>
      <c r="J29" s="1" t="s">
        <v>212</v>
      </c>
      <c r="K29" s="1">
        <v>3022843271</v>
      </c>
      <c r="L29" s="1" t="s">
        <v>213</v>
      </c>
      <c r="M29" s="1" t="s">
        <v>214</v>
      </c>
      <c r="N29" s="1" t="s">
        <v>35</v>
      </c>
      <c r="O29" s="1"/>
      <c r="P29" s="1">
        <v>4</v>
      </c>
      <c r="Q29" s="1" t="s">
        <v>215</v>
      </c>
      <c r="R29" s="1" t="s">
        <v>216</v>
      </c>
      <c r="S29" s="1" t="s">
        <v>38</v>
      </c>
      <c r="T29" s="1" t="s">
        <v>132</v>
      </c>
      <c r="U29" s="1"/>
      <c r="V29" s="1"/>
      <c r="W29" s="1"/>
      <c r="X29" s="1"/>
      <c r="Y29" s="1"/>
      <c r="Z29" s="1"/>
      <c r="AA29" s="1"/>
      <c r="AB29" s="1"/>
      <c r="AC29" s="1" t="s">
        <v>217</v>
      </c>
      <c r="AD29" s="1"/>
      <c r="AE29" s="1" t="s">
        <v>213</v>
      </c>
      <c r="AF29" s="1"/>
      <c r="AG29" s="1"/>
      <c r="AH29" s="1"/>
      <c r="AI29" s="1"/>
      <c r="AJ29" s="1"/>
    </row>
    <row r="30" spans="1:36" x14ac:dyDescent="0.2">
      <c r="A30" s="5">
        <v>44703.471091863423</v>
      </c>
      <c r="B30" s="7" t="s">
        <v>218</v>
      </c>
      <c r="C30" s="1">
        <v>3165428133</v>
      </c>
      <c r="D30" s="1" t="s">
        <v>79</v>
      </c>
      <c r="E30" s="1" t="s">
        <v>190</v>
      </c>
      <c r="F30" s="1" t="s">
        <v>219</v>
      </c>
      <c r="G30" s="1" t="s">
        <v>220</v>
      </c>
      <c r="H30" s="1"/>
      <c r="I30" s="1">
        <v>3108342891</v>
      </c>
      <c r="J30" s="1" t="s">
        <v>221</v>
      </c>
      <c r="K30" s="1">
        <v>3006890125</v>
      </c>
      <c r="L30" s="1" t="s">
        <v>214</v>
      </c>
      <c r="M30" s="1" t="s">
        <v>214</v>
      </c>
      <c r="N30" s="1" t="s">
        <v>35</v>
      </c>
      <c r="O30" s="1"/>
      <c r="P30" s="1">
        <v>4</v>
      </c>
      <c r="Q30" s="1" t="s">
        <v>222</v>
      </c>
      <c r="R30" s="1" t="s">
        <v>223</v>
      </c>
      <c r="S30" s="1" t="s">
        <v>38</v>
      </c>
      <c r="T30" s="1" t="s">
        <v>224</v>
      </c>
      <c r="U30" s="1"/>
      <c r="V30" s="1"/>
      <c r="W30" s="1"/>
      <c r="X30" s="1"/>
      <c r="Y30" s="1"/>
      <c r="Z30" s="1"/>
      <c r="AA30" s="1"/>
      <c r="AB30" s="1"/>
      <c r="AC30" s="1" t="s">
        <v>225</v>
      </c>
      <c r="AD30" s="1"/>
      <c r="AE30" s="1" t="s">
        <v>214</v>
      </c>
      <c r="AF30" s="1"/>
      <c r="AG30" s="1"/>
      <c r="AH30" s="1"/>
      <c r="AI30" s="1"/>
      <c r="AJ30" s="1"/>
    </row>
    <row r="31" spans="1:36" x14ac:dyDescent="0.2">
      <c r="A31" s="5">
        <v>44703.479701956021</v>
      </c>
      <c r="B31" s="1" t="s">
        <v>226</v>
      </c>
      <c r="C31" s="1">
        <v>3165428133</v>
      </c>
      <c r="D31" s="1" t="s">
        <v>79</v>
      </c>
      <c r="E31" s="1" t="s">
        <v>190</v>
      </c>
      <c r="F31" s="1" t="s">
        <v>227</v>
      </c>
      <c r="G31" s="1" t="s">
        <v>228</v>
      </c>
      <c r="H31" s="1"/>
      <c r="I31" s="1">
        <v>3206086016</v>
      </c>
      <c r="J31" s="1" t="s">
        <v>229</v>
      </c>
      <c r="K31" s="1">
        <v>3146689409</v>
      </c>
      <c r="L31" s="1" t="s">
        <v>44</v>
      </c>
      <c r="M31" s="1" t="s">
        <v>158</v>
      </c>
      <c r="N31" s="1" t="s">
        <v>35</v>
      </c>
      <c r="O31" s="1"/>
      <c r="P31" s="1">
        <v>5</v>
      </c>
      <c r="Q31" s="1" t="s">
        <v>230</v>
      </c>
      <c r="R31" s="1" t="s">
        <v>231</v>
      </c>
      <c r="S31" s="1" t="s">
        <v>38</v>
      </c>
      <c r="T31" s="8">
        <v>700000</v>
      </c>
      <c r="U31" s="1"/>
      <c r="V31" s="1"/>
      <c r="W31" s="1"/>
      <c r="X31" s="1"/>
      <c r="Y31" s="1"/>
      <c r="Z31" s="1"/>
      <c r="AA31" s="1"/>
      <c r="AB31" s="1"/>
      <c r="AC31" s="1" t="s">
        <v>232</v>
      </c>
      <c r="AD31" s="1"/>
      <c r="AE31" s="1" t="s">
        <v>44</v>
      </c>
      <c r="AF31" s="1"/>
      <c r="AG31" s="1"/>
      <c r="AH31" s="1"/>
      <c r="AI31" s="1"/>
      <c r="AJ31" s="1"/>
    </row>
    <row r="32" spans="1:36" x14ac:dyDescent="0.2">
      <c r="A32" s="2">
        <v>44703.537535925927</v>
      </c>
      <c r="B32" s="3" t="s">
        <v>233</v>
      </c>
      <c r="C32" s="3">
        <v>3003606520</v>
      </c>
      <c r="D32" s="3" t="s">
        <v>30</v>
      </c>
      <c r="E32" s="3" t="s">
        <v>31</v>
      </c>
      <c r="F32" s="3">
        <v>3</v>
      </c>
      <c r="G32" s="3" t="s">
        <v>234</v>
      </c>
      <c r="H32" s="3"/>
      <c r="I32" s="3">
        <v>3146001223</v>
      </c>
      <c r="J32" s="3" t="s">
        <v>235</v>
      </c>
      <c r="K32" s="3">
        <v>3128189653</v>
      </c>
      <c r="L32" s="3" t="s">
        <v>236</v>
      </c>
      <c r="M32" s="3" t="s">
        <v>236</v>
      </c>
      <c r="N32" s="3" t="s">
        <v>35</v>
      </c>
      <c r="O32" s="3"/>
      <c r="P32" s="3">
        <v>3</v>
      </c>
      <c r="Q32" s="9" t="s">
        <v>237</v>
      </c>
      <c r="R32" s="3" t="s">
        <v>62</v>
      </c>
      <c r="S32" s="3" t="s">
        <v>38</v>
      </c>
      <c r="T32" s="3" t="s">
        <v>238</v>
      </c>
      <c r="U32" s="3"/>
      <c r="V32" s="3"/>
      <c r="W32" s="3"/>
      <c r="X32" s="3"/>
      <c r="Y32" s="3"/>
      <c r="Z32" s="3"/>
      <c r="AA32" s="3"/>
      <c r="AB32" s="3"/>
      <c r="AC32" s="3" t="s">
        <v>239</v>
      </c>
      <c r="AD32" s="3"/>
      <c r="AE32" s="3" t="s">
        <v>236</v>
      </c>
      <c r="AF32" s="1"/>
      <c r="AG32" s="1"/>
      <c r="AH32" s="1"/>
      <c r="AI32" s="1"/>
      <c r="AJ32" s="1"/>
    </row>
    <row r="33" spans="1:36" x14ac:dyDescent="0.2">
      <c r="A33" s="2">
        <v>44703.549535081023</v>
      </c>
      <c r="B33" s="3" t="s">
        <v>88</v>
      </c>
      <c r="C33" s="3">
        <v>3016234523</v>
      </c>
      <c r="D33" s="3" t="s">
        <v>30</v>
      </c>
      <c r="E33" s="3" t="s">
        <v>31</v>
      </c>
      <c r="F33" s="3" t="s">
        <v>240</v>
      </c>
      <c r="G33" s="3" t="s">
        <v>241</v>
      </c>
      <c r="H33" s="3"/>
      <c r="I33" s="3">
        <v>3016097234</v>
      </c>
      <c r="J33" s="3" t="s">
        <v>242</v>
      </c>
      <c r="K33" s="3">
        <v>3002007479</v>
      </c>
      <c r="L33" s="3">
        <v>14</v>
      </c>
      <c r="M33" s="3">
        <v>14</v>
      </c>
      <c r="N33" s="3" t="s">
        <v>35</v>
      </c>
      <c r="O33" s="3"/>
      <c r="P33" s="3">
        <v>7</v>
      </c>
      <c r="Q33" s="3" t="s">
        <v>243</v>
      </c>
      <c r="R33" s="3" t="s">
        <v>244</v>
      </c>
      <c r="S33" s="3" t="s">
        <v>38</v>
      </c>
      <c r="T33" s="3" t="s">
        <v>245</v>
      </c>
      <c r="U33" s="3"/>
      <c r="V33" s="3"/>
      <c r="W33" s="3"/>
      <c r="X33" s="3"/>
      <c r="Y33" s="3"/>
      <c r="Z33" s="3"/>
      <c r="AA33" s="3"/>
      <c r="AB33" s="3"/>
      <c r="AC33" s="3" t="s">
        <v>246</v>
      </c>
      <c r="AD33" s="3"/>
      <c r="AE33" s="3">
        <v>14</v>
      </c>
      <c r="AF33" s="1"/>
      <c r="AG33" s="1"/>
      <c r="AH33" s="1"/>
      <c r="AI33" s="1"/>
      <c r="AJ33" s="1"/>
    </row>
    <row r="34" spans="1:36" x14ac:dyDescent="0.2">
      <c r="A34" s="2">
        <v>44703.559176643517</v>
      </c>
      <c r="B34" s="3" t="s">
        <v>88</v>
      </c>
      <c r="C34" s="3">
        <v>3016234523</v>
      </c>
      <c r="D34" s="3" t="s">
        <v>30</v>
      </c>
      <c r="E34" s="3" t="s">
        <v>31</v>
      </c>
      <c r="F34" s="3" t="s">
        <v>164</v>
      </c>
      <c r="G34" s="3" t="s">
        <v>247</v>
      </c>
      <c r="H34" s="3"/>
      <c r="I34" s="3">
        <v>3015140662</v>
      </c>
      <c r="J34" s="3" t="s">
        <v>248</v>
      </c>
      <c r="K34" s="3"/>
      <c r="L34" s="3">
        <v>50</v>
      </c>
      <c r="M34" s="3">
        <v>50</v>
      </c>
      <c r="N34" s="3" t="s">
        <v>35</v>
      </c>
      <c r="O34" s="3"/>
      <c r="P34" s="3">
        <v>1</v>
      </c>
      <c r="Q34" s="3">
        <v>72</v>
      </c>
      <c r="R34" s="3" t="s">
        <v>249</v>
      </c>
      <c r="S34" s="3" t="s">
        <v>38</v>
      </c>
      <c r="T34" s="3" t="s">
        <v>250</v>
      </c>
      <c r="U34" s="3"/>
      <c r="V34" s="3"/>
      <c r="W34" s="3"/>
      <c r="X34" s="3"/>
      <c r="Y34" s="3"/>
      <c r="Z34" s="3"/>
      <c r="AA34" s="3"/>
      <c r="AB34" s="3"/>
      <c r="AC34" s="3" t="s">
        <v>251</v>
      </c>
      <c r="AD34" s="3"/>
      <c r="AE34" s="3">
        <v>50</v>
      </c>
      <c r="AF34" s="1"/>
      <c r="AG34" s="1"/>
      <c r="AH34" s="1"/>
      <c r="AI34" s="1"/>
      <c r="AJ34" s="1"/>
    </row>
    <row r="35" spans="1:36" x14ac:dyDescent="0.2">
      <c r="A35" s="2">
        <v>44704.556792546296</v>
      </c>
      <c r="B35" s="3" t="s">
        <v>252</v>
      </c>
      <c r="C35" s="3">
        <v>3113762725</v>
      </c>
      <c r="D35" s="3" t="s">
        <v>30</v>
      </c>
      <c r="E35" s="3" t="s">
        <v>31</v>
      </c>
      <c r="F35" s="3" t="s">
        <v>253</v>
      </c>
      <c r="G35" s="3" t="s">
        <v>254</v>
      </c>
      <c r="H35" s="3"/>
      <c r="I35" s="3">
        <v>3104726362</v>
      </c>
      <c r="J35" s="3"/>
      <c r="K35" s="3"/>
      <c r="L35" s="3">
        <v>3</v>
      </c>
      <c r="M35" s="3">
        <v>3</v>
      </c>
      <c r="N35" s="3" t="s">
        <v>35</v>
      </c>
      <c r="O35" s="3"/>
      <c r="P35" s="3">
        <v>4</v>
      </c>
      <c r="Q35" s="3" t="s">
        <v>255</v>
      </c>
      <c r="R35" s="3" t="s">
        <v>256</v>
      </c>
      <c r="S35" s="3" t="s">
        <v>110</v>
      </c>
      <c r="T35" s="3">
        <v>500000</v>
      </c>
      <c r="U35" s="3"/>
      <c r="V35" s="3"/>
      <c r="W35" s="3"/>
      <c r="X35" s="3"/>
      <c r="Y35" s="3"/>
      <c r="Z35" s="3"/>
      <c r="AA35" s="3"/>
      <c r="AB35" s="3"/>
      <c r="AC35" s="3"/>
      <c r="AD35" s="3"/>
      <c r="AE35" s="3">
        <v>3</v>
      </c>
      <c r="AF35" s="1"/>
      <c r="AG35" s="1"/>
      <c r="AH35" s="1"/>
      <c r="AI35" s="1"/>
      <c r="AJ35" s="1"/>
    </row>
    <row r="36" spans="1:36" x14ac:dyDescent="0.2">
      <c r="A36" s="5">
        <v>44716.422573055555</v>
      </c>
      <c r="B36" s="1" t="s">
        <v>218</v>
      </c>
      <c r="C36" s="1">
        <v>3165428133</v>
      </c>
      <c r="D36" s="1" t="s">
        <v>79</v>
      </c>
      <c r="E36" s="1" t="s">
        <v>190</v>
      </c>
      <c r="F36" s="1" t="s">
        <v>257</v>
      </c>
      <c r="G36" s="1" t="s">
        <v>258</v>
      </c>
      <c r="H36" s="1"/>
      <c r="I36" s="1">
        <v>3242063138</v>
      </c>
      <c r="J36" s="1" t="s">
        <v>259</v>
      </c>
      <c r="K36" s="1">
        <v>3015859727</v>
      </c>
      <c r="L36" s="1" t="s">
        <v>44</v>
      </c>
      <c r="M36" s="1" t="s">
        <v>44</v>
      </c>
      <c r="N36" s="1" t="s">
        <v>35</v>
      </c>
      <c r="O36" s="1"/>
      <c r="P36" s="1">
        <v>1</v>
      </c>
      <c r="Q36" s="1">
        <v>42</v>
      </c>
      <c r="R36" s="1" t="s">
        <v>260</v>
      </c>
      <c r="S36" s="1" t="s">
        <v>38</v>
      </c>
      <c r="T36" s="1" t="s">
        <v>261</v>
      </c>
      <c r="U36" s="1"/>
      <c r="V36" s="1"/>
      <c r="W36" s="1"/>
      <c r="X36" s="1"/>
      <c r="Y36" s="1"/>
      <c r="Z36" s="1"/>
      <c r="AA36" s="1"/>
      <c r="AB36" s="1"/>
      <c r="AC36" s="1" t="s">
        <v>262</v>
      </c>
      <c r="AD36" s="1"/>
      <c r="AE36" s="1" t="s">
        <v>44</v>
      </c>
      <c r="AF36" s="1"/>
      <c r="AG36" s="1"/>
      <c r="AH36" s="1"/>
      <c r="AI36" s="1"/>
      <c r="AJ36" s="1"/>
    </row>
    <row r="37" spans="1:36" x14ac:dyDescent="0.2">
      <c r="A37" s="5">
        <v>44716.4463344213</v>
      </c>
      <c r="B37" s="1" t="s">
        <v>29</v>
      </c>
      <c r="C37" s="1">
        <v>3213856495</v>
      </c>
      <c r="D37" s="1" t="s">
        <v>79</v>
      </c>
      <c r="E37" s="1" t="s">
        <v>190</v>
      </c>
      <c r="F37" s="1" t="s">
        <v>263</v>
      </c>
      <c r="G37" s="1" t="s">
        <v>264</v>
      </c>
      <c r="H37" s="1"/>
      <c r="I37" s="1">
        <v>3017100132</v>
      </c>
      <c r="J37" s="1" t="s">
        <v>265</v>
      </c>
      <c r="K37" s="1">
        <v>3002958705</v>
      </c>
      <c r="L37" s="1" t="s">
        <v>266</v>
      </c>
      <c r="M37" s="1" t="s">
        <v>267</v>
      </c>
      <c r="N37" s="1" t="s">
        <v>35</v>
      </c>
      <c r="O37" s="1"/>
      <c r="P37" s="1">
        <v>4</v>
      </c>
      <c r="Q37" s="1" t="s">
        <v>268</v>
      </c>
      <c r="R37" s="1" t="s">
        <v>269</v>
      </c>
      <c r="S37" s="1" t="s">
        <v>38</v>
      </c>
      <c r="T37" s="1" t="s">
        <v>270</v>
      </c>
      <c r="U37" s="1"/>
      <c r="V37" s="1"/>
      <c r="W37" s="1"/>
      <c r="X37" s="1"/>
      <c r="Y37" s="1"/>
      <c r="Z37" s="1"/>
      <c r="AA37" s="1"/>
      <c r="AB37" s="1"/>
      <c r="AC37" s="1" t="s">
        <v>271</v>
      </c>
      <c r="AD37" s="1"/>
      <c r="AE37" s="1" t="s">
        <v>266</v>
      </c>
      <c r="AF37" s="1"/>
      <c r="AG37" s="1"/>
      <c r="AH37" s="1"/>
      <c r="AI37" s="1"/>
      <c r="AJ37" s="1"/>
    </row>
    <row r="38" spans="1:36" x14ac:dyDescent="0.2">
      <c r="A38" s="5">
        <v>44716.462335821758</v>
      </c>
      <c r="B38" s="1" t="s">
        <v>29</v>
      </c>
      <c r="C38" s="1">
        <v>3213856495</v>
      </c>
      <c r="D38" s="1" t="s">
        <v>79</v>
      </c>
      <c r="E38" s="1" t="s">
        <v>190</v>
      </c>
      <c r="F38" s="1" t="s">
        <v>272</v>
      </c>
      <c r="G38" s="1" t="s">
        <v>273</v>
      </c>
      <c r="H38" s="1"/>
      <c r="I38" s="1">
        <v>3104951609</v>
      </c>
      <c r="J38" s="1" t="s">
        <v>274</v>
      </c>
      <c r="K38" s="1">
        <v>3045360424</v>
      </c>
      <c r="L38" s="1" t="s">
        <v>213</v>
      </c>
      <c r="M38" s="1" t="s">
        <v>213</v>
      </c>
      <c r="N38" s="1" t="s">
        <v>35</v>
      </c>
      <c r="O38" s="1"/>
      <c r="P38" s="1">
        <v>2</v>
      </c>
      <c r="Q38" s="1" t="s">
        <v>275</v>
      </c>
      <c r="R38" s="1" t="s">
        <v>276</v>
      </c>
      <c r="S38" s="1" t="s">
        <v>38</v>
      </c>
      <c r="T38" s="1" t="s">
        <v>132</v>
      </c>
      <c r="U38" s="1"/>
      <c r="V38" s="1"/>
      <c r="W38" s="1"/>
      <c r="X38" s="1"/>
      <c r="Y38" s="1"/>
      <c r="Z38" s="1"/>
      <c r="AA38" s="1"/>
      <c r="AB38" s="1"/>
      <c r="AC38" s="1" t="s">
        <v>277</v>
      </c>
      <c r="AD38" s="1"/>
      <c r="AE38" s="1" t="s">
        <v>213</v>
      </c>
      <c r="AF38" s="1"/>
      <c r="AG38" s="1"/>
      <c r="AH38" s="1"/>
      <c r="AI38" s="1"/>
      <c r="AJ38" s="1"/>
    </row>
    <row r="39" spans="1:36" x14ac:dyDescent="0.2">
      <c r="A39" s="5">
        <v>44716.479566261572</v>
      </c>
      <c r="B39" s="1" t="s">
        <v>55</v>
      </c>
      <c r="C39" s="1">
        <v>35021417455</v>
      </c>
      <c r="D39" s="1" t="s">
        <v>79</v>
      </c>
      <c r="E39" s="1" t="s">
        <v>190</v>
      </c>
      <c r="F39" s="1" t="s">
        <v>272</v>
      </c>
      <c r="G39" s="1" t="s">
        <v>278</v>
      </c>
      <c r="H39" s="1"/>
      <c r="I39" s="1">
        <v>3105172670</v>
      </c>
      <c r="J39" s="1" t="s">
        <v>279</v>
      </c>
      <c r="K39" s="1"/>
      <c r="L39" s="1">
        <v>14</v>
      </c>
      <c r="M39" s="1">
        <v>14</v>
      </c>
      <c r="N39" s="1" t="s">
        <v>35</v>
      </c>
      <c r="O39" s="1"/>
      <c r="P39" s="1">
        <v>3</v>
      </c>
      <c r="Q39" s="1" t="s">
        <v>280</v>
      </c>
      <c r="R39" s="1" t="s">
        <v>281</v>
      </c>
      <c r="S39" s="1" t="s">
        <v>38</v>
      </c>
      <c r="T39" s="1" t="s">
        <v>282</v>
      </c>
      <c r="U39" s="1"/>
      <c r="V39" s="1"/>
      <c r="W39" s="1"/>
      <c r="X39" s="1"/>
      <c r="Y39" s="1"/>
      <c r="Z39" s="1"/>
      <c r="AA39" s="1"/>
      <c r="AB39" s="1"/>
      <c r="AC39" s="1"/>
      <c r="AD39" s="1"/>
      <c r="AE39" s="1">
        <v>14</v>
      </c>
      <c r="AF39" s="1"/>
      <c r="AG39" s="1"/>
      <c r="AH39" s="1"/>
      <c r="AI39" s="1"/>
      <c r="AJ39" s="1"/>
    </row>
    <row r="40" spans="1:36" x14ac:dyDescent="0.2">
      <c r="A40" s="5">
        <v>44716.507159479166</v>
      </c>
      <c r="B40" s="1" t="s">
        <v>29</v>
      </c>
      <c r="C40" s="1">
        <v>3213856495</v>
      </c>
      <c r="D40" s="1" t="s">
        <v>79</v>
      </c>
      <c r="E40" s="1" t="s">
        <v>190</v>
      </c>
      <c r="F40" s="1" t="s">
        <v>283</v>
      </c>
      <c r="G40" s="1" t="s">
        <v>284</v>
      </c>
      <c r="H40" s="1"/>
      <c r="I40" s="1">
        <v>3147433920</v>
      </c>
      <c r="J40" s="1" t="s">
        <v>285</v>
      </c>
      <c r="K40" s="1">
        <v>3148169430</v>
      </c>
      <c r="L40" s="1" t="s">
        <v>286</v>
      </c>
      <c r="M40" s="1" t="s">
        <v>286</v>
      </c>
      <c r="N40" s="1" t="s">
        <v>35</v>
      </c>
      <c r="O40" s="1"/>
      <c r="P40" s="1">
        <v>3</v>
      </c>
      <c r="Q40" s="10" t="s">
        <v>287</v>
      </c>
      <c r="R40" s="1" t="s">
        <v>288</v>
      </c>
      <c r="S40" s="1" t="s">
        <v>38</v>
      </c>
      <c r="T40" s="1" t="s">
        <v>132</v>
      </c>
      <c r="U40" s="1"/>
      <c r="V40" s="1"/>
      <c r="W40" s="1"/>
      <c r="X40" s="1"/>
      <c r="Y40" s="1"/>
      <c r="Z40" s="1"/>
      <c r="AA40" s="1"/>
      <c r="AB40" s="1"/>
      <c r="AC40" s="1" t="s">
        <v>289</v>
      </c>
      <c r="AD40" s="1"/>
      <c r="AE40" s="1" t="s">
        <v>286</v>
      </c>
      <c r="AF40" s="1"/>
      <c r="AG40" s="1"/>
      <c r="AH40" s="1"/>
      <c r="AI40" s="1"/>
      <c r="AJ40" s="1"/>
    </row>
    <row r="41" spans="1:36" x14ac:dyDescent="0.2">
      <c r="A41" s="5">
        <v>44716.53053329861</v>
      </c>
      <c r="B41" s="1" t="s">
        <v>55</v>
      </c>
      <c r="C41" s="1">
        <v>3502417455</v>
      </c>
      <c r="D41" s="1" t="s">
        <v>79</v>
      </c>
      <c r="E41" s="1" t="s">
        <v>190</v>
      </c>
      <c r="F41" s="1" t="s">
        <v>290</v>
      </c>
      <c r="G41" s="1" t="s">
        <v>291</v>
      </c>
      <c r="H41" s="1"/>
      <c r="I41" s="1">
        <v>3146166477</v>
      </c>
      <c r="J41" s="1"/>
      <c r="K41" s="1"/>
      <c r="L41" s="1" t="s">
        <v>292</v>
      </c>
      <c r="M41" s="1" t="s">
        <v>292</v>
      </c>
      <c r="N41" s="1" t="s">
        <v>35</v>
      </c>
      <c r="O41" s="1"/>
      <c r="P41" s="1">
        <v>3</v>
      </c>
      <c r="Q41" s="1" t="s">
        <v>293</v>
      </c>
      <c r="R41" s="1" t="s">
        <v>294</v>
      </c>
      <c r="S41" s="1" t="s">
        <v>38</v>
      </c>
      <c r="T41" s="1" t="s">
        <v>295</v>
      </c>
      <c r="U41" s="1"/>
      <c r="V41" s="1"/>
      <c r="W41" s="1"/>
      <c r="X41" s="1"/>
      <c r="Y41" s="1"/>
      <c r="Z41" s="1"/>
      <c r="AA41" s="1"/>
      <c r="AB41" s="1"/>
      <c r="AC41" s="1" t="s">
        <v>296</v>
      </c>
      <c r="AD41" s="1"/>
      <c r="AE41" s="1" t="s">
        <v>292</v>
      </c>
      <c r="AF41" s="1"/>
      <c r="AG41" s="1"/>
      <c r="AH41" s="1"/>
      <c r="AI41" s="1"/>
      <c r="AJ41" s="1"/>
    </row>
    <row r="42" spans="1:36" x14ac:dyDescent="0.2">
      <c r="A42" s="5">
        <v>44716.53654721065</v>
      </c>
      <c r="B42" s="1" t="s">
        <v>55</v>
      </c>
      <c r="C42" s="1">
        <v>3502417455</v>
      </c>
      <c r="D42" s="1" t="s">
        <v>79</v>
      </c>
      <c r="E42" s="1" t="s">
        <v>190</v>
      </c>
      <c r="F42" s="1" t="s">
        <v>297</v>
      </c>
      <c r="G42" s="1" t="s">
        <v>298</v>
      </c>
      <c r="H42" s="1"/>
      <c r="I42" s="1">
        <v>3014098726</v>
      </c>
      <c r="J42" s="1"/>
      <c r="K42" s="1"/>
      <c r="L42" s="1" t="s">
        <v>299</v>
      </c>
      <c r="M42" s="1" t="s">
        <v>181</v>
      </c>
      <c r="N42" s="1" t="s">
        <v>35</v>
      </c>
      <c r="O42" s="1"/>
      <c r="P42" s="1">
        <v>3</v>
      </c>
      <c r="Q42" s="1" t="s">
        <v>300</v>
      </c>
      <c r="R42" s="1" t="s">
        <v>301</v>
      </c>
      <c r="S42" s="1" t="s">
        <v>38</v>
      </c>
      <c r="T42" s="1" t="s">
        <v>302</v>
      </c>
      <c r="U42" s="1"/>
      <c r="V42" s="1"/>
      <c r="W42" s="1"/>
      <c r="X42" s="1"/>
      <c r="Y42" s="1"/>
      <c r="Z42" s="1"/>
      <c r="AA42" s="1"/>
      <c r="AB42" s="1"/>
      <c r="AC42" s="1" t="s">
        <v>303</v>
      </c>
      <c r="AD42" s="1"/>
      <c r="AE42" s="1" t="s">
        <v>299</v>
      </c>
      <c r="AF42" s="1"/>
      <c r="AG42" s="1"/>
      <c r="AH42" s="1"/>
      <c r="AI42" s="1"/>
      <c r="AJ42" s="1"/>
    </row>
    <row r="43" spans="1:36" x14ac:dyDescent="0.2">
      <c r="A43" s="5">
        <v>44716.546394236109</v>
      </c>
      <c r="B43" s="1" t="s">
        <v>304</v>
      </c>
      <c r="C43" s="1">
        <v>3122674865</v>
      </c>
      <c r="D43" s="1" t="s">
        <v>79</v>
      </c>
      <c r="E43" s="1" t="s">
        <v>190</v>
      </c>
      <c r="F43" s="1" t="s">
        <v>272</v>
      </c>
      <c r="G43" s="1" t="s">
        <v>305</v>
      </c>
      <c r="H43" s="1"/>
      <c r="I43" s="1">
        <v>3118332935</v>
      </c>
      <c r="J43" s="1"/>
      <c r="K43" s="1"/>
      <c r="L43" s="1" t="s">
        <v>306</v>
      </c>
      <c r="M43" s="1" t="s">
        <v>307</v>
      </c>
      <c r="N43" s="1" t="s">
        <v>35</v>
      </c>
      <c r="O43" s="1"/>
      <c r="P43" s="1">
        <v>4</v>
      </c>
      <c r="Q43" s="1" t="s">
        <v>308</v>
      </c>
      <c r="R43" s="1" t="s">
        <v>309</v>
      </c>
      <c r="S43" s="1" t="s">
        <v>110</v>
      </c>
      <c r="T43" s="1" t="s">
        <v>310</v>
      </c>
      <c r="U43" s="1"/>
      <c r="V43" s="1"/>
      <c r="W43" s="1"/>
      <c r="X43" s="1"/>
      <c r="Y43" s="1"/>
      <c r="Z43" s="1"/>
      <c r="AA43" s="1"/>
      <c r="AB43" s="1"/>
      <c r="AC43" s="1" t="s">
        <v>311</v>
      </c>
      <c r="AD43" s="1"/>
      <c r="AE43" s="1" t="s">
        <v>306</v>
      </c>
      <c r="AF43" s="1"/>
      <c r="AG43" s="1"/>
      <c r="AH43" s="1"/>
      <c r="AI43" s="1"/>
      <c r="AJ43" s="1"/>
    </row>
    <row r="44" spans="1:36" x14ac:dyDescent="0.2">
      <c r="A44" s="5">
        <v>44716.550995162033</v>
      </c>
      <c r="B44" s="1" t="s">
        <v>312</v>
      </c>
      <c r="C44" s="1">
        <v>3502417455</v>
      </c>
      <c r="D44" s="1" t="s">
        <v>79</v>
      </c>
      <c r="E44" s="1" t="s">
        <v>190</v>
      </c>
      <c r="F44" s="1" t="s">
        <v>313</v>
      </c>
      <c r="G44" s="1" t="s">
        <v>314</v>
      </c>
      <c r="H44" s="1"/>
      <c r="I44" s="1">
        <v>3017753051</v>
      </c>
      <c r="J44" s="1"/>
      <c r="K44" s="1"/>
      <c r="L44" s="1" t="s">
        <v>315</v>
      </c>
      <c r="M44" s="1" t="s">
        <v>316</v>
      </c>
      <c r="N44" s="1" t="s">
        <v>35</v>
      </c>
      <c r="O44" s="1"/>
      <c r="P44" s="1">
        <v>3</v>
      </c>
      <c r="Q44" s="10" t="s">
        <v>317</v>
      </c>
      <c r="R44" s="1" t="s">
        <v>318</v>
      </c>
      <c r="S44" s="1" t="s">
        <v>110</v>
      </c>
      <c r="T44" s="1" t="s">
        <v>132</v>
      </c>
      <c r="U44" s="1"/>
      <c r="V44" s="1"/>
      <c r="W44" s="1"/>
      <c r="X44" s="1"/>
      <c r="Y44" s="1"/>
      <c r="Z44" s="1"/>
      <c r="AA44" s="1"/>
      <c r="AB44" s="1"/>
      <c r="AC44" s="1" t="s">
        <v>319</v>
      </c>
      <c r="AD44" s="1"/>
      <c r="AE44" s="1" t="s">
        <v>315</v>
      </c>
      <c r="AF44" s="1"/>
      <c r="AG44" s="1"/>
      <c r="AH44" s="1"/>
      <c r="AI44" s="1"/>
      <c r="AJ44" s="1"/>
    </row>
    <row r="45" spans="1:36" x14ac:dyDescent="0.2">
      <c r="A45" s="5">
        <v>44716.598708333331</v>
      </c>
      <c r="B45" s="1" t="s">
        <v>29</v>
      </c>
      <c r="C45" s="1">
        <v>3213856495</v>
      </c>
      <c r="D45" s="1" t="s">
        <v>79</v>
      </c>
      <c r="E45" s="1" t="s">
        <v>190</v>
      </c>
      <c r="F45" s="1" t="s">
        <v>320</v>
      </c>
      <c r="G45" s="1" t="s">
        <v>321</v>
      </c>
      <c r="H45" s="1"/>
      <c r="I45" s="1">
        <v>3166133125</v>
      </c>
      <c r="J45" s="1" t="s">
        <v>322</v>
      </c>
      <c r="K45" s="1">
        <v>3104924279</v>
      </c>
      <c r="L45" s="1" t="s">
        <v>306</v>
      </c>
      <c r="M45" s="1" t="s">
        <v>306</v>
      </c>
      <c r="N45" s="1" t="s">
        <v>35</v>
      </c>
      <c r="O45" s="1"/>
      <c r="P45" s="1">
        <v>2</v>
      </c>
      <c r="Q45" s="1" t="s">
        <v>323</v>
      </c>
      <c r="R45" s="1" t="s">
        <v>324</v>
      </c>
      <c r="S45" s="1" t="s">
        <v>38</v>
      </c>
      <c r="T45" s="1" t="s">
        <v>325</v>
      </c>
      <c r="U45" s="1"/>
      <c r="V45" s="1"/>
      <c r="W45" s="1"/>
      <c r="X45" s="1"/>
      <c r="Y45" s="1"/>
      <c r="Z45" s="1"/>
      <c r="AA45" s="1"/>
      <c r="AB45" s="1"/>
      <c r="AC45" s="1"/>
      <c r="AD45" s="1"/>
      <c r="AE45" s="1" t="s">
        <v>306</v>
      </c>
      <c r="AF45" s="1"/>
      <c r="AG45" s="1"/>
      <c r="AH45" s="1"/>
      <c r="AI45" s="1"/>
      <c r="AJ45" s="1"/>
    </row>
    <row r="46" spans="1:36" x14ac:dyDescent="0.2">
      <c r="A46" s="2">
        <v>44717.521151898152</v>
      </c>
      <c r="B46" s="3" t="s">
        <v>326</v>
      </c>
      <c r="C46" s="3">
        <v>3017674995</v>
      </c>
      <c r="D46" s="3" t="s">
        <v>30</v>
      </c>
      <c r="E46" s="3" t="s">
        <v>31</v>
      </c>
      <c r="F46" s="3" t="s">
        <v>327</v>
      </c>
      <c r="G46" s="3" t="s">
        <v>328</v>
      </c>
      <c r="H46" s="3"/>
      <c r="I46" s="3">
        <v>3113709212</v>
      </c>
      <c r="J46" s="3" t="s">
        <v>329</v>
      </c>
      <c r="K46" s="3">
        <v>3043413772</v>
      </c>
      <c r="L46" s="3" t="s">
        <v>44</v>
      </c>
      <c r="M46" s="3" t="s">
        <v>44</v>
      </c>
      <c r="N46" s="3" t="s">
        <v>35</v>
      </c>
      <c r="O46" s="3"/>
      <c r="P46" s="3">
        <v>1</v>
      </c>
      <c r="Q46" s="3">
        <v>58</v>
      </c>
      <c r="R46" s="3" t="s">
        <v>330</v>
      </c>
      <c r="S46" s="3" t="s">
        <v>38</v>
      </c>
      <c r="T46" s="3" t="s">
        <v>331</v>
      </c>
      <c r="U46" s="3"/>
      <c r="V46" s="3"/>
      <c r="W46" s="3"/>
      <c r="X46" s="3"/>
      <c r="Y46" s="3"/>
      <c r="Z46" s="3"/>
      <c r="AA46" s="3"/>
      <c r="AB46" s="3"/>
      <c r="AC46" s="3" t="s">
        <v>332</v>
      </c>
      <c r="AD46" s="3"/>
      <c r="AE46" s="3" t="s">
        <v>44</v>
      </c>
      <c r="AF46" s="1"/>
      <c r="AG46" s="1"/>
      <c r="AH46" s="1"/>
      <c r="AI46" s="1"/>
      <c r="AJ46" s="1"/>
    </row>
    <row r="47" spans="1:36" x14ac:dyDescent="0.2">
      <c r="A47" s="2">
        <v>44717.537700266199</v>
      </c>
      <c r="B47" s="3" t="s">
        <v>326</v>
      </c>
      <c r="C47" s="3">
        <v>3017674995</v>
      </c>
      <c r="D47" s="3" t="s">
        <v>30</v>
      </c>
      <c r="E47" s="3" t="s">
        <v>31</v>
      </c>
      <c r="F47" s="3" t="s">
        <v>327</v>
      </c>
      <c r="G47" s="3" t="s">
        <v>333</v>
      </c>
      <c r="H47" s="3"/>
      <c r="I47" s="3">
        <v>3008521058</v>
      </c>
      <c r="J47" s="3" t="s">
        <v>334</v>
      </c>
      <c r="K47" s="3">
        <v>3002315490</v>
      </c>
      <c r="L47" s="3" t="s">
        <v>335</v>
      </c>
      <c r="M47" s="3" t="s">
        <v>335</v>
      </c>
      <c r="N47" s="3" t="s">
        <v>35</v>
      </c>
      <c r="O47" s="3"/>
      <c r="P47" s="3">
        <v>2</v>
      </c>
      <c r="Q47" s="3">
        <v>51.52</v>
      </c>
      <c r="R47" s="3" t="s">
        <v>336</v>
      </c>
      <c r="S47" s="3" t="s">
        <v>38</v>
      </c>
      <c r="T47" s="3" t="s">
        <v>337</v>
      </c>
      <c r="U47" s="3"/>
      <c r="V47" s="3"/>
      <c r="W47" s="3"/>
      <c r="X47" s="3"/>
      <c r="Y47" s="3"/>
      <c r="Z47" s="3"/>
      <c r="AA47" s="3"/>
      <c r="AB47" s="3"/>
      <c r="AC47" s="3" t="s">
        <v>338</v>
      </c>
      <c r="AD47" s="3"/>
      <c r="AE47" s="3" t="s">
        <v>335</v>
      </c>
      <c r="AF47" s="1"/>
      <c r="AG47" s="1"/>
      <c r="AH47" s="1"/>
      <c r="AI47" s="1"/>
      <c r="AJ47" s="1"/>
    </row>
    <row r="48" spans="1:36" x14ac:dyDescent="0.2">
      <c r="A48" s="2">
        <v>44717.553248009259</v>
      </c>
      <c r="B48" s="3" t="s">
        <v>326</v>
      </c>
      <c r="C48" s="3">
        <v>3017674959</v>
      </c>
      <c r="D48" s="3" t="s">
        <v>30</v>
      </c>
      <c r="E48" s="3" t="s">
        <v>31</v>
      </c>
      <c r="F48" s="3">
        <v>4</v>
      </c>
      <c r="G48" s="3" t="s">
        <v>339</v>
      </c>
      <c r="H48" s="3"/>
      <c r="I48" s="3">
        <v>3043638763</v>
      </c>
      <c r="J48" s="3" t="s">
        <v>340</v>
      </c>
      <c r="K48" s="3">
        <v>3045675972</v>
      </c>
      <c r="L48" s="3" t="s">
        <v>341</v>
      </c>
      <c r="M48" s="3" t="s">
        <v>341</v>
      </c>
      <c r="N48" s="3" t="s">
        <v>35</v>
      </c>
      <c r="O48" s="3"/>
      <c r="P48" s="3">
        <v>3</v>
      </c>
      <c r="Q48" s="3" t="s">
        <v>342</v>
      </c>
      <c r="R48" s="3" t="s">
        <v>343</v>
      </c>
      <c r="S48" s="3" t="s">
        <v>38</v>
      </c>
      <c r="T48" s="3" t="s">
        <v>344</v>
      </c>
      <c r="U48" s="3"/>
      <c r="V48" s="3"/>
      <c r="W48" s="3"/>
      <c r="X48" s="3"/>
      <c r="Y48" s="3"/>
      <c r="Z48" s="3"/>
      <c r="AA48" s="3"/>
      <c r="AB48" s="3"/>
      <c r="AC48" s="3" t="s">
        <v>345</v>
      </c>
      <c r="AD48" s="3"/>
      <c r="AE48" s="3" t="s">
        <v>341</v>
      </c>
      <c r="AF48" s="1"/>
      <c r="AG48" s="1"/>
      <c r="AH48" s="1"/>
      <c r="AI48" s="1"/>
      <c r="AJ48" s="1"/>
    </row>
    <row r="49" spans="1:36" x14ac:dyDescent="0.2">
      <c r="A49" s="2">
        <v>44717.624570520835</v>
      </c>
      <c r="B49" s="3" t="s">
        <v>346</v>
      </c>
      <c r="C49" s="3">
        <v>3016234523</v>
      </c>
      <c r="D49" s="3" t="s">
        <v>30</v>
      </c>
      <c r="E49" s="3" t="s">
        <v>31</v>
      </c>
      <c r="F49" s="3" t="s">
        <v>347</v>
      </c>
      <c r="G49" s="3" t="s">
        <v>348</v>
      </c>
      <c r="H49" s="3"/>
      <c r="I49" s="3">
        <v>3003261366</v>
      </c>
      <c r="J49" s="3" t="s">
        <v>349</v>
      </c>
      <c r="K49" s="3">
        <v>3122839426</v>
      </c>
      <c r="L49" s="3">
        <v>12</v>
      </c>
      <c r="M49" s="3">
        <v>12</v>
      </c>
      <c r="N49" s="3" t="s">
        <v>35</v>
      </c>
      <c r="O49" s="3"/>
      <c r="P49" s="3">
        <v>5</v>
      </c>
      <c r="Q49" s="3" t="s">
        <v>350</v>
      </c>
      <c r="R49" s="3" t="s">
        <v>351</v>
      </c>
      <c r="S49" s="3" t="s">
        <v>38</v>
      </c>
      <c r="T49" s="3" t="s">
        <v>352</v>
      </c>
      <c r="U49" s="3"/>
      <c r="V49" s="3"/>
      <c r="W49" s="3"/>
      <c r="X49" s="3"/>
      <c r="Y49" s="3"/>
      <c r="Z49" s="3"/>
      <c r="AA49" s="3"/>
      <c r="AB49" s="3"/>
      <c r="AC49" s="3" t="s">
        <v>353</v>
      </c>
      <c r="AD49" s="3"/>
      <c r="AE49" s="3">
        <v>12</v>
      </c>
      <c r="AF49" s="1"/>
      <c r="AG49" s="1"/>
      <c r="AH49" s="1"/>
      <c r="AI49" s="1"/>
      <c r="AJ49" s="1"/>
    </row>
    <row r="50" spans="1:36" x14ac:dyDescent="0.2">
      <c r="A50" s="2">
        <v>44724.456737395834</v>
      </c>
      <c r="B50" s="3" t="s">
        <v>354</v>
      </c>
      <c r="C50" s="3">
        <v>3127400413</v>
      </c>
      <c r="D50" s="3" t="s">
        <v>30</v>
      </c>
      <c r="E50" s="3" t="s">
        <v>31</v>
      </c>
      <c r="F50" s="3" t="s">
        <v>355</v>
      </c>
      <c r="G50" s="3" t="s">
        <v>356</v>
      </c>
      <c r="H50" s="3"/>
      <c r="I50" s="3">
        <v>3012824387</v>
      </c>
      <c r="J50" s="3" t="s">
        <v>357</v>
      </c>
      <c r="K50" s="3">
        <v>3046367226</v>
      </c>
      <c r="L50" s="3">
        <v>20</v>
      </c>
      <c r="M50" s="3">
        <v>6</v>
      </c>
      <c r="N50" s="3" t="s">
        <v>35</v>
      </c>
      <c r="O50" s="3"/>
      <c r="P50" s="3">
        <v>3</v>
      </c>
      <c r="Q50" s="3" t="s">
        <v>358</v>
      </c>
      <c r="R50" s="3" t="s">
        <v>359</v>
      </c>
      <c r="S50" s="3" t="s">
        <v>110</v>
      </c>
      <c r="T50" s="3" t="s">
        <v>132</v>
      </c>
      <c r="U50" s="3"/>
      <c r="V50" s="3"/>
      <c r="W50" s="3"/>
      <c r="X50" s="3"/>
      <c r="Y50" s="3"/>
      <c r="Z50" s="3"/>
      <c r="AA50" s="3"/>
      <c r="AB50" s="3"/>
      <c r="AC50" s="3" t="s">
        <v>360</v>
      </c>
      <c r="AD50" s="3"/>
      <c r="AE50" s="3">
        <v>20</v>
      </c>
      <c r="AF50" s="1"/>
      <c r="AG50" s="1"/>
      <c r="AH50" s="1"/>
      <c r="AI50" s="1"/>
      <c r="AJ50" s="1"/>
    </row>
    <row r="51" spans="1:36" x14ac:dyDescent="0.2">
      <c r="A51" s="2">
        <v>44724.525168622684</v>
      </c>
      <c r="B51" s="3" t="s">
        <v>105</v>
      </c>
      <c r="C51" s="3">
        <v>3127400513</v>
      </c>
      <c r="D51" s="3" t="s">
        <v>30</v>
      </c>
      <c r="E51" s="3" t="s">
        <v>31</v>
      </c>
      <c r="F51" s="3" t="s">
        <v>361</v>
      </c>
      <c r="G51" s="3" t="s">
        <v>362</v>
      </c>
      <c r="H51" s="3"/>
      <c r="I51" s="3">
        <v>3212444957</v>
      </c>
      <c r="J51" s="3" t="s">
        <v>363</v>
      </c>
      <c r="K51" s="3">
        <v>3057781951</v>
      </c>
      <c r="L51" s="3" t="s">
        <v>364</v>
      </c>
      <c r="M51" s="3" t="s">
        <v>365</v>
      </c>
      <c r="N51" s="3" t="s">
        <v>35</v>
      </c>
      <c r="O51" s="3"/>
      <c r="P51" s="3">
        <v>3</v>
      </c>
      <c r="Q51" s="3" t="s">
        <v>366</v>
      </c>
      <c r="R51" s="3" t="s">
        <v>367</v>
      </c>
      <c r="S51" s="3" t="s">
        <v>38</v>
      </c>
      <c r="T51" s="3" t="s">
        <v>368</v>
      </c>
      <c r="U51" s="3"/>
      <c r="V51" s="3"/>
      <c r="W51" s="3"/>
      <c r="X51" s="3"/>
      <c r="Y51" s="3"/>
      <c r="Z51" s="3"/>
      <c r="AA51" s="3"/>
      <c r="AB51" s="3"/>
      <c r="AC51" s="3" t="s">
        <v>369</v>
      </c>
      <c r="AD51" s="3"/>
      <c r="AE51" s="3" t="s">
        <v>364</v>
      </c>
      <c r="AF51" s="1"/>
      <c r="AG51" s="1"/>
      <c r="AH51" s="1"/>
      <c r="AI51" s="1"/>
      <c r="AJ51" s="1"/>
    </row>
    <row r="52" spans="1:36" x14ac:dyDescent="0.2">
      <c r="A52" s="2">
        <v>44724.546619444445</v>
      </c>
      <c r="B52" s="3" t="s">
        <v>354</v>
      </c>
      <c r="C52" s="3">
        <v>3127500513</v>
      </c>
      <c r="D52" s="3" t="s">
        <v>30</v>
      </c>
      <c r="E52" s="3" t="s">
        <v>31</v>
      </c>
      <c r="F52" s="3" t="s">
        <v>370</v>
      </c>
      <c r="G52" s="3" t="s">
        <v>371</v>
      </c>
      <c r="H52" s="3"/>
      <c r="I52" s="3">
        <v>3132537994</v>
      </c>
      <c r="J52" s="3"/>
      <c r="K52" s="3"/>
      <c r="L52" s="3" t="s">
        <v>372</v>
      </c>
      <c r="M52" s="3" t="s">
        <v>372</v>
      </c>
      <c r="N52" s="3" t="s">
        <v>35</v>
      </c>
      <c r="O52" s="3"/>
      <c r="P52" s="3">
        <v>4</v>
      </c>
      <c r="Q52" s="3" t="s">
        <v>373</v>
      </c>
      <c r="R52" s="3" t="s">
        <v>374</v>
      </c>
      <c r="S52" s="3" t="s">
        <v>38</v>
      </c>
      <c r="T52" s="3" t="s">
        <v>375</v>
      </c>
      <c r="U52" s="3"/>
      <c r="V52" s="3"/>
      <c r="W52" s="3"/>
      <c r="X52" s="3"/>
      <c r="Y52" s="3"/>
      <c r="Z52" s="3"/>
      <c r="AA52" s="3"/>
      <c r="AB52" s="3"/>
      <c r="AC52" s="3" t="s">
        <v>376</v>
      </c>
      <c r="AD52" s="3"/>
      <c r="AE52" s="3" t="s">
        <v>372</v>
      </c>
      <c r="AF52" s="1"/>
      <c r="AG52" s="1"/>
      <c r="AH52" s="1"/>
      <c r="AI52" s="1"/>
      <c r="AJ52" s="1"/>
    </row>
    <row r="53" spans="1:36" x14ac:dyDescent="0.2">
      <c r="A53" s="2">
        <v>44724.549925763888</v>
      </c>
      <c r="B53" s="3" t="s">
        <v>354</v>
      </c>
      <c r="C53" s="3">
        <v>3127400513</v>
      </c>
      <c r="D53" s="3" t="s">
        <v>30</v>
      </c>
      <c r="E53" s="3" t="s">
        <v>31</v>
      </c>
      <c r="F53" s="3" t="s">
        <v>377</v>
      </c>
      <c r="G53" s="3" t="s">
        <v>378</v>
      </c>
      <c r="H53" s="3"/>
      <c r="I53" s="3">
        <v>3016087224</v>
      </c>
      <c r="J53" s="3"/>
      <c r="K53" s="3"/>
      <c r="L53" s="3" t="s">
        <v>379</v>
      </c>
      <c r="M53" s="3" t="s">
        <v>286</v>
      </c>
      <c r="N53" s="3" t="s">
        <v>35</v>
      </c>
      <c r="O53" s="3"/>
      <c r="P53" s="3">
        <v>1</v>
      </c>
      <c r="Q53" s="3">
        <v>25</v>
      </c>
      <c r="R53" s="3" t="s">
        <v>380</v>
      </c>
      <c r="S53" s="3" t="s">
        <v>38</v>
      </c>
      <c r="T53" s="3" t="s">
        <v>381</v>
      </c>
      <c r="U53" s="3"/>
      <c r="V53" s="3"/>
      <c r="W53" s="3"/>
      <c r="X53" s="3"/>
      <c r="Y53" s="3"/>
      <c r="Z53" s="3"/>
      <c r="AA53" s="3"/>
      <c r="AB53" s="3"/>
      <c r="AC53" s="3"/>
      <c r="AD53" s="3"/>
      <c r="AE53" s="3" t="s">
        <v>379</v>
      </c>
      <c r="AF53" s="1"/>
      <c r="AG53" s="1"/>
      <c r="AH53" s="1"/>
      <c r="AI53" s="1"/>
      <c r="AJ53" s="1"/>
    </row>
    <row r="54" spans="1:36" x14ac:dyDescent="0.2">
      <c r="A54" s="2">
        <v>44724.552765370376</v>
      </c>
      <c r="B54" s="3" t="s">
        <v>105</v>
      </c>
      <c r="C54" s="3">
        <v>3127400513</v>
      </c>
      <c r="D54" s="3" t="s">
        <v>30</v>
      </c>
      <c r="E54" s="3" t="s">
        <v>31</v>
      </c>
      <c r="F54" s="3" t="s">
        <v>382</v>
      </c>
      <c r="G54" s="3" t="s">
        <v>383</v>
      </c>
      <c r="H54" s="3"/>
      <c r="I54" s="3">
        <v>3014758711</v>
      </c>
      <c r="J54" s="3"/>
      <c r="K54" s="3"/>
      <c r="L54" s="3" t="s">
        <v>214</v>
      </c>
      <c r="M54" s="3" t="s">
        <v>292</v>
      </c>
      <c r="N54" s="3" t="s">
        <v>35</v>
      </c>
      <c r="O54" s="3"/>
      <c r="P54" s="3">
        <v>1</v>
      </c>
      <c r="Q54" s="3">
        <v>45</v>
      </c>
      <c r="R54" s="3" t="s">
        <v>384</v>
      </c>
      <c r="S54" s="3" t="s">
        <v>38</v>
      </c>
      <c r="T54" s="3" t="s">
        <v>132</v>
      </c>
      <c r="U54" s="3"/>
      <c r="V54" s="3"/>
      <c r="W54" s="3"/>
      <c r="X54" s="3"/>
      <c r="Y54" s="3"/>
      <c r="Z54" s="3"/>
      <c r="AA54" s="3"/>
      <c r="AB54" s="3"/>
      <c r="AC54" s="3" t="s">
        <v>385</v>
      </c>
      <c r="AD54" s="3"/>
      <c r="AE54" s="3" t="s">
        <v>214</v>
      </c>
      <c r="AF54" s="1"/>
      <c r="AG54" s="1"/>
      <c r="AH54" s="1"/>
      <c r="AI54" s="1"/>
      <c r="AJ54" s="1"/>
    </row>
    <row r="55" spans="1:36" x14ac:dyDescent="0.2">
      <c r="A55" s="2">
        <v>44724.67476130787</v>
      </c>
      <c r="B55" s="3" t="s">
        <v>198</v>
      </c>
      <c r="C55" s="3">
        <v>3017674995</v>
      </c>
      <c r="D55" s="3" t="s">
        <v>30</v>
      </c>
      <c r="E55" s="3" t="s">
        <v>31</v>
      </c>
      <c r="F55" s="3">
        <v>2</v>
      </c>
      <c r="G55" s="3" t="s">
        <v>386</v>
      </c>
      <c r="H55" s="3"/>
      <c r="I55" s="3">
        <v>3205677376</v>
      </c>
      <c r="J55" s="3"/>
      <c r="K55" s="3"/>
      <c r="L55" s="3" t="s">
        <v>267</v>
      </c>
      <c r="M55" s="3" t="s">
        <v>267</v>
      </c>
      <c r="N55" s="3" t="s">
        <v>35</v>
      </c>
      <c r="O55" s="3"/>
      <c r="P55" s="3">
        <v>4</v>
      </c>
      <c r="Q55" s="3" t="s">
        <v>387</v>
      </c>
      <c r="R55" s="3" t="s">
        <v>318</v>
      </c>
      <c r="S55" s="3" t="s">
        <v>110</v>
      </c>
      <c r="T55" s="3" t="s">
        <v>35</v>
      </c>
      <c r="U55" s="3"/>
      <c r="V55" s="3"/>
      <c r="W55" s="3"/>
      <c r="X55" s="3"/>
      <c r="Y55" s="3"/>
      <c r="Z55" s="3"/>
      <c r="AA55" s="3"/>
      <c r="AB55" s="3"/>
      <c r="AC55" s="3" t="s">
        <v>388</v>
      </c>
      <c r="AD55" s="3"/>
      <c r="AE55" s="3" t="s">
        <v>267</v>
      </c>
      <c r="AF55" s="1"/>
      <c r="AG55" s="1"/>
      <c r="AH55" s="1"/>
      <c r="AI55" s="1"/>
      <c r="AJ55" s="1"/>
    </row>
    <row r="56" spans="1:36" x14ac:dyDescent="0.2">
      <c r="A56" s="2">
        <v>44738.544281168986</v>
      </c>
      <c r="B56" s="3" t="s">
        <v>389</v>
      </c>
      <c r="C56" s="3">
        <v>3194316889</v>
      </c>
      <c r="D56" s="3" t="s">
        <v>30</v>
      </c>
      <c r="E56" s="3" t="s">
        <v>31</v>
      </c>
      <c r="F56" s="3">
        <v>4</v>
      </c>
      <c r="G56" s="3" t="s">
        <v>390</v>
      </c>
      <c r="H56" s="3"/>
      <c r="I56" s="3">
        <v>3123694934</v>
      </c>
      <c r="J56" s="3" t="s">
        <v>391</v>
      </c>
      <c r="K56" s="3">
        <v>3128285525</v>
      </c>
      <c r="L56" s="3" t="s">
        <v>92</v>
      </c>
      <c r="M56" s="3" t="s">
        <v>92</v>
      </c>
      <c r="N56" s="3" t="s">
        <v>35</v>
      </c>
      <c r="O56" s="3"/>
      <c r="P56" s="3">
        <v>2</v>
      </c>
      <c r="Q56" s="9" t="s">
        <v>392</v>
      </c>
      <c r="R56" s="3" t="s">
        <v>393</v>
      </c>
      <c r="S56" s="3" t="s">
        <v>110</v>
      </c>
      <c r="T56" s="3" t="s">
        <v>132</v>
      </c>
      <c r="U56" s="3"/>
      <c r="V56" s="3"/>
      <c r="W56" s="3"/>
      <c r="X56" s="3"/>
      <c r="Y56" s="3"/>
      <c r="Z56" s="3"/>
      <c r="AA56" s="3"/>
      <c r="AB56" s="3"/>
      <c r="AC56" s="3"/>
      <c r="AD56" s="3"/>
      <c r="AE56" s="3" t="s">
        <v>92</v>
      </c>
      <c r="AF56" s="1"/>
      <c r="AG56" s="1"/>
      <c r="AH56" s="1"/>
      <c r="AI56" s="1"/>
      <c r="AJ56" s="1"/>
    </row>
    <row r="57" spans="1:36" x14ac:dyDescent="0.2">
      <c r="A57" s="2">
        <v>44738.546962916662</v>
      </c>
      <c r="B57" s="3" t="s">
        <v>389</v>
      </c>
      <c r="C57" s="3">
        <v>3194316880</v>
      </c>
      <c r="D57" s="3" t="s">
        <v>30</v>
      </c>
      <c r="E57" s="3" t="s">
        <v>31</v>
      </c>
      <c r="F57" s="3" t="s">
        <v>56</v>
      </c>
      <c r="G57" s="3" t="s">
        <v>394</v>
      </c>
      <c r="H57" s="3"/>
      <c r="I57" s="3">
        <v>3007130003</v>
      </c>
      <c r="J57" s="3" t="s">
        <v>395</v>
      </c>
      <c r="K57" s="3">
        <v>3127717052</v>
      </c>
      <c r="L57" s="3">
        <v>7</v>
      </c>
      <c r="M57" s="3">
        <v>7</v>
      </c>
      <c r="N57" s="3" t="s">
        <v>35</v>
      </c>
      <c r="O57" s="3"/>
      <c r="P57" s="3">
        <v>4</v>
      </c>
      <c r="Q57" s="3" t="s">
        <v>396</v>
      </c>
      <c r="R57" s="3" t="s">
        <v>397</v>
      </c>
      <c r="S57" s="3" t="s">
        <v>38</v>
      </c>
      <c r="T57" s="3" t="s">
        <v>132</v>
      </c>
      <c r="U57" s="3"/>
      <c r="V57" s="3"/>
      <c r="W57" s="3"/>
      <c r="X57" s="3"/>
      <c r="Y57" s="3"/>
      <c r="Z57" s="3"/>
      <c r="AA57" s="3"/>
      <c r="AB57" s="3"/>
      <c r="AC57" s="3"/>
      <c r="AD57" s="3"/>
      <c r="AE57" s="3">
        <v>7</v>
      </c>
      <c r="AF57" s="1"/>
      <c r="AG57" s="1"/>
      <c r="AH57" s="1"/>
      <c r="AI57" s="1"/>
      <c r="AJ57" s="1"/>
    </row>
    <row r="58" spans="1:36" x14ac:dyDescent="0.2">
      <c r="A58" s="2">
        <v>44738.551023344902</v>
      </c>
      <c r="B58" s="3" t="s">
        <v>389</v>
      </c>
      <c r="C58" s="3">
        <v>3194316880</v>
      </c>
      <c r="D58" s="3" t="s">
        <v>30</v>
      </c>
      <c r="E58" s="3" t="s">
        <v>31</v>
      </c>
      <c r="F58" s="3" t="s">
        <v>56</v>
      </c>
      <c r="G58" s="3" t="s">
        <v>398</v>
      </c>
      <c r="H58" s="3"/>
      <c r="I58" s="3">
        <v>3113083936</v>
      </c>
      <c r="J58" s="3" t="s">
        <v>399</v>
      </c>
      <c r="K58" s="3">
        <v>3005941351</v>
      </c>
      <c r="L58" s="3" t="s">
        <v>400</v>
      </c>
      <c r="M58" s="3" t="s">
        <v>379</v>
      </c>
      <c r="N58" s="3" t="s">
        <v>35</v>
      </c>
      <c r="O58" s="3"/>
      <c r="P58" s="3">
        <v>4</v>
      </c>
      <c r="Q58" s="3" t="s">
        <v>401</v>
      </c>
      <c r="R58" s="3" t="s">
        <v>402</v>
      </c>
      <c r="S58" s="3" t="s">
        <v>38</v>
      </c>
      <c r="T58" s="3" t="s">
        <v>132</v>
      </c>
      <c r="U58" s="3"/>
      <c r="V58" s="3"/>
      <c r="W58" s="3"/>
      <c r="X58" s="3"/>
      <c r="Y58" s="3"/>
      <c r="Z58" s="3"/>
      <c r="AA58" s="3"/>
      <c r="AB58" s="3"/>
      <c r="AC58" s="3"/>
      <c r="AD58" s="3"/>
      <c r="AE58" s="3" t="s">
        <v>400</v>
      </c>
      <c r="AF58" s="1"/>
      <c r="AG58" s="1"/>
      <c r="AH58" s="1"/>
      <c r="AI58" s="1"/>
      <c r="AJ58" s="1"/>
    </row>
    <row r="59" spans="1:36" x14ac:dyDescent="0.2">
      <c r="A59" s="2">
        <v>44745.537037407412</v>
      </c>
      <c r="B59" s="3" t="s">
        <v>403</v>
      </c>
      <c r="C59" s="3">
        <v>3194316880</v>
      </c>
      <c r="D59" s="3" t="s">
        <v>30</v>
      </c>
      <c r="E59" s="3" t="s">
        <v>31</v>
      </c>
      <c r="F59" s="3" t="s">
        <v>164</v>
      </c>
      <c r="G59" s="3" t="s">
        <v>404</v>
      </c>
      <c r="H59" s="3"/>
      <c r="I59" s="3">
        <v>3117843858</v>
      </c>
      <c r="J59" s="3" t="s">
        <v>405</v>
      </c>
      <c r="K59" s="3">
        <v>3007676176</v>
      </c>
      <c r="L59" s="3">
        <v>22</v>
      </c>
      <c r="M59" s="3">
        <v>22</v>
      </c>
      <c r="N59" s="3" t="s">
        <v>35</v>
      </c>
      <c r="O59" s="3"/>
      <c r="P59" s="3">
        <v>2</v>
      </c>
      <c r="Q59" s="3" t="s">
        <v>406</v>
      </c>
      <c r="R59" s="3" t="s">
        <v>407</v>
      </c>
      <c r="S59" s="3" t="s">
        <v>38</v>
      </c>
      <c r="T59" s="3" t="s">
        <v>132</v>
      </c>
      <c r="U59" s="3"/>
      <c r="V59" s="3"/>
      <c r="W59" s="3"/>
      <c r="X59" s="3"/>
      <c r="Y59" s="3"/>
      <c r="Z59" s="3"/>
      <c r="AA59" s="3"/>
      <c r="AB59" s="3"/>
      <c r="AC59" s="3"/>
      <c r="AD59" s="3"/>
      <c r="AE59" s="3">
        <v>22</v>
      </c>
      <c r="AF59" s="1"/>
      <c r="AG59" s="1"/>
      <c r="AH59" s="1"/>
      <c r="AI59" s="1"/>
      <c r="AJ59" s="1"/>
    </row>
    <row r="60" spans="1:36" x14ac:dyDescent="0.2">
      <c r="A60" s="2">
        <v>44745.74700993055</v>
      </c>
      <c r="B60" s="3" t="s">
        <v>29</v>
      </c>
      <c r="C60" s="3">
        <v>3213856495</v>
      </c>
      <c r="D60" s="3" t="s">
        <v>30</v>
      </c>
      <c r="E60" s="3" t="s">
        <v>31</v>
      </c>
      <c r="F60" s="3" t="s">
        <v>32</v>
      </c>
      <c r="G60" s="3" t="s">
        <v>408</v>
      </c>
      <c r="H60" s="3"/>
      <c r="I60" s="3">
        <v>3127327282</v>
      </c>
      <c r="J60" s="3" t="s">
        <v>409</v>
      </c>
      <c r="K60" s="3">
        <v>3126023501</v>
      </c>
      <c r="L60" s="3" t="s">
        <v>180</v>
      </c>
      <c r="M60" s="3" t="s">
        <v>180</v>
      </c>
      <c r="N60" s="3" t="s">
        <v>35</v>
      </c>
      <c r="O60" s="3"/>
      <c r="P60" s="3">
        <v>2</v>
      </c>
      <c r="Q60" s="3" t="s">
        <v>410</v>
      </c>
      <c r="R60" s="3" t="s">
        <v>411</v>
      </c>
      <c r="S60" s="3" t="s">
        <v>38</v>
      </c>
      <c r="T60" s="3">
        <v>1070000</v>
      </c>
      <c r="U60" s="3"/>
      <c r="V60" s="3"/>
      <c r="W60" s="3"/>
      <c r="X60" s="3"/>
      <c r="Y60" s="3"/>
      <c r="Z60" s="3"/>
      <c r="AA60" s="3"/>
      <c r="AB60" s="3"/>
      <c r="AC60" s="3"/>
      <c r="AD60" s="3"/>
      <c r="AE60" s="3" t="s">
        <v>180</v>
      </c>
      <c r="AF60" s="1"/>
      <c r="AG60" s="1"/>
      <c r="AH60" s="1"/>
      <c r="AI60" s="1"/>
      <c r="AJ60" s="1"/>
    </row>
    <row r="61" spans="1:36" x14ac:dyDescent="0.2">
      <c r="A61" s="2">
        <v>44755.734150995369</v>
      </c>
      <c r="B61" s="3" t="s">
        <v>403</v>
      </c>
      <c r="C61" s="3">
        <v>3194316880</v>
      </c>
      <c r="D61" s="3" t="s">
        <v>30</v>
      </c>
      <c r="E61" s="3" t="s">
        <v>31</v>
      </c>
      <c r="F61" s="3">
        <v>2</v>
      </c>
      <c r="G61" s="3" t="s">
        <v>412</v>
      </c>
      <c r="H61" s="3"/>
      <c r="I61" s="3">
        <v>3022156174</v>
      </c>
      <c r="J61" s="3" t="s">
        <v>413</v>
      </c>
      <c r="K61" s="3">
        <v>3117849621</v>
      </c>
      <c r="L61" s="3" t="s">
        <v>414</v>
      </c>
      <c r="M61" s="3" t="s">
        <v>180</v>
      </c>
      <c r="N61" s="3" t="s">
        <v>35</v>
      </c>
      <c r="O61" s="3"/>
      <c r="P61" s="3">
        <v>1</v>
      </c>
      <c r="Q61" s="3">
        <v>63</v>
      </c>
      <c r="R61" s="3" t="s">
        <v>415</v>
      </c>
      <c r="S61" s="3" t="s">
        <v>38</v>
      </c>
      <c r="T61" s="3" t="s">
        <v>132</v>
      </c>
      <c r="U61" s="3"/>
      <c r="V61" s="3"/>
      <c r="W61" s="3"/>
      <c r="X61" s="3"/>
      <c r="Y61" s="3"/>
      <c r="Z61" s="3"/>
      <c r="AA61" s="3"/>
      <c r="AB61" s="3"/>
      <c r="AC61" s="3"/>
      <c r="AD61" s="3"/>
      <c r="AE61" s="3" t="s">
        <v>414</v>
      </c>
      <c r="AF61" s="1"/>
      <c r="AG61" s="1"/>
      <c r="AH61" s="1"/>
      <c r="AI61" s="1"/>
      <c r="AJ61" s="1"/>
    </row>
    <row r="62" spans="1:36" x14ac:dyDescent="0.2">
      <c r="A62" s="2">
        <v>44755.736432905091</v>
      </c>
      <c r="B62" s="3" t="s">
        <v>416</v>
      </c>
      <c r="C62" s="3">
        <v>3242310729</v>
      </c>
      <c r="D62" s="3" t="s">
        <v>30</v>
      </c>
      <c r="E62" s="3" t="s">
        <v>31</v>
      </c>
      <c r="F62" s="3" t="s">
        <v>417</v>
      </c>
      <c r="G62" s="3" t="s">
        <v>418</v>
      </c>
      <c r="H62" s="3"/>
      <c r="I62" s="3">
        <v>3004823138</v>
      </c>
      <c r="J62" s="3" t="s">
        <v>419</v>
      </c>
      <c r="K62" s="3">
        <v>3043568002</v>
      </c>
      <c r="L62" s="3" t="s">
        <v>372</v>
      </c>
      <c r="M62" s="3" t="s">
        <v>372</v>
      </c>
      <c r="N62" s="3" t="s">
        <v>35</v>
      </c>
      <c r="O62" s="3"/>
      <c r="P62" s="3">
        <v>5</v>
      </c>
      <c r="Q62" s="3" t="s">
        <v>420</v>
      </c>
      <c r="R62" s="3" t="s">
        <v>421</v>
      </c>
      <c r="S62" s="3" t="s">
        <v>38</v>
      </c>
      <c r="T62" s="3" t="s">
        <v>422</v>
      </c>
      <c r="U62" s="3"/>
      <c r="V62" s="3"/>
      <c r="W62" s="3"/>
      <c r="X62" s="3"/>
      <c r="Y62" s="3"/>
      <c r="Z62" s="3"/>
      <c r="AA62" s="3"/>
      <c r="AB62" s="3"/>
      <c r="AC62" s="3" t="s">
        <v>423</v>
      </c>
      <c r="AD62" s="3"/>
      <c r="AE62" s="3" t="s">
        <v>372</v>
      </c>
      <c r="AF62" s="1"/>
      <c r="AG62" s="1"/>
      <c r="AH62" s="1"/>
      <c r="AI62" s="1"/>
      <c r="AJ62" s="1"/>
    </row>
    <row r="63" spans="1:36" x14ac:dyDescent="0.2">
      <c r="A63" s="2">
        <v>44757.468779849536</v>
      </c>
      <c r="B63" s="3" t="s">
        <v>424</v>
      </c>
      <c r="C63" s="3">
        <v>3113762725</v>
      </c>
      <c r="D63" s="3" t="s">
        <v>30</v>
      </c>
      <c r="E63" s="3" t="s">
        <v>31</v>
      </c>
      <c r="F63" s="3">
        <v>4</v>
      </c>
      <c r="G63" s="3" t="s">
        <v>425</v>
      </c>
      <c r="H63" s="3"/>
      <c r="I63" s="3">
        <v>3016617420</v>
      </c>
      <c r="J63" s="3" t="s">
        <v>426</v>
      </c>
      <c r="K63" s="3"/>
      <c r="L63" s="3">
        <v>16</v>
      </c>
      <c r="M63" s="3">
        <v>16</v>
      </c>
      <c r="N63" s="3" t="s">
        <v>35</v>
      </c>
      <c r="O63" s="3"/>
      <c r="P63" s="3">
        <v>5</v>
      </c>
      <c r="Q63" s="3" t="s">
        <v>427</v>
      </c>
      <c r="R63" s="3" t="s">
        <v>428</v>
      </c>
      <c r="S63" s="3" t="s">
        <v>38</v>
      </c>
      <c r="T63" s="3" t="s">
        <v>429</v>
      </c>
      <c r="U63" s="3"/>
      <c r="V63" s="3"/>
      <c r="W63" s="3"/>
      <c r="X63" s="3"/>
      <c r="Y63" s="3"/>
      <c r="Z63" s="3"/>
      <c r="AA63" s="3"/>
      <c r="AB63" s="3"/>
      <c r="AC63" s="3" t="s">
        <v>430</v>
      </c>
      <c r="AD63" s="3"/>
      <c r="AE63" s="3">
        <v>16</v>
      </c>
      <c r="AF63" s="1"/>
      <c r="AG63" s="1"/>
      <c r="AH63" s="1"/>
      <c r="AI63" s="1"/>
      <c r="AJ63" s="1"/>
    </row>
    <row r="64" spans="1:36" x14ac:dyDescent="0.2">
      <c r="A64" s="2">
        <v>44757.54671170139</v>
      </c>
      <c r="B64" s="3" t="s">
        <v>55</v>
      </c>
      <c r="C64" s="3">
        <v>3502418455</v>
      </c>
      <c r="D64" s="3" t="s">
        <v>30</v>
      </c>
      <c r="E64" s="3" t="s">
        <v>31</v>
      </c>
      <c r="F64" s="3" t="s">
        <v>164</v>
      </c>
      <c r="G64" s="3" t="s">
        <v>431</v>
      </c>
      <c r="H64" s="3"/>
      <c r="I64" s="3">
        <v>3007378377</v>
      </c>
      <c r="J64" s="3">
        <v>3246296014</v>
      </c>
      <c r="K64" s="3"/>
      <c r="L64" s="3">
        <v>18</v>
      </c>
      <c r="M64" s="3">
        <v>18</v>
      </c>
      <c r="N64" s="3" t="s">
        <v>35</v>
      </c>
      <c r="O64" s="3"/>
      <c r="P64" s="3">
        <v>3</v>
      </c>
      <c r="Q64" s="3" t="s">
        <v>432</v>
      </c>
      <c r="R64" s="3" t="s">
        <v>433</v>
      </c>
      <c r="S64" s="3" t="s">
        <v>38</v>
      </c>
      <c r="T64" s="3" t="s">
        <v>35</v>
      </c>
      <c r="U64" s="3"/>
      <c r="V64" s="3"/>
      <c r="W64" s="3"/>
      <c r="X64" s="3"/>
      <c r="Y64" s="3"/>
      <c r="Z64" s="3"/>
      <c r="AA64" s="3"/>
      <c r="AB64" s="3"/>
      <c r="AC64" s="3"/>
      <c r="AD64" s="3"/>
      <c r="AE64" s="3">
        <v>18</v>
      </c>
      <c r="AF64" s="1"/>
      <c r="AG64" s="1"/>
      <c r="AH64" s="1"/>
      <c r="AI64" s="1"/>
      <c r="AJ64" s="1"/>
    </row>
    <row r="65" spans="1:36" x14ac:dyDescent="0.2">
      <c r="A65" s="2">
        <v>44757.643545162035</v>
      </c>
      <c r="B65" s="3" t="s">
        <v>434</v>
      </c>
      <c r="C65" s="3">
        <v>3113762725</v>
      </c>
      <c r="D65" s="3" t="s">
        <v>30</v>
      </c>
      <c r="E65" s="3" t="s">
        <v>31</v>
      </c>
      <c r="F65" s="3">
        <v>4</v>
      </c>
      <c r="G65" s="3" t="s">
        <v>435</v>
      </c>
      <c r="H65" s="3"/>
      <c r="I65" s="3">
        <v>3005718712</v>
      </c>
      <c r="J65" s="3"/>
      <c r="K65" s="3"/>
      <c r="L65" s="3" t="s">
        <v>181</v>
      </c>
      <c r="M65" s="3" t="s">
        <v>436</v>
      </c>
      <c r="N65" s="3" t="s">
        <v>35</v>
      </c>
      <c r="O65" s="3"/>
      <c r="P65" s="3">
        <v>5</v>
      </c>
      <c r="Q65" s="3" t="s">
        <v>437</v>
      </c>
      <c r="R65" s="3" t="s">
        <v>438</v>
      </c>
      <c r="S65" s="3" t="s">
        <v>38</v>
      </c>
      <c r="T65" s="3" t="s">
        <v>132</v>
      </c>
      <c r="U65" s="3"/>
      <c r="V65" s="3"/>
      <c r="W65" s="3"/>
      <c r="X65" s="3"/>
      <c r="Y65" s="3"/>
      <c r="Z65" s="3"/>
      <c r="AA65" s="3"/>
      <c r="AB65" s="3"/>
      <c r="AC65" s="3"/>
      <c r="AD65" s="3"/>
      <c r="AE65" s="3" t="s">
        <v>181</v>
      </c>
      <c r="AF65" s="1"/>
      <c r="AG65" s="1"/>
      <c r="AH65" s="1"/>
      <c r="AI65" s="1"/>
      <c r="AJ65" s="1"/>
    </row>
    <row r="66" spans="1:36" x14ac:dyDescent="0.2">
      <c r="A66" s="5">
        <v>44765.481309560186</v>
      </c>
      <c r="B66" s="1" t="s">
        <v>29</v>
      </c>
      <c r="C66" s="1">
        <v>3213856495</v>
      </c>
      <c r="D66" s="1" t="s">
        <v>79</v>
      </c>
      <c r="E66" s="1" t="s">
        <v>190</v>
      </c>
      <c r="F66" s="1" t="s">
        <v>439</v>
      </c>
      <c r="G66" s="1" t="s">
        <v>440</v>
      </c>
      <c r="H66" s="1"/>
      <c r="I66" s="1">
        <v>3205518368</v>
      </c>
      <c r="J66" s="1" t="s">
        <v>441</v>
      </c>
      <c r="K66" s="1">
        <v>3148385554</v>
      </c>
      <c r="L66" s="1" t="s">
        <v>158</v>
      </c>
      <c r="M66" s="1" t="s">
        <v>158</v>
      </c>
      <c r="N66" s="1" t="s">
        <v>35</v>
      </c>
      <c r="O66" s="1"/>
      <c r="P66" s="1">
        <v>4</v>
      </c>
      <c r="Q66" s="1" t="s">
        <v>442</v>
      </c>
      <c r="R66" s="1" t="s">
        <v>443</v>
      </c>
      <c r="S66" s="1" t="s">
        <v>110</v>
      </c>
      <c r="T66" s="1">
        <v>800000</v>
      </c>
      <c r="U66" s="1"/>
      <c r="V66" s="1"/>
      <c r="W66" s="1"/>
      <c r="X66" s="1"/>
      <c r="Y66" s="1"/>
      <c r="Z66" s="1"/>
      <c r="AA66" s="1"/>
      <c r="AB66" s="1"/>
      <c r="AC66" s="1" t="s">
        <v>444</v>
      </c>
      <c r="AD66" s="1"/>
      <c r="AE66" s="1" t="s">
        <v>158</v>
      </c>
      <c r="AF66" s="1"/>
      <c r="AG66" s="1"/>
      <c r="AH66" s="1"/>
      <c r="AI66" s="1"/>
      <c r="AJ66" s="1"/>
    </row>
    <row r="67" spans="1:36" x14ac:dyDescent="0.2">
      <c r="A67" s="5">
        <v>44765.485842210648</v>
      </c>
      <c r="B67" s="1" t="s">
        <v>29</v>
      </c>
      <c r="C67" s="1">
        <v>3213856495</v>
      </c>
      <c r="D67" s="1" t="s">
        <v>79</v>
      </c>
      <c r="E67" s="1" t="s">
        <v>190</v>
      </c>
      <c r="F67" s="1" t="s">
        <v>445</v>
      </c>
      <c r="G67" s="1" t="s">
        <v>446</v>
      </c>
      <c r="H67" s="1"/>
      <c r="I67" s="1">
        <v>3164956539</v>
      </c>
      <c r="J67" s="1" t="s">
        <v>447</v>
      </c>
      <c r="K67" s="1">
        <v>3209075217</v>
      </c>
      <c r="L67" s="1" t="s">
        <v>214</v>
      </c>
      <c r="M67" s="1" t="s">
        <v>181</v>
      </c>
      <c r="N67" s="1" t="s">
        <v>35</v>
      </c>
      <c r="O67" s="1"/>
      <c r="P67" s="1">
        <v>3</v>
      </c>
      <c r="Q67" s="1" t="s">
        <v>448</v>
      </c>
      <c r="R67" s="1" t="s">
        <v>449</v>
      </c>
      <c r="S67" s="1" t="s">
        <v>110</v>
      </c>
      <c r="T67" s="1">
        <v>700000</v>
      </c>
      <c r="U67" s="1"/>
      <c r="V67" s="1"/>
      <c r="W67" s="1"/>
      <c r="X67" s="1"/>
      <c r="Y67" s="1"/>
      <c r="Z67" s="1"/>
      <c r="AA67" s="1"/>
      <c r="AB67" s="1"/>
      <c r="AC67" s="1"/>
      <c r="AD67" s="1"/>
      <c r="AE67" s="1" t="s">
        <v>214</v>
      </c>
      <c r="AF67" s="1"/>
      <c r="AG67" s="1"/>
      <c r="AH67" s="1"/>
      <c r="AI67" s="1"/>
      <c r="AJ67" s="1"/>
    </row>
    <row r="68" spans="1:36" x14ac:dyDescent="0.2">
      <c r="A68" s="5">
        <v>44765.497384444447</v>
      </c>
      <c r="B68" s="1" t="s">
        <v>450</v>
      </c>
      <c r="C68" s="1">
        <v>3016234523</v>
      </c>
      <c r="D68" s="1" t="s">
        <v>79</v>
      </c>
      <c r="E68" s="1" t="s">
        <v>190</v>
      </c>
      <c r="F68" s="1" t="s">
        <v>451</v>
      </c>
      <c r="G68" s="1" t="s">
        <v>452</v>
      </c>
      <c r="H68" s="1"/>
      <c r="I68" s="1">
        <v>3183337047</v>
      </c>
      <c r="J68" s="1"/>
      <c r="K68" s="1"/>
      <c r="L68" s="1">
        <v>5</v>
      </c>
      <c r="M68" s="1">
        <v>5</v>
      </c>
      <c r="N68" s="1" t="s">
        <v>35</v>
      </c>
      <c r="O68" s="1"/>
      <c r="P68" s="1">
        <v>6</v>
      </c>
      <c r="Q68" s="1">
        <v>30</v>
      </c>
      <c r="R68" s="1" t="s">
        <v>453</v>
      </c>
      <c r="S68" s="1" t="s">
        <v>110</v>
      </c>
      <c r="T68" s="1" t="s">
        <v>132</v>
      </c>
      <c r="U68" s="1"/>
      <c r="V68" s="1"/>
      <c r="W68" s="1"/>
      <c r="X68" s="1"/>
      <c r="Y68" s="1"/>
      <c r="Z68" s="1"/>
      <c r="AA68" s="1"/>
      <c r="AB68" s="1"/>
      <c r="AC68" s="1"/>
      <c r="AD68" s="1"/>
      <c r="AE68" s="1">
        <v>5</v>
      </c>
      <c r="AF68" s="1"/>
      <c r="AG68" s="1"/>
      <c r="AH68" s="1"/>
      <c r="AI68" s="1"/>
      <c r="AJ68" s="1"/>
    </row>
    <row r="69" spans="1:36" x14ac:dyDescent="0.2">
      <c r="A69" s="5">
        <v>44765.520791064817</v>
      </c>
      <c r="B69" s="1" t="s">
        <v>454</v>
      </c>
      <c r="C69" s="1">
        <v>3175749041</v>
      </c>
      <c r="D69" s="1" t="s">
        <v>79</v>
      </c>
      <c r="E69" s="1" t="s">
        <v>190</v>
      </c>
      <c r="F69" s="1" t="s">
        <v>451</v>
      </c>
      <c r="G69" s="1" t="s">
        <v>455</v>
      </c>
      <c r="H69" s="1"/>
      <c r="I69" s="1">
        <v>3042731974</v>
      </c>
      <c r="J69" s="1"/>
      <c r="K69" s="1"/>
      <c r="L69" s="1">
        <v>5</v>
      </c>
      <c r="M69" s="1">
        <v>3</v>
      </c>
      <c r="N69" s="1" t="s">
        <v>132</v>
      </c>
      <c r="O69" s="1"/>
      <c r="P69" s="1">
        <v>7</v>
      </c>
      <c r="Q69" s="1" t="s">
        <v>456</v>
      </c>
      <c r="R69" s="1" t="s">
        <v>457</v>
      </c>
      <c r="S69" s="1" t="s">
        <v>110</v>
      </c>
      <c r="T69" s="1">
        <v>1000000</v>
      </c>
      <c r="U69" s="1"/>
      <c r="V69" s="1"/>
      <c r="W69" s="1"/>
      <c r="X69" s="1"/>
      <c r="Y69" s="1"/>
      <c r="Z69" s="1"/>
      <c r="AA69" s="1"/>
      <c r="AB69" s="1"/>
      <c r="AC69" s="1" t="s">
        <v>458</v>
      </c>
      <c r="AD69" s="1"/>
      <c r="AE69" s="1">
        <v>5</v>
      </c>
      <c r="AF69" s="1"/>
      <c r="AG69" s="1"/>
      <c r="AH69" s="1"/>
      <c r="AI69" s="1"/>
      <c r="AJ69" s="1"/>
    </row>
    <row r="70" spans="1:36" x14ac:dyDescent="0.2">
      <c r="A70" s="2">
        <v>44771.566005416666</v>
      </c>
      <c r="B70" s="3" t="s">
        <v>459</v>
      </c>
      <c r="C70" s="3">
        <v>3148389903</v>
      </c>
      <c r="D70" s="3" t="s">
        <v>30</v>
      </c>
      <c r="E70" s="3" t="s">
        <v>31</v>
      </c>
      <c r="F70" s="3">
        <v>2</v>
      </c>
      <c r="G70" s="3" t="s">
        <v>460</v>
      </c>
      <c r="H70" s="3"/>
      <c r="I70" s="3">
        <v>3012364960</v>
      </c>
      <c r="J70" s="3"/>
      <c r="K70" s="3"/>
      <c r="L70" s="3">
        <v>19</v>
      </c>
      <c r="M70" s="3">
        <v>17</v>
      </c>
      <c r="N70" s="3" t="s">
        <v>35</v>
      </c>
      <c r="O70" s="3"/>
      <c r="P70" s="3">
        <v>7</v>
      </c>
      <c r="Q70" s="3" t="s">
        <v>461</v>
      </c>
      <c r="R70" s="3" t="s">
        <v>462</v>
      </c>
      <c r="S70" s="3" t="s">
        <v>38</v>
      </c>
      <c r="T70" s="3" t="s">
        <v>132</v>
      </c>
      <c r="U70" s="3"/>
      <c r="V70" s="3"/>
      <c r="W70" s="3"/>
      <c r="X70" s="3"/>
      <c r="Y70" s="3"/>
      <c r="Z70" s="3"/>
      <c r="AA70" s="3"/>
      <c r="AB70" s="3"/>
      <c r="AC70" s="3"/>
      <c r="AD70" s="3"/>
      <c r="AE70" s="3">
        <v>19</v>
      </c>
      <c r="AF70" s="1"/>
      <c r="AG70" s="1"/>
      <c r="AH70" s="1"/>
      <c r="AI70" s="1"/>
      <c r="AJ70" s="1"/>
    </row>
    <row r="71" spans="1:36" x14ac:dyDescent="0.2">
      <c r="A71" s="2">
        <v>44771.570556331018</v>
      </c>
      <c r="B71" s="3" t="s">
        <v>463</v>
      </c>
      <c r="C71" s="3">
        <v>3148389903</v>
      </c>
      <c r="D71" s="3" t="s">
        <v>30</v>
      </c>
      <c r="E71" s="3" t="s">
        <v>31</v>
      </c>
      <c r="F71" s="3">
        <v>4</v>
      </c>
      <c r="G71" s="3" t="s">
        <v>464</v>
      </c>
      <c r="H71" s="3"/>
      <c r="I71" s="3">
        <v>3216956922</v>
      </c>
      <c r="J71" s="3" t="s">
        <v>465</v>
      </c>
      <c r="K71" s="3">
        <v>3214861737</v>
      </c>
      <c r="L71" s="3">
        <v>20</v>
      </c>
      <c r="M71" s="3">
        <v>10</v>
      </c>
      <c r="N71" s="3" t="s">
        <v>35</v>
      </c>
      <c r="O71" s="3"/>
      <c r="P71" s="3">
        <v>3</v>
      </c>
      <c r="Q71" s="3" t="s">
        <v>466</v>
      </c>
      <c r="R71" s="3" t="s">
        <v>467</v>
      </c>
      <c r="S71" s="3" t="s">
        <v>38</v>
      </c>
      <c r="T71" s="3" t="s">
        <v>132</v>
      </c>
      <c r="U71" s="3"/>
      <c r="V71" s="3"/>
      <c r="W71" s="3"/>
      <c r="X71" s="3"/>
      <c r="Y71" s="3"/>
      <c r="Z71" s="3"/>
      <c r="AA71" s="3"/>
      <c r="AB71" s="3"/>
      <c r="AC71" s="3"/>
      <c r="AD71" s="3"/>
      <c r="AE71" s="3">
        <v>20</v>
      </c>
      <c r="AF71" s="1"/>
      <c r="AG71" s="1"/>
      <c r="AH71" s="1"/>
      <c r="AI71" s="1"/>
      <c r="AJ71" s="1"/>
    </row>
    <row r="72" spans="1:36" x14ac:dyDescent="0.2">
      <c r="A72" s="2">
        <v>44773.504563495371</v>
      </c>
      <c r="B72" s="3" t="s">
        <v>468</v>
      </c>
      <c r="C72" s="3">
        <v>3113305427</v>
      </c>
      <c r="D72" s="3" t="s">
        <v>30</v>
      </c>
      <c r="E72" s="3" t="s">
        <v>31</v>
      </c>
      <c r="F72" s="3" t="s">
        <v>32</v>
      </c>
      <c r="G72" s="3" t="s">
        <v>469</v>
      </c>
      <c r="H72" s="3"/>
      <c r="I72" s="3">
        <v>3005671858</v>
      </c>
      <c r="J72" s="3" t="s">
        <v>470</v>
      </c>
      <c r="K72" s="3" t="s">
        <v>471</v>
      </c>
      <c r="L72" s="3">
        <v>22</v>
      </c>
      <c r="M72" s="3">
        <v>18</v>
      </c>
      <c r="N72" s="3" t="s">
        <v>35</v>
      </c>
      <c r="O72" s="3"/>
      <c r="P72" s="3">
        <v>2</v>
      </c>
      <c r="Q72" s="3">
        <v>10.52</v>
      </c>
      <c r="R72" s="3" t="s">
        <v>472</v>
      </c>
      <c r="S72" s="3" t="s">
        <v>38</v>
      </c>
      <c r="T72" s="11">
        <v>1050000</v>
      </c>
      <c r="U72" s="3"/>
      <c r="V72" s="3"/>
      <c r="W72" s="3"/>
      <c r="X72" s="3"/>
      <c r="Y72" s="3"/>
      <c r="Z72" s="3"/>
      <c r="AA72" s="3"/>
      <c r="AB72" s="3"/>
      <c r="AC72" s="3"/>
      <c r="AD72" s="3"/>
      <c r="AE72" s="3">
        <v>22</v>
      </c>
      <c r="AF72" s="1"/>
      <c r="AG72" s="1"/>
      <c r="AH72" s="1"/>
      <c r="AI72" s="1"/>
      <c r="AJ72" s="1"/>
    </row>
    <row r="73" spans="1:36" x14ac:dyDescent="0.2">
      <c r="A73" s="5">
        <v>44779.557715057876</v>
      </c>
      <c r="B73" s="1" t="s">
        <v>233</v>
      </c>
      <c r="C73" s="1">
        <v>3003606520</v>
      </c>
      <c r="D73" s="1" t="s">
        <v>79</v>
      </c>
      <c r="E73" s="1" t="s">
        <v>190</v>
      </c>
      <c r="F73" s="1" t="s">
        <v>473</v>
      </c>
      <c r="G73" s="1" t="s">
        <v>474</v>
      </c>
      <c r="H73" s="1"/>
      <c r="I73" s="1">
        <v>3127080933</v>
      </c>
      <c r="J73" s="1" t="s">
        <v>475</v>
      </c>
      <c r="K73" s="1">
        <v>3123822490</v>
      </c>
      <c r="L73" s="1">
        <v>10</v>
      </c>
      <c r="M73" s="1">
        <v>10</v>
      </c>
      <c r="N73" s="1" t="s">
        <v>35</v>
      </c>
      <c r="O73" s="1"/>
      <c r="P73" s="1">
        <v>6</v>
      </c>
      <c r="Q73" s="1" t="s">
        <v>476</v>
      </c>
      <c r="R73" s="1" t="s">
        <v>477</v>
      </c>
      <c r="S73" s="1" t="s">
        <v>38</v>
      </c>
      <c r="T73" s="1" t="s">
        <v>132</v>
      </c>
      <c r="U73" s="1"/>
      <c r="V73" s="1"/>
      <c r="W73" s="1"/>
      <c r="X73" s="1"/>
      <c r="Y73" s="1"/>
      <c r="Z73" s="1"/>
      <c r="AA73" s="1"/>
      <c r="AB73" s="1"/>
      <c r="AC73" s="1" t="s">
        <v>478</v>
      </c>
      <c r="AD73" s="1"/>
      <c r="AE73" s="1">
        <v>10</v>
      </c>
      <c r="AF73" s="1"/>
      <c r="AG73" s="1"/>
      <c r="AH73" s="1"/>
      <c r="AI73" s="1"/>
      <c r="AJ73" s="1"/>
    </row>
    <row r="74" spans="1:36" x14ac:dyDescent="0.2">
      <c r="A74" s="5">
        <v>44779.559218645838</v>
      </c>
      <c r="B74" s="1" t="s">
        <v>479</v>
      </c>
      <c r="C74" s="1">
        <v>3025306155</v>
      </c>
      <c r="D74" s="1" t="s">
        <v>79</v>
      </c>
      <c r="E74" s="1" t="s">
        <v>190</v>
      </c>
      <c r="F74" s="1" t="s">
        <v>480</v>
      </c>
      <c r="G74" s="1" t="s">
        <v>481</v>
      </c>
      <c r="H74" s="1"/>
      <c r="I74" s="1">
        <v>3148211852</v>
      </c>
      <c r="J74" s="1" t="s">
        <v>482</v>
      </c>
      <c r="K74" s="1">
        <v>3148211852</v>
      </c>
      <c r="L74" s="1">
        <v>14</v>
      </c>
      <c r="M74" s="1">
        <v>8</v>
      </c>
      <c r="N74" s="1" t="s">
        <v>35</v>
      </c>
      <c r="O74" s="1"/>
      <c r="P74" s="1">
        <v>3</v>
      </c>
      <c r="Q74" s="1" t="s">
        <v>483</v>
      </c>
      <c r="R74" s="1" t="s">
        <v>484</v>
      </c>
      <c r="S74" s="1" t="s">
        <v>38</v>
      </c>
      <c r="T74" s="1" t="s">
        <v>485</v>
      </c>
      <c r="U74" s="1"/>
      <c r="V74" s="1"/>
      <c r="W74" s="1"/>
      <c r="X74" s="1"/>
      <c r="Y74" s="1"/>
      <c r="Z74" s="1"/>
      <c r="AA74" s="1"/>
      <c r="AB74" s="1"/>
      <c r="AC74" s="1"/>
      <c r="AD74" s="1"/>
      <c r="AE74" s="1">
        <v>14</v>
      </c>
      <c r="AF74" s="1"/>
      <c r="AG74" s="1"/>
      <c r="AH74" s="1"/>
      <c r="AI74" s="1"/>
      <c r="AJ74" s="1"/>
    </row>
    <row r="75" spans="1:36" x14ac:dyDescent="0.2">
      <c r="A75" s="5">
        <v>44779.58196059028</v>
      </c>
      <c r="B75" s="1" t="s">
        <v>479</v>
      </c>
      <c r="C75" s="1">
        <v>3025306155</v>
      </c>
      <c r="D75" s="1" t="s">
        <v>79</v>
      </c>
      <c r="E75" s="1" t="s">
        <v>190</v>
      </c>
      <c r="F75" s="1" t="s">
        <v>480</v>
      </c>
      <c r="G75" s="1" t="s">
        <v>486</v>
      </c>
      <c r="H75" s="1"/>
      <c r="I75" s="1">
        <v>3145206758</v>
      </c>
      <c r="J75" s="1"/>
      <c r="K75" s="1"/>
      <c r="L75" s="1">
        <v>13</v>
      </c>
      <c r="M75" s="1">
        <v>4</v>
      </c>
      <c r="N75" s="1" t="s">
        <v>35</v>
      </c>
      <c r="O75" s="1"/>
      <c r="P75" s="1">
        <v>1</v>
      </c>
      <c r="Q75" s="1">
        <v>21</v>
      </c>
      <c r="R75" s="1" t="s">
        <v>487</v>
      </c>
      <c r="S75" s="1" t="s">
        <v>38</v>
      </c>
      <c r="T75" s="1" t="s">
        <v>488</v>
      </c>
      <c r="U75" s="1"/>
      <c r="V75" s="1"/>
      <c r="W75" s="1"/>
      <c r="X75" s="1"/>
      <c r="Y75" s="1"/>
      <c r="Z75" s="1"/>
      <c r="AA75" s="1"/>
      <c r="AB75" s="1"/>
      <c r="AC75" s="1"/>
      <c r="AD75" s="1"/>
      <c r="AE75" s="1">
        <v>13</v>
      </c>
      <c r="AF75" s="1"/>
      <c r="AG75" s="1"/>
      <c r="AH75" s="1"/>
      <c r="AI75" s="1"/>
      <c r="AJ75" s="1"/>
    </row>
    <row r="76" spans="1:36" x14ac:dyDescent="0.2">
      <c r="A76" s="5">
        <v>44779.583822719913</v>
      </c>
      <c r="B76" s="1" t="s">
        <v>479</v>
      </c>
      <c r="C76" s="1">
        <v>3025306155</v>
      </c>
      <c r="D76" s="1" t="s">
        <v>79</v>
      </c>
      <c r="E76" s="1" t="s">
        <v>190</v>
      </c>
      <c r="F76" s="1" t="s">
        <v>480</v>
      </c>
      <c r="G76" s="1" t="s">
        <v>489</v>
      </c>
      <c r="H76" s="1"/>
      <c r="I76" s="1">
        <v>3216355008</v>
      </c>
      <c r="J76" s="1"/>
      <c r="K76" s="1"/>
      <c r="L76" s="1">
        <v>9</v>
      </c>
      <c r="M76" s="1">
        <v>1</v>
      </c>
      <c r="N76" s="1" t="s">
        <v>35</v>
      </c>
      <c r="O76" s="1"/>
      <c r="P76" s="1">
        <v>6</v>
      </c>
      <c r="Q76" s="1" t="s">
        <v>490</v>
      </c>
      <c r="R76" s="1" t="s">
        <v>491</v>
      </c>
      <c r="S76" s="1" t="s">
        <v>38</v>
      </c>
      <c r="T76" s="8">
        <v>500000</v>
      </c>
      <c r="U76" s="1"/>
      <c r="V76" s="1"/>
      <c r="W76" s="1"/>
      <c r="X76" s="1"/>
      <c r="Y76" s="1"/>
      <c r="Z76" s="1"/>
      <c r="AA76" s="1"/>
      <c r="AB76" s="1"/>
      <c r="AC76" s="1"/>
      <c r="AD76" s="1"/>
      <c r="AE76" s="1">
        <v>9</v>
      </c>
      <c r="AF76" s="1"/>
      <c r="AG76" s="1"/>
      <c r="AH76" s="1"/>
      <c r="AI76" s="1"/>
      <c r="AJ76" s="1"/>
    </row>
    <row r="77" spans="1:36" x14ac:dyDescent="0.2">
      <c r="A77" s="5">
        <v>44779.586773564813</v>
      </c>
      <c r="B77" s="1" t="s">
        <v>492</v>
      </c>
      <c r="C77" s="1">
        <v>3128250842</v>
      </c>
      <c r="D77" s="1" t="s">
        <v>79</v>
      </c>
      <c r="E77" s="1" t="s">
        <v>493</v>
      </c>
      <c r="F77" s="1" t="s">
        <v>494</v>
      </c>
      <c r="G77" s="1" t="s">
        <v>495</v>
      </c>
      <c r="H77" s="1"/>
      <c r="I77" s="1">
        <v>3205699487</v>
      </c>
      <c r="J77" s="1"/>
      <c r="K77" s="1"/>
      <c r="L77" s="1" t="s">
        <v>306</v>
      </c>
      <c r="M77" s="1" t="s">
        <v>306</v>
      </c>
      <c r="N77" s="1" t="s">
        <v>35</v>
      </c>
      <c r="O77" s="1"/>
      <c r="P77" s="1">
        <v>3</v>
      </c>
      <c r="Q77" s="1" t="s">
        <v>496</v>
      </c>
      <c r="R77" s="1" t="s">
        <v>497</v>
      </c>
      <c r="S77" s="1" t="s">
        <v>38</v>
      </c>
      <c r="T77" s="1" t="s">
        <v>498</v>
      </c>
      <c r="U77" s="1"/>
      <c r="V77" s="1"/>
      <c r="W77" s="1"/>
      <c r="X77" s="1"/>
      <c r="Y77" s="1"/>
      <c r="Z77" s="1"/>
      <c r="AA77" s="1"/>
      <c r="AB77" s="1"/>
      <c r="AC77" s="1" t="s">
        <v>499</v>
      </c>
      <c r="AD77" s="1"/>
      <c r="AE77" s="1" t="s">
        <v>306</v>
      </c>
      <c r="AF77" s="1"/>
      <c r="AG77" s="1"/>
      <c r="AH77" s="1"/>
      <c r="AI77" s="1"/>
      <c r="AJ77" s="1"/>
    </row>
    <row r="78" spans="1:36" x14ac:dyDescent="0.2">
      <c r="A78" s="5">
        <v>44779.611080266201</v>
      </c>
      <c r="B78" s="1" t="s">
        <v>500</v>
      </c>
      <c r="C78" s="1">
        <v>3108399483</v>
      </c>
      <c r="D78" s="1" t="s">
        <v>79</v>
      </c>
      <c r="E78" s="1" t="s">
        <v>190</v>
      </c>
      <c r="F78" s="1" t="s">
        <v>272</v>
      </c>
      <c r="G78" s="1" t="s">
        <v>501</v>
      </c>
      <c r="H78" s="1"/>
      <c r="I78" s="1">
        <v>3137407613</v>
      </c>
      <c r="J78" s="1" t="s">
        <v>502</v>
      </c>
      <c r="K78" s="1">
        <v>3223150178</v>
      </c>
      <c r="L78" s="1">
        <v>15</v>
      </c>
      <c r="M78" s="1">
        <v>15</v>
      </c>
      <c r="N78" s="1" t="s">
        <v>35</v>
      </c>
      <c r="O78" s="1"/>
      <c r="P78" s="1">
        <v>2</v>
      </c>
      <c r="Q78" s="1">
        <v>23.28</v>
      </c>
      <c r="R78" s="1" t="s">
        <v>343</v>
      </c>
      <c r="S78" s="1" t="s">
        <v>38</v>
      </c>
      <c r="T78" s="1" t="s">
        <v>35</v>
      </c>
      <c r="U78" s="1"/>
      <c r="V78" s="1"/>
      <c r="W78" s="1"/>
      <c r="X78" s="1"/>
      <c r="Y78" s="1"/>
      <c r="Z78" s="1"/>
      <c r="AA78" s="1"/>
      <c r="AB78" s="1"/>
      <c r="AC78" s="1"/>
      <c r="AD78" s="1"/>
      <c r="AE78" s="1">
        <v>15</v>
      </c>
      <c r="AF78" s="1"/>
      <c r="AG78" s="1"/>
      <c r="AH78" s="1"/>
      <c r="AI78" s="1"/>
      <c r="AJ78" s="1"/>
    </row>
    <row r="79" spans="1:36" x14ac:dyDescent="0.2">
      <c r="A79" s="5">
        <v>44779.614820555551</v>
      </c>
      <c r="B79" s="1" t="s">
        <v>218</v>
      </c>
      <c r="C79" s="1">
        <v>3165428133</v>
      </c>
      <c r="D79" s="1" t="s">
        <v>79</v>
      </c>
      <c r="E79" s="1" t="s">
        <v>190</v>
      </c>
      <c r="F79" s="1" t="s">
        <v>503</v>
      </c>
      <c r="G79" s="1" t="s">
        <v>504</v>
      </c>
      <c r="H79" s="1"/>
      <c r="I79" s="1">
        <v>3012846786</v>
      </c>
      <c r="J79" s="1" t="s">
        <v>505</v>
      </c>
      <c r="K79" s="1">
        <v>3124223154</v>
      </c>
      <c r="L79" s="1" t="s">
        <v>506</v>
      </c>
      <c r="M79" s="1" t="s">
        <v>507</v>
      </c>
      <c r="N79" s="1" t="s">
        <v>35</v>
      </c>
      <c r="O79" s="1"/>
      <c r="P79" s="1">
        <v>3</v>
      </c>
      <c r="Q79" s="10" t="s">
        <v>508</v>
      </c>
      <c r="R79" s="1" t="s">
        <v>509</v>
      </c>
      <c r="S79" s="1" t="s">
        <v>110</v>
      </c>
      <c r="T79" s="1" t="s">
        <v>510</v>
      </c>
      <c r="U79" s="1"/>
      <c r="V79" s="1"/>
      <c r="W79" s="1"/>
      <c r="X79" s="1"/>
      <c r="Y79" s="1"/>
      <c r="Z79" s="1"/>
      <c r="AA79" s="1"/>
      <c r="AB79" s="1"/>
      <c r="AC79" s="1" t="s">
        <v>511</v>
      </c>
      <c r="AD79" s="1"/>
      <c r="AE79" s="1" t="s">
        <v>506</v>
      </c>
      <c r="AF79" s="1"/>
      <c r="AG79" s="1"/>
      <c r="AH79" s="1"/>
      <c r="AI79" s="1"/>
      <c r="AJ79" s="1"/>
    </row>
    <row r="80" spans="1:36" x14ac:dyDescent="0.2">
      <c r="A80" s="5">
        <v>44779.621442627315</v>
      </c>
      <c r="B80" s="1" t="s">
        <v>29</v>
      </c>
      <c r="C80" s="1">
        <v>3213856495</v>
      </c>
      <c r="D80" s="1" t="s">
        <v>79</v>
      </c>
      <c r="E80" s="1" t="s">
        <v>190</v>
      </c>
      <c r="F80" s="1" t="s">
        <v>512</v>
      </c>
      <c r="G80" s="1" t="s">
        <v>513</v>
      </c>
      <c r="H80" s="1"/>
      <c r="I80" s="1">
        <v>3045894705</v>
      </c>
      <c r="J80" s="1" t="s">
        <v>514</v>
      </c>
      <c r="K80" s="1"/>
      <c r="L80" s="1" t="s">
        <v>292</v>
      </c>
      <c r="M80" s="1" t="s">
        <v>292</v>
      </c>
      <c r="N80" s="1" t="s">
        <v>35</v>
      </c>
      <c r="O80" s="1"/>
      <c r="P80" s="1">
        <v>7</v>
      </c>
      <c r="Q80" s="1" t="s">
        <v>515</v>
      </c>
      <c r="R80" s="1" t="s">
        <v>516</v>
      </c>
      <c r="S80" s="1" t="s">
        <v>38</v>
      </c>
      <c r="T80" s="1">
        <v>400000</v>
      </c>
      <c r="U80" s="1"/>
      <c r="V80" s="1"/>
      <c r="W80" s="1"/>
      <c r="X80" s="1"/>
      <c r="Y80" s="1"/>
      <c r="Z80" s="1"/>
      <c r="AA80" s="1"/>
      <c r="AB80" s="1"/>
      <c r="AC80" s="1"/>
      <c r="AD80" s="1"/>
      <c r="AE80" s="1" t="s">
        <v>292</v>
      </c>
      <c r="AF80" s="1"/>
      <c r="AG80" s="1"/>
      <c r="AH80" s="1"/>
      <c r="AI80" s="1"/>
      <c r="AJ80" s="1"/>
    </row>
    <row r="81" spans="1:36" x14ac:dyDescent="0.2">
      <c r="A81" s="5">
        <v>44779.643606527781</v>
      </c>
      <c r="B81" s="1" t="s">
        <v>517</v>
      </c>
      <c r="C81" s="1">
        <v>3213856495</v>
      </c>
      <c r="D81" s="1" t="s">
        <v>79</v>
      </c>
      <c r="E81" s="1" t="s">
        <v>190</v>
      </c>
      <c r="F81" s="1" t="s">
        <v>518</v>
      </c>
      <c r="G81" s="1" t="s">
        <v>475</v>
      </c>
      <c r="H81" s="1"/>
      <c r="I81" s="1">
        <v>3123822490</v>
      </c>
      <c r="J81" s="1" t="s">
        <v>519</v>
      </c>
      <c r="K81" s="1">
        <v>3147416259</v>
      </c>
      <c r="L81" s="1" t="s">
        <v>213</v>
      </c>
      <c r="M81" s="1" t="s">
        <v>214</v>
      </c>
      <c r="N81" s="1" t="s">
        <v>35</v>
      </c>
      <c r="O81" s="1"/>
      <c r="P81" s="1">
        <v>6</v>
      </c>
      <c r="Q81" s="1" t="s">
        <v>520</v>
      </c>
      <c r="R81" s="1" t="s">
        <v>521</v>
      </c>
      <c r="S81" s="1" t="s">
        <v>38</v>
      </c>
      <c r="T81" s="1">
        <v>800000</v>
      </c>
      <c r="U81" s="1"/>
      <c r="V81" s="1"/>
      <c r="W81" s="1"/>
      <c r="X81" s="1"/>
      <c r="Y81" s="1"/>
      <c r="Z81" s="1"/>
      <c r="AA81" s="1"/>
      <c r="AB81" s="1"/>
      <c r="AC81" s="1" t="s">
        <v>522</v>
      </c>
      <c r="AD81" s="1"/>
      <c r="AE81" s="1" t="s">
        <v>213</v>
      </c>
      <c r="AF81" s="1"/>
      <c r="AG81" s="1"/>
      <c r="AH81" s="1"/>
      <c r="AI81" s="1"/>
      <c r="AJ81" s="1"/>
    </row>
    <row r="82" spans="1:36" x14ac:dyDescent="0.2">
      <c r="A82" s="2">
        <v>44784.709062442125</v>
      </c>
      <c r="B82" s="3" t="s">
        <v>523</v>
      </c>
      <c r="C82" s="3">
        <v>3216722688</v>
      </c>
      <c r="D82" s="3" t="s">
        <v>30</v>
      </c>
      <c r="E82" s="3" t="s">
        <v>31</v>
      </c>
      <c r="F82" s="3" t="s">
        <v>32</v>
      </c>
      <c r="G82" s="3" t="s">
        <v>524</v>
      </c>
      <c r="H82" s="3"/>
      <c r="I82" s="3">
        <v>3007902783</v>
      </c>
      <c r="J82" s="3" t="s">
        <v>525</v>
      </c>
      <c r="K82" s="3">
        <v>3025148414</v>
      </c>
      <c r="L82" s="3">
        <v>16</v>
      </c>
      <c r="M82" s="3">
        <v>2</v>
      </c>
      <c r="N82" s="3" t="s">
        <v>35</v>
      </c>
      <c r="O82" s="3"/>
      <c r="P82" s="3">
        <v>5</v>
      </c>
      <c r="Q82" s="3" t="s">
        <v>526</v>
      </c>
      <c r="R82" s="3" t="s">
        <v>527</v>
      </c>
      <c r="S82" s="3" t="s">
        <v>38</v>
      </c>
      <c r="T82" s="3" t="s">
        <v>528</v>
      </c>
      <c r="U82" s="3"/>
      <c r="V82" s="3"/>
      <c r="W82" s="3"/>
      <c r="X82" s="3"/>
      <c r="Y82" s="3"/>
      <c r="Z82" s="3"/>
      <c r="AA82" s="3"/>
      <c r="AB82" s="3"/>
      <c r="AC82" s="3" t="s">
        <v>529</v>
      </c>
      <c r="AD82" s="3"/>
      <c r="AE82" s="3">
        <v>16</v>
      </c>
      <c r="AF82" s="1"/>
      <c r="AG82" s="1"/>
      <c r="AH82" s="1"/>
      <c r="AI82" s="1"/>
      <c r="AJ82" s="1"/>
    </row>
    <row r="83" spans="1:36" x14ac:dyDescent="0.2">
      <c r="A83" s="2">
        <v>44784.716387210647</v>
      </c>
      <c r="B83" s="3" t="s">
        <v>530</v>
      </c>
      <c r="C83" s="3">
        <v>3216722688</v>
      </c>
      <c r="D83" s="3" t="s">
        <v>30</v>
      </c>
      <c r="E83" s="3" t="s">
        <v>31</v>
      </c>
      <c r="F83" s="3">
        <v>2</v>
      </c>
      <c r="G83" s="3" t="s">
        <v>531</v>
      </c>
      <c r="H83" s="3"/>
      <c r="I83" s="3">
        <v>3148225900</v>
      </c>
      <c r="J83" s="3" t="s">
        <v>532</v>
      </c>
      <c r="K83" s="3">
        <v>3222254045</v>
      </c>
      <c r="L83" s="3">
        <v>11</v>
      </c>
      <c r="M83" s="3">
        <v>11</v>
      </c>
      <c r="N83" s="3" t="s">
        <v>35</v>
      </c>
      <c r="O83" s="3"/>
      <c r="P83" s="3">
        <v>5</v>
      </c>
      <c r="Q83" s="3" t="s">
        <v>533</v>
      </c>
      <c r="R83" s="3" t="s">
        <v>534</v>
      </c>
      <c r="S83" s="3" t="s">
        <v>38</v>
      </c>
      <c r="T83" s="3" t="s">
        <v>535</v>
      </c>
      <c r="U83" s="3"/>
      <c r="V83" s="3"/>
      <c r="W83" s="3"/>
      <c r="X83" s="3"/>
      <c r="Y83" s="3"/>
      <c r="Z83" s="3"/>
      <c r="AA83" s="3"/>
      <c r="AB83" s="3"/>
      <c r="AC83" s="3" t="s">
        <v>536</v>
      </c>
      <c r="AD83" s="3"/>
      <c r="AE83" s="3">
        <v>11</v>
      </c>
      <c r="AF83" s="1"/>
      <c r="AG83" s="1"/>
      <c r="AH83" s="1"/>
      <c r="AI83" s="1"/>
      <c r="AJ83" s="1"/>
    </row>
    <row r="84" spans="1:36" x14ac:dyDescent="0.2">
      <c r="A84" s="2">
        <v>44785.647944571756</v>
      </c>
      <c r="B84" s="3" t="s">
        <v>537</v>
      </c>
      <c r="C84" s="3">
        <v>3216722688</v>
      </c>
      <c r="D84" s="3" t="s">
        <v>30</v>
      </c>
      <c r="E84" s="3" t="s">
        <v>31</v>
      </c>
      <c r="F84" s="3">
        <v>2</v>
      </c>
      <c r="G84" s="3" t="s">
        <v>538</v>
      </c>
      <c r="H84" s="3"/>
      <c r="I84" s="3">
        <v>3246726619</v>
      </c>
      <c r="J84" s="3" t="s">
        <v>539</v>
      </c>
      <c r="K84" s="3">
        <v>3003411674</v>
      </c>
      <c r="L84" s="3">
        <v>23</v>
      </c>
      <c r="M84" s="3">
        <v>4</v>
      </c>
      <c r="N84" s="3" t="s">
        <v>35</v>
      </c>
      <c r="O84" s="3"/>
      <c r="P84" s="3">
        <v>2</v>
      </c>
      <c r="Q84" s="3">
        <v>46.13</v>
      </c>
      <c r="R84" s="3" t="s">
        <v>540</v>
      </c>
      <c r="S84" s="3" t="s">
        <v>110</v>
      </c>
      <c r="T84" s="3" t="s">
        <v>541</v>
      </c>
      <c r="U84" s="3"/>
      <c r="V84" s="3"/>
      <c r="W84" s="3"/>
      <c r="X84" s="3"/>
      <c r="Y84" s="3"/>
      <c r="Z84" s="3"/>
      <c r="AA84" s="3"/>
      <c r="AB84" s="3"/>
      <c r="AC84" s="3"/>
      <c r="AD84" s="3"/>
      <c r="AE84" s="3">
        <v>23</v>
      </c>
      <c r="AF84" s="1"/>
      <c r="AG84" s="1"/>
      <c r="AH84" s="1"/>
      <c r="AI84" s="1"/>
      <c r="AJ84" s="1"/>
    </row>
    <row r="85" spans="1:36" x14ac:dyDescent="0.2">
      <c r="A85" s="2">
        <v>44785.654681134256</v>
      </c>
      <c r="B85" s="3" t="s">
        <v>537</v>
      </c>
      <c r="C85" s="3">
        <v>3216722688</v>
      </c>
      <c r="D85" s="3" t="s">
        <v>30</v>
      </c>
      <c r="E85" s="3" t="s">
        <v>31</v>
      </c>
      <c r="F85" s="3">
        <v>2</v>
      </c>
      <c r="G85" s="3" t="s">
        <v>542</v>
      </c>
      <c r="H85" s="3"/>
      <c r="I85" s="3">
        <v>3012174714</v>
      </c>
      <c r="J85" s="3" t="s">
        <v>543</v>
      </c>
      <c r="K85" s="3">
        <v>3012174714</v>
      </c>
      <c r="L85" s="3">
        <v>26</v>
      </c>
      <c r="M85" s="3">
        <v>26</v>
      </c>
      <c r="N85" s="3" t="s">
        <v>35</v>
      </c>
      <c r="O85" s="3"/>
      <c r="P85" s="3">
        <v>2</v>
      </c>
      <c r="Q85" s="3">
        <v>46.58</v>
      </c>
      <c r="R85" s="3" t="s">
        <v>544</v>
      </c>
      <c r="S85" s="3" t="s">
        <v>38</v>
      </c>
      <c r="T85" s="3" t="s">
        <v>541</v>
      </c>
      <c r="U85" s="3"/>
      <c r="V85" s="3"/>
      <c r="W85" s="3"/>
      <c r="X85" s="3"/>
      <c r="Y85" s="3"/>
      <c r="Z85" s="3"/>
      <c r="AA85" s="3"/>
      <c r="AB85" s="3"/>
      <c r="AC85" s="3"/>
      <c r="AD85" s="3"/>
      <c r="AE85" s="3">
        <v>26</v>
      </c>
      <c r="AF85" s="1"/>
      <c r="AG85" s="1"/>
      <c r="AH85" s="1"/>
      <c r="AI85" s="1"/>
      <c r="AJ85" s="1"/>
    </row>
    <row r="86" spans="1:36" x14ac:dyDescent="0.2">
      <c r="A86" s="2">
        <v>44785.705119733801</v>
      </c>
      <c r="B86" s="3" t="s">
        <v>128</v>
      </c>
      <c r="C86" s="3">
        <v>3175749041</v>
      </c>
      <c r="D86" s="3" t="s">
        <v>30</v>
      </c>
      <c r="E86" s="3" t="s">
        <v>31</v>
      </c>
      <c r="F86" s="3" t="s">
        <v>545</v>
      </c>
      <c r="G86" s="3" t="s">
        <v>546</v>
      </c>
      <c r="H86" s="3"/>
      <c r="I86" s="3">
        <v>3216956922</v>
      </c>
      <c r="J86" s="3" t="s">
        <v>547</v>
      </c>
      <c r="K86" s="3">
        <v>3234494670</v>
      </c>
      <c r="L86" s="3">
        <v>25</v>
      </c>
      <c r="M86" s="3">
        <v>3</v>
      </c>
      <c r="N86" s="3" t="s">
        <v>35</v>
      </c>
      <c r="O86" s="3"/>
      <c r="P86" s="3">
        <v>3</v>
      </c>
      <c r="Q86" s="3" t="s">
        <v>548</v>
      </c>
      <c r="R86" s="3" t="s">
        <v>549</v>
      </c>
      <c r="S86" s="3" t="s">
        <v>38</v>
      </c>
      <c r="T86" s="3" t="s">
        <v>550</v>
      </c>
      <c r="U86" s="3"/>
      <c r="V86" s="3"/>
      <c r="W86" s="3"/>
      <c r="X86" s="3"/>
      <c r="Y86" s="3"/>
      <c r="Z86" s="3"/>
      <c r="AA86" s="3"/>
      <c r="AB86" s="3"/>
      <c r="AC86" s="3" t="s">
        <v>551</v>
      </c>
      <c r="AD86" s="3"/>
      <c r="AE86" s="3">
        <v>25</v>
      </c>
      <c r="AF86" s="1"/>
      <c r="AG86" s="1"/>
      <c r="AH86" s="1"/>
      <c r="AI86" s="1"/>
      <c r="AJ86" s="1"/>
    </row>
    <row r="87" spans="1:36" x14ac:dyDescent="0.2">
      <c r="A87" s="2">
        <v>44785.723189328703</v>
      </c>
      <c r="B87" s="3" t="s">
        <v>128</v>
      </c>
      <c r="C87" s="3">
        <v>3175749041</v>
      </c>
      <c r="D87" s="3" t="s">
        <v>30</v>
      </c>
      <c r="E87" s="3" t="s">
        <v>31</v>
      </c>
      <c r="F87" s="3" t="s">
        <v>552</v>
      </c>
      <c r="G87" s="3" t="s">
        <v>553</v>
      </c>
      <c r="H87" s="3"/>
      <c r="I87" s="3">
        <v>3128639963</v>
      </c>
      <c r="J87" s="3" t="s">
        <v>554</v>
      </c>
      <c r="K87" s="3">
        <v>3046489101</v>
      </c>
      <c r="L87" s="3">
        <v>15</v>
      </c>
      <c r="M87" s="3">
        <v>15</v>
      </c>
      <c r="N87" s="3" t="s">
        <v>35</v>
      </c>
      <c r="O87" s="3"/>
      <c r="P87" s="3">
        <v>4</v>
      </c>
      <c r="Q87" s="3" t="s">
        <v>555</v>
      </c>
      <c r="R87" s="3" t="s">
        <v>556</v>
      </c>
      <c r="S87" s="3" t="s">
        <v>110</v>
      </c>
      <c r="T87" s="3" t="s">
        <v>557</v>
      </c>
      <c r="U87" s="3"/>
      <c r="V87" s="3"/>
      <c r="W87" s="3"/>
      <c r="X87" s="3"/>
      <c r="Y87" s="3"/>
      <c r="Z87" s="3"/>
      <c r="AA87" s="3"/>
      <c r="AB87" s="3"/>
      <c r="AC87" s="3" t="s">
        <v>558</v>
      </c>
      <c r="AD87" s="3"/>
      <c r="AE87" s="3">
        <v>15</v>
      </c>
      <c r="AF87" s="1"/>
      <c r="AG87" s="1"/>
      <c r="AH87" s="1"/>
      <c r="AI87" s="1"/>
      <c r="AJ87" s="1"/>
    </row>
    <row r="88" spans="1:36" x14ac:dyDescent="0.2">
      <c r="A88" s="2">
        <v>44786.660846284722</v>
      </c>
      <c r="B88" s="3" t="s">
        <v>559</v>
      </c>
      <c r="C88" s="3">
        <v>3017715291</v>
      </c>
      <c r="D88" s="3" t="s">
        <v>30</v>
      </c>
      <c r="E88" s="3" t="s">
        <v>31</v>
      </c>
      <c r="F88" s="3" t="s">
        <v>560</v>
      </c>
      <c r="G88" s="3" t="s">
        <v>561</v>
      </c>
      <c r="H88" s="3"/>
      <c r="I88" s="3">
        <v>3017715291</v>
      </c>
      <c r="J88" s="3" t="s">
        <v>363</v>
      </c>
      <c r="K88" s="3">
        <v>3156154008</v>
      </c>
      <c r="L88" s="3">
        <v>15</v>
      </c>
      <c r="M88" s="3">
        <v>15</v>
      </c>
      <c r="N88" s="3" t="s">
        <v>35</v>
      </c>
      <c r="O88" s="3"/>
      <c r="P88" s="3">
        <v>8</v>
      </c>
      <c r="Q88" s="3" t="s">
        <v>562</v>
      </c>
      <c r="R88" s="3" t="s">
        <v>563</v>
      </c>
      <c r="S88" s="3" t="s">
        <v>38</v>
      </c>
      <c r="T88" s="3" t="s">
        <v>564</v>
      </c>
      <c r="U88" s="3"/>
      <c r="V88" s="3"/>
      <c r="W88" s="3"/>
      <c r="X88" s="3"/>
      <c r="Y88" s="3"/>
      <c r="Z88" s="3"/>
      <c r="AA88" s="3"/>
      <c r="AB88" s="3"/>
      <c r="AC88" s="3"/>
      <c r="AD88" s="3"/>
      <c r="AE88" s="3">
        <v>15</v>
      </c>
      <c r="AF88" s="1"/>
      <c r="AG88" s="1"/>
      <c r="AH88" s="1"/>
      <c r="AI88" s="1"/>
      <c r="AJ88" s="1"/>
    </row>
    <row r="89" spans="1:36" x14ac:dyDescent="0.2">
      <c r="A89" s="2">
        <v>44787.495823310186</v>
      </c>
      <c r="B89" s="3" t="s">
        <v>479</v>
      </c>
      <c r="C89" s="3">
        <v>3025306155</v>
      </c>
      <c r="D89" s="3" t="s">
        <v>30</v>
      </c>
      <c r="E89" s="3" t="s">
        <v>31</v>
      </c>
      <c r="F89" s="3" t="s">
        <v>56</v>
      </c>
      <c r="G89" s="3" t="s">
        <v>565</v>
      </c>
      <c r="H89" s="3"/>
      <c r="I89" s="3">
        <v>3023855955</v>
      </c>
      <c r="J89" s="3"/>
      <c r="K89" s="3"/>
      <c r="L89" s="3">
        <v>5</v>
      </c>
      <c r="M89" s="3">
        <v>3</v>
      </c>
      <c r="N89" s="3" t="s">
        <v>35</v>
      </c>
      <c r="O89" s="3"/>
      <c r="P89" s="3">
        <v>5</v>
      </c>
      <c r="Q89" s="3" t="s">
        <v>566</v>
      </c>
      <c r="R89" s="3" t="s">
        <v>567</v>
      </c>
      <c r="S89" s="3" t="s">
        <v>38</v>
      </c>
      <c r="T89" s="3">
        <v>200000</v>
      </c>
      <c r="U89" s="3"/>
      <c r="V89" s="3"/>
      <c r="W89" s="3"/>
      <c r="X89" s="3"/>
      <c r="Y89" s="3"/>
      <c r="Z89" s="3"/>
      <c r="AA89" s="3"/>
      <c r="AB89" s="3"/>
      <c r="AC89" s="3"/>
      <c r="AD89" s="3"/>
      <c r="AE89" s="3">
        <v>5</v>
      </c>
      <c r="AF89" s="1"/>
      <c r="AG89" s="1"/>
      <c r="AH89" s="1"/>
      <c r="AI89" s="1"/>
      <c r="AJ89" s="1"/>
    </row>
    <row r="90" spans="1:36" x14ac:dyDescent="0.2">
      <c r="A90" s="2">
        <v>44787.507200451393</v>
      </c>
      <c r="B90" s="3" t="s">
        <v>568</v>
      </c>
      <c r="C90" s="3">
        <v>3015479956</v>
      </c>
      <c r="D90" s="3" t="s">
        <v>30</v>
      </c>
      <c r="E90" s="3" t="s">
        <v>31</v>
      </c>
      <c r="F90" s="3">
        <v>3</v>
      </c>
      <c r="G90" s="3" t="s">
        <v>569</v>
      </c>
      <c r="H90" s="3"/>
      <c r="I90" s="3">
        <v>3015140662</v>
      </c>
      <c r="J90" s="3" t="s">
        <v>570</v>
      </c>
      <c r="K90" s="3">
        <v>3017483052</v>
      </c>
      <c r="L90" s="3">
        <v>20</v>
      </c>
      <c r="M90" s="3">
        <v>20</v>
      </c>
      <c r="N90" s="3" t="s">
        <v>35</v>
      </c>
      <c r="O90" s="3"/>
      <c r="P90" s="3">
        <v>2</v>
      </c>
      <c r="Q90" s="3" t="s">
        <v>571</v>
      </c>
      <c r="R90" s="3" t="s">
        <v>572</v>
      </c>
      <c r="S90" s="3" t="s">
        <v>38</v>
      </c>
      <c r="T90" s="3" t="s">
        <v>170</v>
      </c>
      <c r="U90" s="3"/>
      <c r="V90" s="3"/>
      <c r="W90" s="3"/>
      <c r="X90" s="3"/>
      <c r="Y90" s="3"/>
      <c r="Z90" s="3"/>
      <c r="AA90" s="3"/>
      <c r="AB90" s="3"/>
      <c r="AC90" s="3" t="s">
        <v>573</v>
      </c>
      <c r="AD90" s="3"/>
      <c r="AE90" s="3">
        <v>20</v>
      </c>
      <c r="AF90" s="1"/>
      <c r="AG90" s="1"/>
      <c r="AH90" s="1"/>
      <c r="AI90" s="1"/>
      <c r="AJ90" s="1"/>
    </row>
    <row r="91" spans="1:36" x14ac:dyDescent="0.2">
      <c r="A91" s="2">
        <v>44787.509883657403</v>
      </c>
      <c r="B91" s="3" t="s">
        <v>479</v>
      </c>
      <c r="C91" s="3">
        <v>3025306155</v>
      </c>
      <c r="D91" s="3" t="s">
        <v>30</v>
      </c>
      <c r="E91" s="3" t="s">
        <v>31</v>
      </c>
      <c r="F91" s="3" t="s">
        <v>574</v>
      </c>
      <c r="G91" s="3" t="s">
        <v>575</v>
      </c>
      <c r="H91" s="3"/>
      <c r="I91" s="3">
        <v>3148383578</v>
      </c>
      <c r="J91" s="3" t="s">
        <v>576</v>
      </c>
      <c r="K91" s="3">
        <v>3148383578</v>
      </c>
      <c r="L91" s="3">
        <v>0</v>
      </c>
      <c r="M91" s="3">
        <v>0</v>
      </c>
      <c r="N91" s="3" t="s">
        <v>132</v>
      </c>
      <c r="O91" s="3"/>
      <c r="P91" s="3">
        <v>1</v>
      </c>
      <c r="Q91" s="3">
        <v>56</v>
      </c>
      <c r="R91" s="3" t="s">
        <v>411</v>
      </c>
      <c r="S91" s="3" t="s">
        <v>38</v>
      </c>
      <c r="T91" s="3" t="s">
        <v>577</v>
      </c>
      <c r="U91" s="3"/>
      <c r="V91" s="3"/>
      <c r="W91" s="3"/>
      <c r="X91" s="3"/>
      <c r="Y91" s="3"/>
      <c r="Z91" s="3"/>
      <c r="AA91" s="3"/>
      <c r="AB91" s="3"/>
      <c r="AC91" s="3" t="s">
        <v>578</v>
      </c>
      <c r="AD91" s="3"/>
      <c r="AE91" s="3">
        <v>0</v>
      </c>
      <c r="AF91" s="1"/>
      <c r="AG91" s="1"/>
      <c r="AH91" s="1"/>
      <c r="AI91" s="1"/>
      <c r="AJ91" s="1"/>
    </row>
    <row r="92" spans="1:36" x14ac:dyDescent="0.2">
      <c r="A92" s="2">
        <v>44794.492986631943</v>
      </c>
      <c r="B92" s="3" t="s">
        <v>105</v>
      </c>
      <c r="C92" s="3">
        <v>3127400513</v>
      </c>
      <c r="D92" s="3" t="s">
        <v>30</v>
      </c>
      <c r="E92" s="3" t="s">
        <v>31</v>
      </c>
      <c r="F92" s="3" t="s">
        <v>164</v>
      </c>
      <c r="G92" s="3" t="s">
        <v>579</v>
      </c>
      <c r="H92" s="3"/>
      <c r="I92" s="3">
        <v>3227300373</v>
      </c>
      <c r="J92" s="3" t="s">
        <v>580</v>
      </c>
      <c r="K92" s="3">
        <v>3013602786</v>
      </c>
      <c r="L92" s="3" t="s">
        <v>335</v>
      </c>
      <c r="M92" s="3" t="s">
        <v>335</v>
      </c>
      <c r="N92" s="3" t="s">
        <v>35</v>
      </c>
      <c r="O92" s="3"/>
      <c r="P92" s="3">
        <v>3</v>
      </c>
      <c r="Q92" s="3" t="s">
        <v>581</v>
      </c>
      <c r="R92" s="3" t="s">
        <v>582</v>
      </c>
      <c r="S92" s="3" t="s">
        <v>38</v>
      </c>
      <c r="T92" s="3" t="s">
        <v>583</v>
      </c>
      <c r="U92" s="3"/>
      <c r="V92" s="3"/>
      <c r="W92" s="3"/>
      <c r="X92" s="3"/>
      <c r="Y92" s="3"/>
      <c r="Z92" s="3"/>
      <c r="AA92" s="3"/>
      <c r="AB92" s="3"/>
      <c r="AC92" s="3" t="s">
        <v>584</v>
      </c>
      <c r="AD92" s="3"/>
      <c r="AE92" s="3" t="s">
        <v>335</v>
      </c>
      <c r="AF92" s="1"/>
      <c r="AG92" s="1"/>
      <c r="AH92" s="1"/>
      <c r="AI92" s="1"/>
      <c r="AJ92" s="1"/>
    </row>
    <row r="93" spans="1:36" x14ac:dyDescent="0.2">
      <c r="A93" s="2">
        <v>44794.493153981486</v>
      </c>
      <c r="B93" s="3" t="s">
        <v>568</v>
      </c>
      <c r="C93" s="3">
        <v>3015479956</v>
      </c>
      <c r="D93" s="3" t="s">
        <v>30</v>
      </c>
      <c r="E93" s="3" t="s">
        <v>31</v>
      </c>
      <c r="F93" s="3" t="s">
        <v>177</v>
      </c>
      <c r="G93" s="3" t="s">
        <v>585</v>
      </c>
      <c r="H93" s="3"/>
      <c r="I93" s="3">
        <v>3233133858</v>
      </c>
      <c r="J93" s="3" t="s">
        <v>586</v>
      </c>
      <c r="K93" s="3">
        <v>3232930588</v>
      </c>
      <c r="L93" s="3">
        <v>18</v>
      </c>
      <c r="M93" s="3">
        <v>18</v>
      </c>
      <c r="N93" s="3" t="s">
        <v>35</v>
      </c>
      <c r="O93" s="3"/>
      <c r="P93" s="3">
        <v>5</v>
      </c>
      <c r="Q93" s="3" t="s">
        <v>587</v>
      </c>
      <c r="R93" s="3" t="s">
        <v>588</v>
      </c>
      <c r="S93" s="3" t="s">
        <v>38</v>
      </c>
      <c r="T93" s="3" t="s">
        <v>589</v>
      </c>
      <c r="U93" s="3"/>
      <c r="V93" s="3"/>
      <c r="W93" s="3"/>
      <c r="X93" s="3"/>
      <c r="Y93" s="3"/>
      <c r="Z93" s="3"/>
      <c r="AA93" s="3"/>
      <c r="AB93" s="3"/>
      <c r="AC93" s="3" t="s">
        <v>590</v>
      </c>
      <c r="AD93" s="3"/>
      <c r="AE93" s="3">
        <v>18</v>
      </c>
      <c r="AF93" s="1"/>
      <c r="AG93" s="1"/>
      <c r="AH93" s="1"/>
      <c r="AI93" s="1"/>
      <c r="AJ93" s="1"/>
    </row>
    <row r="94" spans="1:36" x14ac:dyDescent="0.2">
      <c r="A94" s="2">
        <v>44794.493157233796</v>
      </c>
      <c r="B94" s="3" t="s">
        <v>416</v>
      </c>
      <c r="C94" s="3">
        <v>3242310729</v>
      </c>
      <c r="D94" s="3" t="s">
        <v>30</v>
      </c>
      <c r="E94" s="3" t="s">
        <v>31</v>
      </c>
      <c r="F94" s="3" t="s">
        <v>591</v>
      </c>
      <c r="G94" s="3" t="s">
        <v>592</v>
      </c>
      <c r="H94" s="3"/>
      <c r="I94" s="3">
        <v>3043413772</v>
      </c>
      <c r="J94" s="3" t="s">
        <v>593</v>
      </c>
      <c r="K94" s="3">
        <v>3014758711</v>
      </c>
      <c r="L94" s="3" t="s">
        <v>372</v>
      </c>
      <c r="M94" s="3" t="s">
        <v>372</v>
      </c>
      <c r="N94" s="3" t="s">
        <v>35</v>
      </c>
      <c r="O94" s="3"/>
      <c r="P94" s="3">
        <v>1</v>
      </c>
      <c r="Q94" s="3" t="s">
        <v>594</v>
      </c>
      <c r="R94" s="3" t="s">
        <v>595</v>
      </c>
      <c r="S94" s="3" t="s">
        <v>110</v>
      </c>
      <c r="T94" s="3" t="s">
        <v>132</v>
      </c>
      <c r="U94" s="3"/>
      <c r="V94" s="3"/>
      <c r="W94" s="3"/>
      <c r="X94" s="3"/>
      <c r="Y94" s="3"/>
      <c r="Z94" s="3"/>
      <c r="AA94" s="3"/>
      <c r="AB94" s="3"/>
      <c r="AC94" s="3" t="s">
        <v>596</v>
      </c>
      <c r="AD94" s="3"/>
      <c r="AE94" s="3" t="s">
        <v>372</v>
      </c>
      <c r="AF94" s="1"/>
      <c r="AG94" s="1"/>
      <c r="AH94" s="1"/>
      <c r="AI94" s="1"/>
      <c r="AJ94" s="1"/>
    </row>
    <row r="95" spans="1:36" x14ac:dyDescent="0.2">
      <c r="A95" s="5">
        <v>44794.507566365741</v>
      </c>
      <c r="B95" s="1" t="s">
        <v>597</v>
      </c>
      <c r="C95" s="1">
        <v>3053210847</v>
      </c>
      <c r="D95" s="1" t="s">
        <v>30</v>
      </c>
      <c r="E95" s="1" t="s">
        <v>190</v>
      </c>
      <c r="F95" s="1" t="s">
        <v>598</v>
      </c>
      <c r="G95" s="1" t="s">
        <v>599</v>
      </c>
      <c r="H95" s="1"/>
      <c r="I95" s="10" t="s">
        <v>600</v>
      </c>
      <c r="J95" s="1" t="s">
        <v>601</v>
      </c>
      <c r="K95" s="1">
        <v>3104550523</v>
      </c>
      <c r="L95" s="1" t="s">
        <v>602</v>
      </c>
      <c r="M95" s="1" t="s">
        <v>159</v>
      </c>
      <c r="N95" s="1" t="s">
        <v>35</v>
      </c>
      <c r="O95" s="1"/>
      <c r="P95" s="1">
        <v>1</v>
      </c>
      <c r="Q95" s="1">
        <v>57</v>
      </c>
      <c r="R95" s="1" t="s">
        <v>603</v>
      </c>
      <c r="S95" s="1" t="s">
        <v>110</v>
      </c>
      <c r="T95" s="1" t="s">
        <v>422</v>
      </c>
      <c r="U95" s="1"/>
      <c r="V95" s="1"/>
      <c r="W95" s="1"/>
      <c r="X95" s="1"/>
      <c r="Y95" s="1"/>
      <c r="Z95" s="1"/>
      <c r="AA95" s="1"/>
      <c r="AB95" s="1"/>
      <c r="AC95" s="1" t="s">
        <v>604</v>
      </c>
      <c r="AD95" s="1"/>
      <c r="AE95" s="1" t="s">
        <v>602</v>
      </c>
      <c r="AF95" s="1"/>
      <c r="AG95" s="1"/>
      <c r="AH95" s="1"/>
      <c r="AI95" s="1"/>
      <c r="AJ95" s="1"/>
    </row>
    <row r="96" spans="1:36" x14ac:dyDescent="0.2">
      <c r="A96" s="5">
        <v>44794.541763877314</v>
      </c>
      <c r="B96" s="1" t="s">
        <v>605</v>
      </c>
      <c r="C96" s="1">
        <v>3016234523</v>
      </c>
      <c r="D96" s="1" t="s">
        <v>30</v>
      </c>
      <c r="E96" s="1" t="s">
        <v>190</v>
      </c>
      <c r="F96" s="1" t="s">
        <v>606</v>
      </c>
      <c r="G96" s="1" t="s">
        <v>607</v>
      </c>
      <c r="H96" s="1"/>
      <c r="I96" s="1">
        <v>3235849116</v>
      </c>
      <c r="J96" s="1" t="s">
        <v>608</v>
      </c>
      <c r="K96" s="1">
        <v>3226590339</v>
      </c>
      <c r="L96" s="1">
        <v>4</v>
      </c>
      <c r="M96" s="1">
        <v>2</v>
      </c>
      <c r="N96" s="1" t="s">
        <v>35</v>
      </c>
      <c r="O96" s="1"/>
      <c r="P96" s="1">
        <v>3</v>
      </c>
      <c r="Q96" s="1" t="s">
        <v>609</v>
      </c>
      <c r="R96" s="1" t="s">
        <v>610</v>
      </c>
      <c r="S96" s="1" t="s">
        <v>38</v>
      </c>
      <c r="T96" s="1" t="s">
        <v>132</v>
      </c>
      <c r="U96" s="1"/>
      <c r="V96" s="1"/>
      <c r="W96" s="1"/>
      <c r="X96" s="1"/>
      <c r="Y96" s="1"/>
      <c r="Z96" s="1"/>
      <c r="AA96" s="1"/>
      <c r="AB96" s="1"/>
      <c r="AC96" s="1" t="s">
        <v>611</v>
      </c>
      <c r="AD96" s="1"/>
      <c r="AE96" s="1">
        <v>4</v>
      </c>
      <c r="AF96" s="1"/>
      <c r="AG96" s="1"/>
      <c r="AH96" s="1"/>
      <c r="AI96" s="1"/>
      <c r="AJ96" s="1"/>
    </row>
    <row r="97" spans="1:36" x14ac:dyDescent="0.2">
      <c r="A97" s="5">
        <v>44807.578310173616</v>
      </c>
      <c r="B97" s="1" t="s">
        <v>612</v>
      </c>
      <c r="C97" s="1">
        <v>3206216055</v>
      </c>
      <c r="D97" s="1" t="s">
        <v>79</v>
      </c>
      <c r="E97" s="1" t="s">
        <v>190</v>
      </c>
      <c r="F97" s="1" t="s">
        <v>613</v>
      </c>
      <c r="G97" s="1" t="s">
        <v>614</v>
      </c>
      <c r="H97" s="1"/>
      <c r="I97" s="1">
        <v>3225785113</v>
      </c>
      <c r="J97" s="1" t="s">
        <v>615</v>
      </c>
      <c r="K97" s="1"/>
      <c r="L97" s="1">
        <v>4</v>
      </c>
      <c r="M97" s="1">
        <v>4</v>
      </c>
      <c r="N97" s="1" t="s">
        <v>35</v>
      </c>
      <c r="O97" s="1"/>
      <c r="P97" s="1">
        <v>8</v>
      </c>
      <c r="Q97" s="1" t="s">
        <v>616</v>
      </c>
      <c r="R97" s="1" t="s">
        <v>617</v>
      </c>
      <c r="S97" s="1" t="s">
        <v>38</v>
      </c>
      <c r="T97" s="1" t="s">
        <v>35</v>
      </c>
      <c r="U97" s="1"/>
      <c r="V97" s="1"/>
      <c r="W97" s="1"/>
      <c r="X97" s="1"/>
      <c r="Y97" s="1"/>
      <c r="Z97" s="1"/>
      <c r="AA97" s="1"/>
      <c r="AB97" s="1"/>
      <c r="AC97" s="1"/>
      <c r="AD97" s="1"/>
      <c r="AE97" s="1">
        <v>4</v>
      </c>
      <c r="AF97" s="1"/>
      <c r="AG97" s="1"/>
      <c r="AH97" s="1"/>
      <c r="AI97" s="1"/>
      <c r="AJ97" s="1"/>
    </row>
    <row r="98" spans="1:36" x14ac:dyDescent="0.2">
      <c r="A98" s="5">
        <v>44807.594249664355</v>
      </c>
      <c r="B98" s="1" t="s">
        <v>517</v>
      </c>
      <c r="C98" s="1">
        <v>3213856495</v>
      </c>
      <c r="D98" s="1" t="s">
        <v>79</v>
      </c>
      <c r="E98" s="1" t="s">
        <v>190</v>
      </c>
      <c r="F98" s="1" t="s">
        <v>618</v>
      </c>
      <c r="G98" s="1" t="s">
        <v>619</v>
      </c>
      <c r="H98" s="1"/>
      <c r="I98" s="1">
        <v>3024018186</v>
      </c>
      <c r="J98" s="1" t="s">
        <v>620</v>
      </c>
      <c r="K98" s="1">
        <v>3016885303</v>
      </c>
      <c r="L98" s="1" t="s">
        <v>181</v>
      </c>
      <c r="M98" s="1" t="s">
        <v>181</v>
      </c>
      <c r="N98" s="1" t="s">
        <v>35</v>
      </c>
      <c r="O98" s="1"/>
      <c r="P98" s="1">
        <v>7</v>
      </c>
      <c r="Q98" s="1" t="s">
        <v>621</v>
      </c>
      <c r="R98" s="1" t="s">
        <v>622</v>
      </c>
      <c r="S98" s="1" t="s">
        <v>38</v>
      </c>
      <c r="T98" s="1" t="s">
        <v>623</v>
      </c>
      <c r="U98" s="1"/>
      <c r="V98" s="1"/>
      <c r="W98" s="1"/>
      <c r="X98" s="1"/>
      <c r="Y98" s="1"/>
      <c r="Z98" s="1"/>
      <c r="AA98" s="1"/>
      <c r="AB98" s="1"/>
      <c r="AC98" s="1" t="s">
        <v>246</v>
      </c>
      <c r="AD98" s="1"/>
      <c r="AE98" s="1" t="s">
        <v>181</v>
      </c>
      <c r="AF98" s="1"/>
      <c r="AG98" s="1"/>
      <c r="AH98" s="1"/>
      <c r="AI98" s="1"/>
      <c r="AJ98" s="1"/>
    </row>
    <row r="99" spans="1:36" x14ac:dyDescent="0.2">
      <c r="A99" s="5">
        <v>44807.596105706019</v>
      </c>
      <c r="B99" s="1" t="s">
        <v>624</v>
      </c>
      <c r="C99" s="1">
        <v>3148609978</v>
      </c>
      <c r="D99" s="1" t="s">
        <v>79</v>
      </c>
      <c r="E99" s="1" t="s">
        <v>190</v>
      </c>
      <c r="F99" s="1" t="s">
        <v>625</v>
      </c>
      <c r="G99" s="1" t="s">
        <v>626</v>
      </c>
      <c r="H99" s="1"/>
      <c r="I99" s="1">
        <v>3103727847</v>
      </c>
      <c r="J99" s="1" t="s">
        <v>627</v>
      </c>
      <c r="K99" s="1">
        <v>3103727847</v>
      </c>
      <c r="L99" s="1" t="s">
        <v>44</v>
      </c>
      <c r="M99" s="1" t="s">
        <v>628</v>
      </c>
      <c r="N99" s="1" t="s">
        <v>35</v>
      </c>
      <c r="O99" s="1"/>
      <c r="P99" s="1">
        <v>1</v>
      </c>
      <c r="Q99" s="1">
        <v>93</v>
      </c>
      <c r="R99" s="1" t="s">
        <v>629</v>
      </c>
      <c r="S99" s="1" t="s">
        <v>38</v>
      </c>
      <c r="T99" s="1" t="s">
        <v>630</v>
      </c>
      <c r="U99" s="1"/>
      <c r="V99" s="1"/>
      <c r="W99" s="1"/>
      <c r="X99" s="1"/>
      <c r="Y99" s="1"/>
      <c r="Z99" s="1"/>
      <c r="AA99" s="1"/>
      <c r="AB99" s="1"/>
      <c r="AC99" s="1" t="s">
        <v>631</v>
      </c>
      <c r="AD99" s="1"/>
      <c r="AE99" s="1" t="s">
        <v>44</v>
      </c>
      <c r="AF99" s="1"/>
      <c r="AG99" s="1"/>
      <c r="AH99" s="1"/>
      <c r="AI99" s="1"/>
      <c r="AJ99" s="1"/>
    </row>
    <row r="100" spans="1:36" x14ac:dyDescent="0.2">
      <c r="A100" s="5">
        <v>44807.603877314818</v>
      </c>
      <c r="B100" s="1" t="s">
        <v>632</v>
      </c>
      <c r="C100" s="1">
        <v>3114309036</v>
      </c>
      <c r="D100" s="1" t="s">
        <v>79</v>
      </c>
      <c r="E100" s="1" t="s">
        <v>190</v>
      </c>
      <c r="F100" s="1" t="s">
        <v>633</v>
      </c>
      <c r="G100" s="1" t="s">
        <v>634</v>
      </c>
      <c r="H100" s="1"/>
      <c r="I100" s="1">
        <v>3236069901</v>
      </c>
      <c r="J100" s="1" t="s">
        <v>635</v>
      </c>
      <c r="K100" s="1">
        <v>3145830260</v>
      </c>
      <c r="L100" s="1">
        <v>5</v>
      </c>
      <c r="M100" s="1">
        <v>1</v>
      </c>
      <c r="N100" s="1" t="s">
        <v>132</v>
      </c>
      <c r="O100" s="1"/>
      <c r="P100" s="1">
        <v>1</v>
      </c>
      <c r="Q100" s="1">
        <v>48</v>
      </c>
      <c r="R100" s="1" t="s">
        <v>636</v>
      </c>
      <c r="S100" s="1" t="s">
        <v>110</v>
      </c>
      <c r="T100" s="1" t="s">
        <v>132</v>
      </c>
      <c r="U100" s="1"/>
      <c r="V100" s="1"/>
      <c r="W100" s="1"/>
      <c r="X100" s="1"/>
      <c r="Y100" s="1"/>
      <c r="Z100" s="1"/>
      <c r="AA100" s="1"/>
      <c r="AB100" s="1"/>
      <c r="AC100" s="1" t="s">
        <v>637</v>
      </c>
      <c r="AD100" s="1"/>
      <c r="AE100" s="1">
        <v>5</v>
      </c>
      <c r="AF100" s="1"/>
      <c r="AG100" s="1"/>
      <c r="AH100" s="1"/>
      <c r="AI100" s="1"/>
      <c r="AJ100" s="1"/>
    </row>
    <row r="101" spans="1:36" x14ac:dyDescent="0.2">
      <c r="A101" s="2">
        <v>44822.461888564816</v>
      </c>
      <c r="B101" s="3" t="s">
        <v>354</v>
      </c>
      <c r="C101" s="3">
        <v>3127400513</v>
      </c>
      <c r="D101" s="3" t="s">
        <v>30</v>
      </c>
      <c r="E101" s="3" t="s">
        <v>31</v>
      </c>
      <c r="F101" s="3">
        <v>4</v>
      </c>
      <c r="G101" s="3" t="s">
        <v>638</v>
      </c>
      <c r="H101" s="3"/>
      <c r="I101" s="3">
        <v>3135908612</v>
      </c>
      <c r="J101" s="3" t="s">
        <v>639</v>
      </c>
      <c r="K101" s="3">
        <v>3135903409</v>
      </c>
      <c r="L101" s="3">
        <v>14</v>
      </c>
      <c r="M101" s="3">
        <v>14</v>
      </c>
      <c r="N101" s="3" t="s">
        <v>35</v>
      </c>
      <c r="O101" s="3"/>
      <c r="P101" s="3">
        <v>9</v>
      </c>
      <c r="Q101" s="3" t="s">
        <v>640</v>
      </c>
      <c r="R101" s="3" t="s">
        <v>641</v>
      </c>
      <c r="S101" s="3" t="s">
        <v>38</v>
      </c>
      <c r="T101" s="3" t="s">
        <v>642</v>
      </c>
      <c r="U101" s="3"/>
      <c r="V101" s="3"/>
      <c r="W101" s="3"/>
      <c r="X101" s="3"/>
      <c r="Y101" s="3"/>
      <c r="Z101" s="3"/>
      <c r="AA101" s="3"/>
      <c r="AB101" s="3"/>
      <c r="AC101" s="3" t="s">
        <v>643</v>
      </c>
      <c r="AD101" s="3"/>
      <c r="AE101" s="3">
        <v>14</v>
      </c>
      <c r="AF101" s="1"/>
      <c r="AG101" s="1"/>
      <c r="AH101" s="1"/>
      <c r="AI101" s="1"/>
      <c r="AJ101" s="1"/>
    </row>
    <row r="102" spans="1:36" x14ac:dyDescent="0.2">
      <c r="A102" s="2">
        <v>44822.492388217594</v>
      </c>
      <c r="B102" s="3" t="s">
        <v>644</v>
      </c>
      <c r="C102" s="3">
        <v>3213856495</v>
      </c>
      <c r="D102" s="3" t="s">
        <v>30</v>
      </c>
      <c r="E102" s="3" t="s">
        <v>31</v>
      </c>
      <c r="F102" s="3" t="s">
        <v>645</v>
      </c>
      <c r="G102" s="3" t="s">
        <v>646</v>
      </c>
      <c r="H102" s="3"/>
      <c r="I102" s="3">
        <v>3215046669</v>
      </c>
      <c r="J102" s="3" t="s">
        <v>647</v>
      </c>
      <c r="K102" s="3">
        <v>3222254045</v>
      </c>
      <c r="L102" s="3" t="s">
        <v>214</v>
      </c>
      <c r="M102" s="3" t="s">
        <v>214</v>
      </c>
      <c r="N102" s="3" t="s">
        <v>35</v>
      </c>
      <c r="O102" s="3"/>
      <c r="P102" s="3">
        <v>1</v>
      </c>
      <c r="Q102" s="3">
        <v>59</v>
      </c>
      <c r="R102" s="3" t="s">
        <v>411</v>
      </c>
      <c r="S102" s="3" t="s">
        <v>38</v>
      </c>
      <c r="T102" s="3" t="s">
        <v>648</v>
      </c>
      <c r="U102" s="3"/>
      <c r="V102" s="3"/>
      <c r="W102" s="3"/>
      <c r="X102" s="3"/>
      <c r="Y102" s="3"/>
      <c r="Z102" s="3"/>
      <c r="AA102" s="3"/>
      <c r="AB102" s="3"/>
      <c r="AC102" s="3" t="s">
        <v>649</v>
      </c>
      <c r="AD102" s="3"/>
      <c r="AE102" s="3" t="s">
        <v>214</v>
      </c>
      <c r="AF102" s="1"/>
      <c r="AG102" s="1"/>
      <c r="AH102" s="1"/>
      <c r="AI102" s="1"/>
      <c r="AJ102" s="1"/>
    </row>
    <row r="103" spans="1:36" x14ac:dyDescent="0.2">
      <c r="A103" s="5">
        <v>44822.514419421292</v>
      </c>
      <c r="B103" s="1" t="s">
        <v>650</v>
      </c>
      <c r="C103" s="1">
        <v>3103039069</v>
      </c>
      <c r="D103" s="1" t="s">
        <v>79</v>
      </c>
      <c r="E103" s="1" t="s">
        <v>190</v>
      </c>
      <c r="F103" s="1" t="s">
        <v>272</v>
      </c>
      <c r="G103" s="1" t="s">
        <v>651</v>
      </c>
      <c r="H103" s="1"/>
      <c r="I103" s="1">
        <v>3107778577</v>
      </c>
      <c r="J103" s="1" t="s">
        <v>652</v>
      </c>
      <c r="K103" s="1">
        <v>3123243968</v>
      </c>
      <c r="L103" s="1">
        <v>5</v>
      </c>
      <c r="M103" s="1">
        <v>5</v>
      </c>
      <c r="N103" s="1" t="s">
        <v>35</v>
      </c>
      <c r="O103" s="1"/>
      <c r="P103" s="1">
        <v>5</v>
      </c>
      <c r="Q103" s="1" t="s">
        <v>653</v>
      </c>
      <c r="R103" s="1" t="s">
        <v>654</v>
      </c>
      <c r="S103" s="1" t="s">
        <v>38</v>
      </c>
      <c r="T103" s="1" t="s">
        <v>655</v>
      </c>
      <c r="U103" s="1"/>
      <c r="V103" s="1"/>
      <c r="W103" s="1"/>
      <c r="X103" s="1"/>
      <c r="Y103" s="1"/>
      <c r="Z103" s="1"/>
      <c r="AA103" s="1"/>
      <c r="AB103" s="1"/>
      <c r="AC103" s="1"/>
      <c r="AD103" s="1"/>
      <c r="AE103" s="1">
        <v>5</v>
      </c>
      <c r="AF103" s="1"/>
      <c r="AG103" s="1"/>
      <c r="AH103" s="1"/>
      <c r="AI103" s="1"/>
      <c r="AJ103" s="1"/>
    </row>
    <row r="104" spans="1:36" x14ac:dyDescent="0.2">
      <c r="A104" s="5">
        <v>44836.503548252316</v>
      </c>
      <c r="B104" s="1" t="s">
        <v>389</v>
      </c>
      <c r="C104" s="1">
        <v>3194316880</v>
      </c>
      <c r="D104" s="1" t="s">
        <v>79</v>
      </c>
      <c r="E104" s="1" t="s">
        <v>190</v>
      </c>
      <c r="F104" s="1" t="s">
        <v>656</v>
      </c>
      <c r="G104" s="1" t="s">
        <v>657</v>
      </c>
      <c r="H104" s="1"/>
      <c r="I104" s="1">
        <v>3016071884</v>
      </c>
      <c r="J104" s="1" t="s">
        <v>580</v>
      </c>
      <c r="K104" s="1">
        <v>3017540769</v>
      </c>
      <c r="L104" s="1" t="s">
        <v>658</v>
      </c>
      <c r="M104" s="1" t="s">
        <v>659</v>
      </c>
      <c r="N104" s="1" t="s">
        <v>35</v>
      </c>
      <c r="O104" s="1"/>
      <c r="P104" s="1">
        <v>3</v>
      </c>
      <c r="Q104" s="1" t="s">
        <v>660</v>
      </c>
      <c r="R104" s="1" t="s">
        <v>661</v>
      </c>
      <c r="S104" s="1" t="s">
        <v>38</v>
      </c>
      <c r="T104" s="1" t="s">
        <v>132</v>
      </c>
      <c r="U104" s="1"/>
      <c r="V104" s="1"/>
      <c r="W104" s="1"/>
      <c r="X104" s="1"/>
      <c r="Y104" s="1"/>
      <c r="Z104" s="1"/>
      <c r="AA104" s="1"/>
      <c r="AB104" s="1"/>
      <c r="AC104" s="1"/>
      <c r="AD104" s="1"/>
      <c r="AE104" s="1" t="s">
        <v>658</v>
      </c>
      <c r="AF104" s="1"/>
      <c r="AG104" s="1"/>
      <c r="AH104" s="1"/>
      <c r="AI104" s="1"/>
      <c r="AJ104" s="1"/>
    </row>
    <row r="105" spans="1:36" x14ac:dyDescent="0.2">
      <c r="A105" s="5">
        <v>44842.699817893517</v>
      </c>
      <c r="B105" s="1" t="s">
        <v>662</v>
      </c>
      <c r="C105" s="1">
        <v>3117825713</v>
      </c>
      <c r="D105" s="1" t="s">
        <v>79</v>
      </c>
      <c r="E105" s="1" t="s">
        <v>190</v>
      </c>
      <c r="F105" s="1" t="s">
        <v>663</v>
      </c>
      <c r="G105" s="1" t="s">
        <v>664</v>
      </c>
      <c r="H105" s="1"/>
      <c r="I105" s="1">
        <v>3016890804</v>
      </c>
      <c r="J105" s="1" t="s">
        <v>665</v>
      </c>
      <c r="K105" s="1">
        <v>3003115908</v>
      </c>
      <c r="L105" s="1">
        <v>18</v>
      </c>
      <c r="M105" s="1">
        <v>15</v>
      </c>
      <c r="N105" s="1" t="s">
        <v>35</v>
      </c>
      <c r="O105" s="1"/>
      <c r="P105" s="1">
        <v>5</v>
      </c>
      <c r="Q105" s="1" t="s">
        <v>666</v>
      </c>
      <c r="R105" s="1" t="s">
        <v>667</v>
      </c>
      <c r="S105" s="1" t="s">
        <v>38</v>
      </c>
      <c r="T105" s="1" t="s">
        <v>132</v>
      </c>
      <c r="U105" s="1"/>
      <c r="V105" s="1"/>
      <c r="W105" s="1"/>
      <c r="X105" s="1"/>
      <c r="Y105" s="1"/>
      <c r="Z105" s="1"/>
      <c r="AA105" s="1"/>
      <c r="AB105" s="1"/>
      <c r="AC105" s="1" t="s">
        <v>668</v>
      </c>
      <c r="AD105" s="1"/>
      <c r="AE105" s="1">
        <v>18</v>
      </c>
      <c r="AF105" s="1"/>
      <c r="AG105" s="1"/>
      <c r="AH105" s="1"/>
      <c r="AI105" s="1"/>
      <c r="AJ105" s="1"/>
    </row>
    <row r="106" spans="1:36" x14ac:dyDescent="0.2">
      <c r="A106" s="2">
        <v>44843.522214074073</v>
      </c>
      <c r="B106" s="3" t="s">
        <v>233</v>
      </c>
      <c r="C106" s="3">
        <v>3003606520</v>
      </c>
      <c r="D106" s="3" t="s">
        <v>30</v>
      </c>
      <c r="E106" s="3" t="s">
        <v>31</v>
      </c>
      <c r="F106" s="3" t="s">
        <v>32</v>
      </c>
      <c r="G106" s="3" t="s">
        <v>669</v>
      </c>
      <c r="H106" s="3"/>
      <c r="I106" s="3">
        <v>3137198219</v>
      </c>
      <c r="J106" s="3" t="s">
        <v>670</v>
      </c>
      <c r="K106" s="3">
        <v>3014136786</v>
      </c>
      <c r="L106" s="3" t="s">
        <v>214</v>
      </c>
      <c r="M106" s="3" t="s">
        <v>379</v>
      </c>
      <c r="N106" s="3" t="s">
        <v>35</v>
      </c>
      <c r="O106" s="3"/>
      <c r="P106" s="3">
        <v>5</v>
      </c>
      <c r="Q106" s="3" t="s">
        <v>671</v>
      </c>
      <c r="R106" s="3" t="s">
        <v>672</v>
      </c>
      <c r="S106" s="3" t="s">
        <v>38</v>
      </c>
      <c r="T106" s="3" t="s">
        <v>673</v>
      </c>
      <c r="U106" s="3"/>
      <c r="V106" s="3"/>
      <c r="W106" s="3"/>
      <c r="X106" s="3"/>
      <c r="Y106" s="3"/>
      <c r="Z106" s="3"/>
      <c r="AA106" s="3"/>
      <c r="AB106" s="3"/>
      <c r="AC106" s="3"/>
      <c r="AD106" s="3"/>
      <c r="AE106" s="3" t="s">
        <v>214</v>
      </c>
      <c r="AF106" s="1"/>
      <c r="AG106" s="1"/>
      <c r="AH106" s="1"/>
      <c r="AI106" s="1"/>
      <c r="AJ106" s="1"/>
    </row>
    <row r="107" spans="1:36" x14ac:dyDescent="0.2">
      <c r="A107" s="2">
        <v>44843.52321392361</v>
      </c>
      <c r="B107" s="3" t="s">
        <v>416</v>
      </c>
      <c r="C107" s="3">
        <v>3242310729</v>
      </c>
      <c r="D107" s="3" t="s">
        <v>30</v>
      </c>
      <c r="E107" s="3" t="s">
        <v>31</v>
      </c>
      <c r="F107" s="3">
        <v>3</v>
      </c>
      <c r="G107" s="3" t="s">
        <v>674</v>
      </c>
      <c r="H107" s="3"/>
      <c r="I107" s="3">
        <v>3147921236</v>
      </c>
      <c r="J107" s="3" t="s">
        <v>675</v>
      </c>
      <c r="K107" s="3">
        <v>3044489472</v>
      </c>
      <c r="L107" s="3" t="s">
        <v>213</v>
      </c>
      <c r="M107" s="3" t="s">
        <v>676</v>
      </c>
      <c r="N107" s="3" t="s">
        <v>35</v>
      </c>
      <c r="O107" s="3"/>
      <c r="P107" s="3">
        <v>3</v>
      </c>
      <c r="Q107" s="3" t="s">
        <v>677</v>
      </c>
      <c r="R107" s="3" t="s">
        <v>678</v>
      </c>
      <c r="S107" s="3" t="s">
        <v>38</v>
      </c>
      <c r="T107" s="3" t="s">
        <v>679</v>
      </c>
      <c r="U107" s="3"/>
      <c r="V107" s="3"/>
      <c r="W107" s="3"/>
      <c r="X107" s="3"/>
      <c r="Y107" s="3"/>
      <c r="Z107" s="3"/>
      <c r="AA107" s="3"/>
      <c r="AB107" s="3"/>
      <c r="AC107" s="3" t="s">
        <v>680</v>
      </c>
      <c r="AD107" s="3"/>
      <c r="AE107" s="3" t="s">
        <v>213</v>
      </c>
      <c r="AF107" s="1"/>
      <c r="AG107" s="1"/>
      <c r="AH107" s="1"/>
      <c r="AI107" s="1"/>
      <c r="AJ107" s="1"/>
    </row>
    <row r="108" spans="1:36" x14ac:dyDescent="0.2">
      <c r="A108" s="2">
        <v>44843.523529143524</v>
      </c>
      <c r="B108" s="3" t="s">
        <v>681</v>
      </c>
      <c r="C108" s="3">
        <v>3003606520</v>
      </c>
      <c r="D108" s="3" t="s">
        <v>30</v>
      </c>
      <c r="E108" s="3" t="s">
        <v>31</v>
      </c>
      <c r="F108" s="3" t="s">
        <v>164</v>
      </c>
      <c r="G108" s="3" t="s">
        <v>682</v>
      </c>
      <c r="H108" s="3"/>
      <c r="I108" s="3">
        <v>3045824087</v>
      </c>
      <c r="J108" s="3"/>
      <c r="K108" s="3"/>
      <c r="L108" s="3" t="s">
        <v>335</v>
      </c>
      <c r="M108" s="3" t="s">
        <v>335</v>
      </c>
      <c r="N108" s="3" t="s">
        <v>35</v>
      </c>
      <c r="O108" s="3"/>
      <c r="P108" s="3">
        <v>4</v>
      </c>
      <c r="Q108" s="3" t="s">
        <v>683</v>
      </c>
      <c r="R108" s="3" t="s">
        <v>684</v>
      </c>
      <c r="S108" s="3" t="s">
        <v>110</v>
      </c>
      <c r="T108" s="3" t="s">
        <v>685</v>
      </c>
      <c r="U108" s="3"/>
      <c r="V108" s="3"/>
      <c r="W108" s="3"/>
      <c r="X108" s="3"/>
      <c r="Y108" s="3"/>
      <c r="Z108" s="3"/>
      <c r="AA108" s="3"/>
      <c r="AB108" s="3"/>
      <c r="AC108" s="3"/>
      <c r="AD108" s="3"/>
      <c r="AE108" s="3" t="s">
        <v>335</v>
      </c>
      <c r="AF108" s="1"/>
      <c r="AG108" s="1"/>
      <c r="AH108" s="1"/>
      <c r="AI108" s="1"/>
      <c r="AJ108" s="1"/>
    </row>
    <row r="109" spans="1:36" x14ac:dyDescent="0.2">
      <c r="A109" s="2">
        <v>44843.526029745371</v>
      </c>
      <c r="B109" s="3" t="s">
        <v>233</v>
      </c>
      <c r="C109" s="3">
        <v>3003606520</v>
      </c>
      <c r="D109" s="3" t="s">
        <v>30</v>
      </c>
      <c r="E109" s="3" t="s">
        <v>31</v>
      </c>
      <c r="F109" s="3" t="s">
        <v>164</v>
      </c>
      <c r="G109" s="3" t="s">
        <v>686</v>
      </c>
      <c r="H109" s="3"/>
      <c r="I109" s="3">
        <v>3107745708</v>
      </c>
      <c r="J109" s="3" t="s">
        <v>687</v>
      </c>
      <c r="K109" s="3">
        <v>3007368424</v>
      </c>
      <c r="L109" s="3" t="s">
        <v>84</v>
      </c>
      <c r="M109" s="3" t="s">
        <v>299</v>
      </c>
      <c r="N109" s="3" t="s">
        <v>132</v>
      </c>
      <c r="O109" s="3"/>
      <c r="P109" s="3">
        <v>2</v>
      </c>
      <c r="Q109" s="3">
        <v>47.16</v>
      </c>
      <c r="R109" s="3" t="s">
        <v>487</v>
      </c>
      <c r="S109" s="3" t="s">
        <v>38</v>
      </c>
      <c r="T109" s="3" t="s">
        <v>688</v>
      </c>
      <c r="U109" s="3"/>
      <c r="V109" s="3"/>
      <c r="W109" s="3"/>
      <c r="X109" s="3"/>
      <c r="Y109" s="3"/>
      <c r="Z109" s="3"/>
      <c r="AA109" s="3"/>
      <c r="AB109" s="3"/>
      <c r="AC109" s="3"/>
      <c r="AD109" s="3"/>
      <c r="AE109" s="3" t="s">
        <v>84</v>
      </c>
      <c r="AF109" s="1"/>
      <c r="AG109" s="1"/>
      <c r="AH109" s="1"/>
      <c r="AI109" s="1"/>
      <c r="AJ109" s="1"/>
    </row>
    <row r="110" spans="1:36" x14ac:dyDescent="0.2">
      <c r="A110" s="2">
        <v>44843.528125879631</v>
      </c>
      <c r="B110" s="3" t="s">
        <v>233</v>
      </c>
      <c r="C110" s="3">
        <v>3003606520</v>
      </c>
      <c r="D110" s="3" t="s">
        <v>30</v>
      </c>
      <c r="E110" s="3" t="s">
        <v>31</v>
      </c>
      <c r="F110" s="3" t="s">
        <v>164</v>
      </c>
      <c r="G110" s="3" t="s">
        <v>689</v>
      </c>
      <c r="H110" s="3"/>
      <c r="I110" s="3">
        <v>3013839099</v>
      </c>
      <c r="J110" s="3" t="s">
        <v>690</v>
      </c>
      <c r="K110" s="3">
        <v>3242884834</v>
      </c>
      <c r="L110" s="3" t="s">
        <v>691</v>
      </c>
      <c r="M110" s="3" t="s">
        <v>691</v>
      </c>
      <c r="N110" s="3" t="s">
        <v>35</v>
      </c>
      <c r="O110" s="3"/>
      <c r="P110" s="3">
        <v>2</v>
      </c>
      <c r="Q110" s="3">
        <v>76.75</v>
      </c>
      <c r="R110" s="3" t="s">
        <v>692</v>
      </c>
      <c r="S110" s="3" t="s">
        <v>38</v>
      </c>
      <c r="T110" s="3" t="s">
        <v>693</v>
      </c>
      <c r="U110" s="3"/>
      <c r="V110" s="3"/>
      <c r="W110" s="3"/>
      <c r="X110" s="3"/>
      <c r="Y110" s="3"/>
      <c r="Z110" s="3"/>
      <c r="AA110" s="3"/>
      <c r="AB110" s="3"/>
      <c r="AC110" s="3"/>
      <c r="AD110" s="3"/>
      <c r="AE110" s="3" t="s">
        <v>691</v>
      </c>
      <c r="AF110" s="1"/>
      <c r="AG110" s="1"/>
      <c r="AH110" s="1"/>
      <c r="AI110" s="1"/>
      <c r="AJ110" s="1"/>
    </row>
    <row r="111" spans="1:36" x14ac:dyDescent="0.2">
      <c r="A111" s="2">
        <v>44843.528873587959</v>
      </c>
      <c r="B111" s="3" t="s">
        <v>416</v>
      </c>
      <c r="C111" s="3">
        <v>3242310729</v>
      </c>
      <c r="D111" s="3" t="s">
        <v>30</v>
      </c>
      <c r="E111" s="3" t="s">
        <v>31</v>
      </c>
      <c r="F111" s="3">
        <v>2</v>
      </c>
      <c r="G111" s="3" t="s">
        <v>694</v>
      </c>
      <c r="H111" s="3"/>
      <c r="I111" s="3">
        <v>3007392844</v>
      </c>
      <c r="J111" s="3" t="s">
        <v>695</v>
      </c>
      <c r="K111" s="3">
        <v>3115058108</v>
      </c>
      <c r="L111" s="3" t="s">
        <v>696</v>
      </c>
      <c r="M111" s="3" t="s">
        <v>696</v>
      </c>
      <c r="N111" s="3" t="s">
        <v>35</v>
      </c>
      <c r="O111" s="3"/>
      <c r="P111" s="3">
        <v>4</v>
      </c>
      <c r="Q111" s="3" t="s">
        <v>697</v>
      </c>
      <c r="R111" s="3" t="s">
        <v>698</v>
      </c>
      <c r="S111" s="3" t="s">
        <v>38</v>
      </c>
      <c r="T111" s="3" t="s">
        <v>699</v>
      </c>
      <c r="U111" s="3"/>
      <c r="V111" s="3"/>
      <c r="W111" s="3"/>
      <c r="X111" s="3"/>
      <c r="Y111" s="3"/>
      <c r="Z111" s="3"/>
      <c r="AA111" s="3"/>
      <c r="AB111" s="3"/>
      <c r="AC111" s="3" t="s">
        <v>700</v>
      </c>
      <c r="AD111" s="3"/>
      <c r="AE111" s="3" t="s">
        <v>696</v>
      </c>
      <c r="AF111" s="1"/>
      <c r="AG111" s="1"/>
      <c r="AH111" s="1"/>
      <c r="AI111" s="1"/>
      <c r="AJ111" s="1"/>
    </row>
    <row r="112" spans="1:36" x14ac:dyDescent="0.2">
      <c r="A112" s="2">
        <v>44843.529624097224</v>
      </c>
      <c r="B112" s="3" t="s">
        <v>233</v>
      </c>
      <c r="C112" s="3">
        <v>3003606520</v>
      </c>
      <c r="D112" s="3" t="s">
        <v>30</v>
      </c>
      <c r="E112" s="3" t="s">
        <v>31</v>
      </c>
      <c r="F112" s="3" t="s">
        <v>164</v>
      </c>
      <c r="G112" s="3" t="s">
        <v>701</v>
      </c>
      <c r="H112" s="3"/>
      <c r="I112" s="3">
        <v>3013729048</v>
      </c>
      <c r="J112" s="3"/>
      <c r="K112" s="3"/>
      <c r="L112" s="3" t="s">
        <v>213</v>
      </c>
      <c r="M112" s="3" t="s">
        <v>341</v>
      </c>
      <c r="N112" s="3" t="s">
        <v>35</v>
      </c>
      <c r="O112" s="3"/>
      <c r="P112" s="3">
        <v>3</v>
      </c>
      <c r="Q112" s="3" t="s">
        <v>702</v>
      </c>
      <c r="R112" s="3" t="s">
        <v>703</v>
      </c>
      <c r="S112" s="3" t="s">
        <v>38</v>
      </c>
      <c r="T112" s="3" t="s">
        <v>704</v>
      </c>
      <c r="U112" s="3"/>
      <c r="V112" s="3"/>
      <c r="W112" s="3"/>
      <c r="X112" s="3"/>
      <c r="Y112" s="3"/>
      <c r="Z112" s="3"/>
      <c r="AA112" s="3"/>
      <c r="AB112" s="3"/>
      <c r="AC112" s="3"/>
      <c r="AD112" s="3"/>
      <c r="AE112" s="3" t="s">
        <v>213</v>
      </c>
      <c r="AF112" s="1"/>
      <c r="AG112" s="1"/>
      <c r="AH112" s="1"/>
      <c r="AI112" s="1"/>
      <c r="AJ112" s="1"/>
    </row>
    <row r="113" spans="1:36" x14ac:dyDescent="0.2">
      <c r="A113" s="2">
        <v>44843.530360358796</v>
      </c>
      <c r="B113" s="3" t="s">
        <v>416</v>
      </c>
      <c r="C113" s="3">
        <v>3242310729</v>
      </c>
      <c r="D113" s="3" t="s">
        <v>30</v>
      </c>
      <c r="E113" s="3" t="s">
        <v>31</v>
      </c>
      <c r="F113" s="3">
        <v>2</v>
      </c>
      <c r="G113" s="3" t="s">
        <v>705</v>
      </c>
      <c r="H113" s="3"/>
      <c r="I113" s="3">
        <v>3115058108</v>
      </c>
      <c r="J113" s="3" t="s">
        <v>694</v>
      </c>
      <c r="K113" s="3">
        <v>3007392844</v>
      </c>
      <c r="L113" s="3">
        <v>5</v>
      </c>
      <c r="M113" s="3">
        <v>5</v>
      </c>
      <c r="N113" s="3" t="s">
        <v>35</v>
      </c>
      <c r="O113" s="3"/>
      <c r="P113" s="3">
        <v>3</v>
      </c>
      <c r="Q113" s="3" t="s">
        <v>706</v>
      </c>
      <c r="R113" s="3" t="s">
        <v>707</v>
      </c>
      <c r="S113" s="3" t="s">
        <v>38</v>
      </c>
      <c r="T113" s="3" t="s">
        <v>708</v>
      </c>
      <c r="U113" s="3"/>
      <c r="V113" s="3"/>
      <c r="W113" s="3"/>
      <c r="X113" s="3"/>
      <c r="Y113" s="3"/>
      <c r="Z113" s="3"/>
      <c r="AA113" s="3"/>
      <c r="AB113" s="3"/>
      <c r="AC113" s="3" t="s">
        <v>709</v>
      </c>
      <c r="AD113" s="3"/>
      <c r="AE113" s="3">
        <v>5</v>
      </c>
      <c r="AF113" s="1"/>
      <c r="AG113" s="1"/>
      <c r="AH113" s="1"/>
      <c r="AI113" s="1"/>
      <c r="AJ113" s="1"/>
    </row>
    <row r="114" spans="1:36" x14ac:dyDescent="0.2">
      <c r="A114" s="2">
        <v>44843.534762835647</v>
      </c>
      <c r="B114" s="3" t="s">
        <v>416</v>
      </c>
      <c r="C114" s="3">
        <v>3242310729</v>
      </c>
      <c r="D114" s="3" t="s">
        <v>30</v>
      </c>
      <c r="E114" s="3" t="s">
        <v>31</v>
      </c>
      <c r="F114" s="3">
        <v>2</v>
      </c>
      <c r="G114" s="3" t="s">
        <v>710</v>
      </c>
      <c r="H114" s="3"/>
      <c r="I114" s="3">
        <v>3117167421</v>
      </c>
      <c r="J114" s="3" t="s">
        <v>711</v>
      </c>
      <c r="K114" s="3">
        <v>3226699464</v>
      </c>
      <c r="L114" s="3">
        <v>11</v>
      </c>
      <c r="M114" s="3">
        <v>11</v>
      </c>
      <c r="N114" s="3" t="s">
        <v>35</v>
      </c>
      <c r="O114" s="3"/>
      <c r="P114" s="3">
        <v>2</v>
      </c>
      <c r="Q114" s="3" t="s">
        <v>712</v>
      </c>
      <c r="R114" s="3" t="s">
        <v>713</v>
      </c>
      <c r="S114" s="3" t="s">
        <v>38</v>
      </c>
      <c r="T114" s="3" t="s">
        <v>714</v>
      </c>
      <c r="U114" s="3"/>
      <c r="V114" s="3"/>
      <c r="W114" s="3"/>
      <c r="X114" s="3"/>
      <c r="Y114" s="3"/>
      <c r="Z114" s="3"/>
      <c r="AA114" s="3"/>
      <c r="AB114" s="3"/>
      <c r="AC114" s="3" t="s">
        <v>715</v>
      </c>
      <c r="AD114" s="3"/>
      <c r="AE114" s="3">
        <v>11</v>
      </c>
      <c r="AF114" s="1"/>
      <c r="AG114" s="1"/>
      <c r="AH114" s="1"/>
      <c r="AI114" s="1"/>
      <c r="AJ114" s="1"/>
    </row>
    <row r="115" spans="1:36" x14ac:dyDescent="0.2">
      <c r="A115" s="2">
        <v>44857.493811307868</v>
      </c>
      <c r="B115" s="3" t="s">
        <v>716</v>
      </c>
      <c r="C115" s="3">
        <v>3242310729</v>
      </c>
      <c r="D115" s="3" t="s">
        <v>30</v>
      </c>
      <c r="E115" s="3" t="s">
        <v>31</v>
      </c>
      <c r="F115" s="3">
        <v>4</v>
      </c>
      <c r="G115" s="3" t="s">
        <v>717</v>
      </c>
      <c r="H115" s="3"/>
      <c r="I115" s="3">
        <v>3113563262</v>
      </c>
      <c r="J115" s="3" t="s">
        <v>718</v>
      </c>
      <c r="K115" s="3">
        <v>3504844924</v>
      </c>
      <c r="L115" s="3">
        <v>12</v>
      </c>
      <c r="M115" s="3">
        <v>12</v>
      </c>
      <c r="N115" s="3" t="s">
        <v>35</v>
      </c>
      <c r="O115" s="3"/>
      <c r="P115" s="3">
        <v>5</v>
      </c>
      <c r="Q115" s="3" t="s">
        <v>719</v>
      </c>
      <c r="R115" s="3" t="s">
        <v>720</v>
      </c>
      <c r="S115" s="3" t="s">
        <v>38</v>
      </c>
      <c r="T115" s="3" t="s">
        <v>721</v>
      </c>
      <c r="U115" s="3"/>
      <c r="V115" s="3"/>
      <c r="W115" s="3"/>
      <c r="X115" s="3"/>
      <c r="Y115" s="3"/>
      <c r="Z115" s="3"/>
      <c r="AA115" s="3"/>
      <c r="AB115" s="3"/>
      <c r="AC115" s="3" t="s">
        <v>722</v>
      </c>
      <c r="AD115" s="3"/>
      <c r="AE115" s="3">
        <v>12</v>
      </c>
      <c r="AF115" s="1"/>
      <c r="AG115" s="1"/>
      <c r="AH115" s="1"/>
      <c r="AI115" s="1"/>
      <c r="AJ115" s="1"/>
    </row>
    <row r="116" spans="1:36" x14ac:dyDescent="0.2">
      <c r="A116" s="2">
        <v>44857.497390486111</v>
      </c>
      <c r="B116" s="3" t="s">
        <v>723</v>
      </c>
      <c r="C116" s="3">
        <v>3242310729</v>
      </c>
      <c r="D116" s="3" t="s">
        <v>30</v>
      </c>
      <c r="E116" s="3" t="s">
        <v>31</v>
      </c>
      <c r="F116" s="3">
        <v>4</v>
      </c>
      <c r="G116" s="3" t="s">
        <v>724</v>
      </c>
      <c r="H116" s="3"/>
      <c r="I116" s="3">
        <v>3013168627</v>
      </c>
      <c r="J116" s="3" t="s">
        <v>725</v>
      </c>
      <c r="K116" s="3">
        <v>3216956922</v>
      </c>
      <c r="L116" s="3" t="s">
        <v>372</v>
      </c>
      <c r="M116" s="3" t="s">
        <v>726</v>
      </c>
      <c r="N116" s="3" t="s">
        <v>35</v>
      </c>
      <c r="O116" s="3"/>
      <c r="P116" s="3">
        <v>2</v>
      </c>
      <c r="Q116" s="3" t="s">
        <v>727</v>
      </c>
      <c r="R116" s="3" t="s">
        <v>453</v>
      </c>
      <c r="S116" s="3" t="s">
        <v>38</v>
      </c>
      <c r="T116" s="3" t="s">
        <v>708</v>
      </c>
      <c r="U116" s="3"/>
      <c r="V116" s="3"/>
      <c r="W116" s="3"/>
      <c r="X116" s="3"/>
      <c r="Y116" s="3"/>
      <c r="Z116" s="3"/>
      <c r="AA116" s="3"/>
      <c r="AB116" s="3"/>
      <c r="AC116" s="3" t="s">
        <v>728</v>
      </c>
      <c r="AD116" s="3"/>
      <c r="AE116" s="3" t="s">
        <v>372</v>
      </c>
      <c r="AF116" s="1"/>
      <c r="AG116" s="1"/>
      <c r="AH116" s="1"/>
      <c r="AI116" s="1"/>
      <c r="AJ116" s="1"/>
    </row>
    <row r="117" spans="1:36" x14ac:dyDescent="0.2">
      <c r="A117" s="5">
        <v>44863.446977337968</v>
      </c>
      <c r="B117" s="1" t="s">
        <v>729</v>
      </c>
      <c r="C117" s="1">
        <v>3206216056</v>
      </c>
      <c r="D117" s="1" t="s">
        <v>79</v>
      </c>
      <c r="E117" s="1" t="s">
        <v>190</v>
      </c>
      <c r="F117" s="1" t="s">
        <v>613</v>
      </c>
      <c r="G117" s="1" t="s">
        <v>730</v>
      </c>
      <c r="H117" s="1"/>
      <c r="I117" s="1">
        <v>3177949473</v>
      </c>
      <c r="J117" s="1" t="s">
        <v>731</v>
      </c>
      <c r="K117" s="1">
        <v>3145420762</v>
      </c>
      <c r="L117" s="1">
        <v>12</v>
      </c>
      <c r="M117" s="1">
        <v>12</v>
      </c>
      <c r="N117" s="1" t="s">
        <v>35</v>
      </c>
      <c r="O117" s="1"/>
      <c r="P117" s="1">
        <v>2</v>
      </c>
      <c r="Q117" s="1" t="s">
        <v>732</v>
      </c>
      <c r="R117" s="1" t="s">
        <v>733</v>
      </c>
      <c r="S117" s="1" t="s">
        <v>38</v>
      </c>
      <c r="T117" s="1" t="s">
        <v>170</v>
      </c>
      <c r="U117" s="1"/>
      <c r="V117" s="1"/>
      <c r="W117" s="1"/>
      <c r="X117" s="1"/>
      <c r="Y117" s="1"/>
      <c r="Z117" s="1"/>
      <c r="AA117" s="1"/>
      <c r="AB117" s="1"/>
      <c r="AC117" s="1" t="s">
        <v>734</v>
      </c>
      <c r="AD117" s="1"/>
      <c r="AE117" s="1">
        <v>12</v>
      </c>
      <c r="AF117" s="1"/>
      <c r="AG117" s="1"/>
      <c r="AH117" s="1"/>
      <c r="AI117" s="1"/>
      <c r="AJ117" s="1"/>
    </row>
    <row r="118" spans="1:36" x14ac:dyDescent="0.2">
      <c r="A118" s="5">
        <v>44863.449954768519</v>
      </c>
      <c r="B118" s="1" t="s">
        <v>729</v>
      </c>
      <c r="C118" s="1">
        <v>3206216056</v>
      </c>
      <c r="D118" s="1" t="s">
        <v>79</v>
      </c>
      <c r="E118" s="1" t="s">
        <v>190</v>
      </c>
      <c r="F118" s="1" t="s">
        <v>656</v>
      </c>
      <c r="G118" s="1" t="s">
        <v>735</v>
      </c>
      <c r="H118" s="1"/>
      <c r="I118" s="1">
        <v>3117671769</v>
      </c>
      <c r="J118" s="1" t="s">
        <v>736</v>
      </c>
      <c r="K118" s="1">
        <v>3148012983</v>
      </c>
      <c r="L118" s="1">
        <v>30</v>
      </c>
      <c r="M118" s="1">
        <v>1</v>
      </c>
      <c r="N118" s="1" t="s">
        <v>35</v>
      </c>
      <c r="O118" s="1"/>
      <c r="P118" s="1">
        <v>3</v>
      </c>
      <c r="Q118" s="1" t="s">
        <v>737</v>
      </c>
      <c r="R118" s="1" t="s">
        <v>738</v>
      </c>
      <c r="S118" s="1" t="s">
        <v>38</v>
      </c>
      <c r="T118" s="1" t="s">
        <v>739</v>
      </c>
      <c r="U118" s="1"/>
      <c r="V118" s="1"/>
      <c r="W118" s="1"/>
      <c r="X118" s="1"/>
      <c r="Y118" s="1"/>
      <c r="Z118" s="1"/>
      <c r="AA118" s="1"/>
      <c r="AB118" s="1"/>
      <c r="AC118" s="1"/>
      <c r="AD118" s="1"/>
      <c r="AE118" s="1">
        <v>30</v>
      </c>
      <c r="AF118" s="1"/>
      <c r="AG118" s="1"/>
      <c r="AH118" s="1"/>
      <c r="AI118" s="1"/>
      <c r="AJ118" s="1"/>
    </row>
    <row r="119" spans="1:36" x14ac:dyDescent="0.2">
      <c r="A119" s="5">
        <v>44863.451920555555</v>
      </c>
      <c r="B119" s="1" t="s">
        <v>729</v>
      </c>
      <c r="C119" s="1">
        <v>3206216056</v>
      </c>
      <c r="D119" s="1" t="s">
        <v>79</v>
      </c>
      <c r="E119" s="1" t="s">
        <v>190</v>
      </c>
      <c r="F119" s="1" t="s">
        <v>656</v>
      </c>
      <c r="G119" s="1" t="s">
        <v>740</v>
      </c>
      <c r="H119" s="1"/>
      <c r="I119" s="1">
        <v>3148012983</v>
      </c>
      <c r="J119" s="1"/>
      <c r="K119" s="1"/>
      <c r="L119" s="1">
        <v>30</v>
      </c>
      <c r="M119" s="1">
        <v>1</v>
      </c>
      <c r="N119" s="1" t="s">
        <v>35</v>
      </c>
      <c r="O119" s="1"/>
      <c r="P119" s="1">
        <v>3</v>
      </c>
      <c r="Q119" s="1" t="s">
        <v>741</v>
      </c>
      <c r="R119" s="1" t="s">
        <v>742</v>
      </c>
      <c r="S119" s="1" t="s">
        <v>38</v>
      </c>
      <c r="T119" s="1" t="s">
        <v>35</v>
      </c>
      <c r="U119" s="1"/>
      <c r="V119" s="1"/>
      <c r="W119" s="1"/>
      <c r="X119" s="1"/>
      <c r="Y119" s="1"/>
      <c r="Z119" s="1"/>
      <c r="AA119" s="1"/>
      <c r="AB119" s="1"/>
      <c r="AC119" s="1" t="s">
        <v>743</v>
      </c>
      <c r="AD119" s="1"/>
      <c r="AE119" s="1">
        <v>30</v>
      </c>
      <c r="AF119" s="1"/>
      <c r="AG119" s="1"/>
      <c r="AH119" s="1"/>
      <c r="AI119" s="1"/>
      <c r="AJ119" s="1"/>
    </row>
    <row r="120" spans="1:36" x14ac:dyDescent="0.2">
      <c r="A120" s="5">
        <v>44863.453587164353</v>
      </c>
      <c r="B120" s="1" t="s">
        <v>612</v>
      </c>
      <c r="C120" s="1">
        <v>3206216056</v>
      </c>
      <c r="D120" s="1" t="s">
        <v>79</v>
      </c>
      <c r="E120" s="1" t="s">
        <v>190</v>
      </c>
      <c r="F120" s="1" t="s">
        <v>744</v>
      </c>
      <c r="G120" s="1" t="s">
        <v>745</v>
      </c>
      <c r="H120" s="1"/>
      <c r="I120" s="1">
        <v>3045984463</v>
      </c>
      <c r="J120" s="1"/>
      <c r="K120" s="1"/>
      <c r="L120" s="1">
        <v>14</v>
      </c>
      <c r="M120" s="1">
        <v>14</v>
      </c>
      <c r="N120" s="1" t="s">
        <v>35</v>
      </c>
      <c r="O120" s="1"/>
      <c r="P120" s="1">
        <v>2</v>
      </c>
      <c r="Q120" s="1" t="s">
        <v>746</v>
      </c>
      <c r="R120" s="1" t="s">
        <v>747</v>
      </c>
      <c r="S120" s="1" t="s">
        <v>38</v>
      </c>
      <c r="T120" s="1" t="s">
        <v>132</v>
      </c>
      <c r="U120" s="1"/>
      <c r="V120" s="1"/>
      <c r="W120" s="1"/>
      <c r="X120" s="1"/>
      <c r="Y120" s="1"/>
      <c r="Z120" s="1"/>
      <c r="AA120" s="1"/>
      <c r="AB120" s="1"/>
      <c r="AC120" s="1"/>
      <c r="AD120" s="1"/>
      <c r="AE120" s="1">
        <v>14</v>
      </c>
      <c r="AF120" s="1"/>
      <c r="AG120" s="1"/>
      <c r="AH120" s="1"/>
      <c r="AI120" s="1"/>
      <c r="AJ120" s="1"/>
    </row>
    <row r="121" spans="1:36" x14ac:dyDescent="0.2">
      <c r="A121" s="5">
        <v>44863.456595243057</v>
      </c>
      <c r="B121" s="1" t="s">
        <v>729</v>
      </c>
      <c r="C121" s="1">
        <v>3206216056</v>
      </c>
      <c r="D121" s="1" t="s">
        <v>79</v>
      </c>
      <c r="E121" s="1" t="s">
        <v>190</v>
      </c>
      <c r="F121" s="1" t="s">
        <v>748</v>
      </c>
      <c r="G121" s="1" t="s">
        <v>749</v>
      </c>
      <c r="H121" s="1"/>
      <c r="I121" s="1">
        <v>3216071362</v>
      </c>
      <c r="J121" s="1" t="s">
        <v>750</v>
      </c>
      <c r="K121" s="1">
        <v>3136008255</v>
      </c>
      <c r="L121" s="1">
        <v>12</v>
      </c>
      <c r="M121" s="1">
        <v>12</v>
      </c>
      <c r="N121" s="1" t="s">
        <v>35</v>
      </c>
      <c r="O121" s="1"/>
      <c r="P121" s="1">
        <v>4</v>
      </c>
      <c r="Q121" s="1" t="s">
        <v>751</v>
      </c>
      <c r="R121" s="1" t="s">
        <v>752</v>
      </c>
      <c r="S121" s="1" t="s">
        <v>38</v>
      </c>
      <c r="T121" s="1" t="s">
        <v>132</v>
      </c>
      <c r="U121" s="1"/>
      <c r="V121" s="1"/>
      <c r="W121" s="1"/>
      <c r="X121" s="1"/>
      <c r="Y121" s="1"/>
      <c r="Z121" s="1"/>
      <c r="AA121" s="1"/>
      <c r="AB121" s="1"/>
      <c r="AC121" s="1"/>
      <c r="AD121" s="1"/>
      <c r="AE121" s="1">
        <v>12</v>
      </c>
      <c r="AF121" s="1"/>
      <c r="AG121" s="1"/>
      <c r="AH121" s="1"/>
      <c r="AI121" s="1"/>
      <c r="AJ121" s="1"/>
    </row>
    <row r="122" spans="1:36" x14ac:dyDescent="0.2">
      <c r="A122" s="5">
        <v>44863.460622858795</v>
      </c>
      <c r="B122" s="1" t="s">
        <v>729</v>
      </c>
      <c r="C122" s="1">
        <v>3206216056</v>
      </c>
      <c r="D122" s="1" t="s">
        <v>79</v>
      </c>
      <c r="E122" s="1" t="s">
        <v>190</v>
      </c>
      <c r="F122" s="1" t="s">
        <v>656</v>
      </c>
      <c r="G122" s="1" t="s">
        <v>753</v>
      </c>
      <c r="H122" s="1"/>
      <c r="I122" s="1">
        <v>3027416506</v>
      </c>
      <c r="J122" s="1"/>
      <c r="K122" s="1"/>
      <c r="L122" s="1">
        <v>15</v>
      </c>
      <c r="M122" s="1">
        <v>15</v>
      </c>
      <c r="N122" s="1" t="s">
        <v>35</v>
      </c>
      <c r="O122" s="1"/>
      <c r="P122" s="1">
        <v>1</v>
      </c>
      <c r="Q122" s="1">
        <v>72</v>
      </c>
      <c r="R122" s="1" t="s">
        <v>754</v>
      </c>
      <c r="S122" s="1" t="s">
        <v>38</v>
      </c>
      <c r="T122" s="1" t="s">
        <v>35</v>
      </c>
      <c r="U122" s="1"/>
      <c r="V122" s="1"/>
      <c r="W122" s="1"/>
      <c r="X122" s="1"/>
      <c r="Y122" s="1"/>
      <c r="Z122" s="1"/>
      <c r="AA122" s="1"/>
      <c r="AB122" s="1"/>
      <c r="AC122" s="1" t="s">
        <v>755</v>
      </c>
      <c r="AD122" s="1"/>
      <c r="AE122" s="1">
        <v>15</v>
      </c>
      <c r="AF122" s="1"/>
      <c r="AG122" s="1"/>
      <c r="AH122" s="1"/>
      <c r="AI122" s="1"/>
      <c r="AJ122" s="1"/>
    </row>
    <row r="123" spans="1:36" x14ac:dyDescent="0.2">
      <c r="A123" s="5">
        <v>44863.462417916671</v>
      </c>
      <c r="B123" s="1" t="s">
        <v>756</v>
      </c>
      <c r="C123" s="1">
        <v>3135667217</v>
      </c>
      <c r="D123" s="1" t="s">
        <v>79</v>
      </c>
      <c r="E123" s="1" t="s">
        <v>190</v>
      </c>
      <c r="F123" s="1" t="s">
        <v>757</v>
      </c>
      <c r="G123" s="1" t="s">
        <v>758</v>
      </c>
      <c r="H123" s="1"/>
      <c r="I123" s="1">
        <v>3107778577</v>
      </c>
      <c r="J123" s="1" t="s">
        <v>759</v>
      </c>
      <c r="K123" s="1">
        <v>3044538594</v>
      </c>
      <c r="L123" s="1">
        <v>5</v>
      </c>
      <c r="M123" s="1">
        <v>5</v>
      </c>
      <c r="N123" s="1" t="s">
        <v>35</v>
      </c>
      <c r="O123" s="1"/>
      <c r="P123" s="1">
        <v>5</v>
      </c>
      <c r="Q123" s="1" t="s">
        <v>760</v>
      </c>
      <c r="R123" s="1" t="s">
        <v>761</v>
      </c>
      <c r="S123" s="1" t="s">
        <v>38</v>
      </c>
      <c r="T123" s="1" t="s">
        <v>35</v>
      </c>
      <c r="U123" s="1"/>
      <c r="V123" s="1"/>
      <c r="W123" s="1"/>
      <c r="X123" s="1"/>
      <c r="Y123" s="1"/>
      <c r="Z123" s="1"/>
      <c r="AA123" s="1"/>
      <c r="AB123" s="1"/>
      <c r="AC123" s="1"/>
      <c r="AD123" s="1"/>
      <c r="AE123" s="1">
        <v>5</v>
      </c>
      <c r="AF123" s="1"/>
      <c r="AG123" s="1"/>
      <c r="AH123" s="1"/>
      <c r="AI123" s="1"/>
      <c r="AJ123" s="1"/>
    </row>
    <row r="124" spans="1:36" x14ac:dyDescent="0.2">
      <c r="A124" s="5">
        <v>44863.464598182865</v>
      </c>
      <c r="B124" s="1" t="s">
        <v>729</v>
      </c>
      <c r="C124" s="1">
        <v>3206216056</v>
      </c>
      <c r="D124" s="1" t="s">
        <v>79</v>
      </c>
      <c r="E124" s="1" t="s">
        <v>190</v>
      </c>
      <c r="F124" s="1" t="s">
        <v>656</v>
      </c>
      <c r="G124" s="1" t="s">
        <v>762</v>
      </c>
      <c r="H124" s="1"/>
      <c r="I124" s="1">
        <v>3017229877</v>
      </c>
      <c r="J124" s="1"/>
      <c r="K124" s="1"/>
      <c r="L124" s="1">
        <v>22</v>
      </c>
      <c r="M124" s="1">
        <v>22</v>
      </c>
      <c r="N124" s="1" t="s">
        <v>35</v>
      </c>
      <c r="O124" s="1"/>
      <c r="P124" s="1">
        <v>1</v>
      </c>
      <c r="Q124" s="1">
        <v>55</v>
      </c>
      <c r="R124" s="1" t="s">
        <v>763</v>
      </c>
      <c r="S124" s="1" t="s">
        <v>38</v>
      </c>
      <c r="T124" s="1" t="s">
        <v>764</v>
      </c>
      <c r="U124" s="1"/>
      <c r="V124" s="1"/>
      <c r="W124" s="1"/>
      <c r="X124" s="1"/>
      <c r="Y124" s="1"/>
      <c r="Z124" s="1"/>
      <c r="AA124" s="1"/>
      <c r="AB124" s="1"/>
      <c r="AC124" s="1" t="s">
        <v>765</v>
      </c>
      <c r="AD124" s="1"/>
      <c r="AE124" s="1">
        <v>22</v>
      </c>
      <c r="AF124" s="1"/>
      <c r="AG124" s="1"/>
      <c r="AH124" s="1"/>
      <c r="AI124" s="1"/>
      <c r="AJ124" s="1"/>
    </row>
    <row r="125" spans="1:36" x14ac:dyDescent="0.2">
      <c r="A125" s="2">
        <v>44878.535577245369</v>
      </c>
      <c r="B125" s="3" t="s">
        <v>766</v>
      </c>
      <c r="C125" s="3">
        <v>3013896818</v>
      </c>
      <c r="D125" s="3" t="s">
        <v>30</v>
      </c>
      <c r="E125" s="3" t="s">
        <v>31</v>
      </c>
      <c r="F125" s="3" t="s">
        <v>56</v>
      </c>
      <c r="G125" s="3" t="s">
        <v>767</v>
      </c>
      <c r="H125" s="3"/>
      <c r="I125" s="3">
        <v>3016861124</v>
      </c>
      <c r="J125" s="3" t="s">
        <v>768</v>
      </c>
      <c r="K125" s="3">
        <v>3015778664</v>
      </c>
      <c r="L125" s="3" t="s">
        <v>83</v>
      </c>
      <c r="M125" s="3" t="s">
        <v>769</v>
      </c>
      <c r="N125" s="3" t="s">
        <v>35</v>
      </c>
      <c r="O125" s="3"/>
      <c r="P125" s="3">
        <v>3</v>
      </c>
      <c r="Q125" s="3" t="s">
        <v>770</v>
      </c>
      <c r="R125" s="3" t="s">
        <v>771</v>
      </c>
      <c r="S125" s="3" t="s">
        <v>38</v>
      </c>
      <c r="T125" s="3" t="s">
        <v>772</v>
      </c>
      <c r="U125" s="3"/>
      <c r="V125" s="3"/>
      <c r="W125" s="3"/>
      <c r="X125" s="3"/>
      <c r="Y125" s="3"/>
      <c r="Z125" s="3"/>
      <c r="AA125" s="3"/>
      <c r="AB125" s="3"/>
      <c r="AC125" s="3" t="s">
        <v>773</v>
      </c>
      <c r="AD125" s="3"/>
      <c r="AE125" s="3" t="s">
        <v>83</v>
      </c>
      <c r="AF125" s="1"/>
      <c r="AG125" s="1"/>
      <c r="AH125" s="1"/>
      <c r="AI125" s="1"/>
      <c r="AJ125" s="1"/>
    </row>
    <row r="126" spans="1:36" x14ac:dyDescent="0.2">
      <c r="A126" s="2">
        <v>44878.540464409722</v>
      </c>
      <c r="B126" s="3" t="s">
        <v>766</v>
      </c>
      <c r="C126" s="3">
        <v>3013896818</v>
      </c>
      <c r="D126" s="3" t="s">
        <v>30</v>
      </c>
      <c r="E126" s="3" t="s">
        <v>31</v>
      </c>
      <c r="F126" s="3" t="s">
        <v>774</v>
      </c>
      <c r="G126" s="3" t="s">
        <v>775</v>
      </c>
      <c r="H126" s="3"/>
      <c r="I126" s="3">
        <v>3024428198</v>
      </c>
      <c r="J126" s="3"/>
      <c r="K126" s="3"/>
      <c r="L126" s="3" t="s">
        <v>335</v>
      </c>
      <c r="M126" s="3" t="s">
        <v>676</v>
      </c>
      <c r="N126" s="3" t="s">
        <v>35</v>
      </c>
      <c r="O126" s="3"/>
      <c r="P126" s="3">
        <v>6</v>
      </c>
      <c r="Q126" s="3" t="s">
        <v>776</v>
      </c>
      <c r="R126" s="3" t="s">
        <v>777</v>
      </c>
      <c r="S126" s="3" t="s">
        <v>38</v>
      </c>
      <c r="T126" s="3" t="s">
        <v>778</v>
      </c>
      <c r="U126" s="3"/>
      <c r="V126" s="3"/>
      <c r="W126" s="3"/>
      <c r="X126" s="3"/>
      <c r="Y126" s="3"/>
      <c r="Z126" s="3"/>
      <c r="AA126" s="3"/>
      <c r="AB126" s="3"/>
      <c r="AC126" s="3"/>
      <c r="AD126" s="3"/>
      <c r="AE126" s="3" t="s">
        <v>335</v>
      </c>
      <c r="AF126" s="1"/>
      <c r="AG126" s="1"/>
      <c r="AH126" s="1"/>
      <c r="AI126" s="1"/>
      <c r="AJ126" s="1"/>
    </row>
    <row r="127" spans="1:36" x14ac:dyDescent="0.2">
      <c r="A127" s="2">
        <v>44885.525746504631</v>
      </c>
      <c r="B127" s="3" t="s">
        <v>233</v>
      </c>
      <c r="C127" s="3">
        <v>3003606520</v>
      </c>
      <c r="D127" s="3" t="s">
        <v>30</v>
      </c>
      <c r="E127" s="3" t="s">
        <v>31</v>
      </c>
      <c r="F127" s="3" t="s">
        <v>56</v>
      </c>
      <c r="G127" s="3" t="s">
        <v>779</v>
      </c>
      <c r="H127" s="3"/>
      <c r="I127" s="3">
        <v>3003224631</v>
      </c>
      <c r="J127" s="3"/>
      <c r="K127" s="3"/>
      <c r="L127" s="3" t="s">
        <v>306</v>
      </c>
      <c r="M127" s="3" t="s">
        <v>214</v>
      </c>
      <c r="N127" s="3" t="s">
        <v>35</v>
      </c>
      <c r="O127" s="3"/>
      <c r="P127" s="3">
        <v>1</v>
      </c>
      <c r="Q127" s="3">
        <v>50</v>
      </c>
      <c r="R127" s="3" t="s">
        <v>780</v>
      </c>
      <c r="S127" s="3" t="s">
        <v>38</v>
      </c>
      <c r="T127" s="3" t="s">
        <v>375</v>
      </c>
      <c r="U127" s="3"/>
      <c r="V127" s="3"/>
      <c r="W127" s="3"/>
      <c r="X127" s="3"/>
      <c r="Y127" s="3"/>
      <c r="Z127" s="3"/>
      <c r="AA127" s="3"/>
      <c r="AB127" s="3"/>
      <c r="AC127" s="3" t="s">
        <v>781</v>
      </c>
      <c r="AD127" s="3"/>
      <c r="AE127" s="3" t="s">
        <v>306</v>
      </c>
      <c r="AF127" s="1"/>
      <c r="AG127" s="1"/>
      <c r="AH127" s="1"/>
      <c r="AI127" s="1"/>
      <c r="AJ127" s="1"/>
    </row>
    <row r="128" spans="1:36" x14ac:dyDescent="0.2">
      <c r="A128" s="2">
        <v>44892.645255555559</v>
      </c>
      <c r="B128" s="3" t="s">
        <v>644</v>
      </c>
      <c r="C128" s="3">
        <v>3213856495</v>
      </c>
      <c r="D128" s="3" t="s">
        <v>30</v>
      </c>
      <c r="E128" s="3" t="s">
        <v>31</v>
      </c>
      <c r="F128" s="3" t="s">
        <v>56</v>
      </c>
      <c r="G128" s="3" t="s">
        <v>782</v>
      </c>
      <c r="H128" s="3"/>
      <c r="I128" s="3">
        <v>3016479347</v>
      </c>
      <c r="J128" s="3" t="s">
        <v>783</v>
      </c>
      <c r="K128" s="3">
        <v>3146705496</v>
      </c>
      <c r="L128" s="3" t="s">
        <v>306</v>
      </c>
      <c r="M128" s="3" t="s">
        <v>784</v>
      </c>
      <c r="N128" s="3" t="s">
        <v>35</v>
      </c>
      <c r="O128" s="3"/>
      <c r="P128" s="3">
        <v>3</v>
      </c>
      <c r="Q128" s="3" t="s">
        <v>785</v>
      </c>
      <c r="R128" s="3" t="s">
        <v>786</v>
      </c>
      <c r="S128" s="3" t="s">
        <v>38</v>
      </c>
      <c r="T128" s="3">
        <v>1200000</v>
      </c>
      <c r="U128" s="3"/>
      <c r="V128" s="3"/>
      <c r="W128" s="3"/>
      <c r="X128" s="3"/>
      <c r="Y128" s="3"/>
      <c r="Z128" s="3"/>
      <c r="AA128" s="3"/>
      <c r="AB128" s="3"/>
      <c r="AC128" s="3" t="s">
        <v>787</v>
      </c>
      <c r="AD128" s="3"/>
      <c r="AE128" s="3" t="s">
        <v>306</v>
      </c>
      <c r="AF128" s="1"/>
      <c r="AG128" s="1"/>
      <c r="AH128" s="1"/>
      <c r="AI128" s="1"/>
      <c r="AJ128" s="1"/>
    </row>
    <row r="129" spans="1:36" x14ac:dyDescent="0.2">
      <c r="A129" s="5">
        <v>44948.417169513894</v>
      </c>
      <c r="B129" s="1" t="s">
        <v>788</v>
      </c>
      <c r="C129" s="1">
        <v>3017674995</v>
      </c>
      <c r="D129" s="1" t="s">
        <v>30</v>
      </c>
      <c r="E129" s="1" t="s">
        <v>190</v>
      </c>
      <c r="F129" s="1" t="s">
        <v>272</v>
      </c>
      <c r="G129" s="1" t="s">
        <v>789</v>
      </c>
      <c r="H129" s="1"/>
      <c r="I129" s="1">
        <v>3001544486</v>
      </c>
      <c r="J129" s="1"/>
      <c r="K129" s="1"/>
      <c r="L129" s="1">
        <v>14</v>
      </c>
      <c r="M129" s="1" t="s">
        <v>790</v>
      </c>
      <c r="N129" s="1" t="s">
        <v>35</v>
      </c>
      <c r="O129" s="1"/>
      <c r="P129" s="1">
        <v>4</v>
      </c>
      <c r="Q129" s="1" t="s">
        <v>791</v>
      </c>
      <c r="R129" s="1" t="s">
        <v>792</v>
      </c>
      <c r="S129" s="1" t="s">
        <v>110</v>
      </c>
      <c r="T129" s="1" t="s">
        <v>35</v>
      </c>
      <c r="U129" s="1"/>
      <c r="V129" s="1"/>
      <c r="W129" s="1"/>
      <c r="X129" s="1"/>
      <c r="Y129" s="1"/>
      <c r="Z129" s="1"/>
      <c r="AA129" s="1"/>
      <c r="AB129" s="1"/>
      <c r="AC129" s="1"/>
      <c r="AD129" s="1"/>
      <c r="AE129" s="1">
        <v>14</v>
      </c>
      <c r="AF129" s="1"/>
      <c r="AG129" s="1"/>
      <c r="AH129" s="1"/>
      <c r="AI129" s="1"/>
      <c r="AJ129" s="1"/>
    </row>
    <row r="130" spans="1:36" x14ac:dyDescent="0.2">
      <c r="A130" s="5">
        <v>44948.508402118052</v>
      </c>
      <c r="B130" s="1" t="s">
        <v>788</v>
      </c>
      <c r="C130" s="1">
        <v>3017674995</v>
      </c>
      <c r="D130" s="1" t="s">
        <v>30</v>
      </c>
      <c r="E130" s="1" t="s">
        <v>190</v>
      </c>
      <c r="F130" s="1" t="s">
        <v>793</v>
      </c>
      <c r="G130" s="1" t="s">
        <v>794</v>
      </c>
      <c r="H130" s="1"/>
      <c r="I130" s="1">
        <v>3235832014</v>
      </c>
      <c r="J130" s="1" t="s">
        <v>795</v>
      </c>
      <c r="K130" s="1">
        <v>3217367286</v>
      </c>
      <c r="L130" s="1" t="s">
        <v>796</v>
      </c>
      <c r="M130" s="1" t="s">
        <v>797</v>
      </c>
      <c r="N130" s="1" t="s">
        <v>35</v>
      </c>
      <c r="O130" s="1"/>
      <c r="P130" s="1">
        <v>1</v>
      </c>
      <c r="Q130" s="1">
        <v>69</v>
      </c>
      <c r="R130" s="1" t="s">
        <v>798</v>
      </c>
      <c r="S130" s="1" t="s">
        <v>110</v>
      </c>
      <c r="T130" s="1" t="s">
        <v>132</v>
      </c>
      <c r="U130" s="1"/>
      <c r="V130" s="1"/>
      <c r="W130" s="1"/>
      <c r="X130" s="1"/>
      <c r="Y130" s="1"/>
      <c r="Z130" s="1"/>
      <c r="AA130" s="1"/>
      <c r="AB130" s="1"/>
      <c r="AC130" s="1" t="s">
        <v>799</v>
      </c>
      <c r="AD130" s="1"/>
      <c r="AE130" s="1" t="s">
        <v>796</v>
      </c>
      <c r="AF130" s="1"/>
      <c r="AG130" s="1"/>
      <c r="AH130" s="1"/>
      <c r="AI130" s="1"/>
      <c r="AJ130" s="1"/>
    </row>
    <row r="131" spans="1:36" x14ac:dyDescent="0.2">
      <c r="A131" s="5">
        <v>44969.490107442129</v>
      </c>
      <c r="B131" s="1" t="s">
        <v>800</v>
      </c>
      <c r="C131" s="1">
        <v>3186967961</v>
      </c>
      <c r="D131" s="1" t="s">
        <v>30</v>
      </c>
      <c r="E131" s="1" t="s">
        <v>190</v>
      </c>
      <c r="F131" s="1" t="s">
        <v>801</v>
      </c>
      <c r="G131" s="1" t="s">
        <v>802</v>
      </c>
      <c r="H131" s="1"/>
      <c r="I131" s="1">
        <v>3025490535</v>
      </c>
      <c r="J131" s="1" t="s">
        <v>803</v>
      </c>
      <c r="K131" s="1">
        <v>3242267000</v>
      </c>
      <c r="L131" s="1">
        <v>10</v>
      </c>
      <c r="M131" s="1">
        <v>10</v>
      </c>
      <c r="N131" s="1" t="s">
        <v>35</v>
      </c>
      <c r="O131" s="1"/>
      <c r="P131" s="1">
        <v>1</v>
      </c>
      <c r="Q131" s="1">
        <v>24</v>
      </c>
      <c r="R131" s="1" t="s">
        <v>804</v>
      </c>
      <c r="S131" s="1" t="s">
        <v>38</v>
      </c>
      <c r="T131" s="1" t="s">
        <v>132</v>
      </c>
      <c r="U131" s="1"/>
      <c r="V131" s="1"/>
      <c r="W131" s="1"/>
      <c r="X131" s="1"/>
      <c r="Y131" s="1"/>
      <c r="Z131" s="1"/>
      <c r="AA131" s="1"/>
      <c r="AB131" s="1"/>
      <c r="AC131" s="1"/>
      <c r="AD131" s="1"/>
      <c r="AE131" s="1">
        <v>10</v>
      </c>
      <c r="AF131" s="1"/>
      <c r="AG131" s="1"/>
      <c r="AH131" s="1"/>
      <c r="AI131" s="1"/>
      <c r="AJ131" s="1"/>
    </row>
    <row r="132" spans="1:36" x14ac:dyDescent="0.2">
      <c r="A132" s="2">
        <v>45032.484167314818</v>
      </c>
      <c r="B132" s="3" t="s">
        <v>805</v>
      </c>
      <c r="C132" s="3">
        <v>3127400513</v>
      </c>
      <c r="D132" s="3" t="s">
        <v>30</v>
      </c>
      <c r="E132" s="3" t="s">
        <v>31</v>
      </c>
      <c r="F132" s="3">
        <v>4</v>
      </c>
      <c r="G132" s="3" t="s">
        <v>806</v>
      </c>
      <c r="H132" s="3"/>
      <c r="I132" s="3">
        <v>3243192103</v>
      </c>
      <c r="J132" s="3"/>
      <c r="K132" s="3"/>
      <c r="L132" s="3">
        <v>15</v>
      </c>
      <c r="M132" s="3">
        <v>15</v>
      </c>
      <c r="N132" s="3" t="s">
        <v>35</v>
      </c>
      <c r="O132" s="3"/>
      <c r="P132" s="3">
        <v>1</v>
      </c>
      <c r="Q132" s="3">
        <v>54</v>
      </c>
      <c r="R132" s="3" t="s">
        <v>807</v>
      </c>
      <c r="S132" s="3" t="s">
        <v>38</v>
      </c>
      <c r="T132" s="3" t="s">
        <v>808</v>
      </c>
      <c r="U132" s="3"/>
      <c r="V132" s="3"/>
      <c r="W132" s="3"/>
      <c r="X132" s="3"/>
      <c r="Y132" s="3"/>
      <c r="Z132" s="3"/>
      <c r="AA132" s="3"/>
      <c r="AB132" s="3"/>
      <c r="AC132" s="3" t="s">
        <v>809</v>
      </c>
      <c r="AD132" s="3"/>
      <c r="AE132" s="3">
        <v>15</v>
      </c>
      <c r="AF132" s="1"/>
      <c r="AG132" s="1"/>
      <c r="AH132" s="1"/>
      <c r="AI132" s="1"/>
      <c r="AJ132" s="1"/>
    </row>
    <row r="133" spans="1:36" x14ac:dyDescent="0.2">
      <c r="A133" s="2">
        <v>45074.386418113427</v>
      </c>
      <c r="B133" s="3" t="s">
        <v>810</v>
      </c>
      <c r="C133" s="3">
        <v>3114309036</v>
      </c>
      <c r="D133" s="3" t="s">
        <v>30</v>
      </c>
      <c r="E133" s="3" t="s">
        <v>31</v>
      </c>
      <c r="F133" s="3" t="s">
        <v>56</v>
      </c>
      <c r="G133" s="3" t="s">
        <v>811</v>
      </c>
      <c r="H133" s="3"/>
      <c r="I133" s="3">
        <v>3002995129</v>
      </c>
      <c r="J133" s="3" t="s">
        <v>812</v>
      </c>
      <c r="K133" s="3">
        <v>3023363360</v>
      </c>
      <c r="L133" s="3" t="s">
        <v>335</v>
      </c>
      <c r="M133" s="3" t="s">
        <v>335</v>
      </c>
      <c r="N133" s="3" t="s">
        <v>35</v>
      </c>
      <c r="O133" s="3"/>
      <c r="P133" s="3">
        <v>3</v>
      </c>
      <c r="Q133" s="3" t="s">
        <v>813</v>
      </c>
      <c r="R133" s="3" t="s">
        <v>814</v>
      </c>
      <c r="S133" s="3" t="s">
        <v>38</v>
      </c>
      <c r="T133" s="3" t="s">
        <v>132</v>
      </c>
      <c r="U133" s="3"/>
      <c r="V133" s="3"/>
      <c r="W133" s="3"/>
      <c r="X133" s="3"/>
      <c r="Y133" s="3"/>
      <c r="Z133" s="3"/>
      <c r="AA133" s="3"/>
      <c r="AB133" s="3"/>
      <c r="AC133" s="3"/>
      <c r="AD133" s="3"/>
      <c r="AE133" s="3" t="s">
        <v>335</v>
      </c>
      <c r="AF133" s="1"/>
      <c r="AG133" s="1"/>
      <c r="AH133" s="1"/>
      <c r="AI133" s="1"/>
      <c r="AJ133" s="1"/>
    </row>
    <row r="134" spans="1:36" x14ac:dyDescent="0.2">
      <c r="A134" s="2">
        <v>45094.43429041667</v>
      </c>
      <c r="B134" s="3" t="s">
        <v>354</v>
      </c>
      <c r="C134" s="3">
        <v>3127400513</v>
      </c>
      <c r="D134" s="3" t="s">
        <v>30</v>
      </c>
      <c r="E134" s="3" t="s">
        <v>31</v>
      </c>
      <c r="F134" s="3">
        <v>3</v>
      </c>
      <c r="G134" s="3" t="s">
        <v>815</v>
      </c>
      <c r="H134" s="3"/>
      <c r="I134" s="3">
        <v>3146417171</v>
      </c>
      <c r="J134" s="3" t="s">
        <v>816</v>
      </c>
      <c r="K134" s="3">
        <v>3115207464</v>
      </c>
      <c r="L134" s="3" t="s">
        <v>292</v>
      </c>
      <c r="M134" s="3">
        <v>5</v>
      </c>
      <c r="N134" s="3" t="s">
        <v>35</v>
      </c>
      <c r="O134" s="3"/>
      <c r="P134" s="3">
        <v>5</v>
      </c>
      <c r="Q134" s="3" t="s">
        <v>817</v>
      </c>
      <c r="R134" s="3" t="s">
        <v>818</v>
      </c>
      <c r="S134" s="3" t="s">
        <v>38</v>
      </c>
      <c r="T134" s="3" t="s">
        <v>352</v>
      </c>
      <c r="U134" s="3"/>
      <c r="V134" s="3"/>
      <c r="W134" s="3"/>
      <c r="X134" s="3"/>
      <c r="Y134" s="3"/>
      <c r="Z134" s="3"/>
      <c r="AA134" s="3"/>
      <c r="AB134" s="3"/>
      <c r="AC134" s="3" t="s">
        <v>819</v>
      </c>
      <c r="AD134" s="3"/>
      <c r="AE134" s="3" t="s">
        <v>292</v>
      </c>
      <c r="AF134" s="1"/>
      <c r="AG134" s="1"/>
      <c r="AH134" s="1"/>
      <c r="AI134" s="1"/>
      <c r="AJ134" s="1"/>
    </row>
    <row r="135" spans="1:36" x14ac:dyDescent="0.2">
      <c r="A135" s="2">
        <v>45094.437876770833</v>
      </c>
      <c r="B135" s="3" t="s">
        <v>233</v>
      </c>
      <c r="C135" s="3">
        <v>3003606520</v>
      </c>
      <c r="D135" s="3" t="s">
        <v>30</v>
      </c>
      <c r="E135" s="3" t="s">
        <v>31</v>
      </c>
      <c r="F135" s="3" t="s">
        <v>820</v>
      </c>
      <c r="G135" s="3" t="s">
        <v>821</v>
      </c>
      <c r="H135" s="3"/>
      <c r="I135" s="3">
        <v>3002881615</v>
      </c>
      <c r="J135" s="3" t="s">
        <v>822</v>
      </c>
      <c r="K135" s="3">
        <v>3005966771</v>
      </c>
      <c r="L135" s="3">
        <v>12</v>
      </c>
      <c r="M135" s="3" t="s">
        <v>823</v>
      </c>
      <c r="N135" s="3" t="s">
        <v>35</v>
      </c>
      <c r="O135" s="3"/>
      <c r="P135" s="3">
        <v>3</v>
      </c>
      <c r="Q135" s="9" t="s">
        <v>824</v>
      </c>
      <c r="R135" s="3" t="s">
        <v>825</v>
      </c>
      <c r="S135" s="3" t="s">
        <v>110</v>
      </c>
      <c r="T135" s="3" t="s">
        <v>826</v>
      </c>
      <c r="U135" s="3"/>
      <c r="V135" s="3"/>
      <c r="W135" s="3"/>
      <c r="X135" s="3"/>
      <c r="Y135" s="3"/>
      <c r="Z135" s="3"/>
      <c r="AA135" s="3"/>
      <c r="AB135" s="3"/>
      <c r="AC135" s="3" t="s">
        <v>827</v>
      </c>
      <c r="AD135" s="3"/>
      <c r="AE135" s="3">
        <v>12</v>
      </c>
      <c r="AF135" s="1"/>
      <c r="AG135" s="1"/>
      <c r="AH135" s="1"/>
      <c r="AI135" s="1"/>
      <c r="AJ135" s="1"/>
    </row>
    <row r="136" spans="1:36" x14ac:dyDescent="0.2">
      <c r="A136" s="2">
        <v>45094.441018738427</v>
      </c>
      <c r="B136" s="3" t="s">
        <v>354</v>
      </c>
      <c r="C136" s="3">
        <v>3127400513</v>
      </c>
      <c r="D136" s="3" t="s">
        <v>30</v>
      </c>
      <c r="E136" s="3" t="s">
        <v>31</v>
      </c>
      <c r="F136" s="3">
        <v>4</v>
      </c>
      <c r="G136" s="3" t="s">
        <v>828</v>
      </c>
      <c r="H136" s="3"/>
      <c r="I136" s="3">
        <v>3005967542</v>
      </c>
      <c r="J136" s="3" t="s">
        <v>829</v>
      </c>
      <c r="K136" s="3">
        <v>3117429746</v>
      </c>
      <c r="L136" s="3" t="s">
        <v>769</v>
      </c>
      <c r="M136" s="3" t="s">
        <v>292</v>
      </c>
      <c r="N136" s="3" t="s">
        <v>35</v>
      </c>
      <c r="O136" s="3"/>
      <c r="P136" s="3">
        <v>4</v>
      </c>
      <c r="Q136" s="3" t="s">
        <v>830</v>
      </c>
      <c r="R136" s="3" t="s">
        <v>831</v>
      </c>
      <c r="S136" s="3" t="s">
        <v>38</v>
      </c>
      <c r="T136" s="3" t="s">
        <v>832</v>
      </c>
      <c r="U136" s="3"/>
      <c r="V136" s="3"/>
      <c r="W136" s="3"/>
      <c r="X136" s="3"/>
      <c r="Y136" s="3"/>
      <c r="Z136" s="3"/>
      <c r="AA136" s="3"/>
      <c r="AB136" s="3"/>
      <c r="AC136" s="3" t="s">
        <v>833</v>
      </c>
      <c r="AD136" s="3"/>
      <c r="AE136" s="3" t="s">
        <v>769</v>
      </c>
      <c r="AF136" s="1"/>
      <c r="AG136" s="1"/>
      <c r="AH136" s="1"/>
      <c r="AI136" s="1"/>
      <c r="AJ136" s="1"/>
    </row>
    <row r="137" spans="1:36" x14ac:dyDescent="0.2">
      <c r="A137" s="2">
        <v>45094.443969247688</v>
      </c>
      <c r="B137" s="3" t="s">
        <v>354</v>
      </c>
      <c r="C137" s="3">
        <v>3127400513</v>
      </c>
      <c r="D137" s="3" t="s">
        <v>30</v>
      </c>
      <c r="E137" s="3" t="s">
        <v>31</v>
      </c>
      <c r="F137" s="3">
        <v>3</v>
      </c>
      <c r="G137" s="3" t="s">
        <v>834</v>
      </c>
      <c r="H137" s="3"/>
      <c r="I137" s="3">
        <v>3006366964</v>
      </c>
      <c r="J137" s="3"/>
      <c r="K137" s="3">
        <v>3059370059</v>
      </c>
      <c r="L137" s="3" t="s">
        <v>299</v>
      </c>
      <c r="M137" s="3" t="s">
        <v>299</v>
      </c>
      <c r="N137" s="3" t="s">
        <v>35</v>
      </c>
      <c r="O137" s="3"/>
      <c r="P137" s="3">
        <v>3</v>
      </c>
      <c r="Q137" s="9" t="s">
        <v>835</v>
      </c>
      <c r="R137" s="3" t="s">
        <v>836</v>
      </c>
      <c r="S137" s="3" t="s">
        <v>38</v>
      </c>
      <c r="T137" s="3" t="s">
        <v>837</v>
      </c>
      <c r="U137" s="3"/>
      <c r="V137" s="3"/>
      <c r="W137" s="3"/>
      <c r="X137" s="3"/>
      <c r="Y137" s="3"/>
      <c r="Z137" s="3"/>
      <c r="AA137" s="3"/>
      <c r="AB137" s="3"/>
      <c r="AC137" s="3"/>
      <c r="AD137" s="3"/>
      <c r="AE137" s="3" t="s">
        <v>299</v>
      </c>
      <c r="AF137" s="1"/>
      <c r="AG137" s="1"/>
      <c r="AH137" s="1"/>
      <c r="AI137" s="1"/>
      <c r="AJ137" s="1"/>
    </row>
    <row r="138" spans="1:36" x14ac:dyDescent="0.2">
      <c r="A138" s="2">
        <v>45094.481094849536</v>
      </c>
      <c r="B138" s="3" t="s">
        <v>805</v>
      </c>
      <c r="C138" s="3">
        <v>3127400513</v>
      </c>
      <c r="D138" s="3" t="s">
        <v>30</v>
      </c>
      <c r="E138" s="3" t="s">
        <v>31</v>
      </c>
      <c r="F138" s="3">
        <v>2</v>
      </c>
      <c r="G138" s="3" t="s">
        <v>838</v>
      </c>
      <c r="H138" s="3"/>
      <c r="I138" s="3">
        <v>3013865335</v>
      </c>
      <c r="J138" s="3"/>
      <c r="K138" s="3"/>
      <c r="L138" s="3">
        <v>24</v>
      </c>
      <c r="M138" s="3">
        <v>5</v>
      </c>
      <c r="N138" s="3" t="s">
        <v>35</v>
      </c>
      <c r="O138" s="3"/>
      <c r="P138" s="3">
        <v>4</v>
      </c>
      <c r="Q138" s="3" t="s">
        <v>839</v>
      </c>
      <c r="R138" s="3" t="s">
        <v>840</v>
      </c>
      <c r="S138" s="3" t="s">
        <v>38</v>
      </c>
      <c r="T138" s="3" t="s">
        <v>841</v>
      </c>
      <c r="U138" s="3"/>
      <c r="V138" s="3"/>
      <c r="W138" s="3"/>
      <c r="X138" s="3"/>
      <c r="Y138" s="3"/>
      <c r="Z138" s="3"/>
      <c r="AA138" s="3"/>
      <c r="AB138" s="3"/>
      <c r="AC138" s="3" t="s">
        <v>842</v>
      </c>
      <c r="AD138" s="3"/>
      <c r="AE138" s="3">
        <v>24</v>
      </c>
      <c r="AF138" s="1"/>
      <c r="AG138" s="1"/>
      <c r="AH138" s="1"/>
      <c r="AI138" s="1"/>
      <c r="AJ138" s="1"/>
    </row>
    <row r="139" spans="1:36" x14ac:dyDescent="0.2">
      <c r="A139" s="5">
        <v>45110.37958739583</v>
      </c>
      <c r="B139" s="1" t="s">
        <v>226</v>
      </c>
      <c r="C139" s="1">
        <v>3165428133</v>
      </c>
      <c r="D139" s="1" t="s">
        <v>79</v>
      </c>
      <c r="E139" s="1" t="s">
        <v>190</v>
      </c>
      <c r="F139" s="1" t="s">
        <v>843</v>
      </c>
      <c r="G139" s="1" t="s">
        <v>844</v>
      </c>
      <c r="H139" s="1"/>
      <c r="I139" s="1">
        <v>3104362003</v>
      </c>
      <c r="J139" s="1" t="s">
        <v>845</v>
      </c>
      <c r="K139" s="1">
        <v>3122665798</v>
      </c>
      <c r="L139" s="1">
        <v>12</v>
      </c>
      <c r="M139" s="1">
        <v>6</v>
      </c>
      <c r="N139" s="1" t="s">
        <v>132</v>
      </c>
      <c r="O139" s="1"/>
      <c r="P139" s="1">
        <v>2</v>
      </c>
      <c r="Q139" s="1" t="s">
        <v>846</v>
      </c>
      <c r="R139" s="1" t="s">
        <v>375</v>
      </c>
      <c r="S139" s="1" t="s">
        <v>110</v>
      </c>
      <c r="T139" s="1">
        <v>0</v>
      </c>
      <c r="U139" s="1"/>
      <c r="V139" s="1"/>
      <c r="W139" s="1"/>
      <c r="X139" s="1"/>
      <c r="Y139" s="1"/>
      <c r="Z139" s="1"/>
      <c r="AA139" s="1"/>
      <c r="AB139" s="1"/>
      <c r="AC139" s="1" t="s">
        <v>847</v>
      </c>
      <c r="AD139" s="1"/>
      <c r="AE139" s="1">
        <v>12</v>
      </c>
      <c r="AF139" s="1"/>
      <c r="AG139" s="1"/>
      <c r="AH139" s="1"/>
      <c r="AI139" s="1"/>
      <c r="AJ139" s="1"/>
    </row>
    <row r="140" spans="1:36" x14ac:dyDescent="0.2">
      <c r="A140" s="5">
        <v>45122.456115925925</v>
      </c>
      <c r="B140" s="1" t="s">
        <v>848</v>
      </c>
      <c r="C140" s="1">
        <v>3245330588</v>
      </c>
      <c r="D140" s="1" t="s">
        <v>79</v>
      </c>
      <c r="E140" s="1" t="s">
        <v>190</v>
      </c>
      <c r="F140" s="1" t="s">
        <v>849</v>
      </c>
      <c r="G140" s="1" t="s">
        <v>850</v>
      </c>
      <c r="H140" s="1"/>
      <c r="I140" s="1">
        <v>3126730952</v>
      </c>
      <c r="J140" s="1" t="s">
        <v>851</v>
      </c>
      <c r="K140" s="1"/>
      <c r="L140" s="1">
        <v>1.3</v>
      </c>
      <c r="M140" s="1">
        <v>1</v>
      </c>
      <c r="N140" s="1" t="s">
        <v>132</v>
      </c>
      <c r="O140" s="1"/>
      <c r="P140" s="1">
        <v>4</v>
      </c>
      <c r="Q140" s="1" t="s">
        <v>852</v>
      </c>
      <c r="R140" s="1" t="s">
        <v>853</v>
      </c>
      <c r="S140" s="1" t="s">
        <v>110</v>
      </c>
      <c r="T140" s="1" t="s">
        <v>422</v>
      </c>
      <c r="U140" s="1"/>
      <c r="V140" s="1"/>
      <c r="W140" s="1"/>
      <c r="X140" s="1"/>
      <c r="Y140" s="1"/>
      <c r="Z140" s="1"/>
      <c r="AA140" s="1"/>
      <c r="AB140" s="1"/>
      <c r="AC140" s="1" t="s">
        <v>854</v>
      </c>
      <c r="AD140" s="1"/>
      <c r="AE140" s="1">
        <v>1.3</v>
      </c>
      <c r="AF140" s="1"/>
      <c r="AG140" s="1"/>
      <c r="AH140" s="1"/>
      <c r="AI140" s="1"/>
      <c r="AJ140" s="1"/>
    </row>
    <row r="141" spans="1:36" x14ac:dyDescent="0.2">
      <c r="A141" s="5">
        <v>45122.470925451387</v>
      </c>
      <c r="B141" s="1" t="s">
        <v>848</v>
      </c>
      <c r="C141" s="1">
        <v>3135667217</v>
      </c>
      <c r="D141" s="1" t="s">
        <v>79</v>
      </c>
      <c r="E141" s="1" t="s">
        <v>190</v>
      </c>
      <c r="F141" s="1" t="s">
        <v>855</v>
      </c>
      <c r="G141" s="1" t="s">
        <v>856</v>
      </c>
      <c r="H141" s="1"/>
      <c r="I141" s="1">
        <v>3108223302</v>
      </c>
      <c r="J141" s="1"/>
      <c r="K141" s="1"/>
      <c r="L141" s="1">
        <v>8</v>
      </c>
      <c r="M141" s="1">
        <v>8</v>
      </c>
      <c r="N141" s="1" t="s">
        <v>35</v>
      </c>
      <c r="O141" s="1"/>
      <c r="P141" s="1">
        <v>1</v>
      </c>
      <c r="Q141" s="1">
        <v>51</v>
      </c>
      <c r="R141" s="1" t="s">
        <v>857</v>
      </c>
      <c r="S141" s="1" t="s">
        <v>38</v>
      </c>
      <c r="T141" s="1" t="s">
        <v>422</v>
      </c>
      <c r="U141" s="1"/>
      <c r="V141" s="1"/>
      <c r="W141" s="1"/>
      <c r="X141" s="1"/>
      <c r="Y141" s="1"/>
      <c r="Z141" s="1"/>
      <c r="AA141" s="1"/>
      <c r="AB141" s="1"/>
      <c r="AC141" s="1" t="s">
        <v>858</v>
      </c>
      <c r="AD141" s="1"/>
      <c r="AE141" s="1">
        <v>8</v>
      </c>
      <c r="AF141" s="1"/>
      <c r="AG141" s="1"/>
      <c r="AH141" s="1"/>
      <c r="AI141" s="1"/>
      <c r="AJ141" s="1"/>
    </row>
    <row r="142" spans="1:36" x14ac:dyDescent="0.2">
      <c r="A142" s="5">
        <v>45122.473162187496</v>
      </c>
      <c r="B142" s="1" t="s">
        <v>859</v>
      </c>
      <c r="C142" s="1">
        <v>3046327721</v>
      </c>
      <c r="D142" s="1" t="s">
        <v>79</v>
      </c>
      <c r="E142" s="1" t="s">
        <v>190</v>
      </c>
      <c r="F142" s="1" t="s">
        <v>849</v>
      </c>
      <c r="G142" s="1" t="s">
        <v>860</v>
      </c>
      <c r="H142" s="1"/>
      <c r="I142" s="1">
        <v>3122251144</v>
      </c>
      <c r="J142" s="1" t="s">
        <v>861</v>
      </c>
      <c r="K142" s="1">
        <v>3108223302</v>
      </c>
      <c r="L142" s="1">
        <v>12</v>
      </c>
      <c r="M142" s="1">
        <v>1</v>
      </c>
      <c r="N142" s="1" t="s">
        <v>132</v>
      </c>
      <c r="O142" s="1"/>
      <c r="P142" s="1">
        <v>1</v>
      </c>
      <c r="Q142" s="1">
        <v>71</v>
      </c>
      <c r="R142" s="1" t="s">
        <v>62</v>
      </c>
      <c r="S142" s="1" t="s">
        <v>38</v>
      </c>
      <c r="T142" s="1" t="s">
        <v>862</v>
      </c>
      <c r="U142" s="1"/>
      <c r="V142" s="1"/>
      <c r="W142" s="1"/>
      <c r="X142" s="1"/>
      <c r="Y142" s="1"/>
      <c r="Z142" s="1"/>
      <c r="AA142" s="1"/>
      <c r="AB142" s="1"/>
      <c r="AC142" s="1" t="s">
        <v>863</v>
      </c>
      <c r="AD142" s="1"/>
      <c r="AE142" s="1">
        <v>12</v>
      </c>
      <c r="AF142" s="1"/>
      <c r="AG142" s="1"/>
      <c r="AH142" s="1"/>
      <c r="AI142" s="1"/>
      <c r="AJ142" s="1"/>
    </row>
    <row r="143" spans="1:36" x14ac:dyDescent="0.2">
      <c r="A143" s="12">
        <v>45132.48022755787</v>
      </c>
      <c r="B143" s="13" t="s">
        <v>864</v>
      </c>
      <c r="C143" s="13">
        <v>3216433642</v>
      </c>
      <c r="D143" s="13" t="s">
        <v>79</v>
      </c>
      <c r="E143" s="13" t="s">
        <v>865</v>
      </c>
      <c r="F143" s="13" t="s">
        <v>866</v>
      </c>
      <c r="G143" s="13" t="s">
        <v>867</v>
      </c>
      <c r="H143" s="13"/>
      <c r="I143" s="13">
        <v>3012842110</v>
      </c>
      <c r="J143" s="13" t="s">
        <v>868</v>
      </c>
      <c r="K143" s="13">
        <v>3166842709</v>
      </c>
      <c r="L143" s="13">
        <v>11</v>
      </c>
      <c r="M143" s="13">
        <v>1</v>
      </c>
      <c r="N143" s="13" t="s">
        <v>35</v>
      </c>
      <c r="O143" s="13"/>
      <c r="P143" s="13">
        <v>2</v>
      </c>
      <c r="Q143" s="13">
        <v>51</v>
      </c>
      <c r="R143" s="13" t="s">
        <v>869</v>
      </c>
      <c r="S143" s="13" t="s">
        <v>110</v>
      </c>
      <c r="T143" s="13" t="s">
        <v>870</v>
      </c>
      <c r="U143" s="13"/>
      <c r="V143" s="13"/>
      <c r="W143" s="13"/>
      <c r="X143" s="13"/>
      <c r="Y143" s="13"/>
      <c r="Z143" s="13"/>
      <c r="AA143" s="13"/>
      <c r="AB143" s="13"/>
      <c r="AC143" s="13"/>
      <c r="AD143" s="13"/>
      <c r="AE143" s="13">
        <v>11</v>
      </c>
      <c r="AF143" s="1"/>
      <c r="AG143" s="1"/>
      <c r="AH143" s="1"/>
      <c r="AI143" s="1"/>
      <c r="AJ143" s="1"/>
    </row>
    <row r="144" spans="1:36" x14ac:dyDescent="0.2">
      <c r="A144" s="12">
        <v>45132.544246122685</v>
      </c>
      <c r="B144" s="13" t="s">
        <v>871</v>
      </c>
      <c r="C144" s="13">
        <v>3116299558</v>
      </c>
      <c r="D144" s="13" t="s">
        <v>30</v>
      </c>
      <c r="E144" s="13" t="s">
        <v>865</v>
      </c>
      <c r="F144" s="13" t="s">
        <v>872</v>
      </c>
      <c r="G144" s="13" t="s">
        <v>873</v>
      </c>
      <c r="H144" s="13"/>
      <c r="I144" s="13">
        <v>3023571555</v>
      </c>
      <c r="J144" s="13" t="s">
        <v>874</v>
      </c>
      <c r="K144" s="13">
        <v>3015396496</v>
      </c>
      <c r="L144" s="13">
        <v>4</v>
      </c>
      <c r="M144" s="13">
        <v>1</v>
      </c>
      <c r="N144" s="13" t="s">
        <v>132</v>
      </c>
      <c r="O144" s="13"/>
      <c r="P144" s="13">
        <v>7</v>
      </c>
      <c r="Q144" s="13" t="s">
        <v>875</v>
      </c>
      <c r="R144" s="13" t="s">
        <v>876</v>
      </c>
      <c r="S144" s="13" t="s">
        <v>110</v>
      </c>
      <c r="T144" s="13" t="s">
        <v>877</v>
      </c>
      <c r="U144" s="13"/>
      <c r="V144" s="13"/>
      <c r="W144" s="13"/>
      <c r="X144" s="13"/>
      <c r="Y144" s="13"/>
      <c r="Z144" s="13"/>
      <c r="AA144" s="13"/>
      <c r="AB144" s="13"/>
      <c r="AC144" s="13" t="s">
        <v>878</v>
      </c>
      <c r="AD144" s="13"/>
      <c r="AE144" s="13">
        <v>4</v>
      </c>
      <c r="AF144" s="1"/>
      <c r="AG144" s="1"/>
      <c r="AH144" s="1"/>
      <c r="AI144" s="1"/>
      <c r="AJ144" s="1"/>
    </row>
    <row r="145" spans="1:36" x14ac:dyDescent="0.2">
      <c r="A145" s="12">
        <v>45132.661013009259</v>
      </c>
      <c r="B145" s="13" t="s">
        <v>864</v>
      </c>
      <c r="C145" s="13">
        <v>3216433642</v>
      </c>
      <c r="D145" s="13" t="s">
        <v>79</v>
      </c>
      <c r="E145" s="13" t="s">
        <v>865</v>
      </c>
      <c r="F145" s="13" t="s">
        <v>879</v>
      </c>
      <c r="G145" s="13" t="s">
        <v>880</v>
      </c>
      <c r="H145" s="13"/>
      <c r="I145" s="13">
        <v>3148057540</v>
      </c>
      <c r="J145" s="13"/>
      <c r="K145" s="13"/>
      <c r="L145" s="13">
        <v>12</v>
      </c>
      <c r="M145" s="13">
        <v>12</v>
      </c>
      <c r="N145" s="13" t="s">
        <v>35</v>
      </c>
      <c r="O145" s="13"/>
      <c r="P145" s="13">
        <v>6</v>
      </c>
      <c r="Q145" s="13" t="s">
        <v>881</v>
      </c>
      <c r="R145" s="13" t="s">
        <v>882</v>
      </c>
      <c r="S145" s="13" t="s">
        <v>38</v>
      </c>
      <c r="T145" s="13" t="s">
        <v>883</v>
      </c>
      <c r="U145" s="13"/>
      <c r="V145" s="13"/>
      <c r="W145" s="13"/>
      <c r="X145" s="13"/>
      <c r="Y145" s="13"/>
      <c r="Z145" s="13"/>
      <c r="AA145" s="13"/>
      <c r="AB145" s="13"/>
      <c r="AC145" s="13" t="s">
        <v>884</v>
      </c>
      <c r="AD145" s="13"/>
      <c r="AE145" s="13">
        <v>12</v>
      </c>
      <c r="AF145" s="1"/>
      <c r="AG145" s="1"/>
      <c r="AH145" s="1"/>
      <c r="AI145" s="1"/>
      <c r="AJ145" s="1"/>
    </row>
    <row r="146" spans="1:36" x14ac:dyDescent="0.2">
      <c r="A146" s="12">
        <v>45132.728964131944</v>
      </c>
      <c r="B146" s="13" t="s">
        <v>885</v>
      </c>
      <c r="C146" s="13">
        <v>3117625640</v>
      </c>
      <c r="D146" s="13" t="s">
        <v>79</v>
      </c>
      <c r="E146" s="13" t="s">
        <v>865</v>
      </c>
      <c r="F146" s="13" t="s">
        <v>886</v>
      </c>
      <c r="G146" s="13" t="s">
        <v>887</v>
      </c>
      <c r="H146" s="13"/>
      <c r="I146" s="13">
        <v>3233435253</v>
      </c>
      <c r="J146" s="13" t="s">
        <v>888</v>
      </c>
      <c r="K146" s="13">
        <v>3148661322</v>
      </c>
      <c r="L146" s="13" t="s">
        <v>214</v>
      </c>
      <c r="M146" s="13" t="s">
        <v>267</v>
      </c>
      <c r="N146" s="13" t="s">
        <v>35</v>
      </c>
      <c r="O146" s="13"/>
      <c r="P146" s="13">
        <v>5</v>
      </c>
      <c r="Q146" s="13" t="s">
        <v>889</v>
      </c>
      <c r="R146" s="13" t="s">
        <v>890</v>
      </c>
      <c r="S146" s="13" t="s">
        <v>110</v>
      </c>
      <c r="T146" s="13" t="s">
        <v>891</v>
      </c>
      <c r="U146" s="13"/>
      <c r="V146" s="13"/>
      <c r="W146" s="13"/>
      <c r="X146" s="13"/>
      <c r="Y146" s="13"/>
      <c r="Z146" s="13"/>
      <c r="AA146" s="13"/>
      <c r="AB146" s="13"/>
      <c r="AC146" s="13" t="s">
        <v>892</v>
      </c>
      <c r="AD146" s="13"/>
      <c r="AE146" s="13" t="s">
        <v>214</v>
      </c>
      <c r="AF146" s="1"/>
      <c r="AG146" s="1"/>
      <c r="AH146" s="1"/>
      <c r="AI146" s="1"/>
      <c r="AJ146" s="1"/>
    </row>
    <row r="147" spans="1:36" x14ac:dyDescent="0.2">
      <c r="A147" s="12">
        <v>45133.552413541664</v>
      </c>
      <c r="B147" s="13" t="s">
        <v>893</v>
      </c>
      <c r="C147" s="13">
        <v>3154128883</v>
      </c>
      <c r="D147" s="13" t="s">
        <v>30</v>
      </c>
      <c r="E147" s="13" t="s">
        <v>865</v>
      </c>
      <c r="F147" s="13" t="s">
        <v>894</v>
      </c>
      <c r="G147" s="13" t="s">
        <v>895</v>
      </c>
      <c r="H147" s="13"/>
      <c r="I147" s="13">
        <v>3002424085</v>
      </c>
      <c r="J147" s="13"/>
      <c r="K147" s="13">
        <v>3242913125</v>
      </c>
      <c r="L147" s="13" t="s">
        <v>158</v>
      </c>
      <c r="M147" s="13" t="s">
        <v>158</v>
      </c>
      <c r="N147" s="13" t="s">
        <v>35</v>
      </c>
      <c r="O147" s="13"/>
      <c r="P147" s="13">
        <v>4</v>
      </c>
      <c r="Q147" s="13" t="s">
        <v>896</v>
      </c>
      <c r="R147" s="13" t="s">
        <v>62</v>
      </c>
      <c r="S147" s="13" t="s">
        <v>897</v>
      </c>
      <c r="T147" s="13" t="s">
        <v>132</v>
      </c>
      <c r="U147" s="13"/>
      <c r="V147" s="13"/>
      <c r="W147" s="13"/>
      <c r="X147" s="13"/>
      <c r="Y147" s="13"/>
      <c r="Z147" s="13"/>
      <c r="AA147" s="13"/>
      <c r="AB147" s="13"/>
      <c r="AC147" s="13" t="s">
        <v>898</v>
      </c>
      <c r="AD147" s="13"/>
      <c r="AE147" s="13" t="s">
        <v>158</v>
      </c>
      <c r="AF147" s="1"/>
      <c r="AG147" s="1"/>
      <c r="AH147" s="1"/>
      <c r="AI147" s="1"/>
      <c r="AJ147" s="1"/>
    </row>
    <row r="148" spans="1:36" x14ac:dyDescent="0.2">
      <c r="A148" s="12">
        <v>45133.598464826384</v>
      </c>
      <c r="B148" s="13" t="s">
        <v>864</v>
      </c>
      <c r="C148" s="13">
        <v>3216433642</v>
      </c>
      <c r="D148" s="13" t="s">
        <v>79</v>
      </c>
      <c r="E148" s="13" t="s">
        <v>865</v>
      </c>
      <c r="F148" s="13" t="s">
        <v>899</v>
      </c>
      <c r="G148" s="13" t="s">
        <v>900</v>
      </c>
      <c r="H148" s="13"/>
      <c r="I148" s="13">
        <v>3122819174</v>
      </c>
      <c r="J148" s="13" t="s">
        <v>901</v>
      </c>
      <c r="K148" s="13">
        <v>3136341859</v>
      </c>
      <c r="L148" s="13" t="s">
        <v>180</v>
      </c>
      <c r="M148" s="13" t="s">
        <v>84</v>
      </c>
      <c r="N148" s="13" t="s">
        <v>35</v>
      </c>
      <c r="O148" s="13"/>
      <c r="P148" s="13">
        <v>5</v>
      </c>
      <c r="Q148" s="13" t="s">
        <v>902</v>
      </c>
      <c r="R148" s="13" t="s">
        <v>903</v>
      </c>
      <c r="S148" s="13" t="s">
        <v>904</v>
      </c>
      <c r="T148" s="13" t="s">
        <v>905</v>
      </c>
      <c r="U148" s="13"/>
      <c r="V148" s="13"/>
      <c r="W148" s="13"/>
      <c r="X148" s="13"/>
      <c r="Y148" s="13"/>
      <c r="Z148" s="13"/>
      <c r="AA148" s="13"/>
      <c r="AB148" s="13"/>
      <c r="AC148" s="13" t="s">
        <v>906</v>
      </c>
      <c r="AD148" s="13"/>
      <c r="AE148" s="13" t="s">
        <v>180</v>
      </c>
      <c r="AF148" s="1"/>
      <c r="AG148" s="1"/>
      <c r="AH148" s="1"/>
      <c r="AI148" s="1"/>
      <c r="AJ148" s="1"/>
    </row>
    <row r="149" spans="1:36" x14ac:dyDescent="0.2">
      <c r="A149" s="12">
        <v>45133.603401585649</v>
      </c>
      <c r="B149" s="13" t="s">
        <v>907</v>
      </c>
      <c r="C149" s="13">
        <v>3216433642</v>
      </c>
      <c r="D149" s="13" t="s">
        <v>79</v>
      </c>
      <c r="E149" s="13" t="s">
        <v>865</v>
      </c>
      <c r="F149" s="13" t="s">
        <v>908</v>
      </c>
      <c r="G149" s="13" t="s">
        <v>909</v>
      </c>
      <c r="H149" s="13"/>
      <c r="I149" s="13">
        <v>3145158993</v>
      </c>
      <c r="J149" s="13"/>
      <c r="K149" s="13"/>
      <c r="L149" s="13" t="s">
        <v>910</v>
      </c>
      <c r="M149" s="13" t="s">
        <v>911</v>
      </c>
      <c r="N149" s="13" t="s">
        <v>35</v>
      </c>
      <c r="O149" s="13"/>
      <c r="P149" s="13">
        <v>4</v>
      </c>
      <c r="Q149" s="13" t="s">
        <v>912</v>
      </c>
      <c r="R149" s="13" t="s">
        <v>869</v>
      </c>
      <c r="S149" s="13" t="s">
        <v>38</v>
      </c>
      <c r="T149" s="13" t="s">
        <v>913</v>
      </c>
      <c r="U149" s="13"/>
      <c r="V149" s="13"/>
      <c r="W149" s="13"/>
      <c r="X149" s="13"/>
      <c r="Y149" s="13"/>
      <c r="Z149" s="13"/>
      <c r="AA149" s="13"/>
      <c r="AB149" s="13"/>
      <c r="AC149" s="13"/>
      <c r="AD149" s="13"/>
      <c r="AE149" s="13" t="s">
        <v>910</v>
      </c>
      <c r="AF149" s="1"/>
      <c r="AG149" s="1"/>
      <c r="AH149" s="1"/>
      <c r="AI149" s="1"/>
      <c r="AJ149" s="1"/>
    </row>
    <row r="150" spans="1:36" x14ac:dyDescent="0.2">
      <c r="A150" s="12">
        <v>45133.607401053239</v>
      </c>
      <c r="B150" s="13" t="s">
        <v>907</v>
      </c>
      <c r="C150" s="13">
        <v>3216433642</v>
      </c>
      <c r="D150" s="13" t="s">
        <v>79</v>
      </c>
      <c r="E150" s="13" t="s">
        <v>865</v>
      </c>
      <c r="F150" s="13" t="s">
        <v>914</v>
      </c>
      <c r="G150" s="13" t="s">
        <v>915</v>
      </c>
      <c r="H150" s="13"/>
      <c r="I150" s="13">
        <v>3113261780</v>
      </c>
      <c r="J150" s="13"/>
      <c r="K150" s="13">
        <v>3134147028</v>
      </c>
      <c r="L150" s="13" t="s">
        <v>916</v>
      </c>
      <c r="M150" s="13" t="s">
        <v>916</v>
      </c>
      <c r="N150" s="13" t="s">
        <v>35</v>
      </c>
      <c r="O150" s="13"/>
      <c r="P150" s="13">
        <v>4</v>
      </c>
      <c r="Q150" s="13" t="s">
        <v>917</v>
      </c>
      <c r="R150" s="13" t="s">
        <v>918</v>
      </c>
      <c r="S150" s="13" t="s">
        <v>110</v>
      </c>
      <c r="T150" s="13" t="s">
        <v>919</v>
      </c>
      <c r="U150" s="13"/>
      <c r="V150" s="13"/>
      <c r="W150" s="13"/>
      <c r="X150" s="13"/>
      <c r="Y150" s="13"/>
      <c r="Z150" s="13"/>
      <c r="AA150" s="13"/>
      <c r="AB150" s="13"/>
      <c r="AC150" s="13" t="s">
        <v>920</v>
      </c>
      <c r="AD150" s="13"/>
      <c r="AE150" s="13" t="s">
        <v>916</v>
      </c>
      <c r="AF150" s="1"/>
      <c r="AG150" s="1"/>
      <c r="AH150" s="1"/>
      <c r="AI150" s="1"/>
      <c r="AJ150" s="1"/>
    </row>
    <row r="151" spans="1:36" x14ac:dyDescent="0.2">
      <c r="A151" s="12">
        <v>45133.621263472218</v>
      </c>
      <c r="B151" s="13" t="s">
        <v>921</v>
      </c>
      <c r="C151" s="13">
        <v>3136235300</v>
      </c>
      <c r="D151" s="13" t="s">
        <v>79</v>
      </c>
      <c r="E151" s="13" t="s">
        <v>865</v>
      </c>
      <c r="F151" s="13">
        <v>6</v>
      </c>
      <c r="G151" s="13" t="s">
        <v>922</v>
      </c>
      <c r="H151" s="13"/>
      <c r="I151" s="13">
        <v>3105959714</v>
      </c>
      <c r="J151" s="13"/>
      <c r="K151" s="13">
        <v>3045502608</v>
      </c>
      <c r="L151" s="13" t="s">
        <v>911</v>
      </c>
      <c r="M151" s="13" t="s">
        <v>911</v>
      </c>
      <c r="N151" s="13" t="s">
        <v>35</v>
      </c>
      <c r="O151" s="13"/>
      <c r="P151" s="13">
        <v>5</v>
      </c>
      <c r="Q151" s="13" t="s">
        <v>923</v>
      </c>
      <c r="R151" s="13" t="s">
        <v>62</v>
      </c>
      <c r="S151" s="13" t="s">
        <v>38</v>
      </c>
      <c r="T151" s="13" t="s">
        <v>132</v>
      </c>
      <c r="U151" s="13"/>
      <c r="V151" s="13"/>
      <c r="W151" s="13"/>
      <c r="X151" s="13"/>
      <c r="Y151" s="13"/>
      <c r="Z151" s="13"/>
      <c r="AA151" s="13"/>
      <c r="AB151" s="13"/>
      <c r="AC151" s="13" t="s">
        <v>924</v>
      </c>
      <c r="AD151" s="13"/>
      <c r="AE151" s="13" t="s">
        <v>911</v>
      </c>
      <c r="AF151" s="1"/>
      <c r="AG151" s="1"/>
      <c r="AH151" s="1"/>
      <c r="AI151" s="1"/>
      <c r="AJ151" s="1"/>
    </row>
    <row r="152" spans="1:36" x14ac:dyDescent="0.2">
      <c r="A152" s="12">
        <v>45133.625786724537</v>
      </c>
      <c r="B152" s="13" t="s">
        <v>921</v>
      </c>
      <c r="C152" s="13">
        <v>3136235300</v>
      </c>
      <c r="D152" s="13" t="s">
        <v>79</v>
      </c>
      <c r="E152" s="13" t="s">
        <v>865</v>
      </c>
      <c r="F152" s="13" t="s">
        <v>925</v>
      </c>
      <c r="G152" s="13" t="s">
        <v>926</v>
      </c>
      <c r="H152" s="13"/>
      <c r="I152" s="13">
        <v>3017545204</v>
      </c>
      <c r="J152" s="13" t="s">
        <v>927</v>
      </c>
      <c r="K152" s="13">
        <v>3106522631</v>
      </c>
      <c r="L152" s="13" t="s">
        <v>213</v>
      </c>
      <c r="M152" s="13" t="s">
        <v>213</v>
      </c>
      <c r="N152" s="13" t="s">
        <v>35</v>
      </c>
      <c r="O152" s="13"/>
      <c r="P152" s="13">
        <v>2</v>
      </c>
      <c r="Q152" s="14" t="s">
        <v>928</v>
      </c>
      <c r="R152" s="13" t="s">
        <v>62</v>
      </c>
      <c r="S152" s="13" t="s">
        <v>110</v>
      </c>
      <c r="T152" s="13" t="s">
        <v>132</v>
      </c>
      <c r="U152" s="13"/>
      <c r="V152" s="13"/>
      <c r="W152" s="13"/>
      <c r="X152" s="13"/>
      <c r="Y152" s="13"/>
      <c r="Z152" s="13"/>
      <c r="AA152" s="13"/>
      <c r="AB152" s="13"/>
      <c r="AC152" s="13"/>
      <c r="AD152" s="13"/>
      <c r="AE152" s="13" t="s">
        <v>213</v>
      </c>
      <c r="AF152" s="1"/>
      <c r="AG152" s="1"/>
      <c r="AH152" s="1"/>
      <c r="AI152" s="1"/>
      <c r="AJ152" s="1"/>
    </row>
    <row r="153" spans="1:36" x14ac:dyDescent="0.2">
      <c r="A153" s="12">
        <v>45133.635465925923</v>
      </c>
      <c r="B153" s="13" t="s">
        <v>921</v>
      </c>
      <c r="C153" s="13">
        <v>3136235300</v>
      </c>
      <c r="D153" s="13" t="s">
        <v>79</v>
      </c>
      <c r="E153" s="13" t="s">
        <v>865</v>
      </c>
      <c r="F153" s="13" t="s">
        <v>929</v>
      </c>
      <c r="G153" s="13" t="s">
        <v>930</v>
      </c>
      <c r="H153" s="13"/>
      <c r="I153" s="13">
        <v>3126008322</v>
      </c>
      <c r="J153" s="13" t="s">
        <v>931</v>
      </c>
      <c r="K153" s="13">
        <v>3114199698</v>
      </c>
      <c r="L153" s="13" t="s">
        <v>306</v>
      </c>
      <c r="M153" s="13" t="s">
        <v>158</v>
      </c>
      <c r="N153" s="13" t="s">
        <v>35</v>
      </c>
      <c r="O153" s="13"/>
      <c r="P153" s="13">
        <v>3</v>
      </c>
      <c r="Q153" s="13" t="s">
        <v>932</v>
      </c>
      <c r="R153" s="13" t="s">
        <v>62</v>
      </c>
      <c r="S153" s="13" t="s">
        <v>38</v>
      </c>
      <c r="T153" s="13" t="s">
        <v>933</v>
      </c>
      <c r="U153" s="13"/>
      <c r="V153" s="13"/>
      <c r="W153" s="13"/>
      <c r="X153" s="13"/>
      <c r="Y153" s="13"/>
      <c r="Z153" s="13"/>
      <c r="AA153" s="13"/>
      <c r="AB153" s="13"/>
      <c r="AC153" s="13"/>
      <c r="AD153" s="13"/>
      <c r="AE153" s="13" t="s">
        <v>306</v>
      </c>
      <c r="AF153" s="1"/>
      <c r="AG153" s="1"/>
      <c r="AH153" s="1"/>
      <c r="AI153" s="1"/>
      <c r="AJ153" s="1"/>
    </row>
    <row r="154" spans="1:36" x14ac:dyDescent="0.2">
      <c r="A154" s="12">
        <v>45133.640819699074</v>
      </c>
      <c r="B154" s="13" t="s">
        <v>921</v>
      </c>
      <c r="C154" s="13">
        <v>3136235300</v>
      </c>
      <c r="D154" s="13" t="s">
        <v>79</v>
      </c>
      <c r="E154" s="13" t="s">
        <v>865</v>
      </c>
      <c r="F154" s="13">
        <v>6</v>
      </c>
      <c r="G154" s="13" t="s">
        <v>934</v>
      </c>
      <c r="H154" s="13"/>
      <c r="I154" s="13">
        <v>3217088582</v>
      </c>
      <c r="J154" s="13" t="s">
        <v>935</v>
      </c>
      <c r="K154" s="13">
        <v>3112091144</v>
      </c>
      <c r="L154" s="13" t="s">
        <v>341</v>
      </c>
      <c r="M154" s="13" t="s">
        <v>341</v>
      </c>
      <c r="N154" s="13" t="s">
        <v>35</v>
      </c>
      <c r="O154" s="13"/>
      <c r="P154" s="13">
        <v>5</v>
      </c>
      <c r="Q154" s="13" t="s">
        <v>936</v>
      </c>
      <c r="R154" s="13" t="s">
        <v>869</v>
      </c>
      <c r="S154" s="13" t="s">
        <v>38</v>
      </c>
      <c r="T154" s="13" t="s">
        <v>937</v>
      </c>
      <c r="U154" s="13"/>
      <c r="V154" s="13"/>
      <c r="W154" s="13"/>
      <c r="X154" s="13"/>
      <c r="Y154" s="13"/>
      <c r="Z154" s="13"/>
      <c r="AA154" s="13"/>
      <c r="AB154" s="13"/>
      <c r="AC154" s="13" t="s">
        <v>938</v>
      </c>
      <c r="AD154" s="13"/>
      <c r="AE154" s="13" t="s">
        <v>341</v>
      </c>
      <c r="AF154" s="1"/>
      <c r="AG154" s="1"/>
      <c r="AH154" s="1"/>
      <c r="AI154" s="1"/>
      <c r="AJ154" s="1"/>
    </row>
    <row r="155" spans="1:36" x14ac:dyDescent="0.2">
      <c r="A155" s="12">
        <v>45133.694353761573</v>
      </c>
      <c r="B155" s="13" t="s">
        <v>939</v>
      </c>
      <c r="C155" s="13">
        <v>3012886208</v>
      </c>
      <c r="D155" s="13" t="s">
        <v>30</v>
      </c>
      <c r="E155" s="13" t="s">
        <v>865</v>
      </c>
      <c r="F155" s="13" t="s">
        <v>940</v>
      </c>
      <c r="G155" s="13" t="s">
        <v>941</v>
      </c>
      <c r="H155" s="13"/>
      <c r="I155" s="13">
        <v>3508206943</v>
      </c>
      <c r="J155" s="13" t="s">
        <v>862</v>
      </c>
      <c r="K155" s="13" t="s">
        <v>862</v>
      </c>
      <c r="L155" s="13">
        <v>19</v>
      </c>
      <c r="M155" s="13">
        <v>19</v>
      </c>
      <c r="N155" s="13" t="s">
        <v>35</v>
      </c>
      <c r="O155" s="13"/>
      <c r="P155" s="13">
        <v>2</v>
      </c>
      <c r="Q155" s="13">
        <v>47.75</v>
      </c>
      <c r="R155" s="13" t="s">
        <v>942</v>
      </c>
      <c r="S155" s="13" t="s">
        <v>38</v>
      </c>
      <c r="T155" s="13" t="s">
        <v>943</v>
      </c>
      <c r="U155" s="13"/>
      <c r="V155" s="13"/>
      <c r="W155" s="13"/>
      <c r="X155" s="13"/>
      <c r="Y155" s="13"/>
      <c r="Z155" s="13"/>
      <c r="AA155" s="13"/>
      <c r="AB155" s="13"/>
      <c r="AC155" s="13" t="s">
        <v>944</v>
      </c>
      <c r="AD155" s="13"/>
      <c r="AE155" s="13">
        <v>19</v>
      </c>
      <c r="AF155" s="1"/>
      <c r="AG155" s="1"/>
      <c r="AH155" s="1"/>
      <c r="AI155" s="1"/>
      <c r="AJ155" s="1"/>
    </row>
    <row r="156" spans="1:36" x14ac:dyDescent="0.2">
      <c r="A156" s="12">
        <v>45133.703278310189</v>
      </c>
      <c r="B156" s="13" t="s">
        <v>939</v>
      </c>
      <c r="C156" s="13">
        <v>3012886208</v>
      </c>
      <c r="D156" s="13" t="s">
        <v>30</v>
      </c>
      <c r="E156" s="13" t="s">
        <v>865</v>
      </c>
      <c r="F156" s="13" t="s">
        <v>945</v>
      </c>
      <c r="G156" s="13" t="s">
        <v>946</v>
      </c>
      <c r="H156" s="13"/>
      <c r="I156" s="13">
        <v>3225238326</v>
      </c>
      <c r="J156" s="13" t="s">
        <v>947</v>
      </c>
      <c r="K156" s="13">
        <v>3007282104</v>
      </c>
      <c r="L156" s="13">
        <v>10</v>
      </c>
      <c r="M156" s="13">
        <v>5</v>
      </c>
      <c r="N156" s="13" t="s">
        <v>35</v>
      </c>
      <c r="O156" s="13"/>
      <c r="P156" s="13">
        <v>5</v>
      </c>
      <c r="Q156" s="13" t="s">
        <v>948</v>
      </c>
      <c r="R156" s="13" t="s">
        <v>949</v>
      </c>
      <c r="S156" s="13" t="s">
        <v>38</v>
      </c>
      <c r="T156" s="13" t="s">
        <v>950</v>
      </c>
      <c r="U156" s="13"/>
      <c r="V156" s="13"/>
      <c r="W156" s="13"/>
      <c r="X156" s="13"/>
      <c r="Y156" s="13"/>
      <c r="Z156" s="13"/>
      <c r="AA156" s="13"/>
      <c r="AB156" s="13"/>
      <c r="AC156" s="13" t="s">
        <v>951</v>
      </c>
      <c r="AD156" s="13"/>
      <c r="AE156" s="13">
        <v>10</v>
      </c>
      <c r="AF156" s="1"/>
      <c r="AG156" s="1"/>
      <c r="AH156" s="1"/>
      <c r="AI156" s="1"/>
      <c r="AJ156" s="1"/>
    </row>
    <row r="157" spans="1:36" x14ac:dyDescent="0.2">
      <c r="A157" s="12">
        <v>45133.70843579861</v>
      </c>
      <c r="B157" s="13" t="s">
        <v>939</v>
      </c>
      <c r="C157" s="13">
        <v>3012886208</v>
      </c>
      <c r="D157" s="13" t="s">
        <v>30</v>
      </c>
      <c r="E157" s="13" t="s">
        <v>865</v>
      </c>
      <c r="F157" s="13" t="s">
        <v>952</v>
      </c>
      <c r="G157" s="13" t="s">
        <v>953</v>
      </c>
      <c r="H157" s="13"/>
      <c r="I157" s="13">
        <v>3005014448</v>
      </c>
      <c r="J157" s="13" t="s">
        <v>862</v>
      </c>
      <c r="K157" s="13" t="s">
        <v>862</v>
      </c>
      <c r="L157" s="13">
        <v>29</v>
      </c>
      <c r="M157" s="13">
        <v>22</v>
      </c>
      <c r="N157" s="13" t="s">
        <v>132</v>
      </c>
      <c r="O157" s="13"/>
      <c r="P157" s="13">
        <v>4</v>
      </c>
      <c r="Q157" s="13" t="s">
        <v>954</v>
      </c>
      <c r="R157" s="13" t="s">
        <v>955</v>
      </c>
      <c r="S157" s="13" t="s">
        <v>38</v>
      </c>
      <c r="T157" s="13" t="s">
        <v>956</v>
      </c>
      <c r="U157" s="13"/>
      <c r="V157" s="13"/>
      <c r="W157" s="13"/>
      <c r="X157" s="13"/>
      <c r="Y157" s="13"/>
      <c r="Z157" s="13"/>
      <c r="AA157" s="13"/>
      <c r="AB157" s="13"/>
      <c r="AC157" s="13" t="s">
        <v>957</v>
      </c>
      <c r="AD157" s="13"/>
      <c r="AE157" s="13">
        <v>29</v>
      </c>
      <c r="AF157" s="1"/>
      <c r="AG157" s="1"/>
      <c r="AH157" s="1"/>
      <c r="AI157" s="1"/>
      <c r="AJ157" s="1"/>
    </row>
    <row r="158" spans="1:36" x14ac:dyDescent="0.2">
      <c r="A158" s="12">
        <v>45134.785196053243</v>
      </c>
      <c r="B158" s="13" t="s">
        <v>226</v>
      </c>
      <c r="C158" s="13">
        <v>3165428133</v>
      </c>
      <c r="D158" s="13" t="s">
        <v>79</v>
      </c>
      <c r="E158" s="13" t="s">
        <v>865</v>
      </c>
      <c r="F158" s="13" t="s">
        <v>958</v>
      </c>
      <c r="G158" s="13" t="s">
        <v>959</v>
      </c>
      <c r="H158" s="13"/>
      <c r="I158" s="13">
        <v>3122703113</v>
      </c>
      <c r="J158" s="13" t="s">
        <v>960</v>
      </c>
      <c r="K158" s="13">
        <v>3114301041</v>
      </c>
      <c r="L158" s="13" t="s">
        <v>911</v>
      </c>
      <c r="M158" s="13" t="s">
        <v>911</v>
      </c>
      <c r="N158" s="13" t="s">
        <v>35</v>
      </c>
      <c r="O158" s="13"/>
      <c r="P158" s="13">
        <v>6</v>
      </c>
      <c r="Q158" s="13" t="s">
        <v>961</v>
      </c>
      <c r="R158" s="13" t="s">
        <v>62</v>
      </c>
      <c r="S158" s="13" t="s">
        <v>38</v>
      </c>
      <c r="T158" s="13" t="s">
        <v>962</v>
      </c>
      <c r="U158" s="13"/>
      <c r="V158" s="13"/>
      <c r="W158" s="13"/>
      <c r="X158" s="13"/>
      <c r="Y158" s="13"/>
      <c r="Z158" s="13"/>
      <c r="AA158" s="13"/>
      <c r="AB158" s="13"/>
      <c r="AC158" s="13" t="s">
        <v>963</v>
      </c>
      <c r="AD158" s="13"/>
      <c r="AE158" s="13" t="s">
        <v>911</v>
      </c>
      <c r="AF158" s="1"/>
      <c r="AG158" s="1"/>
      <c r="AH158" s="1"/>
      <c r="AI158" s="1"/>
      <c r="AJ158" s="1"/>
    </row>
    <row r="159" spans="1:36" x14ac:dyDescent="0.2">
      <c r="A159" s="12">
        <v>45134.789181215281</v>
      </c>
      <c r="B159" s="13" t="s">
        <v>885</v>
      </c>
      <c r="C159" s="13">
        <v>3117625640</v>
      </c>
      <c r="D159" s="13" t="s">
        <v>79</v>
      </c>
      <c r="E159" s="13" t="s">
        <v>865</v>
      </c>
      <c r="F159" s="13" t="s">
        <v>964</v>
      </c>
      <c r="G159" s="13" t="s">
        <v>965</v>
      </c>
      <c r="H159" s="13"/>
      <c r="I159" s="13">
        <v>3128797659</v>
      </c>
      <c r="J159" s="13" t="s">
        <v>966</v>
      </c>
      <c r="K159" s="13">
        <v>3016099241</v>
      </c>
      <c r="L159" s="13">
        <v>12</v>
      </c>
      <c r="M159" s="13">
        <v>12</v>
      </c>
      <c r="N159" s="13" t="s">
        <v>35</v>
      </c>
      <c r="O159" s="13"/>
      <c r="P159" s="13">
        <v>7</v>
      </c>
      <c r="Q159" s="13" t="s">
        <v>967</v>
      </c>
      <c r="R159" s="13" t="s">
        <v>968</v>
      </c>
      <c r="S159" s="13" t="s">
        <v>38</v>
      </c>
      <c r="T159" s="13" t="s">
        <v>969</v>
      </c>
      <c r="U159" s="13"/>
      <c r="V159" s="13"/>
      <c r="W159" s="13"/>
      <c r="X159" s="13"/>
      <c r="Y159" s="13"/>
      <c r="Z159" s="13"/>
      <c r="AA159" s="13"/>
      <c r="AB159" s="13"/>
      <c r="AC159" s="13" t="s">
        <v>970</v>
      </c>
      <c r="AD159" s="13"/>
      <c r="AE159" s="13">
        <v>12</v>
      </c>
      <c r="AF159" s="1"/>
      <c r="AG159" s="1"/>
      <c r="AH159" s="1"/>
      <c r="AI159" s="1"/>
      <c r="AJ159" s="1"/>
    </row>
    <row r="160" spans="1:36" x14ac:dyDescent="0.2">
      <c r="A160" s="12">
        <v>45134.795849259259</v>
      </c>
      <c r="B160" s="13" t="s">
        <v>226</v>
      </c>
      <c r="C160" s="13">
        <v>3165428133</v>
      </c>
      <c r="D160" s="13" t="s">
        <v>79</v>
      </c>
      <c r="E160" s="13" t="s">
        <v>865</v>
      </c>
      <c r="F160" s="13" t="s">
        <v>971</v>
      </c>
      <c r="G160" s="13" t="s">
        <v>972</v>
      </c>
      <c r="H160" s="13"/>
      <c r="I160" s="13">
        <v>3014070679</v>
      </c>
      <c r="J160" s="13" t="s">
        <v>973</v>
      </c>
      <c r="K160" s="13">
        <v>3137772271</v>
      </c>
      <c r="L160" s="13" t="s">
        <v>44</v>
      </c>
      <c r="M160" s="13" t="s">
        <v>158</v>
      </c>
      <c r="N160" s="13" t="s">
        <v>35</v>
      </c>
      <c r="O160" s="13"/>
      <c r="P160" s="13">
        <v>5</v>
      </c>
      <c r="Q160" s="13" t="s">
        <v>974</v>
      </c>
      <c r="R160" s="13" t="s">
        <v>62</v>
      </c>
      <c r="S160" s="13" t="s">
        <v>110</v>
      </c>
      <c r="T160" s="13" t="s">
        <v>975</v>
      </c>
      <c r="U160" s="13"/>
      <c r="V160" s="13"/>
      <c r="W160" s="13"/>
      <c r="X160" s="13"/>
      <c r="Y160" s="13"/>
      <c r="Z160" s="13"/>
      <c r="AA160" s="13"/>
      <c r="AB160" s="13"/>
      <c r="AC160" s="13" t="s">
        <v>976</v>
      </c>
      <c r="AD160" s="13"/>
      <c r="AE160" s="13" t="s">
        <v>44</v>
      </c>
      <c r="AF160" s="1"/>
      <c r="AG160" s="1"/>
      <c r="AH160" s="1"/>
      <c r="AI160" s="1"/>
      <c r="AJ160" s="1"/>
    </row>
    <row r="161" spans="1:36" x14ac:dyDescent="0.2">
      <c r="A161" s="12">
        <v>45134.796277696762</v>
      </c>
      <c r="B161" s="13" t="s">
        <v>885</v>
      </c>
      <c r="C161" s="13">
        <v>3117625640</v>
      </c>
      <c r="D161" s="13" t="s">
        <v>79</v>
      </c>
      <c r="E161" s="13" t="s">
        <v>865</v>
      </c>
      <c r="F161" s="13" t="s">
        <v>977</v>
      </c>
      <c r="G161" s="13" t="s">
        <v>978</v>
      </c>
      <c r="H161" s="13"/>
      <c r="I161" s="13">
        <v>3017840526</v>
      </c>
      <c r="J161" s="13" t="s">
        <v>979</v>
      </c>
      <c r="K161" s="13">
        <v>3017644761</v>
      </c>
      <c r="L161" s="13">
        <v>10</v>
      </c>
      <c r="M161" s="13">
        <v>10</v>
      </c>
      <c r="N161" s="13" t="s">
        <v>35</v>
      </c>
      <c r="O161" s="13"/>
      <c r="P161" s="13">
        <v>3</v>
      </c>
      <c r="Q161" s="13" t="s">
        <v>980</v>
      </c>
      <c r="R161" s="13" t="s">
        <v>981</v>
      </c>
      <c r="S161" s="13" t="s">
        <v>38</v>
      </c>
      <c r="T161" s="13" t="s">
        <v>541</v>
      </c>
      <c r="U161" s="13"/>
      <c r="V161" s="13"/>
      <c r="W161" s="13"/>
      <c r="X161" s="13"/>
      <c r="Y161" s="13"/>
      <c r="Z161" s="13"/>
      <c r="AA161" s="13"/>
      <c r="AB161" s="13"/>
      <c r="AC161" s="13" t="s">
        <v>982</v>
      </c>
      <c r="AD161" s="13"/>
      <c r="AE161" s="13">
        <v>10</v>
      </c>
      <c r="AF161" s="1"/>
      <c r="AG161" s="1"/>
      <c r="AH161" s="1"/>
      <c r="AI161" s="1"/>
      <c r="AJ161" s="1"/>
    </row>
    <row r="162" spans="1:36" x14ac:dyDescent="0.2">
      <c r="A162" s="12">
        <v>45134.803198576388</v>
      </c>
      <c r="B162" s="13" t="s">
        <v>226</v>
      </c>
      <c r="C162" s="13">
        <v>3165428133</v>
      </c>
      <c r="D162" s="13" t="s">
        <v>79</v>
      </c>
      <c r="E162" s="13" t="s">
        <v>865</v>
      </c>
      <c r="F162" s="13" t="s">
        <v>983</v>
      </c>
      <c r="G162" s="13" t="s">
        <v>984</v>
      </c>
      <c r="H162" s="13"/>
      <c r="I162" s="13">
        <v>3106682240</v>
      </c>
      <c r="J162" s="13" t="s">
        <v>985</v>
      </c>
      <c r="K162" s="13" t="s">
        <v>986</v>
      </c>
      <c r="L162" s="13" t="s">
        <v>180</v>
      </c>
      <c r="M162" s="13" t="s">
        <v>181</v>
      </c>
      <c r="N162" s="13" t="s">
        <v>35</v>
      </c>
      <c r="O162" s="13"/>
      <c r="P162" s="13">
        <v>5</v>
      </c>
      <c r="Q162" s="13" t="s">
        <v>987</v>
      </c>
      <c r="R162" s="13" t="s">
        <v>988</v>
      </c>
      <c r="S162" s="13" t="s">
        <v>38</v>
      </c>
      <c r="T162" s="13" t="s">
        <v>989</v>
      </c>
      <c r="U162" s="13"/>
      <c r="V162" s="13"/>
      <c r="W162" s="13"/>
      <c r="X162" s="13"/>
      <c r="Y162" s="13"/>
      <c r="Z162" s="13"/>
      <c r="AA162" s="13"/>
      <c r="AB162" s="13"/>
      <c r="AC162" s="13" t="s">
        <v>990</v>
      </c>
      <c r="AD162" s="13"/>
      <c r="AE162" s="13" t="s">
        <v>180</v>
      </c>
      <c r="AF162" s="1"/>
      <c r="AG162" s="1"/>
      <c r="AH162" s="1"/>
      <c r="AI162" s="1"/>
      <c r="AJ162" s="1"/>
    </row>
    <row r="163" spans="1:36" x14ac:dyDescent="0.2">
      <c r="A163" s="12">
        <v>45134.875175138892</v>
      </c>
      <c r="B163" s="13" t="s">
        <v>991</v>
      </c>
      <c r="C163" s="13">
        <v>3117625640</v>
      </c>
      <c r="D163" s="13" t="s">
        <v>79</v>
      </c>
      <c r="E163" s="13" t="s">
        <v>865</v>
      </c>
      <c r="F163" s="13" t="s">
        <v>992</v>
      </c>
      <c r="G163" s="13" t="s">
        <v>993</v>
      </c>
      <c r="H163" s="13"/>
      <c r="I163" s="13">
        <v>3226807345</v>
      </c>
      <c r="J163" s="13"/>
      <c r="K163" s="13"/>
      <c r="L163" s="13">
        <v>20</v>
      </c>
      <c r="M163" s="13">
        <v>20</v>
      </c>
      <c r="N163" s="13" t="s">
        <v>35</v>
      </c>
      <c r="O163" s="13"/>
      <c r="P163" s="13">
        <v>2</v>
      </c>
      <c r="Q163" s="13" t="s">
        <v>994</v>
      </c>
      <c r="R163" s="13" t="s">
        <v>995</v>
      </c>
      <c r="S163" s="13" t="s">
        <v>38</v>
      </c>
      <c r="T163" s="13" t="s">
        <v>541</v>
      </c>
      <c r="U163" s="13"/>
      <c r="V163" s="13"/>
      <c r="W163" s="13"/>
      <c r="X163" s="13"/>
      <c r="Y163" s="13"/>
      <c r="Z163" s="13"/>
      <c r="AA163" s="13"/>
      <c r="AB163" s="13"/>
      <c r="AC163" s="13" t="s">
        <v>996</v>
      </c>
      <c r="AD163" s="13"/>
      <c r="AE163" s="13">
        <v>20</v>
      </c>
      <c r="AF163" s="1"/>
      <c r="AG163" s="1"/>
      <c r="AH163" s="1"/>
      <c r="AI163" s="1"/>
      <c r="AJ163" s="1"/>
    </row>
    <row r="164" spans="1:36" x14ac:dyDescent="0.2">
      <c r="A164" s="12">
        <v>45135.544887291668</v>
      </c>
      <c r="B164" s="13" t="s">
        <v>997</v>
      </c>
      <c r="C164" s="13">
        <v>3027636879</v>
      </c>
      <c r="D164" s="13" t="s">
        <v>30</v>
      </c>
      <c r="E164" s="13" t="s">
        <v>865</v>
      </c>
      <c r="F164" s="13" t="s">
        <v>998</v>
      </c>
      <c r="G164" s="13" t="s">
        <v>999</v>
      </c>
      <c r="H164" s="13"/>
      <c r="I164" s="13">
        <v>3002854936</v>
      </c>
      <c r="J164" s="13"/>
      <c r="K164" s="13"/>
      <c r="L164" s="13" t="s">
        <v>1000</v>
      </c>
      <c r="M164" s="13" t="s">
        <v>1000</v>
      </c>
      <c r="N164" s="13" t="s">
        <v>35</v>
      </c>
      <c r="O164" s="13"/>
      <c r="P164" s="13">
        <v>2</v>
      </c>
      <c r="Q164" s="13" t="s">
        <v>1001</v>
      </c>
      <c r="R164" s="13" t="s">
        <v>1002</v>
      </c>
      <c r="S164" s="13" t="s">
        <v>38</v>
      </c>
      <c r="T164" s="13" t="s">
        <v>1003</v>
      </c>
      <c r="U164" s="13"/>
      <c r="V164" s="13"/>
      <c r="W164" s="13"/>
      <c r="X164" s="13"/>
      <c r="Y164" s="13"/>
      <c r="Z164" s="13"/>
      <c r="AA164" s="13"/>
      <c r="AB164" s="13"/>
      <c r="AC164" s="13" t="s">
        <v>1004</v>
      </c>
      <c r="AD164" s="13"/>
      <c r="AE164" s="13" t="s">
        <v>1000</v>
      </c>
      <c r="AF164" s="1"/>
      <c r="AG164" s="1"/>
      <c r="AH164" s="1"/>
      <c r="AI164" s="1"/>
      <c r="AJ164" s="1"/>
    </row>
    <row r="165" spans="1:36" x14ac:dyDescent="0.2">
      <c r="A165" s="12">
        <v>45135.707504259262</v>
      </c>
      <c r="B165" s="13" t="s">
        <v>871</v>
      </c>
      <c r="C165" s="13">
        <v>3116299558</v>
      </c>
      <c r="D165" s="13" t="s">
        <v>30</v>
      </c>
      <c r="E165" s="13" t="s">
        <v>865</v>
      </c>
      <c r="F165" s="13" t="s">
        <v>1005</v>
      </c>
      <c r="G165" s="13" t="s">
        <v>1006</v>
      </c>
      <c r="H165" s="13"/>
      <c r="I165" s="13">
        <v>3023153561</v>
      </c>
      <c r="J165" s="13" t="s">
        <v>1007</v>
      </c>
      <c r="K165" s="13">
        <v>3136572193</v>
      </c>
      <c r="L165" s="13">
        <v>21</v>
      </c>
      <c r="M165" s="13">
        <v>21</v>
      </c>
      <c r="N165" s="13" t="s">
        <v>35</v>
      </c>
      <c r="O165" s="13"/>
      <c r="P165" s="13">
        <v>3</v>
      </c>
      <c r="Q165" s="13" t="s">
        <v>1008</v>
      </c>
      <c r="R165" s="13" t="s">
        <v>1009</v>
      </c>
      <c r="S165" s="13" t="s">
        <v>38</v>
      </c>
      <c r="T165" s="13" t="s">
        <v>1010</v>
      </c>
      <c r="U165" s="13"/>
      <c r="V165" s="13"/>
      <c r="W165" s="13"/>
      <c r="X165" s="13"/>
      <c r="Y165" s="13"/>
      <c r="Z165" s="13"/>
      <c r="AA165" s="13"/>
      <c r="AB165" s="13"/>
      <c r="AC165" s="13" t="s">
        <v>1011</v>
      </c>
      <c r="AD165" s="13"/>
      <c r="AE165" s="13">
        <v>21</v>
      </c>
      <c r="AF165" s="1"/>
      <c r="AG165" s="1"/>
      <c r="AH165" s="1"/>
      <c r="AI165" s="1"/>
      <c r="AJ165" s="1"/>
    </row>
    <row r="166" spans="1:36" x14ac:dyDescent="0.2">
      <c r="A166" s="12">
        <v>45135.724551006948</v>
      </c>
      <c r="B166" s="13" t="s">
        <v>871</v>
      </c>
      <c r="C166" s="13">
        <v>3116299558</v>
      </c>
      <c r="D166" s="13" t="s">
        <v>30</v>
      </c>
      <c r="E166" s="13" t="s">
        <v>865</v>
      </c>
      <c r="F166" s="13" t="s">
        <v>1012</v>
      </c>
      <c r="G166" s="13" t="s">
        <v>1013</v>
      </c>
      <c r="H166" s="13"/>
      <c r="I166" s="13">
        <v>3012837045</v>
      </c>
      <c r="J166" s="13" t="s">
        <v>1014</v>
      </c>
      <c r="K166" s="13">
        <v>3012842110</v>
      </c>
      <c r="L166" s="13">
        <v>11</v>
      </c>
      <c r="M166" s="13">
        <v>0.33</v>
      </c>
      <c r="N166" s="13" t="s">
        <v>35</v>
      </c>
      <c r="O166" s="13"/>
      <c r="P166" s="13">
        <v>5</v>
      </c>
      <c r="Q166" s="13" t="s">
        <v>1015</v>
      </c>
      <c r="R166" s="13" t="s">
        <v>1016</v>
      </c>
      <c r="S166" s="13" t="s">
        <v>1017</v>
      </c>
      <c r="T166" s="13" t="s">
        <v>1018</v>
      </c>
      <c r="U166" s="13"/>
      <c r="V166" s="13"/>
      <c r="W166" s="13"/>
      <c r="X166" s="13"/>
      <c r="Y166" s="13"/>
      <c r="Z166" s="13"/>
      <c r="AA166" s="13"/>
      <c r="AB166" s="13"/>
      <c r="AC166" s="13" t="s">
        <v>1019</v>
      </c>
      <c r="AD166" s="13"/>
      <c r="AE166" s="13">
        <v>11</v>
      </c>
      <c r="AF166" s="1"/>
      <c r="AG166" s="1"/>
      <c r="AH166" s="1"/>
      <c r="AI166" s="1"/>
      <c r="AJ166" s="1"/>
    </row>
    <row r="167" spans="1:36" x14ac:dyDescent="0.2">
      <c r="A167" s="12">
        <v>45135.783830520828</v>
      </c>
      <c r="B167" s="13" t="s">
        <v>893</v>
      </c>
      <c r="C167" s="13">
        <v>3154128883</v>
      </c>
      <c r="D167" s="13" t="s">
        <v>30</v>
      </c>
      <c r="E167" s="13" t="s">
        <v>865</v>
      </c>
      <c r="F167" s="13" t="s">
        <v>1020</v>
      </c>
      <c r="G167" s="13" t="s">
        <v>1021</v>
      </c>
      <c r="H167" s="13"/>
      <c r="I167" s="13">
        <v>3146721753</v>
      </c>
      <c r="J167" s="13" t="s">
        <v>363</v>
      </c>
      <c r="K167" s="13">
        <v>3216285029</v>
      </c>
      <c r="L167" s="13" t="s">
        <v>158</v>
      </c>
      <c r="M167" s="13" t="s">
        <v>158</v>
      </c>
      <c r="N167" s="13" t="s">
        <v>132</v>
      </c>
      <c r="O167" s="13"/>
      <c r="P167" s="13">
        <v>6</v>
      </c>
      <c r="Q167" s="13" t="s">
        <v>1022</v>
      </c>
      <c r="R167" s="13" t="s">
        <v>62</v>
      </c>
      <c r="S167" s="13" t="s">
        <v>110</v>
      </c>
      <c r="T167" s="13" t="s">
        <v>132</v>
      </c>
      <c r="U167" s="13"/>
      <c r="V167" s="13"/>
      <c r="W167" s="13"/>
      <c r="X167" s="13"/>
      <c r="Y167" s="13"/>
      <c r="Z167" s="13"/>
      <c r="AA167" s="13"/>
      <c r="AB167" s="13"/>
      <c r="AC167" s="13" t="s">
        <v>1023</v>
      </c>
      <c r="AD167" s="13"/>
      <c r="AE167" s="13" t="s">
        <v>158</v>
      </c>
      <c r="AF167" s="1"/>
      <c r="AG167" s="1"/>
      <c r="AH167" s="1"/>
      <c r="AI167" s="1"/>
      <c r="AJ167" s="1"/>
    </row>
    <row r="168" spans="1:36" x14ac:dyDescent="0.2">
      <c r="A168" s="5">
        <v>45136.469280081015</v>
      </c>
      <c r="B168" s="1" t="s">
        <v>1024</v>
      </c>
      <c r="C168" s="1">
        <v>3106977356</v>
      </c>
      <c r="D168" s="1" t="s">
        <v>79</v>
      </c>
      <c r="E168" s="1" t="s">
        <v>493</v>
      </c>
      <c r="F168" s="1" t="s">
        <v>1025</v>
      </c>
      <c r="G168" s="1" t="s">
        <v>1026</v>
      </c>
      <c r="H168" s="1"/>
      <c r="I168" s="1">
        <v>3135107357</v>
      </c>
      <c r="J168" s="1" t="s">
        <v>1027</v>
      </c>
      <c r="K168" s="1">
        <v>6042811659</v>
      </c>
      <c r="L168" s="1">
        <v>18</v>
      </c>
      <c r="M168" s="1">
        <v>11</v>
      </c>
      <c r="N168" s="1" t="s">
        <v>35</v>
      </c>
      <c r="O168" s="1"/>
      <c r="P168" s="1">
        <v>3</v>
      </c>
      <c r="Q168" s="1" t="s">
        <v>1028</v>
      </c>
      <c r="R168" s="1" t="s">
        <v>1029</v>
      </c>
      <c r="S168" s="1" t="s">
        <v>38</v>
      </c>
      <c r="T168" s="1" t="s">
        <v>1030</v>
      </c>
      <c r="U168" s="1"/>
      <c r="V168" s="1"/>
      <c r="W168" s="1"/>
      <c r="X168" s="1"/>
      <c r="Y168" s="1"/>
      <c r="Z168" s="1"/>
      <c r="AA168" s="1"/>
      <c r="AB168" s="1"/>
      <c r="AC168" s="1" t="s">
        <v>1031</v>
      </c>
      <c r="AD168" s="1"/>
      <c r="AE168" s="1">
        <v>18</v>
      </c>
      <c r="AF168" s="1"/>
      <c r="AG168" s="1"/>
      <c r="AH168" s="1"/>
      <c r="AI168" s="1"/>
      <c r="AJ168" s="1"/>
    </row>
    <row r="169" spans="1:36" x14ac:dyDescent="0.2">
      <c r="A169" s="5">
        <v>45136.472997847217</v>
      </c>
      <c r="B169" s="1" t="s">
        <v>1032</v>
      </c>
      <c r="C169" s="1">
        <v>3206977256</v>
      </c>
      <c r="D169" s="1" t="s">
        <v>79</v>
      </c>
      <c r="E169" s="1" t="s">
        <v>493</v>
      </c>
      <c r="F169" s="1" t="s">
        <v>494</v>
      </c>
      <c r="G169" s="1" t="s">
        <v>1033</v>
      </c>
      <c r="H169" s="1"/>
      <c r="I169" s="1">
        <v>3207384352</v>
      </c>
      <c r="J169" s="1" t="s">
        <v>1034</v>
      </c>
      <c r="K169" s="1">
        <v>3013119576</v>
      </c>
      <c r="L169" s="1">
        <v>11</v>
      </c>
      <c r="M169" s="1">
        <v>7</v>
      </c>
      <c r="N169" s="1" t="s">
        <v>35</v>
      </c>
      <c r="O169" s="1"/>
      <c r="P169" s="1">
        <v>3</v>
      </c>
      <c r="Q169" s="1" t="s">
        <v>1035</v>
      </c>
      <c r="R169" s="1" t="s">
        <v>1036</v>
      </c>
      <c r="S169" s="1" t="s">
        <v>38</v>
      </c>
      <c r="T169" s="1" t="s">
        <v>35</v>
      </c>
      <c r="U169" s="1"/>
      <c r="V169" s="1"/>
      <c r="W169" s="1"/>
      <c r="X169" s="1"/>
      <c r="Y169" s="1"/>
      <c r="Z169" s="1"/>
      <c r="AA169" s="1"/>
      <c r="AB169" s="1"/>
      <c r="AC169" s="1" t="s">
        <v>1037</v>
      </c>
      <c r="AD169" s="1"/>
      <c r="AE169" s="1">
        <v>11</v>
      </c>
      <c r="AF169" s="1"/>
      <c r="AG169" s="1"/>
      <c r="AH169" s="1"/>
      <c r="AI169" s="1"/>
      <c r="AJ169" s="1"/>
    </row>
    <row r="170" spans="1:36" x14ac:dyDescent="0.2">
      <c r="A170" s="5">
        <v>45136.474872210645</v>
      </c>
      <c r="B170" s="1" t="s">
        <v>1038</v>
      </c>
      <c r="C170" s="1">
        <v>3206977356</v>
      </c>
      <c r="D170" s="1" t="s">
        <v>79</v>
      </c>
      <c r="E170" s="1" t="s">
        <v>493</v>
      </c>
      <c r="F170" s="1" t="s">
        <v>1039</v>
      </c>
      <c r="G170" s="1" t="s">
        <v>1040</v>
      </c>
      <c r="H170" s="1"/>
      <c r="I170" s="1">
        <v>3175734276</v>
      </c>
      <c r="J170" s="1" t="s">
        <v>1041</v>
      </c>
      <c r="K170" s="1">
        <v>3145363536</v>
      </c>
      <c r="L170" s="1">
        <v>5</v>
      </c>
      <c r="M170" s="1">
        <v>2</v>
      </c>
      <c r="N170" s="1" t="s">
        <v>35</v>
      </c>
      <c r="O170" s="1"/>
      <c r="P170" s="1">
        <v>4</v>
      </c>
      <c r="Q170" s="1" t="s">
        <v>1042</v>
      </c>
      <c r="R170" s="1" t="s">
        <v>1043</v>
      </c>
      <c r="S170" s="1" t="s">
        <v>110</v>
      </c>
      <c r="T170" s="1" t="s">
        <v>1044</v>
      </c>
      <c r="U170" s="1"/>
      <c r="V170" s="1"/>
      <c r="W170" s="1"/>
      <c r="X170" s="1"/>
      <c r="Y170" s="1"/>
      <c r="Z170" s="1"/>
      <c r="AA170" s="1"/>
      <c r="AB170" s="1"/>
      <c r="AC170" s="1" t="s">
        <v>1045</v>
      </c>
      <c r="AD170" s="1"/>
      <c r="AE170" s="1">
        <v>5</v>
      </c>
      <c r="AF170" s="1"/>
      <c r="AG170" s="1"/>
      <c r="AH170" s="1"/>
      <c r="AI170" s="1"/>
      <c r="AJ170" s="1"/>
    </row>
    <row r="171" spans="1:36" x14ac:dyDescent="0.2">
      <c r="A171" s="5">
        <v>45136.477282638887</v>
      </c>
      <c r="B171" s="1" t="s">
        <v>1046</v>
      </c>
      <c r="C171" s="1">
        <v>3194733221</v>
      </c>
      <c r="D171" s="1" t="s">
        <v>79</v>
      </c>
      <c r="E171" s="1" t="s">
        <v>493</v>
      </c>
      <c r="F171" s="1" t="s">
        <v>1047</v>
      </c>
      <c r="G171" s="1" t="s">
        <v>1048</v>
      </c>
      <c r="H171" s="1"/>
      <c r="I171" s="1">
        <v>3042398098</v>
      </c>
      <c r="J171" s="1"/>
      <c r="K171" s="1"/>
      <c r="L171" s="1" t="s">
        <v>1049</v>
      </c>
      <c r="M171" s="1" t="s">
        <v>1049</v>
      </c>
      <c r="N171" s="1" t="s">
        <v>132</v>
      </c>
      <c r="O171" s="1"/>
      <c r="P171" s="1">
        <v>1</v>
      </c>
      <c r="Q171" s="1">
        <v>69</v>
      </c>
      <c r="R171" s="1" t="s">
        <v>1050</v>
      </c>
      <c r="S171" s="1" t="s">
        <v>110</v>
      </c>
      <c r="T171" s="1" t="s">
        <v>1051</v>
      </c>
      <c r="U171" s="1"/>
      <c r="V171" s="1"/>
      <c r="W171" s="1"/>
      <c r="X171" s="1"/>
      <c r="Y171" s="1"/>
      <c r="Z171" s="1"/>
      <c r="AA171" s="1"/>
      <c r="AB171" s="1"/>
      <c r="AC171" s="1" t="s">
        <v>1052</v>
      </c>
      <c r="AD171" s="1"/>
      <c r="AE171" s="1" t="s">
        <v>1049</v>
      </c>
      <c r="AF171" s="1"/>
      <c r="AG171" s="1"/>
      <c r="AH171" s="1"/>
      <c r="AI171" s="1"/>
      <c r="AJ171" s="1"/>
    </row>
    <row r="172" spans="1:36" x14ac:dyDescent="0.2">
      <c r="A172" s="5">
        <v>45136.477789085649</v>
      </c>
      <c r="B172" s="1" t="s">
        <v>1032</v>
      </c>
      <c r="C172" s="1">
        <v>3206977356</v>
      </c>
      <c r="D172" s="1" t="s">
        <v>79</v>
      </c>
      <c r="E172" s="1" t="s">
        <v>493</v>
      </c>
      <c r="F172" s="1" t="s">
        <v>613</v>
      </c>
      <c r="G172" s="1" t="s">
        <v>1053</v>
      </c>
      <c r="H172" s="1"/>
      <c r="I172" s="1">
        <v>3113020534</v>
      </c>
      <c r="J172" s="1" t="s">
        <v>1054</v>
      </c>
      <c r="K172" s="1">
        <v>3024532821</v>
      </c>
      <c r="L172" s="1">
        <v>7</v>
      </c>
      <c r="M172" s="1">
        <v>6</v>
      </c>
      <c r="N172" s="1" t="s">
        <v>35</v>
      </c>
      <c r="O172" s="1"/>
      <c r="P172" s="1">
        <v>3</v>
      </c>
      <c r="Q172" s="1" t="s">
        <v>1055</v>
      </c>
      <c r="R172" s="1" t="s">
        <v>62</v>
      </c>
      <c r="S172" s="1" t="s">
        <v>38</v>
      </c>
      <c r="T172" s="1" t="s">
        <v>1056</v>
      </c>
      <c r="U172" s="1"/>
      <c r="V172" s="1"/>
      <c r="W172" s="1"/>
      <c r="X172" s="1"/>
      <c r="Y172" s="1"/>
      <c r="Z172" s="1"/>
      <c r="AA172" s="1"/>
      <c r="AB172" s="1"/>
      <c r="AC172" s="1" t="s">
        <v>1057</v>
      </c>
      <c r="AD172" s="1"/>
      <c r="AE172" s="1">
        <v>7</v>
      </c>
      <c r="AF172" s="1"/>
      <c r="AG172" s="1"/>
      <c r="AH172" s="1"/>
      <c r="AI172" s="1"/>
      <c r="AJ172" s="1"/>
    </row>
    <row r="173" spans="1:36" x14ac:dyDescent="0.2">
      <c r="A173" s="5">
        <v>45136.478754374999</v>
      </c>
      <c r="B173" s="1" t="s">
        <v>1058</v>
      </c>
      <c r="C173" s="1">
        <v>3114122033</v>
      </c>
      <c r="D173" s="1" t="s">
        <v>79</v>
      </c>
      <c r="E173" s="1" t="s">
        <v>493</v>
      </c>
      <c r="F173" s="1" t="s">
        <v>1059</v>
      </c>
      <c r="G173" s="1" t="s">
        <v>1060</v>
      </c>
      <c r="H173" s="1"/>
      <c r="I173" s="1">
        <v>3245576702</v>
      </c>
      <c r="J173" s="1" t="s">
        <v>1061</v>
      </c>
      <c r="K173" s="1">
        <v>3218191967</v>
      </c>
      <c r="L173" s="1">
        <v>9</v>
      </c>
      <c r="M173" s="1">
        <v>1</v>
      </c>
      <c r="N173" s="1" t="s">
        <v>132</v>
      </c>
      <c r="O173" s="1"/>
      <c r="P173" s="1">
        <v>1</v>
      </c>
      <c r="Q173" s="1">
        <v>61</v>
      </c>
      <c r="R173" s="1" t="s">
        <v>453</v>
      </c>
      <c r="S173" s="1" t="s">
        <v>1062</v>
      </c>
      <c r="T173" s="1">
        <v>0</v>
      </c>
      <c r="U173" s="1"/>
      <c r="V173" s="1"/>
      <c r="W173" s="1"/>
      <c r="X173" s="1"/>
      <c r="Y173" s="1"/>
      <c r="Z173" s="1"/>
      <c r="AA173" s="1"/>
      <c r="AB173" s="1"/>
      <c r="AC173" s="1" t="s">
        <v>1063</v>
      </c>
      <c r="AD173" s="1"/>
      <c r="AE173" s="1">
        <v>9</v>
      </c>
      <c r="AF173" s="1"/>
      <c r="AG173" s="1"/>
      <c r="AH173" s="1"/>
      <c r="AI173" s="1"/>
      <c r="AJ173" s="1"/>
    </row>
    <row r="174" spans="1:36" x14ac:dyDescent="0.2">
      <c r="A174" s="5">
        <v>45136.481059537036</v>
      </c>
      <c r="B174" s="1" t="s">
        <v>1032</v>
      </c>
      <c r="C174" s="1">
        <v>3206977356</v>
      </c>
      <c r="D174" s="1" t="s">
        <v>79</v>
      </c>
      <c r="E174" s="1" t="s">
        <v>493</v>
      </c>
      <c r="F174" s="1" t="s">
        <v>1064</v>
      </c>
      <c r="G174" s="1" t="s">
        <v>1065</v>
      </c>
      <c r="H174" s="1"/>
      <c r="I174" s="1">
        <v>3113458554</v>
      </c>
      <c r="J174" s="1" t="s">
        <v>1066</v>
      </c>
      <c r="K174" s="1">
        <v>3237525192</v>
      </c>
      <c r="L174" s="1">
        <v>10</v>
      </c>
      <c r="M174" s="1">
        <v>10</v>
      </c>
      <c r="N174" s="1" t="s">
        <v>35</v>
      </c>
      <c r="O174" s="1"/>
      <c r="P174" s="1">
        <v>4</v>
      </c>
      <c r="Q174" s="1" t="s">
        <v>1067</v>
      </c>
      <c r="R174" s="1" t="s">
        <v>1068</v>
      </c>
      <c r="S174" s="1" t="s">
        <v>38</v>
      </c>
      <c r="T174" s="1" t="s">
        <v>1069</v>
      </c>
      <c r="U174" s="1"/>
      <c r="V174" s="1"/>
      <c r="W174" s="1"/>
      <c r="X174" s="1"/>
      <c r="Y174" s="1"/>
      <c r="Z174" s="1"/>
      <c r="AA174" s="1"/>
      <c r="AB174" s="1"/>
      <c r="AC174" s="1"/>
      <c r="AD174" s="1"/>
      <c r="AE174" s="1">
        <v>10</v>
      </c>
      <c r="AF174" s="1"/>
      <c r="AG174" s="1"/>
      <c r="AH174" s="1"/>
      <c r="AI174" s="1"/>
      <c r="AJ174" s="1"/>
    </row>
    <row r="175" spans="1:36" x14ac:dyDescent="0.2">
      <c r="A175" s="5">
        <v>45136.482311874999</v>
      </c>
      <c r="B175" s="1" t="s">
        <v>1046</v>
      </c>
      <c r="C175" s="1">
        <v>3194733221</v>
      </c>
      <c r="D175" s="1" t="s">
        <v>79</v>
      </c>
      <c r="E175" s="1" t="s">
        <v>493</v>
      </c>
      <c r="F175" s="1" t="s">
        <v>1070</v>
      </c>
      <c r="G175" s="1" t="s">
        <v>1071</v>
      </c>
      <c r="H175" s="1"/>
      <c r="I175" s="1">
        <v>3135940347</v>
      </c>
      <c r="J175" s="1"/>
      <c r="K175" s="1"/>
      <c r="L175" s="1">
        <v>2</v>
      </c>
      <c r="M175" s="1">
        <v>2</v>
      </c>
      <c r="N175" s="1" t="s">
        <v>132</v>
      </c>
      <c r="O175" s="1"/>
      <c r="P175" s="1">
        <v>2</v>
      </c>
      <c r="Q175" s="1" t="s">
        <v>1072</v>
      </c>
      <c r="R175" s="1" t="s">
        <v>1073</v>
      </c>
      <c r="S175" s="1" t="s">
        <v>1074</v>
      </c>
      <c r="T175" s="1" t="s">
        <v>1075</v>
      </c>
      <c r="U175" s="1"/>
      <c r="V175" s="1"/>
      <c r="W175" s="1"/>
      <c r="X175" s="1"/>
      <c r="Y175" s="1"/>
      <c r="Z175" s="1"/>
      <c r="AA175" s="1"/>
      <c r="AB175" s="1"/>
      <c r="AC175" s="1" t="s">
        <v>1076</v>
      </c>
      <c r="AD175" s="1"/>
      <c r="AE175" s="1">
        <v>2</v>
      </c>
      <c r="AF175" s="1"/>
      <c r="AG175" s="1"/>
      <c r="AH175" s="1"/>
      <c r="AI175" s="1"/>
      <c r="AJ175" s="1"/>
    </row>
    <row r="176" spans="1:36" x14ac:dyDescent="0.2">
      <c r="A176" s="5">
        <v>45136.486198645835</v>
      </c>
      <c r="B176" s="1" t="s">
        <v>1077</v>
      </c>
      <c r="C176" s="1">
        <v>3166531751</v>
      </c>
      <c r="D176" s="1" t="s">
        <v>79</v>
      </c>
      <c r="E176" s="1" t="s">
        <v>493</v>
      </c>
      <c r="F176" s="1" t="s">
        <v>1078</v>
      </c>
      <c r="G176" s="1" t="s">
        <v>1079</v>
      </c>
      <c r="H176" s="1"/>
      <c r="I176" s="1">
        <v>3194424402</v>
      </c>
      <c r="J176" s="1">
        <v>3057737084</v>
      </c>
      <c r="K176" s="1"/>
      <c r="L176" s="1">
        <v>10</v>
      </c>
      <c r="M176" s="1">
        <v>10</v>
      </c>
      <c r="N176" s="1" t="s">
        <v>35</v>
      </c>
      <c r="O176" s="1"/>
      <c r="P176" s="1">
        <v>3</v>
      </c>
      <c r="Q176" s="1" t="s">
        <v>1080</v>
      </c>
      <c r="R176" s="1" t="s">
        <v>1081</v>
      </c>
      <c r="S176" s="1" t="s">
        <v>38</v>
      </c>
      <c r="T176" s="1" t="s">
        <v>1082</v>
      </c>
      <c r="U176" s="1"/>
      <c r="V176" s="1"/>
      <c r="W176" s="1"/>
      <c r="X176" s="1"/>
      <c r="Y176" s="1"/>
      <c r="Z176" s="1"/>
      <c r="AA176" s="1"/>
      <c r="AB176" s="1"/>
      <c r="AC176" s="1" t="s">
        <v>1083</v>
      </c>
      <c r="AD176" s="1"/>
      <c r="AE176" s="1">
        <v>10</v>
      </c>
      <c r="AF176" s="1"/>
      <c r="AG176" s="1"/>
      <c r="AH176" s="1"/>
      <c r="AI176" s="1"/>
      <c r="AJ176" s="1"/>
    </row>
    <row r="177" spans="1:36" x14ac:dyDescent="0.2">
      <c r="A177" s="5">
        <v>45136.487076597223</v>
      </c>
      <c r="B177" s="1" t="s">
        <v>1084</v>
      </c>
      <c r="C177" s="1">
        <v>3206977356</v>
      </c>
      <c r="D177" s="1" t="s">
        <v>79</v>
      </c>
      <c r="E177" s="1" t="s">
        <v>493</v>
      </c>
      <c r="F177" s="1" t="s">
        <v>656</v>
      </c>
      <c r="G177" s="1" t="s">
        <v>1085</v>
      </c>
      <c r="H177" s="1"/>
      <c r="I177" s="1">
        <v>3106857493</v>
      </c>
      <c r="J177" s="1" t="s">
        <v>1086</v>
      </c>
      <c r="K177" s="1"/>
      <c r="L177" s="1">
        <v>7</v>
      </c>
      <c r="M177" s="1">
        <v>7</v>
      </c>
      <c r="N177" s="1" t="s">
        <v>35</v>
      </c>
      <c r="O177" s="1"/>
      <c r="P177" s="1">
        <v>1</v>
      </c>
      <c r="Q177" s="1">
        <v>63</v>
      </c>
      <c r="R177" s="1" t="s">
        <v>1036</v>
      </c>
      <c r="S177" s="1" t="s">
        <v>38</v>
      </c>
      <c r="T177" s="8">
        <v>100000</v>
      </c>
      <c r="U177" s="1"/>
      <c r="V177" s="1"/>
      <c r="W177" s="1"/>
      <c r="X177" s="1"/>
      <c r="Y177" s="1"/>
      <c r="Z177" s="1"/>
      <c r="AA177" s="1"/>
      <c r="AB177" s="1"/>
      <c r="AC177" s="1" t="s">
        <v>1087</v>
      </c>
      <c r="AD177" s="1"/>
      <c r="AE177" s="1">
        <v>7</v>
      </c>
      <c r="AF177" s="1"/>
      <c r="AG177" s="1"/>
      <c r="AH177" s="1"/>
      <c r="AI177" s="1"/>
      <c r="AJ177" s="1"/>
    </row>
    <row r="178" spans="1:36" x14ac:dyDescent="0.2">
      <c r="A178" s="5">
        <v>45136.48963167824</v>
      </c>
      <c r="B178" s="1" t="s">
        <v>1088</v>
      </c>
      <c r="C178" s="1">
        <v>3166531751</v>
      </c>
      <c r="D178" s="1" t="s">
        <v>79</v>
      </c>
      <c r="E178" s="1" t="s">
        <v>493</v>
      </c>
      <c r="F178" s="1" t="s">
        <v>1089</v>
      </c>
      <c r="G178" s="1" t="s">
        <v>1090</v>
      </c>
      <c r="H178" s="1"/>
      <c r="I178" s="1">
        <v>3196823566</v>
      </c>
      <c r="J178" s="1"/>
      <c r="K178" s="1"/>
      <c r="L178" s="1">
        <v>12</v>
      </c>
      <c r="M178" s="1">
        <v>1</v>
      </c>
      <c r="N178" s="1" t="s">
        <v>35</v>
      </c>
      <c r="O178" s="1"/>
      <c r="P178" s="1">
        <v>4</v>
      </c>
      <c r="Q178" s="1" t="s">
        <v>1091</v>
      </c>
      <c r="R178" s="1" t="s">
        <v>1092</v>
      </c>
      <c r="S178" s="1" t="s">
        <v>110</v>
      </c>
      <c r="T178" s="1" t="s">
        <v>1093</v>
      </c>
      <c r="U178" s="1"/>
      <c r="V178" s="1"/>
      <c r="W178" s="1"/>
      <c r="X178" s="1"/>
      <c r="Y178" s="1"/>
      <c r="Z178" s="1"/>
      <c r="AA178" s="1"/>
      <c r="AB178" s="1"/>
      <c r="AC178" s="1"/>
      <c r="AD178" s="1"/>
      <c r="AE178" s="1">
        <v>12</v>
      </c>
      <c r="AF178" s="1"/>
      <c r="AG178" s="1"/>
      <c r="AH178" s="1"/>
      <c r="AI178" s="1"/>
      <c r="AJ178" s="1"/>
    </row>
    <row r="179" spans="1:36" x14ac:dyDescent="0.2">
      <c r="A179" s="5">
        <v>45136.491268090278</v>
      </c>
      <c r="B179" s="1" t="s">
        <v>1094</v>
      </c>
      <c r="C179" s="1">
        <v>3114122033</v>
      </c>
      <c r="D179" s="1" t="s">
        <v>79</v>
      </c>
      <c r="E179" s="1" t="s">
        <v>493</v>
      </c>
      <c r="F179" s="1" t="s">
        <v>1095</v>
      </c>
      <c r="G179" s="1" t="s">
        <v>1096</v>
      </c>
      <c r="H179" s="1"/>
      <c r="I179" s="1">
        <v>3234513270</v>
      </c>
      <c r="J179" s="1" t="s">
        <v>1097</v>
      </c>
      <c r="K179" s="1">
        <v>3135946729</v>
      </c>
      <c r="L179" s="1">
        <v>5</v>
      </c>
      <c r="M179" s="1">
        <v>0</v>
      </c>
      <c r="N179" s="1" t="s">
        <v>35</v>
      </c>
      <c r="O179" s="1"/>
      <c r="P179" s="1">
        <v>3</v>
      </c>
      <c r="Q179" s="1" t="s">
        <v>1098</v>
      </c>
      <c r="R179" s="1" t="s">
        <v>1099</v>
      </c>
      <c r="S179" s="1" t="s">
        <v>1100</v>
      </c>
      <c r="T179" s="8">
        <v>10000000</v>
      </c>
      <c r="U179" s="1"/>
      <c r="V179" s="1"/>
      <c r="W179" s="1"/>
      <c r="X179" s="1"/>
      <c r="Y179" s="1"/>
      <c r="Z179" s="1"/>
      <c r="AA179" s="1"/>
      <c r="AB179" s="1"/>
      <c r="AC179" s="1" t="s">
        <v>1101</v>
      </c>
      <c r="AD179" s="1"/>
      <c r="AE179" s="1">
        <v>5</v>
      </c>
      <c r="AF179" s="1"/>
      <c r="AG179" s="1"/>
      <c r="AH179" s="1"/>
      <c r="AI179" s="1"/>
      <c r="AJ179" s="1"/>
    </row>
    <row r="180" spans="1:36" x14ac:dyDescent="0.2">
      <c r="A180" s="12">
        <v>45154.581271226853</v>
      </c>
      <c r="B180" s="13" t="s">
        <v>864</v>
      </c>
      <c r="C180" s="13">
        <v>3216433642</v>
      </c>
      <c r="D180" s="13" t="s">
        <v>79</v>
      </c>
      <c r="E180" s="13" t="s">
        <v>865</v>
      </c>
      <c r="F180" s="13" t="s">
        <v>1102</v>
      </c>
      <c r="G180" s="13" t="s">
        <v>1103</v>
      </c>
      <c r="H180" s="13"/>
      <c r="I180" s="13">
        <v>3024559762</v>
      </c>
      <c r="J180" s="13"/>
      <c r="K180" s="13">
        <v>3015674695</v>
      </c>
      <c r="L180" s="13" t="s">
        <v>1104</v>
      </c>
      <c r="M180" s="13">
        <v>8</v>
      </c>
      <c r="N180" s="13" t="s">
        <v>35</v>
      </c>
      <c r="O180" s="13"/>
      <c r="P180" s="13">
        <v>2</v>
      </c>
      <c r="Q180" s="13" t="s">
        <v>1105</v>
      </c>
      <c r="R180" s="13" t="s">
        <v>62</v>
      </c>
      <c r="S180" s="13" t="s">
        <v>1106</v>
      </c>
      <c r="T180" s="13" t="s">
        <v>541</v>
      </c>
      <c r="U180" s="13"/>
      <c r="V180" s="13"/>
      <c r="W180" s="13"/>
      <c r="X180" s="13"/>
      <c r="Y180" s="13"/>
      <c r="Z180" s="13"/>
      <c r="AA180" s="13"/>
      <c r="AB180" s="13"/>
      <c r="AC180" s="13"/>
      <c r="AD180" s="13"/>
      <c r="AE180" s="13" t="s">
        <v>1104</v>
      </c>
      <c r="AF180" s="1"/>
      <c r="AG180" s="1"/>
      <c r="AH180" s="1"/>
      <c r="AI180" s="1"/>
      <c r="AJ180" s="1"/>
    </row>
    <row r="181" spans="1:36" x14ac:dyDescent="0.2">
      <c r="A181" s="12">
        <v>45156.71488162037</v>
      </c>
      <c r="B181" s="13" t="s">
        <v>997</v>
      </c>
      <c r="C181" s="13">
        <v>3027636879</v>
      </c>
      <c r="D181" s="13" t="s">
        <v>30</v>
      </c>
      <c r="E181" s="13" t="s">
        <v>865</v>
      </c>
      <c r="F181" s="13" t="s">
        <v>1107</v>
      </c>
      <c r="G181" s="13" t="s">
        <v>1108</v>
      </c>
      <c r="H181" s="13"/>
      <c r="I181" s="13">
        <v>3017734352</v>
      </c>
      <c r="J181" s="13"/>
      <c r="K181" s="13"/>
      <c r="L181" s="13">
        <v>3</v>
      </c>
      <c r="M181" s="13">
        <v>3</v>
      </c>
      <c r="N181" s="13" t="s">
        <v>35</v>
      </c>
      <c r="O181" s="13"/>
      <c r="P181" s="13">
        <v>6</v>
      </c>
      <c r="Q181" s="13" t="s">
        <v>1109</v>
      </c>
      <c r="R181" s="13" t="s">
        <v>62</v>
      </c>
      <c r="S181" s="13" t="s">
        <v>1110</v>
      </c>
      <c r="T181" s="13" t="s">
        <v>132</v>
      </c>
      <c r="U181" s="13"/>
      <c r="V181" s="13"/>
      <c r="W181" s="13"/>
      <c r="X181" s="13"/>
      <c r="Y181" s="13"/>
      <c r="Z181" s="13"/>
      <c r="AA181" s="13"/>
      <c r="AB181" s="13"/>
      <c r="AC181" s="13"/>
      <c r="AD181" s="13"/>
      <c r="AE181" s="13">
        <v>3</v>
      </c>
      <c r="AF181" s="1"/>
      <c r="AG181" s="1"/>
      <c r="AH181" s="1"/>
      <c r="AI181" s="1"/>
      <c r="AJ181" s="1"/>
    </row>
    <row r="182" spans="1:36" x14ac:dyDescent="0.2">
      <c r="A182" s="12">
        <v>45156.719287743057</v>
      </c>
      <c r="B182" s="13" t="s">
        <v>997</v>
      </c>
      <c r="C182" s="13">
        <v>3027636879</v>
      </c>
      <c r="D182" s="13" t="s">
        <v>30</v>
      </c>
      <c r="E182" s="13" t="s">
        <v>865</v>
      </c>
      <c r="F182" s="13" t="s">
        <v>1111</v>
      </c>
      <c r="G182" s="13" t="s">
        <v>1112</v>
      </c>
      <c r="H182" s="13"/>
      <c r="I182" s="13">
        <v>3244625364</v>
      </c>
      <c r="J182" s="13"/>
      <c r="K182" s="13">
        <v>3244625364</v>
      </c>
      <c r="L182" s="13" t="s">
        <v>691</v>
      </c>
      <c r="M182" s="13" t="s">
        <v>691</v>
      </c>
      <c r="N182" s="13" t="s">
        <v>35</v>
      </c>
      <c r="O182" s="13"/>
      <c r="P182" s="13">
        <v>3</v>
      </c>
      <c r="Q182" s="13" t="s">
        <v>1113</v>
      </c>
      <c r="R182" s="13" t="s">
        <v>1114</v>
      </c>
      <c r="S182" s="13" t="s">
        <v>38</v>
      </c>
      <c r="T182" s="13" t="s">
        <v>564</v>
      </c>
      <c r="U182" s="13"/>
      <c r="V182" s="13"/>
      <c r="W182" s="13"/>
      <c r="X182" s="13"/>
      <c r="Y182" s="13"/>
      <c r="Z182" s="13"/>
      <c r="AA182" s="13"/>
      <c r="AB182" s="13"/>
      <c r="AC182" s="13"/>
      <c r="AD182" s="13"/>
      <c r="AE182" s="13" t="s">
        <v>691</v>
      </c>
      <c r="AF182" s="1"/>
      <c r="AG182" s="1"/>
      <c r="AH182" s="1"/>
      <c r="AI182" s="1"/>
      <c r="AJ182" s="1"/>
    </row>
    <row r="183" spans="1:36" x14ac:dyDescent="0.2">
      <c r="A183" s="12">
        <v>45156.794510810185</v>
      </c>
      <c r="B183" s="13" t="s">
        <v>997</v>
      </c>
      <c r="C183" s="13">
        <v>3027636879</v>
      </c>
      <c r="D183" s="13" t="s">
        <v>30</v>
      </c>
      <c r="E183" s="13" t="s">
        <v>865</v>
      </c>
      <c r="F183" s="13" t="s">
        <v>1111</v>
      </c>
      <c r="G183" s="13" t="s">
        <v>1115</v>
      </c>
      <c r="H183" s="13"/>
      <c r="I183" s="13">
        <v>3228142776</v>
      </c>
      <c r="J183" s="13"/>
      <c r="K183" s="13"/>
      <c r="L183" s="13">
        <v>3</v>
      </c>
      <c r="M183" s="13">
        <v>3</v>
      </c>
      <c r="N183" s="13" t="s">
        <v>35</v>
      </c>
      <c r="O183" s="13"/>
      <c r="P183" s="13">
        <v>2</v>
      </c>
      <c r="Q183" s="13" t="s">
        <v>1116</v>
      </c>
      <c r="R183" s="13" t="s">
        <v>1117</v>
      </c>
      <c r="S183" s="13" t="s">
        <v>110</v>
      </c>
      <c r="T183" s="13" t="s">
        <v>564</v>
      </c>
      <c r="U183" s="13"/>
      <c r="V183" s="13"/>
      <c r="W183" s="13"/>
      <c r="X183" s="13"/>
      <c r="Y183" s="13"/>
      <c r="Z183" s="13"/>
      <c r="AA183" s="13"/>
      <c r="AB183" s="13"/>
      <c r="AC183" s="13"/>
      <c r="AD183" s="13"/>
      <c r="AE183" s="13">
        <v>3</v>
      </c>
      <c r="AF183" s="1"/>
      <c r="AG183" s="1"/>
      <c r="AH183" s="1"/>
      <c r="AI183" s="1"/>
      <c r="AJ183" s="1"/>
    </row>
    <row r="184" spans="1:36" x14ac:dyDescent="0.2">
      <c r="A184" s="5">
        <v>45158.410531134257</v>
      </c>
      <c r="B184" s="1" t="s">
        <v>1118</v>
      </c>
      <c r="C184" s="1">
        <v>3194733221</v>
      </c>
      <c r="D184" s="1" t="s">
        <v>79</v>
      </c>
      <c r="E184" s="1" t="s">
        <v>493</v>
      </c>
      <c r="F184" s="1" t="s">
        <v>1119</v>
      </c>
      <c r="G184" s="1" t="s">
        <v>1120</v>
      </c>
      <c r="H184" s="1"/>
      <c r="I184" s="1">
        <v>3135213473</v>
      </c>
      <c r="J184" s="1"/>
      <c r="K184" s="1"/>
      <c r="L184" s="1">
        <v>4</v>
      </c>
      <c r="M184" s="1">
        <v>4</v>
      </c>
      <c r="N184" s="1" t="s">
        <v>132</v>
      </c>
      <c r="O184" s="1"/>
      <c r="P184" s="1">
        <v>5</v>
      </c>
      <c r="Q184" s="1" t="s">
        <v>1121</v>
      </c>
      <c r="R184" s="1" t="s">
        <v>1122</v>
      </c>
      <c r="S184" s="1" t="s">
        <v>38</v>
      </c>
      <c r="T184" s="1" t="s">
        <v>1093</v>
      </c>
      <c r="U184" s="1"/>
      <c r="V184" s="1"/>
      <c r="W184" s="1"/>
      <c r="X184" s="1"/>
      <c r="Y184" s="1"/>
      <c r="Z184" s="1"/>
      <c r="AA184" s="1"/>
      <c r="AB184" s="1"/>
      <c r="AC184" s="1" t="s">
        <v>1123</v>
      </c>
      <c r="AD184" s="1"/>
      <c r="AE184" s="1">
        <v>4</v>
      </c>
      <c r="AF184" s="1"/>
      <c r="AG184" s="1"/>
      <c r="AH184" s="1"/>
      <c r="AI184" s="1"/>
      <c r="AJ184" s="1"/>
    </row>
    <row r="185" spans="1:36" x14ac:dyDescent="0.2">
      <c r="A185" s="5">
        <v>45158.491328576391</v>
      </c>
      <c r="B185" s="1" t="s">
        <v>1124</v>
      </c>
      <c r="C185" s="1">
        <v>3135667217</v>
      </c>
      <c r="D185" s="1" t="s">
        <v>79</v>
      </c>
      <c r="E185" s="1" t="s">
        <v>493</v>
      </c>
      <c r="F185" s="1" t="s">
        <v>451</v>
      </c>
      <c r="G185" s="1" t="s">
        <v>1125</v>
      </c>
      <c r="H185" s="1"/>
      <c r="I185" s="1">
        <v>3117057815</v>
      </c>
      <c r="J185" s="1" t="s">
        <v>1126</v>
      </c>
      <c r="K185" s="1">
        <v>3134760045</v>
      </c>
      <c r="L185" s="1">
        <v>8</v>
      </c>
      <c r="M185" s="1">
        <v>8</v>
      </c>
      <c r="N185" s="1" t="s">
        <v>35</v>
      </c>
      <c r="O185" s="1"/>
      <c r="P185" s="1">
        <v>4</v>
      </c>
      <c r="Q185" s="1" t="s">
        <v>1127</v>
      </c>
      <c r="R185" s="1" t="s">
        <v>857</v>
      </c>
      <c r="S185" s="1" t="s">
        <v>38</v>
      </c>
      <c r="T185" s="1" t="s">
        <v>35</v>
      </c>
      <c r="U185" s="1"/>
      <c r="V185" s="1"/>
      <c r="W185" s="1"/>
      <c r="X185" s="1"/>
      <c r="Y185" s="1"/>
      <c r="Z185" s="1"/>
      <c r="AA185" s="1"/>
      <c r="AB185" s="1"/>
      <c r="AC185" s="1"/>
      <c r="AD185" s="1"/>
      <c r="AE185" s="1">
        <v>8</v>
      </c>
      <c r="AF185" s="1"/>
      <c r="AG185" s="1"/>
      <c r="AH185" s="1"/>
      <c r="AI185" s="1"/>
      <c r="AJ185" s="1"/>
    </row>
    <row r="186" spans="1:36" x14ac:dyDescent="0.2">
      <c r="A186" s="12">
        <v>45159.610210370374</v>
      </c>
      <c r="B186" s="13" t="s">
        <v>1128</v>
      </c>
      <c r="C186" s="13">
        <v>3015573599</v>
      </c>
      <c r="D186" s="13" t="s">
        <v>79</v>
      </c>
      <c r="E186" s="13" t="s">
        <v>865</v>
      </c>
      <c r="F186" s="13" t="s">
        <v>1020</v>
      </c>
      <c r="G186" s="13" t="s">
        <v>1129</v>
      </c>
      <c r="H186" s="13"/>
      <c r="I186" s="13">
        <v>3105202907</v>
      </c>
      <c r="J186" s="13" t="s">
        <v>1130</v>
      </c>
      <c r="K186" s="13">
        <v>3225132028</v>
      </c>
      <c r="L186" s="13">
        <v>13</v>
      </c>
      <c r="M186" s="13" t="s">
        <v>1131</v>
      </c>
      <c r="N186" s="13" t="s">
        <v>35</v>
      </c>
      <c r="O186" s="13"/>
      <c r="P186" s="13">
        <v>10</v>
      </c>
      <c r="Q186" s="13" t="s">
        <v>1132</v>
      </c>
      <c r="R186" s="13" t="s">
        <v>1133</v>
      </c>
      <c r="S186" s="13" t="s">
        <v>110</v>
      </c>
      <c r="T186" s="13" t="s">
        <v>1134</v>
      </c>
      <c r="U186" s="13"/>
      <c r="V186" s="13"/>
      <c r="W186" s="13"/>
      <c r="X186" s="13"/>
      <c r="Y186" s="13"/>
      <c r="Z186" s="13"/>
      <c r="AA186" s="13"/>
      <c r="AB186" s="13"/>
      <c r="AC186" s="13"/>
      <c r="AD186" s="13"/>
      <c r="AE186" s="13">
        <v>13</v>
      </c>
      <c r="AF186" s="1"/>
      <c r="AG186" s="1"/>
      <c r="AH186" s="1"/>
      <c r="AI186" s="1"/>
      <c r="AJ186" s="1"/>
    </row>
    <row r="187" spans="1:36" x14ac:dyDescent="0.2">
      <c r="A187" s="12">
        <v>45159.689861388892</v>
      </c>
      <c r="B187" s="13" t="s">
        <v>1128</v>
      </c>
      <c r="C187" s="13">
        <v>3015573599</v>
      </c>
      <c r="D187" s="13" t="s">
        <v>79</v>
      </c>
      <c r="E187" s="13" t="s">
        <v>865</v>
      </c>
      <c r="F187" s="13" t="s">
        <v>1135</v>
      </c>
      <c r="G187" s="13" t="s">
        <v>1136</v>
      </c>
      <c r="H187" s="13"/>
      <c r="I187" s="13">
        <v>3007662631</v>
      </c>
      <c r="J187" s="13" t="s">
        <v>1137</v>
      </c>
      <c r="K187" s="13">
        <v>3013606785</v>
      </c>
      <c r="L187" s="13">
        <v>19</v>
      </c>
      <c r="M187" s="13" t="s">
        <v>1138</v>
      </c>
      <c r="N187" s="13" t="s">
        <v>35</v>
      </c>
      <c r="O187" s="13"/>
      <c r="P187" s="13">
        <v>1</v>
      </c>
      <c r="Q187" s="13" t="s">
        <v>1139</v>
      </c>
      <c r="R187" s="13" t="s">
        <v>1140</v>
      </c>
      <c r="S187" s="13" t="s">
        <v>1141</v>
      </c>
      <c r="T187" s="13" t="s">
        <v>1142</v>
      </c>
      <c r="U187" s="13"/>
      <c r="V187" s="13"/>
      <c r="W187" s="13"/>
      <c r="X187" s="13"/>
      <c r="Y187" s="13"/>
      <c r="Z187" s="13"/>
      <c r="AA187" s="13"/>
      <c r="AB187" s="13"/>
      <c r="AC187" s="13"/>
      <c r="AD187" s="13"/>
      <c r="AE187" s="13">
        <v>19</v>
      </c>
      <c r="AF187" s="1"/>
      <c r="AG187" s="1"/>
      <c r="AH187" s="1"/>
      <c r="AI187" s="1"/>
      <c r="AJ187" s="1"/>
    </row>
    <row r="188" spans="1:36" x14ac:dyDescent="0.2">
      <c r="A188" s="12">
        <v>45159.827392372681</v>
      </c>
      <c r="B188" s="13" t="s">
        <v>1128</v>
      </c>
      <c r="C188" s="13">
        <v>3015573599</v>
      </c>
      <c r="D188" s="13" t="s">
        <v>79</v>
      </c>
      <c r="E188" s="13" t="s">
        <v>865</v>
      </c>
      <c r="F188" s="13" t="s">
        <v>1135</v>
      </c>
      <c r="G188" s="13" t="s">
        <v>1143</v>
      </c>
      <c r="H188" s="13"/>
      <c r="I188" s="13">
        <v>3013606785</v>
      </c>
      <c r="J188" s="13" t="s">
        <v>1144</v>
      </c>
      <c r="K188" s="13">
        <v>3017829572</v>
      </c>
      <c r="L188" s="13">
        <v>23</v>
      </c>
      <c r="M188" s="13" t="s">
        <v>1145</v>
      </c>
      <c r="N188" s="13" t="s">
        <v>35</v>
      </c>
      <c r="O188" s="13"/>
      <c r="P188" s="13">
        <v>1</v>
      </c>
      <c r="Q188" s="13">
        <v>0</v>
      </c>
      <c r="R188" s="13" t="s">
        <v>62</v>
      </c>
      <c r="S188" s="13" t="s">
        <v>38</v>
      </c>
      <c r="T188" s="13" t="s">
        <v>1146</v>
      </c>
      <c r="U188" s="13"/>
      <c r="V188" s="13"/>
      <c r="W188" s="13"/>
      <c r="X188" s="13"/>
      <c r="Y188" s="13"/>
      <c r="Z188" s="13"/>
      <c r="AA188" s="13"/>
      <c r="AB188" s="13"/>
      <c r="AC188" s="13" t="s">
        <v>1147</v>
      </c>
      <c r="AD188" s="13"/>
      <c r="AE188" s="13">
        <v>23</v>
      </c>
      <c r="AF188" s="1"/>
      <c r="AG188" s="1"/>
      <c r="AH188" s="1"/>
      <c r="AI188" s="1"/>
      <c r="AJ188" s="1"/>
    </row>
    <row r="189" spans="1:36" x14ac:dyDescent="0.2">
      <c r="A189" s="12">
        <v>45160.529470914349</v>
      </c>
      <c r="B189" s="13" t="s">
        <v>997</v>
      </c>
      <c r="C189" s="13">
        <v>3027636879</v>
      </c>
      <c r="D189" s="13" t="s">
        <v>30</v>
      </c>
      <c r="E189" s="13" t="s">
        <v>865</v>
      </c>
      <c r="F189" s="13" t="s">
        <v>1148</v>
      </c>
      <c r="G189" s="13" t="s">
        <v>1149</v>
      </c>
      <c r="H189" s="13"/>
      <c r="I189" s="13">
        <v>3177999423</v>
      </c>
      <c r="J189" s="13"/>
      <c r="K189" s="13"/>
      <c r="L189" s="13">
        <v>8</v>
      </c>
      <c r="M189" s="13">
        <v>8</v>
      </c>
      <c r="N189" s="13" t="s">
        <v>35</v>
      </c>
      <c r="O189" s="13"/>
      <c r="P189" s="13">
        <v>6</v>
      </c>
      <c r="Q189" s="13" t="s">
        <v>1150</v>
      </c>
      <c r="R189" s="13" t="s">
        <v>62</v>
      </c>
      <c r="S189" s="13" t="s">
        <v>1151</v>
      </c>
      <c r="T189" s="13" t="s">
        <v>132</v>
      </c>
      <c r="U189" s="13"/>
      <c r="V189" s="13"/>
      <c r="W189" s="13"/>
      <c r="X189" s="13"/>
      <c r="Y189" s="13"/>
      <c r="Z189" s="13"/>
      <c r="AA189" s="13"/>
      <c r="AB189" s="13"/>
      <c r="AC189" s="13" t="s">
        <v>1152</v>
      </c>
      <c r="AD189" s="13"/>
      <c r="AE189" s="13">
        <v>8</v>
      </c>
      <c r="AF189" s="1"/>
      <c r="AG189" s="1"/>
      <c r="AH189" s="1"/>
      <c r="AI189" s="1"/>
      <c r="AJ189" s="1"/>
    </row>
    <row r="190" spans="1:36" x14ac:dyDescent="0.2">
      <c r="A190" s="12">
        <v>45160.573984259259</v>
      </c>
      <c r="B190" s="13" t="s">
        <v>1128</v>
      </c>
      <c r="C190" s="13">
        <v>3015573599</v>
      </c>
      <c r="D190" s="13" t="s">
        <v>79</v>
      </c>
      <c r="E190" s="13" t="s">
        <v>865</v>
      </c>
      <c r="F190" s="13" t="s">
        <v>1135</v>
      </c>
      <c r="G190" s="13" t="s">
        <v>1153</v>
      </c>
      <c r="H190" s="13"/>
      <c r="I190" s="13">
        <v>3136654794</v>
      </c>
      <c r="J190" s="13" t="s">
        <v>1154</v>
      </c>
      <c r="K190" s="13">
        <v>3147419466</v>
      </c>
      <c r="L190" s="13">
        <v>10</v>
      </c>
      <c r="M190" s="13">
        <v>10</v>
      </c>
      <c r="N190" s="13" t="s">
        <v>35</v>
      </c>
      <c r="O190" s="13"/>
      <c r="P190" s="13">
        <v>10</v>
      </c>
      <c r="Q190" s="13" t="s">
        <v>1155</v>
      </c>
      <c r="R190" s="13" t="s">
        <v>869</v>
      </c>
      <c r="S190" s="13" t="s">
        <v>38</v>
      </c>
      <c r="T190" s="13" t="s">
        <v>1156</v>
      </c>
      <c r="U190" s="13"/>
      <c r="V190" s="13"/>
      <c r="W190" s="13"/>
      <c r="X190" s="13"/>
      <c r="Y190" s="13"/>
      <c r="Z190" s="13"/>
      <c r="AA190" s="13"/>
      <c r="AB190" s="13"/>
      <c r="AC190" s="13" t="s">
        <v>1157</v>
      </c>
      <c r="AD190" s="13"/>
      <c r="AE190" s="13">
        <v>10</v>
      </c>
      <c r="AF190" s="1"/>
      <c r="AG190" s="1"/>
      <c r="AH190" s="1"/>
      <c r="AI190" s="1"/>
      <c r="AJ190" s="1"/>
    </row>
    <row r="191" spans="1:36" x14ac:dyDescent="0.2">
      <c r="A191" s="12">
        <v>45160.644588113428</v>
      </c>
      <c r="B191" s="13" t="s">
        <v>1158</v>
      </c>
      <c r="C191" s="13">
        <v>3126219115</v>
      </c>
      <c r="D191" s="13" t="s">
        <v>79</v>
      </c>
      <c r="E191" s="13" t="s">
        <v>865</v>
      </c>
      <c r="F191" s="13" t="s">
        <v>1159</v>
      </c>
      <c r="G191" s="13" t="s">
        <v>1160</v>
      </c>
      <c r="H191" s="13"/>
      <c r="I191" s="13">
        <v>3136042224</v>
      </c>
      <c r="J191" s="13" t="s">
        <v>1161</v>
      </c>
      <c r="K191" s="13">
        <v>3004105060</v>
      </c>
      <c r="L191" s="13">
        <v>4</v>
      </c>
      <c r="M191" s="13">
        <v>3</v>
      </c>
      <c r="N191" s="13" t="s">
        <v>35</v>
      </c>
      <c r="O191" s="13"/>
      <c r="P191" s="13">
        <v>5</v>
      </c>
      <c r="Q191" s="13" t="s">
        <v>1162</v>
      </c>
      <c r="R191" s="13" t="s">
        <v>1163</v>
      </c>
      <c r="S191" s="13" t="s">
        <v>38</v>
      </c>
      <c r="T191" s="13" t="s">
        <v>1164</v>
      </c>
      <c r="U191" s="13"/>
      <c r="V191" s="13"/>
      <c r="W191" s="13"/>
      <c r="X191" s="13"/>
      <c r="Y191" s="13"/>
      <c r="Z191" s="13"/>
      <c r="AA191" s="13"/>
      <c r="AB191" s="13"/>
      <c r="AC191" s="13" t="s">
        <v>1165</v>
      </c>
      <c r="AD191" s="13"/>
      <c r="AE191" s="13">
        <v>4</v>
      </c>
      <c r="AF191" s="1"/>
      <c r="AG191" s="1"/>
      <c r="AH191" s="1"/>
      <c r="AI191" s="1"/>
      <c r="AJ191" s="1"/>
    </row>
    <row r="192" spans="1:36" x14ac:dyDescent="0.2">
      <c r="A192" s="12">
        <v>45160.652084861111</v>
      </c>
      <c r="B192" s="13" t="s">
        <v>1158</v>
      </c>
      <c r="C192" s="13">
        <v>3126219115</v>
      </c>
      <c r="D192" s="13" t="s">
        <v>30</v>
      </c>
      <c r="E192" s="13" t="s">
        <v>865</v>
      </c>
      <c r="F192" s="13" t="s">
        <v>1166</v>
      </c>
      <c r="G192" s="13" t="s">
        <v>1167</v>
      </c>
      <c r="H192" s="13"/>
      <c r="I192" s="13">
        <v>3226807345</v>
      </c>
      <c r="J192" s="13" t="s">
        <v>1168</v>
      </c>
      <c r="K192" s="13"/>
      <c r="L192" s="13">
        <v>30</v>
      </c>
      <c r="M192" s="13">
        <v>7</v>
      </c>
      <c r="N192" s="13" t="s">
        <v>35</v>
      </c>
      <c r="O192" s="13"/>
      <c r="P192" s="13">
        <v>2</v>
      </c>
      <c r="Q192" s="13" t="s">
        <v>1169</v>
      </c>
      <c r="R192" s="13" t="s">
        <v>1170</v>
      </c>
      <c r="S192" s="13" t="s">
        <v>38</v>
      </c>
      <c r="T192" s="15">
        <v>80000</v>
      </c>
      <c r="U192" s="13"/>
      <c r="V192" s="13"/>
      <c r="W192" s="13"/>
      <c r="X192" s="13"/>
      <c r="Y192" s="13"/>
      <c r="Z192" s="13"/>
      <c r="AA192" s="13"/>
      <c r="AB192" s="13"/>
      <c r="AC192" s="13" t="s">
        <v>1171</v>
      </c>
      <c r="AD192" s="13"/>
      <c r="AE192" s="13">
        <v>30</v>
      </c>
      <c r="AF192" s="1"/>
      <c r="AG192" s="1"/>
      <c r="AH192" s="1"/>
      <c r="AI192" s="1"/>
      <c r="AJ192" s="1"/>
    </row>
    <row r="193" spans="1:36" x14ac:dyDescent="0.2">
      <c r="A193" s="12">
        <v>45160.67112806713</v>
      </c>
      <c r="B193" s="13" t="s">
        <v>997</v>
      </c>
      <c r="C193" s="13">
        <v>3027636879</v>
      </c>
      <c r="D193" s="13" t="s">
        <v>30</v>
      </c>
      <c r="E193" s="13" t="s">
        <v>865</v>
      </c>
      <c r="F193" s="13" t="s">
        <v>1172</v>
      </c>
      <c r="G193" s="13" t="s">
        <v>1173</v>
      </c>
      <c r="H193" s="13"/>
      <c r="I193" s="13">
        <v>3234605404</v>
      </c>
      <c r="J193" s="13"/>
      <c r="K193" s="13"/>
      <c r="L193" s="13">
        <v>5</v>
      </c>
      <c r="M193" s="13">
        <v>5</v>
      </c>
      <c r="N193" s="13" t="s">
        <v>35</v>
      </c>
      <c r="O193" s="13"/>
      <c r="P193" s="13">
        <v>2</v>
      </c>
      <c r="Q193" s="13">
        <v>4.1900000000000004</v>
      </c>
      <c r="R193" s="13" t="s">
        <v>1174</v>
      </c>
      <c r="S193" s="13" t="s">
        <v>1175</v>
      </c>
      <c r="T193" s="13" t="s">
        <v>132</v>
      </c>
      <c r="U193" s="13"/>
      <c r="V193" s="13"/>
      <c r="W193" s="13"/>
      <c r="X193" s="13"/>
      <c r="Y193" s="13"/>
      <c r="Z193" s="13"/>
      <c r="AA193" s="13"/>
      <c r="AB193" s="13"/>
      <c r="AC193" s="13"/>
      <c r="AD193" s="13"/>
      <c r="AE193" s="13">
        <v>5</v>
      </c>
      <c r="AF193" s="1"/>
      <c r="AG193" s="1"/>
      <c r="AH193" s="1"/>
      <c r="AI193" s="1"/>
      <c r="AJ193" s="1"/>
    </row>
    <row r="194" spans="1:36" x14ac:dyDescent="0.2">
      <c r="A194" s="12">
        <v>45160.770992453705</v>
      </c>
      <c r="B194" s="13" t="s">
        <v>939</v>
      </c>
      <c r="C194" s="13">
        <v>3012886208</v>
      </c>
      <c r="D194" s="13" t="s">
        <v>79</v>
      </c>
      <c r="E194" s="13" t="s">
        <v>865</v>
      </c>
      <c r="F194" s="13" t="s">
        <v>1176</v>
      </c>
      <c r="G194" s="13" t="s">
        <v>1177</v>
      </c>
      <c r="H194" s="13"/>
      <c r="I194" s="13">
        <v>3135512462</v>
      </c>
      <c r="J194" s="13" t="s">
        <v>862</v>
      </c>
      <c r="K194" s="13" t="s">
        <v>862</v>
      </c>
      <c r="L194" s="13">
        <v>3</v>
      </c>
      <c r="M194" s="13">
        <v>2</v>
      </c>
      <c r="N194" s="13" t="s">
        <v>35</v>
      </c>
      <c r="O194" s="13"/>
      <c r="P194" s="13">
        <v>1</v>
      </c>
      <c r="Q194" s="13">
        <v>26</v>
      </c>
      <c r="R194" s="13" t="s">
        <v>1178</v>
      </c>
      <c r="S194" s="13" t="s">
        <v>38</v>
      </c>
      <c r="T194" s="13" t="s">
        <v>1179</v>
      </c>
      <c r="U194" s="13"/>
      <c r="V194" s="13"/>
      <c r="W194" s="13"/>
      <c r="X194" s="13"/>
      <c r="Y194" s="13"/>
      <c r="Z194" s="13"/>
      <c r="AA194" s="13"/>
      <c r="AB194" s="13"/>
      <c r="AC194" s="13"/>
      <c r="AD194" s="13"/>
      <c r="AE194" s="13">
        <v>3</v>
      </c>
      <c r="AF194" s="1"/>
      <c r="AG194" s="1"/>
      <c r="AH194" s="1"/>
      <c r="AI194" s="1"/>
      <c r="AJ194" s="1"/>
    </row>
    <row r="195" spans="1:36" x14ac:dyDescent="0.2">
      <c r="A195" s="12">
        <v>45160.788227326389</v>
      </c>
      <c r="B195" s="13" t="s">
        <v>939</v>
      </c>
      <c r="C195" s="13">
        <v>3012886208</v>
      </c>
      <c r="D195" s="13" t="s">
        <v>79</v>
      </c>
      <c r="E195" s="13" t="s">
        <v>865</v>
      </c>
      <c r="F195" s="13" t="s">
        <v>1180</v>
      </c>
      <c r="G195" s="13" t="s">
        <v>1181</v>
      </c>
      <c r="H195" s="13"/>
      <c r="I195" s="13">
        <v>3136028490</v>
      </c>
      <c r="J195" s="13" t="s">
        <v>862</v>
      </c>
      <c r="K195" s="13" t="s">
        <v>862</v>
      </c>
      <c r="L195" s="13">
        <v>3</v>
      </c>
      <c r="M195" s="13">
        <v>3</v>
      </c>
      <c r="N195" s="13" t="s">
        <v>35</v>
      </c>
      <c r="O195" s="13"/>
      <c r="P195" s="13">
        <v>2</v>
      </c>
      <c r="Q195" s="13">
        <v>9.2799999999999994</v>
      </c>
      <c r="R195" s="13" t="s">
        <v>1178</v>
      </c>
      <c r="S195" s="13" t="s">
        <v>1182</v>
      </c>
      <c r="T195" s="13" t="s">
        <v>1183</v>
      </c>
      <c r="U195" s="13"/>
      <c r="V195" s="13"/>
      <c r="W195" s="13"/>
      <c r="X195" s="13"/>
      <c r="Y195" s="13"/>
      <c r="Z195" s="13"/>
      <c r="AA195" s="13"/>
      <c r="AB195" s="13"/>
      <c r="AC195" s="13"/>
      <c r="AD195" s="13"/>
      <c r="AE195" s="13">
        <v>3</v>
      </c>
      <c r="AF195" s="1"/>
      <c r="AG195" s="1"/>
      <c r="AH195" s="1"/>
      <c r="AI195" s="1"/>
      <c r="AJ195" s="1"/>
    </row>
    <row r="196" spans="1:36" x14ac:dyDescent="0.2">
      <c r="A196" s="12">
        <v>45161.561464432874</v>
      </c>
      <c r="B196" s="13" t="s">
        <v>893</v>
      </c>
      <c r="C196" s="13">
        <v>3154128883</v>
      </c>
      <c r="D196" s="13" t="s">
        <v>30</v>
      </c>
      <c r="E196" s="13" t="s">
        <v>865</v>
      </c>
      <c r="F196" s="13" t="s">
        <v>1184</v>
      </c>
      <c r="G196" s="13" t="s">
        <v>1185</v>
      </c>
      <c r="H196" s="13"/>
      <c r="I196" s="13">
        <v>3154339838</v>
      </c>
      <c r="J196" s="13"/>
      <c r="K196" s="13"/>
      <c r="L196" s="13" t="s">
        <v>1186</v>
      </c>
      <c r="M196" s="13" t="s">
        <v>1186</v>
      </c>
      <c r="N196" s="13" t="s">
        <v>35</v>
      </c>
      <c r="O196" s="13"/>
      <c r="P196" s="13">
        <v>2</v>
      </c>
      <c r="Q196" s="13">
        <v>19.190000000000001</v>
      </c>
      <c r="R196" s="13" t="s">
        <v>1187</v>
      </c>
      <c r="S196" s="13" t="s">
        <v>38</v>
      </c>
      <c r="T196" s="13" t="s">
        <v>1093</v>
      </c>
      <c r="U196" s="13"/>
      <c r="V196" s="13"/>
      <c r="W196" s="13"/>
      <c r="X196" s="13"/>
      <c r="Y196" s="13"/>
      <c r="Z196" s="13"/>
      <c r="AA196" s="13"/>
      <c r="AB196" s="13"/>
      <c r="AC196" s="13" t="s">
        <v>1188</v>
      </c>
      <c r="AD196" s="13"/>
      <c r="AE196" s="13" t="s">
        <v>1186</v>
      </c>
      <c r="AF196" s="1"/>
      <c r="AG196" s="1"/>
      <c r="AH196" s="1"/>
      <c r="AI196" s="1"/>
      <c r="AJ196" s="1"/>
    </row>
    <row r="197" spans="1:36" x14ac:dyDescent="0.2">
      <c r="A197" s="12">
        <v>45161.88267082176</v>
      </c>
      <c r="B197" s="13" t="s">
        <v>1189</v>
      </c>
      <c r="C197" s="13">
        <v>3012886208</v>
      </c>
      <c r="D197" s="13" t="s">
        <v>79</v>
      </c>
      <c r="E197" s="13" t="s">
        <v>865</v>
      </c>
      <c r="F197" s="13" t="s">
        <v>894</v>
      </c>
      <c r="G197" s="13" t="s">
        <v>1190</v>
      </c>
      <c r="H197" s="13"/>
      <c r="I197" s="13">
        <v>3023577714</v>
      </c>
      <c r="J197" s="13" t="s">
        <v>1191</v>
      </c>
      <c r="K197" s="13">
        <v>3117416970</v>
      </c>
      <c r="L197" s="13">
        <v>2</v>
      </c>
      <c r="M197" s="13">
        <v>2</v>
      </c>
      <c r="N197" s="13" t="s">
        <v>35</v>
      </c>
      <c r="O197" s="13"/>
      <c r="P197" s="13">
        <v>3</v>
      </c>
      <c r="Q197" s="13" t="s">
        <v>1192</v>
      </c>
      <c r="R197" s="13" t="s">
        <v>869</v>
      </c>
      <c r="S197" s="13" t="s">
        <v>110</v>
      </c>
      <c r="T197" s="13" t="s">
        <v>1193</v>
      </c>
      <c r="U197" s="13"/>
      <c r="V197" s="13"/>
      <c r="W197" s="13"/>
      <c r="X197" s="13"/>
      <c r="Y197" s="13"/>
      <c r="Z197" s="13"/>
      <c r="AA197" s="13"/>
      <c r="AB197" s="13"/>
      <c r="AC197" s="13"/>
      <c r="AD197" s="13"/>
      <c r="AE197" s="13">
        <v>2</v>
      </c>
      <c r="AF197" s="1"/>
      <c r="AG197" s="1"/>
      <c r="AH197" s="1"/>
      <c r="AI197" s="1"/>
      <c r="AJ197" s="1"/>
    </row>
    <row r="198" spans="1:36" x14ac:dyDescent="0.2">
      <c r="A198" s="12">
        <v>45162.744628194443</v>
      </c>
      <c r="B198" s="13" t="s">
        <v>1194</v>
      </c>
      <c r="C198" s="13">
        <v>3136816954</v>
      </c>
      <c r="D198" s="13" t="s">
        <v>79</v>
      </c>
      <c r="E198" s="13" t="s">
        <v>865</v>
      </c>
      <c r="F198" s="13" t="s">
        <v>1020</v>
      </c>
      <c r="G198" s="13" t="s">
        <v>1195</v>
      </c>
      <c r="H198" s="13"/>
      <c r="I198" s="13">
        <v>3015813039</v>
      </c>
      <c r="J198" s="13" t="s">
        <v>1196</v>
      </c>
      <c r="K198" s="13">
        <v>3226460421</v>
      </c>
      <c r="L198" s="13">
        <v>10</v>
      </c>
      <c r="M198" s="13">
        <v>3</v>
      </c>
      <c r="N198" s="13" t="s">
        <v>35</v>
      </c>
      <c r="O198" s="13"/>
      <c r="P198" s="13">
        <v>5</v>
      </c>
      <c r="Q198" s="13" t="s">
        <v>1197</v>
      </c>
      <c r="R198" s="13" t="s">
        <v>1178</v>
      </c>
      <c r="S198" s="13" t="s">
        <v>38</v>
      </c>
      <c r="T198" s="13" t="s">
        <v>541</v>
      </c>
      <c r="U198" s="13"/>
      <c r="V198" s="13"/>
      <c r="W198" s="13"/>
      <c r="X198" s="13"/>
      <c r="Y198" s="13"/>
      <c r="Z198" s="13"/>
      <c r="AA198" s="13"/>
      <c r="AB198" s="13"/>
      <c r="AC198" s="13"/>
      <c r="AD198" s="13"/>
      <c r="AE198" s="13">
        <v>10</v>
      </c>
      <c r="AF198" s="1"/>
      <c r="AG198" s="1"/>
      <c r="AH198" s="1"/>
      <c r="AI198" s="1"/>
      <c r="AJ198" s="1"/>
    </row>
    <row r="199" spans="1:36" x14ac:dyDescent="0.2">
      <c r="A199" s="12">
        <v>45162.772963287032</v>
      </c>
      <c r="B199" s="13" t="s">
        <v>1194</v>
      </c>
      <c r="C199" s="13">
        <v>3136816954</v>
      </c>
      <c r="D199" s="13" t="s">
        <v>79</v>
      </c>
      <c r="E199" s="13" t="s">
        <v>865</v>
      </c>
      <c r="F199" s="13" t="s">
        <v>1020</v>
      </c>
      <c r="G199" s="13" t="s">
        <v>1198</v>
      </c>
      <c r="H199" s="13"/>
      <c r="I199" s="13">
        <v>3023564051</v>
      </c>
      <c r="J199" s="13"/>
      <c r="K199" s="13"/>
      <c r="L199" s="13">
        <v>4</v>
      </c>
      <c r="M199" s="13">
        <v>4</v>
      </c>
      <c r="N199" s="13" t="s">
        <v>132</v>
      </c>
      <c r="O199" s="13"/>
      <c r="P199" s="13">
        <v>10</v>
      </c>
      <c r="Q199" s="13" t="s">
        <v>1199</v>
      </c>
      <c r="R199" s="13" t="s">
        <v>1200</v>
      </c>
      <c r="S199" s="13" t="s">
        <v>110</v>
      </c>
      <c r="T199" s="13" t="s">
        <v>132</v>
      </c>
      <c r="U199" s="13"/>
      <c r="V199" s="13"/>
      <c r="W199" s="13"/>
      <c r="X199" s="13"/>
      <c r="Y199" s="13"/>
      <c r="Z199" s="13"/>
      <c r="AA199" s="13"/>
      <c r="AB199" s="13"/>
      <c r="AC199" s="13"/>
      <c r="AD199" s="13"/>
      <c r="AE199" s="13">
        <v>4</v>
      </c>
      <c r="AF199" s="1"/>
      <c r="AG199" s="1"/>
      <c r="AH199" s="1"/>
      <c r="AI199" s="1"/>
      <c r="AJ199" s="1"/>
    </row>
    <row r="200" spans="1:36" x14ac:dyDescent="0.2">
      <c r="A200" s="5">
        <v>45165.427078807872</v>
      </c>
      <c r="B200" s="1" t="s">
        <v>226</v>
      </c>
      <c r="C200" s="1">
        <v>3165428133</v>
      </c>
      <c r="D200" s="1" t="s">
        <v>79</v>
      </c>
      <c r="E200" s="1" t="s">
        <v>493</v>
      </c>
      <c r="F200" s="1" t="s">
        <v>656</v>
      </c>
      <c r="G200" s="1" t="s">
        <v>1201</v>
      </c>
      <c r="H200" s="1"/>
      <c r="I200" s="1">
        <v>3126027511</v>
      </c>
      <c r="J200" s="1" t="s">
        <v>1202</v>
      </c>
      <c r="K200" s="1">
        <v>3017229877</v>
      </c>
      <c r="L200" s="1" t="s">
        <v>292</v>
      </c>
      <c r="M200" s="1" t="s">
        <v>292</v>
      </c>
      <c r="N200" s="1" t="s">
        <v>35</v>
      </c>
      <c r="O200" s="1"/>
      <c r="P200" s="1">
        <v>4</v>
      </c>
      <c r="Q200" s="1">
        <v>0</v>
      </c>
      <c r="R200" s="1" t="s">
        <v>1036</v>
      </c>
      <c r="S200" s="1" t="s">
        <v>110</v>
      </c>
      <c r="T200" s="1" t="s">
        <v>132</v>
      </c>
      <c r="U200" s="1"/>
      <c r="V200" s="1"/>
      <c r="W200" s="1"/>
      <c r="X200" s="1"/>
      <c r="Y200" s="1"/>
      <c r="Z200" s="1"/>
      <c r="AA200" s="1"/>
      <c r="AB200" s="1"/>
      <c r="AC200" s="1"/>
      <c r="AD200" s="1"/>
      <c r="AE200" s="1" t="s">
        <v>292</v>
      </c>
      <c r="AF200" s="1"/>
      <c r="AG200" s="1"/>
      <c r="AH200" s="1"/>
      <c r="AI200" s="1"/>
      <c r="AJ200" s="1"/>
    </row>
    <row r="201" spans="1:36" x14ac:dyDescent="0.2">
      <c r="A201" s="5">
        <v>45165.430491539351</v>
      </c>
      <c r="B201" s="1" t="s">
        <v>454</v>
      </c>
      <c r="C201" s="1">
        <v>3175749041</v>
      </c>
      <c r="D201" s="1" t="s">
        <v>79</v>
      </c>
      <c r="E201" s="1" t="s">
        <v>493</v>
      </c>
      <c r="F201" s="1" t="s">
        <v>1203</v>
      </c>
      <c r="G201" s="1" t="s">
        <v>1204</v>
      </c>
      <c r="H201" s="1"/>
      <c r="I201" s="1">
        <v>3003843051</v>
      </c>
      <c r="J201" s="1" t="s">
        <v>1205</v>
      </c>
      <c r="K201" s="1">
        <v>3106213762</v>
      </c>
      <c r="L201" s="1">
        <v>20</v>
      </c>
      <c r="M201" s="1">
        <v>9</v>
      </c>
      <c r="N201" s="1" t="s">
        <v>35</v>
      </c>
      <c r="O201" s="1"/>
      <c r="P201" s="1">
        <v>3</v>
      </c>
      <c r="Q201" s="1" t="s">
        <v>1206</v>
      </c>
      <c r="R201" s="1" t="s">
        <v>1207</v>
      </c>
      <c r="S201" s="1" t="s">
        <v>38</v>
      </c>
      <c r="T201" s="1" t="s">
        <v>1208</v>
      </c>
      <c r="U201" s="1"/>
      <c r="V201" s="1"/>
      <c r="W201" s="1"/>
      <c r="X201" s="1"/>
      <c r="Y201" s="1"/>
      <c r="Z201" s="1"/>
      <c r="AA201" s="1"/>
      <c r="AB201" s="1"/>
      <c r="AC201" s="1" t="s">
        <v>1209</v>
      </c>
      <c r="AD201" s="1"/>
      <c r="AE201" s="1">
        <v>20</v>
      </c>
      <c r="AF201" s="1"/>
      <c r="AG201" s="1"/>
      <c r="AH201" s="1"/>
      <c r="AI201" s="1"/>
      <c r="AJ201" s="1"/>
    </row>
    <row r="202" spans="1:36" x14ac:dyDescent="0.2">
      <c r="A202" s="5">
        <v>45165.430634895834</v>
      </c>
      <c r="B202" s="1" t="s">
        <v>209</v>
      </c>
      <c r="C202" s="1">
        <v>3165428133</v>
      </c>
      <c r="D202" s="1" t="s">
        <v>79</v>
      </c>
      <c r="E202" s="1" t="s">
        <v>493</v>
      </c>
      <c r="F202" s="1" t="s">
        <v>1210</v>
      </c>
      <c r="G202" s="1" t="s">
        <v>1211</v>
      </c>
      <c r="H202" s="1"/>
      <c r="I202" s="1">
        <v>3136954216</v>
      </c>
      <c r="J202" s="1" t="s">
        <v>1212</v>
      </c>
      <c r="K202" s="1">
        <v>3001544086</v>
      </c>
      <c r="L202" s="1" t="s">
        <v>911</v>
      </c>
      <c r="M202" s="1" t="s">
        <v>911</v>
      </c>
      <c r="N202" s="1" t="s">
        <v>35</v>
      </c>
      <c r="O202" s="1"/>
      <c r="P202" s="1">
        <v>4</v>
      </c>
      <c r="Q202" s="1">
        <v>47</v>
      </c>
      <c r="R202" s="1" t="s">
        <v>1213</v>
      </c>
      <c r="S202" s="1" t="s">
        <v>38</v>
      </c>
      <c r="T202" s="1" t="s">
        <v>132</v>
      </c>
      <c r="U202" s="1"/>
      <c r="V202" s="1"/>
      <c r="W202" s="1"/>
      <c r="X202" s="1"/>
      <c r="Y202" s="1"/>
      <c r="Z202" s="1"/>
      <c r="AA202" s="1"/>
      <c r="AB202" s="1"/>
      <c r="AC202" s="1" t="s">
        <v>1214</v>
      </c>
      <c r="AD202" s="1"/>
      <c r="AE202" s="1" t="s">
        <v>911</v>
      </c>
      <c r="AF202" s="1"/>
      <c r="AG202" s="1"/>
      <c r="AH202" s="1"/>
      <c r="AI202" s="1"/>
      <c r="AJ202" s="1"/>
    </row>
    <row r="203" spans="1:36" x14ac:dyDescent="0.2">
      <c r="A203" s="12">
        <v>45170.788061909727</v>
      </c>
      <c r="B203" s="13" t="s">
        <v>871</v>
      </c>
      <c r="C203" s="13">
        <v>3116299558</v>
      </c>
      <c r="D203" s="13" t="s">
        <v>30</v>
      </c>
      <c r="E203" s="13" t="s">
        <v>865</v>
      </c>
      <c r="F203" s="13" t="s">
        <v>1215</v>
      </c>
      <c r="G203" s="13" t="s">
        <v>1216</v>
      </c>
      <c r="H203" s="13"/>
      <c r="I203" s="13">
        <v>3122928971</v>
      </c>
      <c r="J203" s="13" t="s">
        <v>1217</v>
      </c>
      <c r="K203" s="13">
        <v>3226807345</v>
      </c>
      <c r="L203" s="13">
        <v>6</v>
      </c>
      <c r="M203" s="13">
        <v>1</v>
      </c>
      <c r="N203" s="13" t="s">
        <v>35</v>
      </c>
      <c r="O203" s="13"/>
      <c r="P203" s="13">
        <v>2</v>
      </c>
      <c r="Q203" s="13">
        <v>63.67</v>
      </c>
      <c r="R203" s="13" t="s">
        <v>1218</v>
      </c>
      <c r="S203" s="13" t="s">
        <v>38</v>
      </c>
      <c r="T203" s="13" t="s">
        <v>1219</v>
      </c>
      <c r="U203" s="13"/>
      <c r="V203" s="13"/>
      <c r="W203" s="13"/>
      <c r="X203" s="13"/>
      <c r="Y203" s="13"/>
      <c r="Z203" s="13"/>
      <c r="AA203" s="13"/>
      <c r="AB203" s="13"/>
      <c r="AC203" s="13"/>
      <c r="AD203" s="13"/>
      <c r="AE203" s="13">
        <v>6</v>
      </c>
      <c r="AF203" s="1"/>
      <c r="AG203" s="1"/>
      <c r="AH203" s="1"/>
      <c r="AI203" s="1"/>
      <c r="AJ203" s="1"/>
    </row>
    <row r="204" spans="1:36" x14ac:dyDescent="0.2">
      <c r="A204" s="12">
        <v>45170.794833032407</v>
      </c>
      <c r="B204" s="13" t="s">
        <v>871</v>
      </c>
      <c r="C204" s="13">
        <v>3116299558</v>
      </c>
      <c r="D204" s="13" t="s">
        <v>30</v>
      </c>
      <c r="E204" s="13" t="s">
        <v>865</v>
      </c>
      <c r="F204" s="13" t="s">
        <v>1220</v>
      </c>
      <c r="G204" s="13" t="s">
        <v>1221</v>
      </c>
      <c r="H204" s="13"/>
      <c r="I204" s="13">
        <v>3043338061</v>
      </c>
      <c r="J204" s="13" t="s">
        <v>1222</v>
      </c>
      <c r="K204" s="13">
        <v>3043338061</v>
      </c>
      <c r="L204" s="13">
        <v>4</v>
      </c>
      <c r="M204" s="13">
        <v>4</v>
      </c>
      <c r="N204" s="13" t="s">
        <v>35</v>
      </c>
      <c r="O204" s="13"/>
      <c r="P204" s="13">
        <v>4</v>
      </c>
      <c r="Q204" s="13" t="s">
        <v>1223</v>
      </c>
      <c r="R204" s="13" t="s">
        <v>1224</v>
      </c>
      <c r="S204" s="13" t="s">
        <v>1017</v>
      </c>
      <c r="T204" s="13" t="s">
        <v>1225</v>
      </c>
      <c r="U204" s="13"/>
      <c r="V204" s="13"/>
      <c r="W204" s="13"/>
      <c r="X204" s="13"/>
      <c r="Y204" s="13"/>
      <c r="Z204" s="13"/>
      <c r="AA204" s="13"/>
      <c r="AB204" s="13"/>
      <c r="AC204" s="13" t="s">
        <v>1226</v>
      </c>
      <c r="AD204" s="13"/>
      <c r="AE204" s="13">
        <v>4</v>
      </c>
      <c r="AF204" s="1"/>
      <c r="AG204" s="1"/>
      <c r="AH204" s="1"/>
      <c r="AI204" s="1"/>
      <c r="AJ204" s="1"/>
    </row>
    <row r="205" spans="1:36" x14ac:dyDescent="0.2">
      <c r="A205" s="12">
        <v>45170.800069328703</v>
      </c>
      <c r="B205" s="13" t="s">
        <v>871</v>
      </c>
      <c r="C205" s="13">
        <v>3116299558</v>
      </c>
      <c r="D205" s="13" t="s">
        <v>30</v>
      </c>
      <c r="E205" s="13" t="s">
        <v>865</v>
      </c>
      <c r="F205" s="13" t="s">
        <v>1135</v>
      </c>
      <c r="G205" s="13" t="s">
        <v>1227</v>
      </c>
      <c r="H205" s="13"/>
      <c r="I205" s="13">
        <v>3127952919</v>
      </c>
      <c r="J205" s="13" t="s">
        <v>1228</v>
      </c>
      <c r="K205" s="13">
        <v>3148690096</v>
      </c>
      <c r="L205" s="13">
        <v>2</v>
      </c>
      <c r="M205" s="13">
        <v>2</v>
      </c>
      <c r="N205" s="13" t="s">
        <v>35</v>
      </c>
      <c r="O205" s="13"/>
      <c r="P205" s="13">
        <v>7</v>
      </c>
      <c r="Q205" s="13" t="s">
        <v>1229</v>
      </c>
      <c r="R205" s="13" t="s">
        <v>1230</v>
      </c>
      <c r="S205" s="13" t="s">
        <v>1231</v>
      </c>
      <c r="T205" s="13" t="s">
        <v>35</v>
      </c>
      <c r="U205" s="13"/>
      <c r="V205" s="13"/>
      <c r="W205" s="13"/>
      <c r="X205" s="13"/>
      <c r="Y205" s="13"/>
      <c r="Z205" s="13"/>
      <c r="AA205" s="13"/>
      <c r="AB205" s="13"/>
      <c r="AC205" s="13" t="s">
        <v>1232</v>
      </c>
      <c r="AD205" s="13"/>
      <c r="AE205" s="13">
        <v>2</v>
      </c>
      <c r="AF205" s="1"/>
      <c r="AG205" s="1"/>
      <c r="AH205" s="1"/>
      <c r="AI205" s="1"/>
      <c r="AJ205" s="1"/>
    </row>
    <row r="206" spans="1:36" x14ac:dyDescent="0.2">
      <c r="A206" s="2">
        <v>45172.391093136575</v>
      </c>
      <c r="B206" s="3" t="s">
        <v>1233</v>
      </c>
      <c r="C206" s="3">
        <v>1152693180</v>
      </c>
      <c r="D206" s="3" t="s">
        <v>30</v>
      </c>
      <c r="E206" s="3" t="s">
        <v>31</v>
      </c>
      <c r="F206" s="3" t="s">
        <v>32</v>
      </c>
      <c r="G206" s="3" t="s">
        <v>1234</v>
      </c>
      <c r="H206" s="3"/>
      <c r="I206" s="3">
        <v>3136661455</v>
      </c>
      <c r="J206" s="3">
        <v>3223700823</v>
      </c>
      <c r="K206" s="3"/>
      <c r="L206" s="3" t="s">
        <v>158</v>
      </c>
      <c r="M206" s="3" t="s">
        <v>1235</v>
      </c>
      <c r="N206" s="3" t="s">
        <v>35</v>
      </c>
      <c r="O206" s="3"/>
      <c r="P206" s="3">
        <v>4</v>
      </c>
      <c r="Q206" s="3" t="s">
        <v>1236</v>
      </c>
      <c r="R206" s="3" t="s">
        <v>244</v>
      </c>
      <c r="S206" s="3" t="s">
        <v>110</v>
      </c>
      <c r="T206" s="3" t="s">
        <v>1237</v>
      </c>
      <c r="U206" s="3"/>
      <c r="V206" s="3"/>
      <c r="W206" s="3"/>
      <c r="X206" s="3"/>
      <c r="Y206" s="3"/>
      <c r="Z206" s="3"/>
      <c r="AA206" s="3"/>
      <c r="AB206" s="3"/>
      <c r="AC206" s="3" t="s">
        <v>1238</v>
      </c>
      <c r="AD206" s="3"/>
      <c r="AE206" s="3" t="s">
        <v>158</v>
      </c>
      <c r="AF206" s="1"/>
      <c r="AG206" s="1"/>
      <c r="AH206" s="1"/>
      <c r="AI206" s="1"/>
      <c r="AJ206" s="1"/>
    </row>
    <row r="207" spans="1:36" x14ac:dyDescent="0.2">
      <c r="A207" s="2">
        <v>45172.430368159723</v>
      </c>
      <c r="B207" s="3" t="s">
        <v>1233</v>
      </c>
      <c r="C207" s="3">
        <v>3105276997</v>
      </c>
      <c r="D207" s="3" t="s">
        <v>30</v>
      </c>
      <c r="E207" s="3" t="s">
        <v>31</v>
      </c>
      <c r="F207" s="3">
        <v>3</v>
      </c>
      <c r="G207" s="3" t="s">
        <v>1239</v>
      </c>
      <c r="H207" s="3"/>
      <c r="I207" s="3">
        <v>3005688113</v>
      </c>
      <c r="J207" s="3">
        <v>3188000525</v>
      </c>
      <c r="K207" s="3"/>
      <c r="L207" s="3" t="s">
        <v>341</v>
      </c>
      <c r="M207" s="3" t="s">
        <v>341</v>
      </c>
      <c r="N207" s="3" t="s">
        <v>35</v>
      </c>
      <c r="O207" s="3"/>
      <c r="P207" s="3">
        <v>1</v>
      </c>
      <c r="Q207" s="3">
        <v>59</v>
      </c>
      <c r="R207" s="3" t="s">
        <v>1240</v>
      </c>
      <c r="S207" s="3" t="s">
        <v>110</v>
      </c>
      <c r="T207" s="3" t="s">
        <v>132</v>
      </c>
      <c r="U207" s="3"/>
      <c r="V207" s="3"/>
      <c r="W207" s="3"/>
      <c r="X207" s="3"/>
      <c r="Y207" s="3"/>
      <c r="Z207" s="3"/>
      <c r="AA207" s="3"/>
      <c r="AB207" s="3"/>
      <c r="AC207" s="3" t="s">
        <v>1241</v>
      </c>
      <c r="AD207" s="3"/>
      <c r="AE207" s="3" t="s">
        <v>341</v>
      </c>
      <c r="AF207" s="1"/>
      <c r="AG207" s="1"/>
      <c r="AH207" s="1"/>
      <c r="AI207" s="1"/>
      <c r="AJ207" s="1"/>
    </row>
    <row r="208" spans="1:36" x14ac:dyDescent="0.2">
      <c r="A208" s="2">
        <v>45172.432346539354</v>
      </c>
      <c r="B208" s="3" t="s">
        <v>1242</v>
      </c>
      <c r="C208" s="3">
        <v>3216253753</v>
      </c>
      <c r="D208" s="3" t="s">
        <v>30</v>
      </c>
      <c r="E208" s="3" t="s">
        <v>31</v>
      </c>
      <c r="F208" s="3">
        <v>4</v>
      </c>
      <c r="G208" s="3" t="s">
        <v>1243</v>
      </c>
      <c r="H208" s="3"/>
      <c r="I208" s="3">
        <v>3118438243</v>
      </c>
      <c r="J208" s="3"/>
      <c r="K208" s="3"/>
      <c r="L208" s="3">
        <v>15</v>
      </c>
      <c r="M208" s="3" t="s">
        <v>1244</v>
      </c>
      <c r="N208" s="3" t="s">
        <v>35</v>
      </c>
      <c r="O208" s="3"/>
      <c r="P208" s="3">
        <v>3</v>
      </c>
      <c r="Q208" s="3" t="s">
        <v>1245</v>
      </c>
      <c r="R208" s="3" t="s">
        <v>1246</v>
      </c>
      <c r="S208" s="3" t="s">
        <v>110</v>
      </c>
      <c r="T208" s="3" t="s">
        <v>1247</v>
      </c>
      <c r="U208" s="3"/>
      <c r="V208" s="3"/>
      <c r="W208" s="3"/>
      <c r="X208" s="3"/>
      <c r="Y208" s="3"/>
      <c r="Z208" s="3"/>
      <c r="AA208" s="3"/>
      <c r="AB208" s="3"/>
      <c r="AC208" s="3"/>
      <c r="AD208" s="3"/>
      <c r="AE208" s="3">
        <v>15</v>
      </c>
      <c r="AF208" s="1"/>
      <c r="AG208" s="1"/>
      <c r="AH208" s="1"/>
      <c r="AI208" s="1"/>
      <c r="AJ208" s="1"/>
    </row>
    <row r="209" spans="1:36" x14ac:dyDescent="0.2">
      <c r="A209" s="2">
        <v>45172.437197407402</v>
      </c>
      <c r="B209" s="3" t="s">
        <v>346</v>
      </c>
      <c r="C209" s="3">
        <v>3016234523</v>
      </c>
      <c r="D209" s="3" t="s">
        <v>30</v>
      </c>
      <c r="E209" s="3" t="s">
        <v>31</v>
      </c>
      <c r="F209" s="3" t="s">
        <v>177</v>
      </c>
      <c r="G209" s="3" t="s">
        <v>1248</v>
      </c>
      <c r="H209" s="3"/>
      <c r="I209" s="3">
        <v>3044358657</v>
      </c>
      <c r="J209" s="3"/>
      <c r="K209" s="3"/>
      <c r="L209" s="3">
        <v>20</v>
      </c>
      <c r="M209" s="3">
        <v>3</v>
      </c>
      <c r="N209" s="3" t="s">
        <v>35</v>
      </c>
      <c r="O209" s="3"/>
      <c r="P209" s="3">
        <v>2</v>
      </c>
      <c r="Q209" s="3" t="s">
        <v>1249</v>
      </c>
      <c r="R209" s="3" t="s">
        <v>411</v>
      </c>
      <c r="S209" s="3" t="s">
        <v>38</v>
      </c>
      <c r="T209" s="3" t="s">
        <v>1250</v>
      </c>
      <c r="U209" s="3"/>
      <c r="V209" s="3"/>
      <c r="W209" s="3"/>
      <c r="X209" s="3"/>
      <c r="Y209" s="3"/>
      <c r="Z209" s="3"/>
      <c r="AA209" s="3"/>
      <c r="AB209" s="3"/>
      <c r="AC209" s="3"/>
      <c r="AD209" s="3"/>
      <c r="AE209" s="3">
        <v>20</v>
      </c>
      <c r="AF209" s="1"/>
      <c r="AG209" s="1"/>
      <c r="AH209" s="1"/>
      <c r="AI209" s="1"/>
      <c r="AJ209" s="1"/>
    </row>
    <row r="210" spans="1:36" x14ac:dyDescent="0.2">
      <c r="A210" s="5">
        <v>45172.439501562505</v>
      </c>
      <c r="B210" s="1" t="s">
        <v>1251</v>
      </c>
      <c r="C210" s="1">
        <v>3144405727</v>
      </c>
      <c r="D210" s="1" t="s">
        <v>79</v>
      </c>
      <c r="E210" s="1" t="s">
        <v>493</v>
      </c>
      <c r="F210" s="1" t="s">
        <v>1252</v>
      </c>
      <c r="G210" s="1" t="s">
        <v>1253</v>
      </c>
      <c r="H210" s="1"/>
      <c r="I210" s="1">
        <v>3153780056</v>
      </c>
      <c r="J210" s="1" t="s">
        <v>1254</v>
      </c>
      <c r="K210" s="1">
        <v>3153780056</v>
      </c>
      <c r="L210" s="1" t="s">
        <v>286</v>
      </c>
      <c r="M210" s="1" t="s">
        <v>286</v>
      </c>
      <c r="N210" s="1" t="s">
        <v>35</v>
      </c>
      <c r="O210" s="1"/>
      <c r="P210" s="1">
        <v>4</v>
      </c>
      <c r="Q210" s="1" t="s">
        <v>1255</v>
      </c>
      <c r="R210" s="1" t="s">
        <v>276</v>
      </c>
      <c r="S210" s="1" t="s">
        <v>1141</v>
      </c>
      <c r="T210" s="1" t="s">
        <v>132</v>
      </c>
      <c r="U210" s="1"/>
      <c r="V210" s="1"/>
      <c r="W210" s="1"/>
      <c r="X210" s="1"/>
      <c r="Y210" s="1"/>
      <c r="Z210" s="1"/>
      <c r="AA210" s="1"/>
      <c r="AB210" s="1"/>
      <c r="AC210" s="1" t="s">
        <v>1256</v>
      </c>
      <c r="AD210" s="1"/>
      <c r="AE210" s="1" t="s">
        <v>286</v>
      </c>
      <c r="AF210" s="1"/>
      <c r="AG210" s="1"/>
      <c r="AH210" s="1"/>
      <c r="AI210" s="1"/>
      <c r="AJ210" s="1"/>
    </row>
    <row r="211" spans="1:36" x14ac:dyDescent="0.2">
      <c r="A211" s="2">
        <v>45172.44189923611</v>
      </c>
      <c r="B211" s="3" t="s">
        <v>1233</v>
      </c>
      <c r="C211" s="3">
        <v>1152693180</v>
      </c>
      <c r="D211" s="3" t="s">
        <v>30</v>
      </c>
      <c r="E211" s="3" t="s">
        <v>31</v>
      </c>
      <c r="F211" s="3" t="s">
        <v>1257</v>
      </c>
      <c r="G211" s="3" t="s">
        <v>1258</v>
      </c>
      <c r="H211" s="3"/>
      <c r="I211" s="3">
        <v>3006237043</v>
      </c>
      <c r="J211" s="3">
        <v>3245769191</v>
      </c>
      <c r="K211" s="3"/>
      <c r="L211" s="3" t="s">
        <v>286</v>
      </c>
      <c r="M211" s="3" t="s">
        <v>307</v>
      </c>
      <c r="N211" s="3" t="s">
        <v>35</v>
      </c>
      <c r="O211" s="3"/>
      <c r="P211" s="3">
        <v>4</v>
      </c>
      <c r="Q211" s="3" t="s">
        <v>1259</v>
      </c>
      <c r="R211" s="3" t="s">
        <v>1260</v>
      </c>
      <c r="S211" s="3" t="s">
        <v>110</v>
      </c>
      <c r="T211" s="3" t="s">
        <v>1261</v>
      </c>
      <c r="U211" s="3"/>
      <c r="V211" s="3"/>
      <c r="W211" s="3"/>
      <c r="X211" s="3"/>
      <c r="Y211" s="3"/>
      <c r="Z211" s="3"/>
      <c r="AA211" s="3"/>
      <c r="AB211" s="3"/>
      <c r="AC211" s="3" t="s">
        <v>1262</v>
      </c>
      <c r="AD211" s="3"/>
      <c r="AE211" s="3" t="s">
        <v>286</v>
      </c>
      <c r="AF211" s="1"/>
      <c r="AG211" s="1"/>
      <c r="AH211" s="1"/>
      <c r="AI211" s="1"/>
      <c r="AJ211" s="1"/>
    </row>
    <row r="212" spans="1:36" x14ac:dyDescent="0.2">
      <c r="A212" s="2">
        <v>45172.442237835647</v>
      </c>
      <c r="B212" s="3" t="s">
        <v>1263</v>
      </c>
      <c r="C212" s="3">
        <v>1018246172</v>
      </c>
      <c r="D212" s="3" t="s">
        <v>30</v>
      </c>
      <c r="E212" s="3" t="s">
        <v>31</v>
      </c>
      <c r="F212" s="3">
        <v>3</v>
      </c>
      <c r="G212" s="3" t="s">
        <v>1264</v>
      </c>
      <c r="H212" s="3"/>
      <c r="I212" s="3">
        <v>3011939028</v>
      </c>
      <c r="J212" s="3"/>
      <c r="K212" s="3"/>
      <c r="L212" s="3" t="s">
        <v>1186</v>
      </c>
      <c r="M212" s="3" t="s">
        <v>1186</v>
      </c>
      <c r="N212" s="3" t="s">
        <v>35</v>
      </c>
      <c r="O212" s="3"/>
      <c r="P212" s="3">
        <v>2</v>
      </c>
      <c r="Q212" s="3" t="s">
        <v>1265</v>
      </c>
      <c r="R212" s="3" t="s">
        <v>1266</v>
      </c>
      <c r="S212" s="3" t="s">
        <v>38</v>
      </c>
      <c r="T212" s="3" t="s">
        <v>35</v>
      </c>
      <c r="U212" s="3"/>
      <c r="V212" s="3"/>
      <c r="W212" s="3"/>
      <c r="X212" s="3"/>
      <c r="Y212" s="3"/>
      <c r="Z212" s="3"/>
      <c r="AA212" s="3"/>
      <c r="AB212" s="3"/>
      <c r="AC212" s="3"/>
      <c r="AD212" s="3"/>
      <c r="AE212" s="3" t="s">
        <v>1186</v>
      </c>
      <c r="AF212" s="1"/>
      <c r="AG212" s="1"/>
      <c r="AH212" s="1"/>
      <c r="AI212" s="1"/>
      <c r="AJ212" s="1"/>
    </row>
    <row r="213" spans="1:36" x14ac:dyDescent="0.2">
      <c r="A213" s="2">
        <v>45172.443035983801</v>
      </c>
      <c r="B213" s="3" t="s">
        <v>1267</v>
      </c>
      <c r="C213" s="3">
        <v>3216253753</v>
      </c>
      <c r="D213" s="3" t="s">
        <v>30</v>
      </c>
      <c r="E213" s="3" t="s">
        <v>31</v>
      </c>
      <c r="F213" s="3">
        <v>4</v>
      </c>
      <c r="G213" s="3" t="s">
        <v>1268</v>
      </c>
      <c r="H213" s="3"/>
      <c r="I213" s="3">
        <v>3135534268</v>
      </c>
      <c r="J213" s="3" t="s">
        <v>1269</v>
      </c>
      <c r="K213" s="3">
        <v>3194795701</v>
      </c>
      <c r="L213" s="3">
        <v>4</v>
      </c>
      <c r="M213" s="3">
        <v>4</v>
      </c>
      <c r="N213" s="3" t="s">
        <v>35</v>
      </c>
      <c r="O213" s="3"/>
      <c r="P213" s="3">
        <v>1</v>
      </c>
      <c r="Q213" s="3">
        <v>50</v>
      </c>
      <c r="R213" s="3" t="s">
        <v>1270</v>
      </c>
      <c r="S213" s="3" t="s">
        <v>38</v>
      </c>
      <c r="T213" s="3">
        <v>0</v>
      </c>
      <c r="U213" s="3"/>
      <c r="V213" s="3"/>
      <c r="W213" s="3"/>
      <c r="X213" s="3"/>
      <c r="Y213" s="3"/>
      <c r="Z213" s="3"/>
      <c r="AA213" s="3"/>
      <c r="AB213" s="3"/>
      <c r="AC213" s="3"/>
      <c r="AD213" s="3"/>
      <c r="AE213" s="3">
        <v>4</v>
      </c>
      <c r="AF213" s="1"/>
      <c r="AG213" s="1"/>
      <c r="AH213" s="1"/>
      <c r="AI213" s="1"/>
      <c r="AJ213" s="1"/>
    </row>
    <row r="214" spans="1:36" x14ac:dyDescent="0.2">
      <c r="A214" s="2">
        <v>45172.445635567128</v>
      </c>
      <c r="B214" s="3">
        <v>1037617096</v>
      </c>
      <c r="C214" s="3">
        <v>3124815687</v>
      </c>
      <c r="D214" s="3" t="s">
        <v>30</v>
      </c>
      <c r="E214" s="3" t="s">
        <v>31</v>
      </c>
      <c r="F214" s="3" t="s">
        <v>1271</v>
      </c>
      <c r="G214" s="3">
        <v>1127601010</v>
      </c>
      <c r="H214" s="3"/>
      <c r="I214" s="3">
        <v>3014121010</v>
      </c>
      <c r="J214" s="3" t="s">
        <v>363</v>
      </c>
      <c r="K214" s="3">
        <v>3028428688</v>
      </c>
      <c r="L214" s="3" t="s">
        <v>292</v>
      </c>
      <c r="M214" s="3" t="s">
        <v>1272</v>
      </c>
      <c r="N214" s="3" t="s">
        <v>35</v>
      </c>
      <c r="O214" s="3"/>
      <c r="P214" s="3">
        <v>3</v>
      </c>
      <c r="Q214" s="3" t="s">
        <v>1273</v>
      </c>
      <c r="R214" s="3" t="s">
        <v>1274</v>
      </c>
      <c r="S214" s="3" t="s">
        <v>38</v>
      </c>
      <c r="T214" s="3" t="s">
        <v>1275</v>
      </c>
      <c r="U214" s="3"/>
      <c r="V214" s="3"/>
      <c r="W214" s="3"/>
      <c r="X214" s="3"/>
      <c r="Y214" s="3"/>
      <c r="Z214" s="3"/>
      <c r="AA214" s="3"/>
      <c r="AB214" s="3"/>
      <c r="AC214" s="3" t="s">
        <v>1276</v>
      </c>
      <c r="AD214" s="3"/>
      <c r="AE214" s="3" t="s">
        <v>292</v>
      </c>
      <c r="AF214" s="1"/>
      <c r="AG214" s="1"/>
      <c r="AH214" s="1"/>
      <c r="AI214" s="1"/>
      <c r="AJ214" s="1"/>
    </row>
    <row r="215" spans="1:36" x14ac:dyDescent="0.2">
      <c r="A215" s="2">
        <v>45172.446232291666</v>
      </c>
      <c r="B215" s="3" t="s">
        <v>1267</v>
      </c>
      <c r="C215" s="3">
        <v>3216253753</v>
      </c>
      <c r="D215" s="3" t="s">
        <v>30</v>
      </c>
      <c r="E215" s="3" t="s">
        <v>31</v>
      </c>
      <c r="F215" s="3">
        <v>4</v>
      </c>
      <c r="G215" s="3" t="s">
        <v>1277</v>
      </c>
      <c r="H215" s="3"/>
      <c r="I215" s="3">
        <v>300724414</v>
      </c>
      <c r="J215" s="3" t="s">
        <v>1278</v>
      </c>
      <c r="K215" s="3">
        <v>3135534268</v>
      </c>
      <c r="L215" s="3">
        <v>4</v>
      </c>
      <c r="M215" s="3">
        <v>4</v>
      </c>
      <c r="N215" s="3" t="s">
        <v>35</v>
      </c>
      <c r="O215" s="3"/>
      <c r="P215" s="3">
        <v>2</v>
      </c>
      <c r="Q215" s="3" t="s">
        <v>1279</v>
      </c>
      <c r="R215" s="3" t="s">
        <v>1280</v>
      </c>
      <c r="S215" s="3" t="s">
        <v>38</v>
      </c>
      <c r="T215" s="11">
        <v>350000</v>
      </c>
      <c r="U215" s="3"/>
      <c r="V215" s="3"/>
      <c r="W215" s="3"/>
      <c r="X215" s="3"/>
      <c r="Y215" s="3"/>
      <c r="Z215" s="3"/>
      <c r="AA215" s="3"/>
      <c r="AB215" s="3"/>
      <c r="AC215" s="3" t="s">
        <v>1281</v>
      </c>
      <c r="AD215" s="3"/>
      <c r="AE215" s="3">
        <v>4</v>
      </c>
      <c r="AF215" s="1"/>
      <c r="AG215" s="1"/>
      <c r="AH215" s="1"/>
      <c r="AI215" s="1"/>
      <c r="AJ215" s="1"/>
    </row>
    <row r="216" spans="1:36" x14ac:dyDescent="0.2">
      <c r="A216" s="2">
        <v>45172.449215474539</v>
      </c>
      <c r="B216" s="3">
        <v>1126239084</v>
      </c>
      <c r="C216" s="3">
        <v>3147482056</v>
      </c>
      <c r="D216" s="3" t="s">
        <v>30</v>
      </c>
      <c r="E216" s="3" t="s">
        <v>31</v>
      </c>
      <c r="F216" s="3">
        <v>3</v>
      </c>
      <c r="G216" s="3" t="s">
        <v>1282</v>
      </c>
      <c r="H216" s="3"/>
      <c r="I216" s="3">
        <v>3002411706</v>
      </c>
      <c r="J216" s="3" t="s">
        <v>1283</v>
      </c>
      <c r="K216" s="3">
        <v>3023161355</v>
      </c>
      <c r="L216" s="3">
        <v>48</v>
      </c>
      <c r="M216" s="3">
        <v>48</v>
      </c>
      <c r="N216" s="3" t="s">
        <v>35</v>
      </c>
      <c r="O216" s="3"/>
      <c r="P216" s="3">
        <v>1</v>
      </c>
      <c r="Q216" s="3">
        <v>70</v>
      </c>
      <c r="R216" s="3" t="s">
        <v>1284</v>
      </c>
      <c r="S216" s="3" t="s">
        <v>38</v>
      </c>
      <c r="T216" s="3" t="s">
        <v>1285</v>
      </c>
      <c r="U216" s="3"/>
      <c r="V216" s="3"/>
      <c r="W216" s="3"/>
      <c r="X216" s="3"/>
      <c r="Y216" s="3"/>
      <c r="Z216" s="3"/>
      <c r="AA216" s="3"/>
      <c r="AB216" s="3"/>
      <c r="AC216" s="3" t="s">
        <v>1286</v>
      </c>
      <c r="AD216" s="3"/>
      <c r="AE216" s="3">
        <v>48</v>
      </c>
      <c r="AF216" s="1"/>
      <c r="AG216" s="1"/>
      <c r="AH216" s="1"/>
      <c r="AI216" s="1"/>
      <c r="AJ216" s="1"/>
    </row>
    <row r="217" spans="1:36" x14ac:dyDescent="0.2">
      <c r="A217" s="2">
        <v>45172.450804722219</v>
      </c>
      <c r="B217" s="3" t="s">
        <v>1233</v>
      </c>
      <c r="C217" s="3">
        <v>310526997</v>
      </c>
      <c r="D217" s="3" t="s">
        <v>30</v>
      </c>
      <c r="E217" s="3" t="s">
        <v>31</v>
      </c>
      <c r="F217" s="3">
        <v>2</v>
      </c>
      <c r="G217" s="3" t="s">
        <v>1287</v>
      </c>
      <c r="H217" s="3"/>
      <c r="I217" s="3">
        <v>3003978383</v>
      </c>
      <c r="J217" s="3"/>
      <c r="K217" s="3"/>
      <c r="L217" s="3" t="s">
        <v>1288</v>
      </c>
      <c r="M217" s="3" t="s">
        <v>292</v>
      </c>
      <c r="N217" s="3" t="s">
        <v>35</v>
      </c>
      <c r="O217" s="3"/>
      <c r="P217" s="3">
        <v>1</v>
      </c>
      <c r="Q217" s="3">
        <v>35</v>
      </c>
      <c r="R217" s="3" t="s">
        <v>1289</v>
      </c>
      <c r="S217" s="3" t="s">
        <v>38</v>
      </c>
      <c r="T217" s="3" t="s">
        <v>35</v>
      </c>
      <c r="U217" s="3"/>
      <c r="V217" s="3"/>
      <c r="W217" s="3"/>
      <c r="X217" s="3"/>
      <c r="Y217" s="3"/>
      <c r="Z217" s="3"/>
      <c r="AA217" s="3"/>
      <c r="AB217" s="3"/>
      <c r="AC217" s="3" t="s">
        <v>1290</v>
      </c>
      <c r="AD217" s="3"/>
      <c r="AE217" s="3" t="s">
        <v>1288</v>
      </c>
      <c r="AF217" s="1"/>
      <c r="AG217" s="1"/>
      <c r="AH217" s="1"/>
      <c r="AI217" s="1"/>
      <c r="AJ217" s="1"/>
    </row>
    <row r="218" spans="1:36" x14ac:dyDescent="0.2">
      <c r="A218" s="2">
        <v>45172.457332002319</v>
      </c>
      <c r="B218" s="3" t="s">
        <v>1233</v>
      </c>
      <c r="C218" s="3">
        <v>3105276997</v>
      </c>
      <c r="D218" s="3" t="s">
        <v>30</v>
      </c>
      <c r="E218" s="3" t="s">
        <v>31</v>
      </c>
      <c r="F218" s="3" t="s">
        <v>1291</v>
      </c>
      <c r="G218" s="3" t="s">
        <v>1292</v>
      </c>
      <c r="H218" s="3"/>
      <c r="I218" s="3">
        <v>3003324099</v>
      </c>
      <c r="J218" s="3"/>
      <c r="K218" s="3"/>
      <c r="L218" s="3" t="s">
        <v>341</v>
      </c>
      <c r="M218" s="3" t="s">
        <v>1293</v>
      </c>
      <c r="N218" s="3" t="s">
        <v>35</v>
      </c>
      <c r="O218" s="3"/>
      <c r="P218" s="3">
        <v>2</v>
      </c>
      <c r="Q218" s="3">
        <v>27.62</v>
      </c>
      <c r="R218" s="3" t="s">
        <v>1294</v>
      </c>
      <c r="S218" s="3" t="s">
        <v>110</v>
      </c>
      <c r="T218" s="3" t="s">
        <v>1295</v>
      </c>
      <c r="U218" s="3"/>
      <c r="V218" s="3"/>
      <c r="W218" s="3"/>
      <c r="X218" s="3"/>
      <c r="Y218" s="3"/>
      <c r="Z218" s="3"/>
      <c r="AA218" s="3"/>
      <c r="AB218" s="3"/>
      <c r="AC218" s="3" t="s">
        <v>1296</v>
      </c>
      <c r="AD218" s="3"/>
      <c r="AE218" s="3" t="s">
        <v>341</v>
      </c>
      <c r="AF218" s="1"/>
      <c r="AG218" s="1"/>
      <c r="AH218" s="1"/>
      <c r="AI218" s="1"/>
      <c r="AJ218" s="1"/>
    </row>
    <row r="219" spans="1:36" x14ac:dyDescent="0.2">
      <c r="A219" s="2">
        <v>45172.478276863425</v>
      </c>
      <c r="B219" s="3" t="s">
        <v>1263</v>
      </c>
      <c r="C219" s="3">
        <v>3216433642</v>
      </c>
      <c r="D219" s="3" t="s">
        <v>30</v>
      </c>
      <c r="E219" s="3" t="s">
        <v>31</v>
      </c>
      <c r="F219" s="3" t="s">
        <v>1297</v>
      </c>
      <c r="G219" s="3" t="s">
        <v>1298</v>
      </c>
      <c r="H219" s="3"/>
      <c r="I219" s="3">
        <v>3008031045</v>
      </c>
      <c r="J219" s="3" t="s">
        <v>1299</v>
      </c>
      <c r="K219" s="3"/>
      <c r="L219" s="3">
        <v>33</v>
      </c>
      <c r="M219" s="3" t="s">
        <v>1300</v>
      </c>
      <c r="N219" s="3" t="s">
        <v>35</v>
      </c>
      <c r="O219" s="3"/>
      <c r="P219" s="3">
        <v>1</v>
      </c>
      <c r="Q219" s="3">
        <v>33</v>
      </c>
      <c r="R219" s="3" t="s">
        <v>1301</v>
      </c>
      <c r="S219" s="3" t="s">
        <v>38</v>
      </c>
      <c r="T219" s="3" t="s">
        <v>1302</v>
      </c>
      <c r="U219" s="3"/>
      <c r="V219" s="3"/>
      <c r="W219" s="3"/>
      <c r="X219" s="3"/>
      <c r="Y219" s="3"/>
      <c r="Z219" s="3"/>
      <c r="AA219" s="3"/>
      <c r="AB219" s="3"/>
      <c r="AC219" s="3"/>
      <c r="AD219" s="3"/>
      <c r="AE219" s="3">
        <v>33</v>
      </c>
      <c r="AF219" s="1"/>
      <c r="AG219" s="1"/>
      <c r="AH219" s="1"/>
      <c r="AI219" s="1"/>
      <c r="AJ219" s="1"/>
    </row>
    <row r="220" spans="1:36" x14ac:dyDescent="0.2">
      <c r="A220" s="2">
        <v>45172.493253043984</v>
      </c>
      <c r="B220" s="3">
        <v>1037617096</v>
      </c>
      <c r="C220" s="3">
        <v>3124815687</v>
      </c>
      <c r="D220" s="3" t="s">
        <v>30</v>
      </c>
      <c r="E220" s="3" t="s">
        <v>31</v>
      </c>
      <c r="F220" s="3" t="s">
        <v>56</v>
      </c>
      <c r="G220" s="3" t="s">
        <v>1303</v>
      </c>
      <c r="H220" s="3"/>
      <c r="I220" s="3">
        <v>3006334557</v>
      </c>
      <c r="J220" s="3" t="s">
        <v>1304</v>
      </c>
      <c r="K220" s="3">
        <v>3137258361</v>
      </c>
      <c r="L220" s="3" t="s">
        <v>299</v>
      </c>
      <c r="M220" s="3" t="s">
        <v>299</v>
      </c>
      <c r="N220" s="3" t="s">
        <v>35</v>
      </c>
      <c r="O220" s="3"/>
      <c r="P220" s="3">
        <v>3</v>
      </c>
      <c r="Q220" s="3" t="s">
        <v>1305</v>
      </c>
      <c r="R220" s="3" t="s">
        <v>1306</v>
      </c>
      <c r="S220" s="3" t="s">
        <v>38</v>
      </c>
      <c r="T220" s="3" t="s">
        <v>1307</v>
      </c>
      <c r="U220" s="3"/>
      <c r="V220" s="3"/>
      <c r="W220" s="3"/>
      <c r="X220" s="3"/>
      <c r="Y220" s="3"/>
      <c r="Z220" s="3"/>
      <c r="AA220" s="3"/>
      <c r="AB220" s="3"/>
      <c r="AC220" s="3"/>
      <c r="AD220" s="3"/>
      <c r="AE220" s="3" t="s">
        <v>299</v>
      </c>
      <c r="AF220" s="1"/>
      <c r="AG220" s="1"/>
      <c r="AH220" s="1"/>
      <c r="AI220" s="1"/>
      <c r="AJ220" s="1"/>
    </row>
    <row r="221" spans="1:36" x14ac:dyDescent="0.2">
      <c r="A221" s="2">
        <v>45172.497135949074</v>
      </c>
      <c r="B221" s="3">
        <v>1037617096</v>
      </c>
      <c r="C221" s="3">
        <v>3124815687</v>
      </c>
      <c r="D221" s="3" t="s">
        <v>30</v>
      </c>
      <c r="E221" s="3" t="s">
        <v>31</v>
      </c>
      <c r="F221" s="3" t="s">
        <v>1308</v>
      </c>
      <c r="G221" s="3" t="s">
        <v>1309</v>
      </c>
      <c r="H221" s="3"/>
      <c r="I221" s="3">
        <v>3113840928</v>
      </c>
      <c r="J221" s="3" t="s">
        <v>1310</v>
      </c>
      <c r="K221" s="3">
        <v>3226284540</v>
      </c>
      <c r="L221" s="3" t="s">
        <v>911</v>
      </c>
      <c r="M221" s="3" t="s">
        <v>911</v>
      </c>
      <c r="N221" s="3" t="s">
        <v>35</v>
      </c>
      <c r="O221" s="3"/>
      <c r="P221" s="3">
        <v>2</v>
      </c>
      <c r="Q221" s="3" t="s">
        <v>1311</v>
      </c>
      <c r="R221" s="3" t="s">
        <v>1312</v>
      </c>
      <c r="S221" s="3" t="s">
        <v>38</v>
      </c>
      <c r="T221" s="3" t="s">
        <v>1313</v>
      </c>
      <c r="U221" s="3"/>
      <c r="V221" s="3"/>
      <c r="W221" s="3"/>
      <c r="X221" s="3"/>
      <c r="Y221" s="3"/>
      <c r="Z221" s="3"/>
      <c r="AA221" s="3"/>
      <c r="AB221" s="3"/>
      <c r="AC221" s="3" t="s">
        <v>1314</v>
      </c>
      <c r="AD221" s="3"/>
      <c r="AE221" s="3" t="s">
        <v>911</v>
      </c>
      <c r="AF221" s="1"/>
      <c r="AG221" s="1"/>
      <c r="AH221" s="1"/>
      <c r="AI221" s="1"/>
      <c r="AJ221" s="1"/>
    </row>
    <row r="222" spans="1:36" x14ac:dyDescent="0.2">
      <c r="A222" s="2">
        <v>45172.505347071754</v>
      </c>
      <c r="B222" s="3" t="s">
        <v>346</v>
      </c>
      <c r="C222" s="3">
        <v>3016234523</v>
      </c>
      <c r="D222" s="3" t="s">
        <v>30</v>
      </c>
      <c r="E222" s="3" t="s">
        <v>31</v>
      </c>
      <c r="F222" s="3" t="s">
        <v>32</v>
      </c>
      <c r="G222" s="3" t="s">
        <v>1315</v>
      </c>
      <c r="H222" s="3"/>
      <c r="I222" s="3">
        <v>3146917732</v>
      </c>
      <c r="J222" s="3"/>
      <c r="K222" s="3"/>
      <c r="L222" s="3">
        <v>6</v>
      </c>
      <c r="M222" s="3">
        <v>6</v>
      </c>
      <c r="N222" s="3" t="s">
        <v>35</v>
      </c>
      <c r="O222" s="3"/>
      <c r="P222" s="3">
        <v>6</v>
      </c>
      <c r="Q222" s="3" t="s">
        <v>1316</v>
      </c>
      <c r="R222" s="3" t="s">
        <v>411</v>
      </c>
      <c r="S222" s="3" t="s">
        <v>110</v>
      </c>
      <c r="T222" s="3" t="s">
        <v>1317</v>
      </c>
      <c r="U222" s="3"/>
      <c r="V222" s="3"/>
      <c r="W222" s="3"/>
      <c r="X222" s="3"/>
      <c r="Y222" s="3"/>
      <c r="Z222" s="3"/>
      <c r="AA222" s="3"/>
      <c r="AB222" s="3"/>
      <c r="AC222" s="3"/>
      <c r="AD222" s="3"/>
      <c r="AE222" s="3">
        <v>6</v>
      </c>
      <c r="AF222" s="1"/>
      <c r="AG222" s="1"/>
      <c r="AH222" s="1"/>
      <c r="AI222" s="1"/>
      <c r="AJ222" s="1"/>
    </row>
    <row r="223" spans="1:36" x14ac:dyDescent="0.2">
      <c r="A223" s="2">
        <v>45172.511566307869</v>
      </c>
      <c r="B223" s="3" t="s">
        <v>346</v>
      </c>
      <c r="C223" s="3">
        <v>3016234523</v>
      </c>
      <c r="D223" s="3" t="s">
        <v>30</v>
      </c>
      <c r="E223" s="3" t="s">
        <v>31</v>
      </c>
      <c r="F223" s="3" t="s">
        <v>164</v>
      </c>
      <c r="G223" s="3" t="s">
        <v>1318</v>
      </c>
      <c r="H223" s="3"/>
      <c r="I223" s="3">
        <v>3014096627</v>
      </c>
      <c r="J223" s="3" t="s">
        <v>1319</v>
      </c>
      <c r="K223" s="3">
        <v>3017847288</v>
      </c>
      <c r="L223" s="3">
        <v>23</v>
      </c>
      <c r="M223" s="3">
        <v>23</v>
      </c>
      <c r="N223" s="3" t="s">
        <v>35</v>
      </c>
      <c r="O223" s="3"/>
      <c r="P223" s="3">
        <v>6</v>
      </c>
      <c r="Q223" s="3" t="s">
        <v>1320</v>
      </c>
      <c r="R223" s="3" t="s">
        <v>1321</v>
      </c>
      <c r="S223" s="3" t="s">
        <v>110</v>
      </c>
      <c r="T223" s="3" t="s">
        <v>807</v>
      </c>
      <c r="U223" s="3"/>
      <c r="V223" s="3"/>
      <c r="W223" s="3"/>
      <c r="X223" s="3"/>
      <c r="Y223" s="3"/>
      <c r="Z223" s="3"/>
      <c r="AA223" s="3"/>
      <c r="AB223" s="3"/>
      <c r="AC223" s="3" t="s">
        <v>1322</v>
      </c>
      <c r="AD223" s="3"/>
      <c r="AE223" s="3">
        <v>23</v>
      </c>
      <c r="AF223" s="1"/>
      <c r="AG223" s="1"/>
      <c r="AH223" s="1"/>
      <c r="AI223" s="1"/>
      <c r="AJ223" s="1"/>
    </row>
    <row r="224" spans="1:36" x14ac:dyDescent="0.2">
      <c r="A224" s="2">
        <v>45172.515032222218</v>
      </c>
      <c r="B224" s="3">
        <v>1126239084</v>
      </c>
      <c r="C224" s="3">
        <v>3147482056</v>
      </c>
      <c r="D224" s="3" t="s">
        <v>30</v>
      </c>
      <c r="E224" s="3" t="s">
        <v>31</v>
      </c>
      <c r="F224" s="3">
        <v>3</v>
      </c>
      <c r="G224" s="3" t="s">
        <v>1323</v>
      </c>
      <c r="H224" s="3"/>
      <c r="I224" s="3">
        <v>3015710434</v>
      </c>
      <c r="J224" s="3" t="s">
        <v>1324</v>
      </c>
      <c r="K224" s="3">
        <v>3106237233</v>
      </c>
      <c r="L224" s="3">
        <v>4</v>
      </c>
      <c r="M224" s="3">
        <v>4</v>
      </c>
      <c r="N224" s="3" t="s">
        <v>35</v>
      </c>
      <c r="O224" s="3"/>
      <c r="P224" s="3">
        <v>5</v>
      </c>
      <c r="Q224" s="9" t="s">
        <v>1325</v>
      </c>
      <c r="R224" s="3" t="s">
        <v>62</v>
      </c>
      <c r="S224" s="3" t="s">
        <v>38</v>
      </c>
      <c r="T224" s="3" t="s">
        <v>1326</v>
      </c>
      <c r="U224" s="3"/>
      <c r="V224" s="3"/>
      <c r="W224" s="3"/>
      <c r="X224" s="3"/>
      <c r="Y224" s="3"/>
      <c r="Z224" s="3"/>
      <c r="AA224" s="3"/>
      <c r="AB224" s="3"/>
      <c r="AC224" s="3" t="s">
        <v>1327</v>
      </c>
      <c r="AD224" s="3"/>
      <c r="AE224" s="3">
        <v>4</v>
      </c>
      <c r="AF224" s="1"/>
      <c r="AG224" s="1"/>
      <c r="AH224" s="1"/>
      <c r="AI224" s="1"/>
      <c r="AJ224" s="1"/>
    </row>
    <row r="225" spans="1:36" x14ac:dyDescent="0.2">
      <c r="A225" s="12">
        <v>45174.665628206014</v>
      </c>
      <c r="B225" s="13" t="s">
        <v>1128</v>
      </c>
      <c r="C225" s="13">
        <v>3015573599</v>
      </c>
      <c r="D225" s="13" t="s">
        <v>79</v>
      </c>
      <c r="E225" s="13" t="s">
        <v>865</v>
      </c>
      <c r="F225" s="13" t="s">
        <v>945</v>
      </c>
      <c r="G225" s="13" t="s">
        <v>1328</v>
      </c>
      <c r="H225" s="13"/>
      <c r="I225" s="13">
        <v>3007282104</v>
      </c>
      <c r="J225" s="13" t="s">
        <v>1329</v>
      </c>
      <c r="K225" s="13">
        <v>3225238326</v>
      </c>
      <c r="L225" s="13">
        <v>5</v>
      </c>
      <c r="M225" s="13">
        <v>4</v>
      </c>
      <c r="N225" s="13" t="s">
        <v>132</v>
      </c>
      <c r="O225" s="13"/>
      <c r="P225" s="13">
        <v>1</v>
      </c>
      <c r="Q225" s="13" t="s">
        <v>1330</v>
      </c>
      <c r="R225" s="13" t="s">
        <v>1331</v>
      </c>
      <c r="S225" s="13" t="s">
        <v>110</v>
      </c>
      <c r="T225" s="13" t="s">
        <v>1332</v>
      </c>
      <c r="U225" s="13"/>
      <c r="V225" s="13"/>
      <c r="W225" s="13"/>
      <c r="X225" s="13"/>
      <c r="Y225" s="13"/>
      <c r="Z225" s="13"/>
      <c r="AA225" s="13"/>
      <c r="AB225" s="13"/>
      <c r="AC225" s="13" t="s">
        <v>1333</v>
      </c>
      <c r="AD225" s="13"/>
      <c r="AE225" s="13">
        <v>5</v>
      </c>
      <c r="AF225" s="1"/>
      <c r="AG225" s="1"/>
      <c r="AH225" s="1"/>
      <c r="AI225" s="1"/>
      <c r="AJ225" s="1"/>
    </row>
    <row r="226" spans="1:36" x14ac:dyDescent="0.2">
      <c r="A226" s="12">
        <v>45174.671239340278</v>
      </c>
      <c r="B226" s="13" t="s">
        <v>1128</v>
      </c>
      <c r="C226" s="13">
        <v>3015573599</v>
      </c>
      <c r="D226" s="13" t="s">
        <v>79</v>
      </c>
      <c r="E226" s="13" t="s">
        <v>865</v>
      </c>
      <c r="F226" s="13" t="s">
        <v>1135</v>
      </c>
      <c r="G226" s="13" t="s">
        <v>1334</v>
      </c>
      <c r="H226" s="13"/>
      <c r="I226" s="13">
        <v>3103942059</v>
      </c>
      <c r="J226" s="13" t="s">
        <v>1335</v>
      </c>
      <c r="K226" s="13">
        <v>3103941558</v>
      </c>
      <c r="L226" s="13">
        <v>11</v>
      </c>
      <c r="M226" s="13" t="s">
        <v>1336</v>
      </c>
      <c r="N226" s="13" t="s">
        <v>35</v>
      </c>
      <c r="O226" s="13"/>
      <c r="P226" s="13">
        <v>3</v>
      </c>
      <c r="Q226" s="13" t="s">
        <v>1337</v>
      </c>
      <c r="R226" s="13" t="s">
        <v>62</v>
      </c>
      <c r="S226" s="13" t="s">
        <v>110</v>
      </c>
      <c r="T226" s="13" t="s">
        <v>1338</v>
      </c>
      <c r="U226" s="13"/>
      <c r="V226" s="13"/>
      <c r="W226" s="13"/>
      <c r="X226" s="13"/>
      <c r="Y226" s="13"/>
      <c r="Z226" s="13"/>
      <c r="AA226" s="13"/>
      <c r="AB226" s="13"/>
      <c r="AC226" s="13"/>
      <c r="AD226" s="13"/>
      <c r="AE226" s="13">
        <v>11</v>
      </c>
      <c r="AF226" s="1"/>
      <c r="AG226" s="1"/>
      <c r="AH226" s="1"/>
      <c r="AI226" s="1"/>
      <c r="AJ226" s="1"/>
    </row>
    <row r="227" spans="1:36" x14ac:dyDescent="0.2">
      <c r="A227" s="12">
        <v>45179.427796504635</v>
      </c>
      <c r="B227" s="13" t="s">
        <v>893</v>
      </c>
      <c r="C227" s="13">
        <v>3154128883</v>
      </c>
      <c r="D227" s="13" t="s">
        <v>30</v>
      </c>
      <c r="E227" s="13" t="s">
        <v>865</v>
      </c>
      <c r="F227" s="13" t="s">
        <v>1339</v>
      </c>
      <c r="G227" s="13" t="s">
        <v>1340</v>
      </c>
      <c r="H227" s="13"/>
      <c r="I227" s="13">
        <v>3012814509</v>
      </c>
      <c r="J227" s="13" t="s">
        <v>822</v>
      </c>
      <c r="K227" s="13">
        <v>3154339838</v>
      </c>
      <c r="L227" s="13" t="s">
        <v>299</v>
      </c>
      <c r="M227" s="13" t="s">
        <v>299</v>
      </c>
      <c r="N227" s="13" t="s">
        <v>35</v>
      </c>
      <c r="O227" s="13"/>
      <c r="P227" s="13">
        <v>2</v>
      </c>
      <c r="Q227" s="13">
        <v>43.19</v>
      </c>
      <c r="R227" s="13" t="s">
        <v>1341</v>
      </c>
      <c r="S227" s="13" t="s">
        <v>1342</v>
      </c>
      <c r="T227" s="13" t="s">
        <v>132</v>
      </c>
      <c r="U227" s="13"/>
      <c r="V227" s="13"/>
      <c r="W227" s="13"/>
      <c r="X227" s="13"/>
      <c r="Y227" s="13"/>
      <c r="Z227" s="13"/>
      <c r="AA227" s="13"/>
      <c r="AB227" s="13"/>
      <c r="AC227" s="13" t="s">
        <v>1343</v>
      </c>
      <c r="AD227" s="13"/>
      <c r="AE227" s="13" t="s">
        <v>299</v>
      </c>
      <c r="AF227" s="1"/>
      <c r="AG227" s="1"/>
      <c r="AH227" s="1"/>
      <c r="AI227" s="1"/>
      <c r="AJ227" s="1"/>
    </row>
    <row r="228" spans="1:36" x14ac:dyDescent="0.2">
      <c r="A228" s="2">
        <v>45179.435426805554</v>
      </c>
      <c r="B228" s="3" t="s">
        <v>1344</v>
      </c>
      <c r="C228" s="3">
        <v>3054753194</v>
      </c>
      <c r="D228" s="3" t="s">
        <v>30</v>
      </c>
      <c r="E228" s="3" t="s">
        <v>31</v>
      </c>
      <c r="F228" s="3">
        <v>3</v>
      </c>
      <c r="G228" s="3" t="s">
        <v>1345</v>
      </c>
      <c r="H228" s="3"/>
      <c r="I228" s="3">
        <v>3006179719</v>
      </c>
      <c r="J228" s="3" t="s">
        <v>1346</v>
      </c>
      <c r="K228" s="3">
        <v>3045824087</v>
      </c>
      <c r="L228" s="3">
        <v>15</v>
      </c>
      <c r="M228" s="3">
        <v>15</v>
      </c>
      <c r="N228" s="3" t="s">
        <v>35</v>
      </c>
      <c r="O228" s="3"/>
      <c r="P228" s="3">
        <v>4</v>
      </c>
      <c r="Q228" s="3" t="s">
        <v>1347</v>
      </c>
      <c r="R228" s="3" t="s">
        <v>1348</v>
      </c>
      <c r="S228" s="3" t="s">
        <v>110</v>
      </c>
      <c r="T228" s="11">
        <v>400000</v>
      </c>
      <c r="U228" s="3"/>
      <c r="V228" s="3"/>
      <c r="W228" s="3"/>
      <c r="X228" s="3"/>
      <c r="Y228" s="3"/>
      <c r="Z228" s="3"/>
      <c r="AA228" s="3"/>
      <c r="AB228" s="3"/>
      <c r="AC228" s="3"/>
      <c r="AD228" s="3"/>
      <c r="AE228" s="3">
        <v>15</v>
      </c>
      <c r="AF228" s="1"/>
      <c r="AG228" s="1"/>
      <c r="AH228" s="1"/>
      <c r="AI228" s="1"/>
      <c r="AJ228" s="1"/>
    </row>
    <row r="229" spans="1:36" x14ac:dyDescent="0.2">
      <c r="A229" s="2">
        <v>45179.438871481485</v>
      </c>
      <c r="B229" s="3" t="s">
        <v>1349</v>
      </c>
      <c r="C229" s="3">
        <v>3186150063</v>
      </c>
      <c r="D229" s="3" t="s">
        <v>30</v>
      </c>
      <c r="E229" s="3" t="s">
        <v>31</v>
      </c>
      <c r="F229" s="3">
        <v>2</v>
      </c>
      <c r="G229" s="3" t="s">
        <v>1350</v>
      </c>
      <c r="H229" s="3"/>
      <c r="I229" s="3">
        <v>3006779069</v>
      </c>
      <c r="J229" s="3" t="s">
        <v>1351</v>
      </c>
      <c r="K229" s="3">
        <v>3013852018</v>
      </c>
      <c r="L229" s="3">
        <v>18</v>
      </c>
      <c r="M229" s="3">
        <v>18</v>
      </c>
      <c r="N229" s="3" t="s">
        <v>35</v>
      </c>
      <c r="O229" s="3"/>
      <c r="P229" s="3">
        <v>8</v>
      </c>
      <c r="Q229" s="3" t="s">
        <v>1352</v>
      </c>
      <c r="R229" s="3" t="s">
        <v>1353</v>
      </c>
      <c r="S229" s="3" t="s">
        <v>38</v>
      </c>
      <c r="T229" s="3" t="s">
        <v>35</v>
      </c>
      <c r="U229" s="3"/>
      <c r="V229" s="3"/>
      <c r="W229" s="3"/>
      <c r="X229" s="3"/>
      <c r="Y229" s="3"/>
      <c r="Z229" s="3"/>
      <c r="AA229" s="3"/>
      <c r="AB229" s="3"/>
      <c r="AC229" s="3"/>
      <c r="AD229" s="3"/>
      <c r="AE229" s="3">
        <v>18</v>
      </c>
      <c r="AF229" s="1"/>
      <c r="AG229" s="1"/>
      <c r="AH229" s="1"/>
      <c r="AI229" s="1"/>
      <c r="AJ229" s="1"/>
    </row>
    <row r="230" spans="1:36" x14ac:dyDescent="0.2">
      <c r="A230" s="2">
        <v>45179.476273564811</v>
      </c>
      <c r="B230" s="3" t="s">
        <v>1354</v>
      </c>
      <c r="C230" s="3">
        <v>3148381855</v>
      </c>
      <c r="D230" s="3" t="s">
        <v>30</v>
      </c>
      <c r="E230" s="3" t="s">
        <v>31</v>
      </c>
      <c r="F230" s="3" t="s">
        <v>1355</v>
      </c>
      <c r="G230" s="3" t="s">
        <v>1356</v>
      </c>
      <c r="H230" s="3"/>
      <c r="I230" s="3">
        <v>3002676980</v>
      </c>
      <c r="J230" s="3"/>
      <c r="K230" s="3"/>
      <c r="L230" s="3" t="s">
        <v>676</v>
      </c>
      <c r="M230" s="3" t="s">
        <v>696</v>
      </c>
      <c r="N230" s="3" t="s">
        <v>35</v>
      </c>
      <c r="O230" s="3"/>
      <c r="P230" s="3">
        <v>8</v>
      </c>
      <c r="Q230" s="3" t="s">
        <v>1357</v>
      </c>
      <c r="R230" s="3" t="s">
        <v>453</v>
      </c>
      <c r="S230" s="3" t="s">
        <v>38</v>
      </c>
      <c r="T230" s="3">
        <v>400000</v>
      </c>
      <c r="U230" s="3"/>
      <c r="V230" s="3"/>
      <c r="W230" s="3"/>
      <c r="X230" s="3"/>
      <c r="Y230" s="3"/>
      <c r="Z230" s="3"/>
      <c r="AA230" s="3"/>
      <c r="AB230" s="3"/>
      <c r="AC230" s="3"/>
      <c r="AD230" s="3"/>
      <c r="AE230" s="3" t="s">
        <v>676</v>
      </c>
      <c r="AF230" s="1"/>
      <c r="AG230" s="1"/>
      <c r="AH230" s="1"/>
      <c r="AI230" s="1"/>
      <c r="AJ230" s="1"/>
    </row>
    <row r="231" spans="1:36" x14ac:dyDescent="0.2">
      <c r="A231" s="2">
        <v>45179.481166921294</v>
      </c>
      <c r="B231" s="3" t="s">
        <v>1358</v>
      </c>
      <c r="C231" s="3">
        <v>3218762831</v>
      </c>
      <c r="D231" s="3" t="s">
        <v>30</v>
      </c>
      <c r="E231" s="3" t="s">
        <v>31</v>
      </c>
      <c r="F231" s="3" t="s">
        <v>1359</v>
      </c>
      <c r="G231" s="3" t="s">
        <v>1360</v>
      </c>
      <c r="H231" s="3"/>
      <c r="I231" s="3">
        <v>3015289712</v>
      </c>
      <c r="J231" s="3" t="s">
        <v>1361</v>
      </c>
      <c r="K231" s="3">
        <v>3022399130</v>
      </c>
      <c r="L231" s="3" t="s">
        <v>400</v>
      </c>
      <c r="M231" s="3" t="s">
        <v>267</v>
      </c>
      <c r="N231" s="3" t="s">
        <v>35</v>
      </c>
      <c r="O231" s="3"/>
      <c r="P231" s="3">
        <v>9</v>
      </c>
      <c r="Q231" s="3" t="s">
        <v>1362</v>
      </c>
      <c r="R231" s="3" t="s">
        <v>1363</v>
      </c>
      <c r="S231" s="3" t="s">
        <v>1017</v>
      </c>
      <c r="T231" s="3" t="s">
        <v>1364</v>
      </c>
      <c r="U231" s="3"/>
      <c r="V231" s="3"/>
      <c r="W231" s="3"/>
      <c r="X231" s="3"/>
      <c r="Y231" s="3"/>
      <c r="Z231" s="3"/>
      <c r="AA231" s="3"/>
      <c r="AB231" s="3"/>
      <c r="AC231" s="3" t="s">
        <v>1365</v>
      </c>
      <c r="AD231" s="3"/>
      <c r="AE231" s="3" t="s">
        <v>400</v>
      </c>
      <c r="AF231" s="1"/>
      <c r="AG231" s="1"/>
      <c r="AH231" s="1"/>
      <c r="AI231" s="1"/>
      <c r="AJ231" s="1"/>
    </row>
    <row r="232" spans="1:36" x14ac:dyDescent="0.2">
      <c r="A232" s="2">
        <v>45179.487732280089</v>
      </c>
      <c r="B232" s="3" t="s">
        <v>1366</v>
      </c>
      <c r="C232" s="3">
        <v>3218553481</v>
      </c>
      <c r="D232" s="3" t="s">
        <v>30</v>
      </c>
      <c r="E232" s="3" t="s">
        <v>31</v>
      </c>
      <c r="F232" s="3" t="s">
        <v>32</v>
      </c>
      <c r="G232" s="3" t="s">
        <v>1367</v>
      </c>
      <c r="H232" s="3"/>
      <c r="I232" s="3">
        <v>3015721143</v>
      </c>
      <c r="J232" s="3"/>
      <c r="K232" s="3"/>
      <c r="L232" s="3">
        <v>37</v>
      </c>
      <c r="M232" s="3">
        <v>6</v>
      </c>
      <c r="N232" s="3" t="s">
        <v>35</v>
      </c>
      <c r="O232" s="3"/>
      <c r="P232" s="3">
        <v>3</v>
      </c>
      <c r="Q232" s="3" t="s">
        <v>1368</v>
      </c>
      <c r="R232" s="3" t="s">
        <v>1369</v>
      </c>
      <c r="S232" s="3" t="s">
        <v>110</v>
      </c>
      <c r="T232" s="3" t="s">
        <v>1370</v>
      </c>
      <c r="U232" s="3"/>
      <c r="V232" s="3"/>
      <c r="W232" s="3"/>
      <c r="X232" s="3"/>
      <c r="Y232" s="3"/>
      <c r="Z232" s="3"/>
      <c r="AA232" s="3"/>
      <c r="AB232" s="3"/>
      <c r="AC232" s="3" t="s">
        <v>1371</v>
      </c>
      <c r="AD232" s="3"/>
      <c r="AE232" s="3">
        <v>37</v>
      </c>
      <c r="AF232" s="1"/>
      <c r="AG232" s="1"/>
      <c r="AH232" s="1"/>
      <c r="AI232" s="1"/>
      <c r="AJ232" s="1"/>
    </row>
    <row r="233" spans="1:36" x14ac:dyDescent="0.2">
      <c r="A233" s="2">
        <v>45179.491255995366</v>
      </c>
      <c r="B233" s="3" t="s">
        <v>1372</v>
      </c>
      <c r="C233" s="3">
        <v>3143915068</v>
      </c>
      <c r="D233" s="3" t="s">
        <v>30</v>
      </c>
      <c r="E233" s="3" t="s">
        <v>31</v>
      </c>
      <c r="F233" s="3" t="s">
        <v>1308</v>
      </c>
      <c r="G233" s="3" t="s">
        <v>1373</v>
      </c>
      <c r="H233" s="3"/>
      <c r="I233" s="3">
        <v>3042032167</v>
      </c>
      <c r="J233" s="3" t="s">
        <v>1374</v>
      </c>
      <c r="K233" s="3">
        <v>3013176547</v>
      </c>
      <c r="L233" s="3">
        <v>20</v>
      </c>
      <c r="M233" s="3">
        <v>20</v>
      </c>
      <c r="N233" s="3" t="s">
        <v>35</v>
      </c>
      <c r="O233" s="3"/>
      <c r="P233" s="3">
        <v>4</v>
      </c>
      <c r="Q233" s="3" t="s">
        <v>1375</v>
      </c>
      <c r="R233" s="3" t="s">
        <v>1376</v>
      </c>
      <c r="S233" s="3" t="s">
        <v>38</v>
      </c>
      <c r="T233" s="3" t="s">
        <v>132</v>
      </c>
      <c r="U233" s="3"/>
      <c r="V233" s="3"/>
      <c r="W233" s="3"/>
      <c r="X233" s="3"/>
      <c r="Y233" s="3"/>
      <c r="Z233" s="3"/>
      <c r="AA233" s="3"/>
      <c r="AB233" s="3"/>
      <c r="AC233" s="3"/>
      <c r="AD233" s="3"/>
      <c r="AE233" s="3">
        <v>20</v>
      </c>
      <c r="AF233" s="1"/>
      <c r="AG233" s="1"/>
      <c r="AH233" s="1"/>
      <c r="AI233" s="1"/>
      <c r="AJ233" s="1"/>
    </row>
    <row r="234" spans="1:36" x14ac:dyDescent="0.2">
      <c r="A234" s="2">
        <v>45179.51212162037</v>
      </c>
      <c r="B234" s="3" t="s">
        <v>1377</v>
      </c>
      <c r="C234" s="3">
        <v>3054753194</v>
      </c>
      <c r="D234" s="3" t="s">
        <v>30</v>
      </c>
      <c r="E234" s="3" t="s">
        <v>31</v>
      </c>
      <c r="F234" s="3">
        <v>4</v>
      </c>
      <c r="G234" s="3" t="s">
        <v>1378</v>
      </c>
      <c r="H234" s="3"/>
      <c r="I234" s="3">
        <v>3001552850</v>
      </c>
      <c r="J234" s="3" t="s">
        <v>1379</v>
      </c>
      <c r="K234" s="3">
        <v>3242729374</v>
      </c>
      <c r="L234" s="3">
        <v>16</v>
      </c>
      <c r="M234" s="3">
        <v>16</v>
      </c>
      <c r="N234" s="3" t="s">
        <v>35</v>
      </c>
      <c r="O234" s="3"/>
      <c r="P234" s="3">
        <v>5</v>
      </c>
      <c r="Q234" s="3" t="s">
        <v>1380</v>
      </c>
      <c r="R234" s="3" t="s">
        <v>411</v>
      </c>
      <c r="S234" s="3" t="s">
        <v>38</v>
      </c>
      <c r="T234" s="3">
        <v>1000000</v>
      </c>
      <c r="U234" s="3"/>
      <c r="V234" s="3"/>
      <c r="W234" s="3"/>
      <c r="X234" s="3"/>
      <c r="Y234" s="3"/>
      <c r="Z234" s="3"/>
      <c r="AA234" s="3"/>
      <c r="AB234" s="3"/>
      <c r="AC234" s="3"/>
      <c r="AD234" s="3"/>
      <c r="AE234" s="3">
        <v>16</v>
      </c>
      <c r="AF234" s="1"/>
      <c r="AG234" s="1"/>
      <c r="AH234" s="1"/>
      <c r="AI234" s="1"/>
      <c r="AJ234" s="1"/>
    </row>
    <row r="235" spans="1:36" x14ac:dyDescent="0.2">
      <c r="A235" s="2">
        <v>45179.522215578705</v>
      </c>
      <c r="B235" s="3" t="s">
        <v>1381</v>
      </c>
      <c r="C235" s="3">
        <v>3148609978</v>
      </c>
      <c r="D235" s="3" t="s">
        <v>30</v>
      </c>
      <c r="E235" s="3" t="s">
        <v>31</v>
      </c>
      <c r="F235" s="3" t="s">
        <v>56</v>
      </c>
      <c r="G235" s="3" t="s">
        <v>1382</v>
      </c>
      <c r="H235" s="3"/>
      <c r="I235" s="3">
        <v>3117241745</v>
      </c>
      <c r="J235" s="3"/>
      <c r="K235" s="3"/>
      <c r="L235" s="3">
        <v>3</v>
      </c>
      <c r="M235" s="3">
        <v>3</v>
      </c>
      <c r="N235" s="3" t="s">
        <v>35</v>
      </c>
      <c r="O235" s="3"/>
      <c r="P235" s="3">
        <v>1</v>
      </c>
      <c r="Q235" s="3">
        <v>70</v>
      </c>
      <c r="R235" s="3" t="s">
        <v>1383</v>
      </c>
      <c r="S235" s="3" t="s">
        <v>38</v>
      </c>
      <c r="T235" s="3" t="s">
        <v>132</v>
      </c>
      <c r="U235" s="3"/>
      <c r="V235" s="3"/>
      <c r="W235" s="3"/>
      <c r="X235" s="3"/>
      <c r="Y235" s="3"/>
      <c r="Z235" s="3"/>
      <c r="AA235" s="3"/>
      <c r="AB235" s="3"/>
      <c r="AC235" s="3" t="s">
        <v>1384</v>
      </c>
      <c r="AD235" s="3"/>
      <c r="AE235" s="3">
        <v>3</v>
      </c>
      <c r="AF235" s="1"/>
      <c r="AG235" s="1"/>
      <c r="AH235" s="1"/>
      <c r="AI235" s="1"/>
      <c r="AJ235" s="1"/>
    </row>
    <row r="236" spans="1:36" x14ac:dyDescent="0.2">
      <c r="A236" s="12">
        <v>45180.668845416665</v>
      </c>
      <c r="B236" s="13" t="s">
        <v>1385</v>
      </c>
      <c r="C236" s="13">
        <v>3015573599</v>
      </c>
      <c r="D236" s="13" t="s">
        <v>79</v>
      </c>
      <c r="E236" s="13" t="s">
        <v>865</v>
      </c>
      <c r="F236" s="13" t="s">
        <v>1386</v>
      </c>
      <c r="G236" s="13" t="s">
        <v>1387</v>
      </c>
      <c r="H236" s="13"/>
      <c r="I236" s="13">
        <v>3135202698</v>
      </c>
      <c r="J236" s="13" t="s">
        <v>1388</v>
      </c>
      <c r="K236" s="13">
        <v>3136596641</v>
      </c>
      <c r="L236" s="13" t="s">
        <v>1389</v>
      </c>
      <c r="M236" s="13" t="s">
        <v>691</v>
      </c>
      <c r="N236" s="13" t="s">
        <v>35</v>
      </c>
      <c r="O236" s="13"/>
      <c r="P236" s="13">
        <v>2</v>
      </c>
      <c r="Q236" s="13" t="s">
        <v>1390</v>
      </c>
      <c r="R236" s="13" t="s">
        <v>1391</v>
      </c>
      <c r="S236" s="13" t="s">
        <v>38</v>
      </c>
      <c r="T236" s="13" t="s">
        <v>1392</v>
      </c>
      <c r="U236" s="13"/>
      <c r="V236" s="13"/>
      <c r="W236" s="13"/>
      <c r="X236" s="13"/>
      <c r="Y236" s="13"/>
      <c r="Z236" s="13"/>
      <c r="AA236" s="13"/>
      <c r="AB236" s="13"/>
      <c r="AC236" s="13" t="s">
        <v>1393</v>
      </c>
      <c r="AD236" s="13"/>
      <c r="AE236" s="13" t="s">
        <v>1389</v>
      </c>
      <c r="AF236" s="1"/>
      <c r="AG236" s="1"/>
      <c r="AH236" s="1"/>
      <c r="AI236" s="1"/>
      <c r="AJ236" s="1"/>
    </row>
    <row r="237" spans="1:36" x14ac:dyDescent="0.2">
      <c r="A237" s="12">
        <v>45180.806096562505</v>
      </c>
      <c r="B237" s="13" t="s">
        <v>1189</v>
      </c>
      <c r="C237" s="13">
        <v>3012886208</v>
      </c>
      <c r="D237" s="13" t="s">
        <v>79</v>
      </c>
      <c r="E237" s="13" t="s">
        <v>865</v>
      </c>
      <c r="F237" s="13" t="s">
        <v>1394</v>
      </c>
      <c r="G237" s="13" t="s">
        <v>1395</v>
      </c>
      <c r="H237" s="13"/>
      <c r="I237" s="13">
        <v>3022243929</v>
      </c>
      <c r="J237" s="13" t="s">
        <v>1396</v>
      </c>
      <c r="K237" s="13">
        <v>3235772278</v>
      </c>
      <c r="L237" s="13">
        <v>1</v>
      </c>
      <c r="M237" s="13">
        <v>1</v>
      </c>
      <c r="N237" s="13" t="s">
        <v>35</v>
      </c>
      <c r="O237" s="13"/>
      <c r="P237" s="13">
        <v>1</v>
      </c>
      <c r="Q237" s="13">
        <v>73</v>
      </c>
      <c r="R237" s="13" t="s">
        <v>869</v>
      </c>
      <c r="S237" s="13" t="s">
        <v>110</v>
      </c>
      <c r="T237" s="13" t="s">
        <v>1397</v>
      </c>
      <c r="U237" s="13"/>
      <c r="V237" s="13"/>
      <c r="W237" s="13"/>
      <c r="X237" s="13"/>
      <c r="Y237" s="13"/>
      <c r="Z237" s="13"/>
      <c r="AA237" s="13"/>
      <c r="AB237" s="13"/>
      <c r="AC237" s="13" t="s">
        <v>1398</v>
      </c>
      <c r="AD237" s="13"/>
      <c r="AE237" s="13">
        <v>1</v>
      </c>
      <c r="AF237" s="1"/>
      <c r="AG237" s="1"/>
      <c r="AH237" s="1"/>
      <c r="AI237" s="1"/>
      <c r="AJ237" s="1"/>
    </row>
    <row r="238" spans="1:36" x14ac:dyDescent="0.2">
      <c r="A238" s="2">
        <v>45186.48643986111</v>
      </c>
      <c r="B238" s="3" t="s">
        <v>354</v>
      </c>
      <c r="C238" s="3">
        <v>3127400513</v>
      </c>
      <c r="D238" s="3" t="s">
        <v>30</v>
      </c>
      <c r="E238" s="3" t="s">
        <v>31</v>
      </c>
      <c r="F238" s="3" t="s">
        <v>1399</v>
      </c>
      <c r="G238" s="3" t="s">
        <v>1400</v>
      </c>
      <c r="H238" s="3"/>
      <c r="I238" s="3">
        <v>3122617249</v>
      </c>
      <c r="J238" s="3"/>
      <c r="K238" s="3"/>
      <c r="L238" s="3" t="s">
        <v>158</v>
      </c>
      <c r="M238" s="3" t="s">
        <v>158</v>
      </c>
      <c r="N238" s="3" t="s">
        <v>35</v>
      </c>
      <c r="O238" s="3"/>
      <c r="P238" s="3">
        <v>2</v>
      </c>
      <c r="Q238" s="3" t="s">
        <v>1401</v>
      </c>
      <c r="R238" s="3" t="s">
        <v>62</v>
      </c>
      <c r="S238" s="3" t="s">
        <v>110</v>
      </c>
      <c r="T238" s="3" t="s">
        <v>132</v>
      </c>
      <c r="U238" s="3"/>
      <c r="V238" s="3"/>
      <c r="W238" s="3"/>
      <c r="X238" s="3"/>
      <c r="Y238" s="3"/>
      <c r="Z238" s="3"/>
      <c r="AA238" s="3"/>
      <c r="AB238" s="3"/>
      <c r="AC238" s="3" t="s">
        <v>1402</v>
      </c>
      <c r="AD238" s="3"/>
      <c r="AE238" s="3" t="s">
        <v>158</v>
      </c>
      <c r="AF238" s="1"/>
      <c r="AG238" s="1"/>
      <c r="AH238" s="1"/>
      <c r="AI238" s="1"/>
      <c r="AJ238" s="1"/>
    </row>
    <row r="239" spans="1:36" x14ac:dyDescent="0.2">
      <c r="A239" s="2">
        <v>45186.53305351852</v>
      </c>
      <c r="B239" s="3" t="s">
        <v>354</v>
      </c>
      <c r="C239" s="3">
        <v>3127400513</v>
      </c>
      <c r="D239" s="3" t="s">
        <v>30</v>
      </c>
      <c r="E239" s="3" t="s">
        <v>31</v>
      </c>
      <c r="F239" s="3" t="s">
        <v>1403</v>
      </c>
      <c r="G239" s="3" t="s">
        <v>1404</v>
      </c>
      <c r="H239" s="3"/>
      <c r="I239" s="3">
        <v>3116114332</v>
      </c>
      <c r="J239" s="3" t="s">
        <v>822</v>
      </c>
      <c r="K239" s="3">
        <v>3013839099</v>
      </c>
      <c r="L239" s="3" t="s">
        <v>335</v>
      </c>
      <c r="M239" s="3" t="s">
        <v>1405</v>
      </c>
      <c r="N239" s="3" t="s">
        <v>35</v>
      </c>
      <c r="O239" s="3"/>
      <c r="P239" s="3">
        <v>5</v>
      </c>
      <c r="Q239" s="3" t="s">
        <v>1406</v>
      </c>
      <c r="R239" s="3" t="s">
        <v>62</v>
      </c>
      <c r="S239" s="3" t="s">
        <v>110</v>
      </c>
      <c r="T239" s="3" t="s">
        <v>1407</v>
      </c>
      <c r="U239" s="3"/>
      <c r="V239" s="3"/>
      <c r="W239" s="3"/>
      <c r="X239" s="3"/>
      <c r="Y239" s="3"/>
      <c r="Z239" s="3"/>
      <c r="AA239" s="3"/>
      <c r="AB239" s="3"/>
      <c r="AC239" s="3" t="s">
        <v>1408</v>
      </c>
      <c r="AD239" s="3"/>
      <c r="AE239" s="3" t="s">
        <v>335</v>
      </c>
      <c r="AF239" s="1"/>
      <c r="AG239" s="1"/>
      <c r="AH239" s="1"/>
      <c r="AI239" s="1"/>
      <c r="AJ239" s="1"/>
    </row>
    <row r="240" spans="1:36" x14ac:dyDescent="0.2">
      <c r="A240" s="5">
        <v>45193.452213460652</v>
      </c>
      <c r="B240" s="1" t="s">
        <v>723</v>
      </c>
      <c r="C240" s="1">
        <v>3242310729</v>
      </c>
      <c r="D240" s="1" t="s">
        <v>79</v>
      </c>
      <c r="E240" s="1" t="s">
        <v>493</v>
      </c>
      <c r="F240" s="1" t="s">
        <v>1409</v>
      </c>
      <c r="G240" s="1" t="s">
        <v>1410</v>
      </c>
      <c r="H240" s="1"/>
      <c r="I240" s="1">
        <v>3192240870</v>
      </c>
      <c r="J240" s="1" t="s">
        <v>1411</v>
      </c>
      <c r="K240" s="1">
        <v>3192240870</v>
      </c>
      <c r="L240" s="1" t="s">
        <v>784</v>
      </c>
      <c r="M240" s="1" t="s">
        <v>784</v>
      </c>
      <c r="N240" s="1" t="s">
        <v>35</v>
      </c>
      <c r="O240" s="1"/>
      <c r="P240" s="1">
        <v>4</v>
      </c>
      <c r="Q240" s="1" t="s">
        <v>1412</v>
      </c>
      <c r="R240" s="1" t="s">
        <v>1413</v>
      </c>
      <c r="S240" s="1" t="s">
        <v>38</v>
      </c>
      <c r="T240" s="1" t="s">
        <v>132</v>
      </c>
      <c r="U240" s="1"/>
      <c r="V240" s="1"/>
      <c r="W240" s="1"/>
      <c r="X240" s="1"/>
      <c r="Y240" s="1"/>
      <c r="Z240" s="1"/>
      <c r="AA240" s="1"/>
      <c r="AB240" s="1"/>
      <c r="AC240" s="1" t="s">
        <v>1414</v>
      </c>
      <c r="AD240" s="1"/>
      <c r="AE240" s="1" t="s">
        <v>784</v>
      </c>
      <c r="AF240" s="1"/>
      <c r="AG240" s="1"/>
      <c r="AH240" s="1"/>
      <c r="AI240" s="1"/>
      <c r="AJ240" s="1"/>
    </row>
    <row r="241" spans="1:36" x14ac:dyDescent="0.2">
      <c r="A241" s="12">
        <v>45197.644132141198</v>
      </c>
      <c r="B241" s="13" t="s">
        <v>871</v>
      </c>
      <c r="C241" s="13">
        <v>3116299558</v>
      </c>
      <c r="D241" s="13" t="s">
        <v>30</v>
      </c>
      <c r="E241" s="13" t="s">
        <v>865</v>
      </c>
      <c r="F241" s="13" t="s">
        <v>1415</v>
      </c>
      <c r="G241" s="13" t="s">
        <v>1416</v>
      </c>
      <c r="H241" s="13">
        <v>1001159217</v>
      </c>
      <c r="I241" s="13">
        <v>3025089017</v>
      </c>
      <c r="J241" s="13"/>
      <c r="K241" s="13"/>
      <c r="L241" s="13">
        <v>4</v>
      </c>
      <c r="M241" s="13">
        <v>4</v>
      </c>
      <c r="N241" s="13" t="s">
        <v>35</v>
      </c>
      <c r="O241" s="13"/>
      <c r="P241" s="13">
        <v>1</v>
      </c>
      <c r="Q241" s="13">
        <v>22</v>
      </c>
      <c r="R241" s="13" t="s">
        <v>1417</v>
      </c>
      <c r="S241" s="13" t="s">
        <v>1017</v>
      </c>
      <c r="T241" s="13" t="s">
        <v>1418</v>
      </c>
      <c r="U241" s="13"/>
      <c r="V241" s="13"/>
      <c r="W241" s="13"/>
      <c r="X241" s="13"/>
      <c r="Y241" s="13"/>
      <c r="Z241" s="13"/>
      <c r="AA241" s="13"/>
      <c r="AB241" s="13"/>
      <c r="AC241" s="13" t="s">
        <v>1419</v>
      </c>
      <c r="AD241" s="13"/>
      <c r="AE241" s="13">
        <v>4</v>
      </c>
      <c r="AF241" s="16"/>
      <c r="AG241" s="16"/>
      <c r="AH241" s="16"/>
      <c r="AI241" s="16"/>
      <c r="AJ241" s="16"/>
    </row>
    <row r="242" spans="1:36" x14ac:dyDescent="0.2">
      <c r="A242" s="12">
        <v>45197.656995196754</v>
      </c>
      <c r="B242" s="13" t="s">
        <v>1420</v>
      </c>
      <c r="C242" s="13">
        <v>3116299558</v>
      </c>
      <c r="D242" s="13" t="s">
        <v>30</v>
      </c>
      <c r="E242" s="13" t="s">
        <v>865</v>
      </c>
      <c r="F242" s="13" t="s">
        <v>1135</v>
      </c>
      <c r="G242" s="13" t="s">
        <v>1421</v>
      </c>
      <c r="H242" s="13">
        <v>1102120492</v>
      </c>
      <c r="I242" s="13">
        <v>3136040634</v>
      </c>
      <c r="J242" s="13"/>
      <c r="K242" s="13"/>
      <c r="L242" s="13">
        <v>2</v>
      </c>
      <c r="M242" s="13">
        <v>2</v>
      </c>
      <c r="N242" s="13" t="s">
        <v>132</v>
      </c>
      <c r="O242" s="13"/>
      <c r="P242" s="13">
        <v>5</v>
      </c>
      <c r="Q242" s="13" t="s">
        <v>1422</v>
      </c>
      <c r="R242" s="13" t="s">
        <v>1423</v>
      </c>
      <c r="S242" s="13" t="s">
        <v>110</v>
      </c>
      <c r="T242" s="13" t="s">
        <v>1424</v>
      </c>
      <c r="U242" s="13"/>
      <c r="V242" s="13"/>
      <c r="W242" s="13"/>
      <c r="X242" s="13"/>
      <c r="Y242" s="13"/>
      <c r="Z242" s="13"/>
      <c r="AA242" s="13"/>
      <c r="AB242" s="13"/>
      <c r="AC242" s="13"/>
      <c r="AD242" s="13"/>
      <c r="AE242" s="13">
        <v>2</v>
      </c>
      <c r="AF242" s="16"/>
      <c r="AG242" s="16"/>
      <c r="AH242" s="16"/>
      <c r="AI242" s="16"/>
      <c r="AJ242" s="16"/>
    </row>
    <row r="243" spans="1:36" x14ac:dyDescent="0.2">
      <c r="A243" s="12">
        <v>45197.668119004629</v>
      </c>
      <c r="B243" s="13" t="s">
        <v>871</v>
      </c>
      <c r="C243" s="13">
        <v>3116299558</v>
      </c>
      <c r="D243" s="13" t="s">
        <v>30</v>
      </c>
      <c r="E243" s="13" t="s">
        <v>865</v>
      </c>
      <c r="F243" s="13" t="s">
        <v>1386</v>
      </c>
      <c r="G243" s="13" t="s">
        <v>1425</v>
      </c>
      <c r="H243" s="13">
        <v>21939213</v>
      </c>
      <c r="I243" s="13">
        <v>3122661661</v>
      </c>
      <c r="J243" s="13" t="s">
        <v>1426</v>
      </c>
      <c r="K243" s="13">
        <v>3185874006</v>
      </c>
      <c r="L243" s="13">
        <v>7</v>
      </c>
      <c r="M243" s="13">
        <v>5</v>
      </c>
      <c r="N243" s="13" t="s">
        <v>35</v>
      </c>
      <c r="O243" s="13"/>
      <c r="P243" s="13">
        <v>2</v>
      </c>
      <c r="Q243" s="13" t="s">
        <v>1427</v>
      </c>
      <c r="R243" s="13" t="s">
        <v>1428</v>
      </c>
      <c r="S243" s="13" t="s">
        <v>1429</v>
      </c>
      <c r="T243" s="13" t="s">
        <v>1219</v>
      </c>
      <c r="U243" s="13"/>
      <c r="V243" s="13"/>
      <c r="W243" s="13"/>
      <c r="X243" s="13"/>
      <c r="Y243" s="13"/>
      <c r="Z243" s="13"/>
      <c r="AA243" s="13"/>
      <c r="AB243" s="13"/>
      <c r="AC243" s="13" t="s">
        <v>1430</v>
      </c>
      <c r="AD243" s="13"/>
      <c r="AE243" s="13">
        <v>7</v>
      </c>
      <c r="AF243" s="16"/>
      <c r="AG243" s="16"/>
      <c r="AH243" s="16"/>
      <c r="AI243" s="16"/>
      <c r="AJ243" s="16"/>
    </row>
    <row r="244" spans="1:36" x14ac:dyDescent="0.2">
      <c r="A244" s="12">
        <v>45197.723278680554</v>
      </c>
      <c r="B244" s="13" t="s">
        <v>1431</v>
      </c>
      <c r="C244" s="13">
        <v>3226775334</v>
      </c>
      <c r="D244" s="13" t="s">
        <v>79</v>
      </c>
      <c r="E244" s="13" t="s">
        <v>865</v>
      </c>
      <c r="F244" s="13" t="s">
        <v>1432</v>
      </c>
      <c r="G244" s="13" t="s">
        <v>1433</v>
      </c>
      <c r="H244" s="13">
        <v>15325951</v>
      </c>
      <c r="I244" s="13">
        <v>3166842709</v>
      </c>
      <c r="J244" s="13"/>
      <c r="K244" s="13"/>
      <c r="L244" s="13">
        <v>23</v>
      </c>
      <c r="M244" s="13">
        <v>23</v>
      </c>
      <c r="N244" s="13" t="s">
        <v>35</v>
      </c>
      <c r="O244" s="13"/>
      <c r="P244" s="13">
        <v>1</v>
      </c>
      <c r="Q244" s="13">
        <v>20</v>
      </c>
      <c r="R244" s="13" t="s">
        <v>1434</v>
      </c>
      <c r="S244" s="13" t="s">
        <v>38</v>
      </c>
      <c r="T244" s="13" t="s">
        <v>1435</v>
      </c>
      <c r="U244" s="13"/>
      <c r="V244" s="13"/>
      <c r="W244" s="13"/>
      <c r="X244" s="13"/>
      <c r="Y244" s="13"/>
      <c r="Z244" s="13"/>
      <c r="AA244" s="13"/>
      <c r="AB244" s="13"/>
      <c r="AC244" s="13"/>
      <c r="AD244" s="13"/>
      <c r="AE244" s="13">
        <v>23</v>
      </c>
      <c r="AF244" s="16"/>
      <c r="AG244" s="16"/>
      <c r="AH244" s="16"/>
      <c r="AI244" s="16"/>
      <c r="AJ244" s="16"/>
    </row>
    <row r="245" spans="1:36" x14ac:dyDescent="0.2">
      <c r="A245" s="12">
        <v>45198.484373067127</v>
      </c>
      <c r="B245" s="13" t="s">
        <v>871</v>
      </c>
      <c r="C245" s="13">
        <v>3116299558</v>
      </c>
      <c r="D245" s="13" t="s">
        <v>30</v>
      </c>
      <c r="E245" s="13" t="s">
        <v>865</v>
      </c>
      <c r="F245" s="13" t="s">
        <v>1415</v>
      </c>
      <c r="G245" s="13" t="s">
        <v>1436</v>
      </c>
      <c r="H245" s="13">
        <v>43540567</v>
      </c>
      <c r="I245" s="13">
        <v>3215892313</v>
      </c>
      <c r="J245" s="13"/>
      <c r="K245" s="13"/>
      <c r="L245" s="13">
        <v>7</v>
      </c>
      <c r="M245" s="13">
        <v>4</v>
      </c>
      <c r="N245" s="13" t="s">
        <v>35</v>
      </c>
      <c r="O245" s="13"/>
      <c r="P245" s="13">
        <v>1</v>
      </c>
      <c r="Q245" s="13">
        <v>55</v>
      </c>
      <c r="R245" s="13" t="s">
        <v>1437</v>
      </c>
      <c r="S245" s="13" t="s">
        <v>1438</v>
      </c>
      <c r="T245" s="13" t="s">
        <v>1219</v>
      </c>
      <c r="U245" s="13"/>
      <c r="V245" s="13"/>
      <c r="W245" s="13"/>
      <c r="X245" s="13"/>
      <c r="Y245" s="13"/>
      <c r="Z245" s="13"/>
      <c r="AA245" s="13"/>
      <c r="AB245" s="13"/>
      <c r="AC245" s="13" t="s">
        <v>1439</v>
      </c>
      <c r="AD245" s="13"/>
      <c r="AE245" s="13">
        <v>7</v>
      </c>
      <c r="AF245" s="16"/>
      <c r="AG245" s="16"/>
      <c r="AH245" s="16"/>
      <c r="AI245" s="16"/>
      <c r="AJ245" s="16"/>
    </row>
    <row r="246" spans="1:36" x14ac:dyDescent="0.2">
      <c r="A246" s="12">
        <v>45198.490104965276</v>
      </c>
      <c r="B246" s="13" t="s">
        <v>871</v>
      </c>
      <c r="C246" s="13">
        <v>3116299558</v>
      </c>
      <c r="D246" s="13" t="s">
        <v>30</v>
      </c>
      <c r="E246" s="13" t="s">
        <v>865</v>
      </c>
      <c r="F246" s="13" t="s">
        <v>1440</v>
      </c>
      <c r="G246" s="13" t="s">
        <v>1441</v>
      </c>
      <c r="H246" s="13">
        <v>71387340</v>
      </c>
      <c r="I246" s="13">
        <v>3204345874</v>
      </c>
      <c r="J246" s="13" t="s">
        <v>1442</v>
      </c>
      <c r="K246" s="13">
        <v>3137341044</v>
      </c>
      <c r="L246" s="13">
        <v>11</v>
      </c>
      <c r="M246" s="13">
        <v>10</v>
      </c>
      <c r="N246" s="13" t="s">
        <v>35</v>
      </c>
      <c r="O246" s="13"/>
      <c r="P246" s="13">
        <v>3</v>
      </c>
      <c r="Q246" s="13" t="s">
        <v>1443</v>
      </c>
      <c r="R246" s="13" t="s">
        <v>1444</v>
      </c>
      <c r="S246" s="13" t="s">
        <v>38</v>
      </c>
      <c r="T246" s="13" t="s">
        <v>1219</v>
      </c>
      <c r="U246" s="13"/>
      <c r="V246" s="13"/>
      <c r="W246" s="13"/>
      <c r="X246" s="13"/>
      <c r="Y246" s="13"/>
      <c r="Z246" s="13"/>
      <c r="AA246" s="13"/>
      <c r="AB246" s="13"/>
      <c r="AC246" s="13" t="s">
        <v>1445</v>
      </c>
      <c r="AD246" s="13"/>
      <c r="AE246" s="13">
        <v>11</v>
      </c>
      <c r="AF246" s="16"/>
      <c r="AG246" s="16"/>
      <c r="AH246" s="16"/>
      <c r="AI246" s="16"/>
      <c r="AJ246" s="16"/>
    </row>
    <row r="247" spans="1:36" x14ac:dyDescent="0.2">
      <c r="A247" s="12">
        <v>45200.379065277783</v>
      </c>
      <c r="B247" s="13" t="s">
        <v>346</v>
      </c>
      <c r="C247" s="13">
        <v>3016234523</v>
      </c>
      <c r="D247" s="13" t="s">
        <v>79</v>
      </c>
      <c r="E247" s="13" t="s">
        <v>865</v>
      </c>
      <c r="F247" s="13" t="s">
        <v>1446</v>
      </c>
      <c r="G247" s="13" t="s">
        <v>1447</v>
      </c>
      <c r="H247" s="13">
        <v>21651882</v>
      </c>
      <c r="I247" s="13">
        <v>32168677406</v>
      </c>
      <c r="J247" s="13" t="s">
        <v>1448</v>
      </c>
      <c r="K247" s="13">
        <v>3155609665</v>
      </c>
      <c r="L247" s="13">
        <v>22</v>
      </c>
      <c r="M247" s="13">
        <v>22</v>
      </c>
      <c r="N247" s="13" t="s">
        <v>35</v>
      </c>
      <c r="O247" s="13"/>
      <c r="P247" s="13">
        <v>4</v>
      </c>
      <c r="Q247" s="13" t="s">
        <v>1449</v>
      </c>
      <c r="R247" s="13" t="s">
        <v>62</v>
      </c>
      <c r="S247" s="13" t="s">
        <v>38</v>
      </c>
      <c r="T247" s="13" t="s">
        <v>62</v>
      </c>
      <c r="U247" s="13"/>
      <c r="V247" s="13"/>
      <c r="W247" s="13"/>
      <c r="X247" s="13"/>
      <c r="Y247" s="13"/>
      <c r="Z247" s="13"/>
      <c r="AA247" s="13"/>
      <c r="AB247" s="13"/>
      <c r="AC247" s="13" t="s">
        <v>1450</v>
      </c>
      <c r="AD247" s="13"/>
      <c r="AE247" s="13">
        <v>22</v>
      </c>
      <c r="AF247" s="17"/>
      <c r="AG247" s="17"/>
      <c r="AH247" s="17"/>
      <c r="AI247" s="17"/>
      <c r="AJ247" s="17"/>
    </row>
    <row r="248" spans="1:36" x14ac:dyDescent="0.2">
      <c r="A248" s="12">
        <v>45200.379241250004</v>
      </c>
      <c r="B248" s="13" t="s">
        <v>1451</v>
      </c>
      <c r="C248" s="13">
        <v>3042044378</v>
      </c>
      <c r="D248" s="13" t="s">
        <v>79</v>
      </c>
      <c r="E248" s="13" t="s">
        <v>865</v>
      </c>
      <c r="F248" s="13" t="s">
        <v>1452</v>
      </c>
      <c r="G248" s="13" t="s">
        <v>1453</v>
      </c>
      <c r="H248" s="13">
        <v>1020472396</v>
      </c>
      <c r="I248" s="13">
        <v>3147627976</v>
      </c>
      <c r="J248" s="13" t="s">
        <v>1454</v>
      </c>
      <c r="K248" s="13">
        <v>3225272859</v>
      </c>
      <c r="L248" s="13" t="s">
        <v>1455</v>
      </c>
      <c r="M248" s="13" t="s">
        <v>1456</v>
      </c>
      <c r="N248" s="13" t="s">
        <v>35</v>
      </c>
      <c r="O248" s="13"/>
      <c r="P248" s="13">
        <v>4</v>
      </c>
      <c r="Q248" s="13" t="s">
        <v>1457</v>
      </c>
      <c r="R248" s="13" t="s">
        <v>62</v>
      </c>
      <c r="S248" s="13" t="s">
        <v>110</v>
      </c>
      <c r="T248" s="13" t="s">
        <v>132</v>
      </c>
      <c r="U248" s="13"/>
      <c r="V248" s="13"/>
      <c r="W248" s="13"/>
      <c r="X248" s="13"/>
      <c r="Y248" s="13"/>
      <c r="Z248" s="13"/>
      <c r="AA248" s="13"/>
      <c r="AB248" s="13"/>
      <c r="AC248" s="13" t="s">
        <v>1458</v>
      </c>
      <c r="AD248" s="13"/>
      <c r="AE248" s="13" t="s">
        <v>1455</v>
      </c>
      <c r="AF248" s="17"/>
      <c r="AG248" s="17"/>
      <c r="AH248" s="17"/>
      <c r="AI248" s="17"/>
      <c r="AJ248" s="17"/>
    </row>
    <row r="249" spans="1:36" x14ac:dyDescent="0.2">
      <c r="A249" s="12">
        <v>45200.392174085646</v>
      </c>
      <c r="B249" s="13" t="s">
        <v>1459</v>
      </c>
      <c r="C249" s="13">
        <v>3233217594</v>
      </c>
      <c r="D249" s="13" t="s">
        <v>30</v>
      </c>
      <c r="E249" s="13" t="s">
        <v>865</v>
      </c>
      <c r="F249" s="13" t="s">
        <v>1415</v>
      </c>
      <c r="G249" s="13" t="s">
        <v>1460</v>
      </c>
      <c r="H249" s="13">
        <v>21911279</v>
      </c>
      <c r="I249" s="13">
        <v>3246423233</v>
      </c>
      <c r="J249" s="13" t="s">
        <v>1461</v>
      </c>
      <c r="K249" s="13">
        <v>3108407211</v>
      </c>
      <c r="L249" s="13" t="s">
        <v>180</v>
      </c>
      <c r="M249" s="13" t="s">
        <v>180</v>
      </c>
      <c r="N249" s="13" t="s">
        <v>35</v>
      </c>
      <c r="O249" s="13"/>
      <c r="P249" s="13">
        <v>2</v>
      </c>
      <c r="Q249" s="13" t="s">
        <v>1462</v>
      </c>
      <c r="R249" s="13" t="s">
        <v>62</v>
      </c>
      <c r="S249" s="13" t="s">
        <v>38</v>
      </c>
      <c r="T249" s="13" t="s">
        <v>1463</v>
      </c>
      <c r="U249" s="13"/>
      <c r="V249" s="13"/>
      <c r="W249" s="13"/>
      <c r="X249" s="13"/>
      <c r="Y249" s="13"/>
      <c r="Z249" s="13"/>
      <c r="AA249" s="13"/>
      <c r="AB249" s="13"/>
      <c r="AC249" s="13"/>
      <c r="AD249" s="13"/>
      <c r="AE249" s="13" t="s">
        <v>180</v>
      </c>
      <c r="AF249" s="17"/>
      <c r="AG249" s="17"/>
      <c r="AH249" s="17"/>
      <c r="AI249" s="17"/>
      <c r="AJ249" s="17"/>
    </row>
    <row r="250" spans="1:36" x14ac:dyDescent="0.2">
      <c r="A250" s="12">
        <v>45200.424831469907</v>
      </c>
      <c r="B250" s="13" t="s">
        <v>1451</v>
      </c>
      <c r="C250" s="13">
        <v>3042044378</v>
      </c>
      <c r="D250" s="13" t="s">
        <v>79</v>
      </c>
      <c r="E250" s="13" t="s">
        <v>865</v>
      </c>
      <c r="F250" s="13" t="s">
        <v>1464</v>
      </c>
      <c r="G250" s="13" t="s">
        <v>1465</v>
      </c>
      <c r="H250" s="13">
        <v>54254236</v>
      </c>
      <c r="I250" s="13">
        <v>3226245191</v>
      </c>
      <c r="J250" s="13" t="s">
        <v>1466</v>
      </c>
      <c r="K250" s="13">
        <v>3104997578</v>
      </c>
      <c r="L250" s="13">
        <v>6</v>
      </c>
      <c r="M250" s="13">
        <v>6</v>
      </c>
      <c r="N250" s="13" t="s">
        <v>35</v>
      </c>
      <c r="O250" s="13"/>
      <c r="P250" s="13">
        <v>4</v>
      </c>
      <c r="Q250" s="13" t="s">
        <v>1467</v>
      </c>
      <c r="R250" s="13" t="s">
        <v>1468</v>
      </c>
      <c r="S250" s="13" t="s">
        <v>38</v>
      </c>
      <c r="T250" s="13" t="s">
        <v>1469</v>
      </c>
      <c r="U250" s="13"/>
      <c r="V250" s="13"/>
      <c r="W250" s="13"/>
      <c r="X250" s="13"/>
      <c r="Y250" s="13"/>
      <c r="Z250" s="13"/>
      <c r="AA250" s="13"/>
      <c r="AB250" s="13"/>
      <c r="AC250" s="13" t="s">
        <v>1470</v>
      </c>
      <c r="AD250" s="13"/>
      <c r="AE250" s="13">
        <v>6</v>
      </c>
      <c r="AF250" s="17"/>
      <c r="AG250" s="17"/>
      <c r="AH250" s="17"/>
      <c r="AI250" s="17"/>
      <c r="AJ250" s="17"/>
    </row>
    <row r="251" spans="1:36" x14ac:dyDescent="0.2">
      <c r="A251" s="12">
        <v>45200.427497546298</v>
      </c>
      <c r="B251" s="13" t="s">
        <v>346</v>
      </c>
      <c r="C251" s="13">
        <v>3016234523</v>
      </c>
      <c r="D251" s="13" t="s">
        <v>79</v>
      </c>
      <c r="E251" s="13" t="s">
        <v>865</v>
      </c>
      <c r="F251" s="13" t="s">
        <v>1446</v>
      </c>
      <c r="G251" s="13" t="s">
        <v>1471</v>
      </c>
      <c r="H251" s="13">
        <v>3085592</v>
      </c>
      <c r="I251" s="13">
        <v>3216045787</v>
      </c>
      <c r="J251" s="13" t="s">
        <v>1472</v>
      </c>
      <c r="K251" s="13">
        <v>3177991182</v>
      </c>
      <c r="L251" s="13">
        <v>20</v>
      </c>
      <c r="M251" s="13">
        <v>20</v>
      </c>
      <c r="N251" s="13" t="s">
        <v>35</v>
      </c>
      <c r="O251" s="13"/>
      <c r="P251" s="13">
        <v>1</v>
      </c>
      <c r="Q251" s="13">
        <v>61</v>
      </c>
      <c r="R251" s="13" t="s">
        <v>1473</v>
      </c>
      <c r="S251" s="13" t="s">
        <v>110</v>
      </c>
      <c r="T251" s="13" t="s">
        <v>1474</v>
      </c>
      <c r="U251" s="13"/>
      <c r="V251" s="13"/>
      <c r="W251" s="13"/>
      <c r="X251" s="13"/>
      <c r="Y251" s="13"/>
      <c r="Z251" s="13"/>
      <c r="AA251" s="13"/>
      <c r="AB251" s="13"/>
      <c r="AC251" s="13"/>
      <c r="AD251" s="13"/>
      <c r="AE251" s="13">
        <v>20</v>
      </c>
      <c r="AF251" s="17"/>
      <c r="AG251" s="17"/>
      <c r="AH251" s="17"/>
      <c r="AI251" s="17"/>
      <c r="AJ251" s="17"/>
    </row>
    <row r="252" spans="1:36" x14ac:dyDescent="0.2">
      <c r="A252" s="12">
        <v>45200.427504583335</v>
      </c>
      <c r="B252" s="13" t="s">
        <v>1475</v>
      </c>
      <c r="C252" s="13">
        <v>3204133021</v>
      </c>
      <c r="D252" s="13" t="s">
        <v>79</v>
      </c>
      <c r="E252" s="13" t="s">
        <v>865</v>
      </c>
      <c r="F252" s="13" t="s">
        <v>1476</v>
      </c>
      <c r="G252" s="13" t="s">
        <v>1477</v>
      </c>
      <c r="H252" s="13">
        <v>1192892595</v>
      </c>
      <c r="I252" s="13">
        <v>3008347779</v>
      </c>
      <c r="J252" s="13">
        <v>3125363796</v>
      </c>
      <c r="K252" s="13">
        <v>3116189356</v>
      </c>
      <c r="L252" s="13" t="s">
        <v>299</v>
      </c>
      <c r="M252" s="13" t="s">
        <v>1478</v>
      </c>
      <c r="N252" s="13" t="s">
        <v>35</v>
      </c>
      <c r="O252" s="13"/>
      <c r="P252" s="13">
        <v>5</v>
      </c>
      <c r="Q252" s="13" t="s">
        <v>1479</v>
      </c>
      <c r="R252" s="13" t="s">
        <v>1480</v>
      </c>
      <c r="S252" s="13" t="s">
        <v>110</v>
      </c>
      <c r="T252" s="13" t="s">
        <v>1481</v>
      </c>
      <c r="U252" s="13"/>
      <c r="V252" s="13"/>
      <c r="W252" s="13"/>
      <c r="X252" s="13"/>
      <c r="Y252" s="13"/>
      <c r="Z252" s="13"/>
      <c r="AA252" s="13"/>
      <c r="AB252" s="13"/>
      <c r="AC252" s="13" t="s">
        <v>1482</v>
      </c>
      <c r="AD252" s="13"/>
      <c r="AE252" s="13" t="s">
        <v>299</v>
      </c>
      <c r="AF252" s="17"/>
      <c r="AG252" s="17"/>
      <c r="AH252" s="17"/>
      <c r="AI252" s="17"/>
      <c r="AJ252" s="17"/>
    </row>
    <row r="253" spans="1:36" x14ac:dyDescent="0.2">
      <c r="A253" s="12">
        <v>45200.458256157406</v>
      </c>
      <c r="B253" s="13" t="s">
        <v>1483</v>
      </c>
      <c r="C253" s="13">
        <v>3007684477</v>
      </c>
      <c r="D253" s="13" t="s">
        <v>79</v>
      </c>
      <c r="E253" s="13" t="s">
        <v>865</v>
      </c>
      <c r="F253" s="13">
        <v>6</v>
      </c>
      <c r="G253" s="13" t="s">
        <v>1484</v>
      </c>
      <c r="H253" s="13">
        <v>1017176188</v>
      </c>
      <c r="I253" s="13">
        <v>3232890606</v>
      </c>
      <c r="J253" s="13" t="s">
        <v>1485</v>
      </c>
      <c r="K253" s="13">
        <v>3114268085</v>
      </c>
      <c r="L253" s="13">
        <v>10</v>
      </c>
      <c r="M253" s="13">
        <v>10</v>
      </c>
      <c r="N253" s="13" t="s">
        <v>35</v>
      </c>
      <c r="O253" s="13"/>
      <c r="P253" s="13">
        <v>3</v>
      </c>
      <c r="Q253" s="13" t="s">
        <v>1486</v>
      </c>
      <c r="R253" s="13" t="s">
        <v>1487</v>
      </c>
      <c r="S253" s="13" t="s">
        <v>38</v>
      </c>
      <c r="T253" s="13" t="s">
        <v>1488</v>
      </c>
      <c r="U253" s="13"/>
      <c r="V253" s="13"/>
      <c r="W253" s="13"/>
      <c r="X253" s="13"/>
      <c r="Y253" s="13"/>
      <c r="Z253" s="13"/>
      <c r="AA253" s="13"/>
      <c r="AB253" s="13"/>
      <c r="AC253" s="13"/>
      <c r="AD253" s="13"/>
      <c r="AE253" s="13">
        <v>10</v>
      </c>
      <c r="AF253" s="17"/>
      <c r="AG253" s="17"/>
      <c r="AH253" s="17"/>
      <c r="AI253" s="17"/>
      <c r="AJ253" s="17"/>
    </row>
    <row r="254" spans="1:36" x14ac:dyDescent="0.2">
      <c r="A254" s="12">
        <v>45200.470666539353</v>
      </c>
      <c r="B254" s="13" t="s">
        <v>1372</v>
      </c>
      <c r="C254" s="13">
        <v>3143915068</v>
      </c>
      <c r="D254" s="13" t="s">
        <v>79</v>
      </c>
      <c r="E254" s="13" t="s">
        <v>865</v>
      </c>
      <c r="F254" s="13" t="s">
        <v>793</v>
      </c>
      <c r="G254" s="13" t="s">
        <v>1489</v>
      </c>
      <c r="H254" s="13">
        <v>17453919</v>
      </c>
      <c r="I254" s="13">
        <v>3175983155</v>
      </c>
      <c r="J254" s="13" t="s">
        <v>1490</v>
      </c>
      <c r="K254" s="13">
        <v>3114867534</v>
      </c>
      <c r="L254" s="13" t="s">
        <v>1491</v>
      </c>
      <c r="M254" s="13" t="s">
        <v>1456</v>
      </c>
      <c r="N254" s="13" t="s">
        <v>35</v>
      </c>
      <c r="O254" s="13"/>
      <c r="P254" s="13">
        <v>4</v>
      </c>
      <c r="Q254" s="13" t="s">
        <v>1492</v>
      </c>
      <c r="R254" s="13" t="s">
        <v>1140</v>
      </c>
      <c r="S254" s="13" t="s">
        <v>110</v>
      </c>
      <c r="T254" s="13" t="s">
        <v>1493</v>
      </c>
      <c r="U254" s="13"/>
      <c r="V254" s="13"/>
      <c r="W254" s="13"/>
      <c r="X254" s="13"/>
      <c r="Y254" s="13"/>
      <c r="Z254" s="13"/>
      <c r="AA254" s="13"/>
      <c r="AB254" s="13"/>
      <c r="AC254" s="13" t="s">
        <v>1494</v>
      </c>
      <c r="AD254" s="13"/>
      <c r="AE254" s="13" t="s">
        <v>1491</v>
      </c>
      <c r="AF254" s="17"/>
      <c r="AG254" s="17"/>
      <c r="AH254" s="17"/>
      <c r="AI254" s="17"/>
      <c r="AJ254" s="17"/>
    </row>
    <row r="255" spans="1:36" x14ac:dyDescent="0.2">
      <c r="A255" s="12">
        <v>45200.495296307869</v>
      </c>
      <c r="B255" s="13" t="s">
        <v>1475</v>
      </c>
      <c r="C255" s="13">
        <v>3204133021</v>
      </c>
      <c r="D255" s="13" t="s">
        <v>79</v>
      </c>
      <c r="E255" s="13" t="s">
        <v>865</v>
      </c>
      <c r="F255" s="13" t="s">
        <v>1495</v>
      </c>
      <c r="G255" s="13" t="s">
        <v>1496</v>
      </c>
      <c r="H255" s="13">
        <v>71640076</v>
      </c>
      <c r="I255" s="13">
        <v>3225148789</v>
      </c>
      <c r="J255" s="13"/>
      <c r="K255" s="13"/>
      <c r="L255" s="13">
        <v>9</v>
      </c>
      <c r="M255" s="13" t="s">
        <v>1497</v>
      </c>
      <c r="N255" s="13" t="s">
        <v>35</v>
      </c>
      <c r="O255" s="13"/>
      <c r="P255" s="13">
        <v>2</v>
      </c>
      <c r="Q255" s="13" t="s">
        <v>1498</v>
      </c>
      <c r="R255" s="13" t="s">
        <v>1499</v>
      </c>
      <c r="S255" s="13" t="s">
        <v>110</v>
      </c>
      <c r="T255" s="13" t="s">
        <v>132</v>
      </c>
      <c r="U255" s="13"/>
      <c r="V255" s="13"/>
      <c r="W255" s="13"/>
      <c r="X255" s="13"/>
      <c r="Y255" s="13"/>
      <c r="Z255" s="13"/>
      <c r="AA255" s="13"/>
      <c r="AB255" s="13"/>
      <c r="AC255" s="13" t="s">
        <v>1500</v>
      </c>
      <c r="AD255" s="13"/>
      <c r="AE255" s="13">
        <v>9</v>
      </c>
      <c r="AF255" s="17"/>
      <c r="AG255" s="17"/>
      <c r="AH255" s="17"/>
      <c r="AI255" s="17"/>
      <c r="AJ255" s="17"/>
    </row>
    <row r="256" spans="1:36" x14ac:dyDescent="0.2">
      <c r="A256" s="5">
        <v>45200.510714074073</v>
      </c>
      <c r="B256" s="1" t="s">
        <v>454</v>
      </c>
      <c r="C256" s="1">
        <v>3175749041</v>
      </c>
      <c r="D256" s="1" t="s">
        <v>79</v>
      </c>
      <c r="E256" s="1" t="s">
        <v>493</v>
      </c>
      <c r="F256" s="1" t="s">
        <v>1501</v>
      </c>
      <c r="G256" s="1" t="s">
        <v>1502</v>
      </c>
      <c r="H256" s="1">
        <v>43766561</v>
      </c>
      <c r="I256" s="1">
        <v>3126253991</v>
      </c>
      <c r="J256" s="1" t="s">
        <v>1503</v>
      </c>
      <c r="K256" s="1">
        <v>3044755556</v>
      </c>
      <c r="L256" s="1" t="s">
        <v>659</v>
      </c>
      <c r="M256" s="1" t="s">
        <v>1138</v>
      </c>
      <c r="N256" s="1" t="s">
        <v>35</v>
      </c>
      <c r="O256" s="1"/>
      <c r="P256" s="1">
        <v>2</v>
      </c>
      <c r="Q256" s="1" t="s">
        <v>1504</v>
      </c>
      <c r="R256" s="1" t="s">
        <v>1505</v>
      </c>
      <c r="S256" s="1" t="s">
        <v>110</v>
      </c>
      <c r="T256" s="1" t="s">
        <v>132</v>
      </c>
      <c r="U256" s="1"/>
      <c r="V256" s="1"/>
      <c r="W256" s="1"/>
      <c r="X256" s="1"/>
      <c r="Y256" s="1"/>
      <c r="Z256" s="1"/>
      <c r="AA256" s="1"/>
      <c r="AB256" s="1"/>
      <c r="AC256" s="1" t="s">
        <v>1506</v>
      </c>
      <c r="AD256" s="1"/>
      <c r="AE256" s="1" t="s">
        <v>659</v>
      </c>
      <c r="AF256" s="1"/>
      <c r="AG256" s="1"/>
      <c r="AH256" s="1"/>
      <c r="AI256" s="1"/>
      <c r="AJ256" s="1"/>
    </row>
    <row r="257" spans="1:36" x14ac:dyDescent="0.2">
      <c r="A257" s="12">
        <v>45200.516986909723</v>
      </c>
      <c r="B257" s="13" t="s">
        <v>1507</v>
      </c>
      <c r="C257" s="13">
        <v>3209155530</v>
      </c>
      <c r="D257" s="13" t="s">
        <v>79</v>
      </c>
      <c r="E257" s="13" t="s">
        <v>865</v>
      </c>
      <c r="F257" s="13" t="s">
        <v>929</v>
      </c>
      <c r="G257" s="13" t="s">
        <v>1508</v>
      </c>
      <c r="H257" s="13">
        <v>32985958</v>
      </c>
      <c r="I257" s="13">
        <v>3113077807</v>
      </c>
      <c r="J257" s="13"/>
      <c r="K257" s="13"/>
      <c r="L257" s="13">
        <v>14</v>
      </c>
      <c r="M257" s="13">
        <v>14</v>
      </c>
      <c r="N257" s="13" t="s">
        <v>35</v>
      </c>
      <c r="O257" s="13"/>
      <c r="P257" s="13">
        <v>1</v>
      </c>
      <c r="Q257" s="13">
        <v>62</v>
      </c>
      <c r="R257" s="13" t="s">
        <v>453</v>
      </c>
      <c r="S257" s="13" t="s">
        <v>38</v>
      </c>
      <c r="T257" s="13" t="s">
        <v>422</v>
      </c>
      <c r="U257" s="13"/>
      <c r="V257" s="13"/>
      <c r="W257" s="13"/>
      <c r="X257" s="13"/>
      <c r="Y257" s="13"/>
      <c r="Z257" s="13"/>
      <c r="AA257" s="13"/>
      <c r="AB257" s="13"/>
      <c r="AC257" s="13" t="s">
        <v>1509</v>
      </c>
      <c r="AD257" s="13"/>
      <c r="AE257" s="13">
        <v>14</v>
      </c>
      <c r="AF257" s="17"/>
      <c r="AG257" s="17"/>
      <c r="AH257" s="17"/>
      <c r="AI257" s="17"/>
      <c r="AJ257" s="17"/>
    </row>
    <row r="258" spans="1:36" x14ac:dyDescent="0.2">
      <c r="A258" s="12">
        <v>45200.52112701389</v>
      </c>
      <c r="B258" s="13" t="s">
        <v>1459</v>
      </c>
      <c r="C258" s="13">
        <v>3233217594</v>
      </c>
      <c r="D258" s="13" t="s">
        <v>30</v>
      </c>
      <c r="E258" s="13" t="s">
        <v>865</v>
      </c>
      <c r="F258" s="13" t="s">
        <v>1510</v>
      </c>
      <c r="G258" s="13" t="s">
        <v>1511</v>
      </c>
      <c r="H258" s="13">
        <v>1193519139</v>
      </c>
      <c r="I258" s="13">
        <v>3508760570</v>
      </c>
      <c r="J258" s="13"/>
      <c r="K258" s="13">
        <v>3103857058</v>
      </c>
      <c r="L258" s="13" t="s">
        <v>400</v>
      </c>
      <c r="M258" s="13">
        <v>2</v>
      </c>
      <c r="N258" s="13" t="s">
        <v>35</v>
      </c>
      <c r="O258" s="13"/>
      <c r="P258" s="13">
        <v>2</v>
      </c>
      <c r="Q258" s="13" t="s">
        <v>1512</v>
      </c>
      <c r="R258" s="13" t="s">
        <v>1513</v>
      </c>
      <c r="S258" s="13" t="s">
        <v>110</v>
      </c>
      <c r="T258" s="13" t="s">
        <v>35</v>
      </c>
      <c r="U258" s="13"/>
      <c r="V258" s="13"/>
      <c r="W258" s="13"/>
      <c r="X258" s="13"/>
      <c r="Y258" s="13"/>
      <c r="Z258" s="13"/>
      <c r="AA258" s="13"/>
      <c r="AB258" s="13"/>
      <c r="AC258" s="13"/>
      <c r="AD258" s="13"/>
      <c r="AE258" s="13" t="s">
        <v>400</v>
      </c>
      <c r="AF258" s="17"/>
      <c r="AG258" s="17"/>
      <c r="AH258" s="17"/>
      <c r="AI258" s="17"/>
      <c r="AJ258" s="17"/>
    </row>
    <row r="259" spans="1:36" x14ac:dyDescent="0.2">
      <c r="A259" s="12">
        <v>45200.524683043986</v>
      </c>
      <c r="B259" s="13" t="s">
        <v>1514</v>
      </c>
      <c r="C259" s="13">
        <v>3233217594</v>
      </c>
      <c r="D259" s="13" t="s">
        <v>30</v>
      </c>
      <c r="E259" s="13" t="s">
        <v>865</v>
      </c>
      <c r="F259" s="13" t="s">
        <v>1415</v>
      </c>
      <c r="G259" s="13" t="s">
        <v>1515</v>
      </c>
      <c r="H259" s="13">
        <v>43743022</v>
      </c>
      <c r="I259" s="13">
        <v>3001901095</v>
      </c>
      <c r="J259" s="13"/>
      <c r="K259" s="13">
        <v>3103551897</v>
      </c>
      <c r="L259" s="13">
        <v>15</v>
      </c>
      <c r="M259" s="13">
        <v>15</v>
      </c>
      <c r="N259" s="13" t="s">
        <v>35</v>
      </c>
      <c r="O259" s="13"/>
      <c r="P259" s="13">
        <v>2</v>
      </c>
      <c r="Q259" s="13" t="s">
        <v>1516</v>
      </c>
      <c r="R259" s="13" t="s">
        <v>869</v>
      </c>
      <c r="S259" s="13" t="s">
        <v>38</v>
      </c>
      <c r="T259" s="13" t="s">
        <v>35</v>
      </c>
      <c r="U259" s="13"/>
      <c r="V259" s="13"/>
      <c r="W259" s="13"/>
      <c r="X259" s="13"/>
      <c r="Y259" s="13"/>
      <c r="Z259" s="13"/>
      <c r="AA259" s="13"/>
      <c r="AB259" s="13"/>
      <c r="AC259" s="13"/>
      <c r="AD259" s="13"/>
      <c r="AE259" s="13">
        <v>15</v>
      </c>
      <c r="AF259" s="17"/>
      <c r="AG259" s="17"/>
      <c r="AH259" s="17"/>
      <c r="AI259" s="17"/>
      <c r="AJ259" s="17"/>
    </row>
    <row r="260" spans="1:36" x14ac:dyDescent="0.2">
      <c r="A260" s="12">
        <v>45200.555814016203</v>
      </c>
      <c r="B260" s="13" t="s">
        <v>1451</v>
      </c>
      <c r="C260" s="13">
        <v>3042044378</v>
      </c>
      <c r="D260" s="13" t="s">
        <v>79</v>
      </c>
      <c r="E260" s="13" t="s">
        <v>865</v>
      </c>
      <c r="F260" s="13" t="s">
        <v>1517</v>
      </c>
      <c r="G260" s="13" t="s">
        <v>1518</v>
      </c>
      <c r="H260" s="13">
        <v>39326182</v>
      </c>
      <c r="I260" s="13">
        <v>3186812280</v>
      </c>
      <c r="J260" s="13" t="s">
        <v>1519</v>
      </c>
      <c r="K260" s="13">
        <v>3242585143</v>
      </c>
      <c r="L260" s="13" t="s">
        <v>1520</v>
      </c>
      <c r="M260" s="13" t="s">
        <v>180</v>
      </c>
      <c r="N260" s="13" t="s">
        <v>35</v>
      </c>
      <c r="O260" s="13"/>
      <c r="P260" s="13">
        <v>3</v>
      </c>
      <c r="Q260" s="13" t="s">
        <v>1521</v>
      </c>
      <c r="R260" s="13" t="s">
        <v>1522</v>
      </c>
      <c r="S260" s="13" t="s">
        <v>38</v>
      </c>
      <c r="T260" s="13" t="s">
        <v>1523</v>
      </c>
      <c r="U260" s="13"/>
      <c r="V260" s="13"/>
      <c r="W260" s="13"/>
      <c r="X260" s="13"/>
      <c r="Y260" s="13"/>
      <c r="Z260" s="13"/>
      <c r="AA260" s="13"/>
      <c r="AB260" s="13"/>
      <c r="AC260" s="13" t="s">
        <v>1524</v>
      </c>
      <c r="AD260" s="13"/>
      <c r="AE260" s="13" t="s">
        <v>1520</v>
      </c>
      <c r="AF260" s="17"/>
      <c r="AG260" s="17"/>
      <c r="AH260" s="17"/>
      <c r="AI260" s="17"/>
      <c r="AJ260" s="17"/>
    </row>
    <row r="261" spans="1:36" x14ac:dyDescent="0.2">
      <c r="A261" s="12">
        <v>45204.546937476851</v>
      </c>
      <c r="B261" s="13" t="s">
        <v>1128</v>
      </c>
      <c r="C261" s="13">
        <v>3015573599</v>
      </c>
      <c r="D261" s="13" t="s">
        <v>79</v>
      </c>
      <c r="E261" s="13" t="s">
        <v>865</v>
      </c>
      <c r="F261" s="13" t="s">
        <v>1525</v>
      </c>
      <c r="G261" s="13" t="s">
        <v>1526</v>
      </c>
      <c r="H261" s="13">
        <v>1037648580</v>
      </c>
      <c r="I261" s="13">
        <v>3024614999</v>
      </c>
      <c r="J261" s="13" t="s">
        <v>1527</v>
      </c>
      <c r="K261" s="13">
        <v>3126733240</v>
      </c>
      <c r="L261" s="13">
        <v>17</v>
      </c>
      <c r="M261" s="13">
        <v>12</v>
      </c>
      <c r="N261" s="13" t="s">
        <v>35</v>
      </c>
      <c r="O261" s="13"/>
      <c r="P261" s="13">
        <v>1</v>
      </c>
      <c r="Q261" s="13" t="s">
        <v>1528</v>
      </c>
      <c r="R261" s="13" t="s">
        <v>1529</v>
      </c>
      <c r="S261" s="13" t="s">
        <v>38</v>
      </c>
      <c r="T261" s="13" t="s">
        <v>276</v>
      </c>
      <c r="U261" s="13"/>
      <c r="V261" s="13"/>
      <c r="W261" s="13"/>
      <c r="X261" s="13"/>
      <c r="Y261" s="13"/>
      <c r="Z261" s="13"/>
      <c r="AA261" s="13"/>
      <c r="AB261" s="13"/>
      <c r="AC261" s="13"/>
      <c r="AD261" s="13"/>
      <c r="AE261" s="13">
        <v>17</v>
      </c>
      <c r="AF261" s="17"/>
      <c r="AG261" s="17"/>
      <c r="AH261" s="17"/>
      <c r="AI261" s="17"/>
      <c r="AJ261" s="17"/>
    </row>
    <row r="262" spans="1:36" x14ac:dyDescent="0.2">
      <c r="A262" s="12">
        <v>45207.377299699074</v>
      </c>
      <c r="B262" s="13" t="s">
        <v>1530</v>
      </c>
      <c r="C262" s="13">
        <v>305</v>
      </c>
      <c r="D262" s="13" t="s">
        <v>30</v>
      </c>
      <c r="E262" s="13" t="s">
        <v>865</v>
      </c>
      <c r="F262" s="13" t="s">
        <v>1531</v>
      </c>
      <c r="G262" s="13" t="s">
        <v>1532</v>
      </c>
      <c r="H262" s="13">
        <v>10171128505</v>
      </c>
      <c r="I262" s="13">
        <v>3114293850</v>
      </c>
      <c r="J262" s="13"/>
      <c r="K262" s="13"/>
      <c r="L262" s="13" t="s">
        <v>286</v>
      </c>
      <c r="M262" s="13" t="s">
        <v>1138</v>
      </c>
      <c r="N262" s="13" t="s">
        <v>35</v>
      </c>
      <c r="O262" s="13"/>
      <c r="P262" s="13">
        <v>3</v>
      </c>
      <c r="Q262" s="13" t="s">
        <v>1533</v>
      </c>
      <c r="R262" s="13" t="s">
        <v>62</v>
      </c>
      <c r="S262" s="13" t="s">
        <v>110</v>
      </c>
      <c r="T262" s="13" t="s">
        <v>541</v>
      </c>
      <c r="U262" s="13"/>
      <c r="V262" s="13"/>
      <c r="W262" s="13"/>
      <c r="X262" s="13"/>
      <c r="Y262" s="13"/>
      <c r="Z262" s="13"/>
      <c r="AA262" s="13"/>
      <c r="AB262" s="13"/>
      <c r="AC262" s="13" t="s">
        <v>1534</v>
      </c>
      <c r="AD262" s="13"/>
      <c r="AE262" s="13" t="s">
        <v>286</v>
      </c>
      <c r="AF262" s="17"/>
      <c r="AG262" s="17"/>
      <c r="AH262" s="17"/>
      <c r="AI262" s="17"/>
      <c r="AJ262" s="17"/>
    </row>
    <row r="263" spans="1:36" x14ac:dyDescent="0.2">
      <c r="A263" s="5">
        <v>45207.404738171295</v>
      </c>
      <c r="B263" s="1" t="s">
        <v>416</v>
      </c>
      <c r="C263" s="1">
        <v>3242310729</v>
      </c>
      <c r="D263" s="1" t="s">
        <v>79</v>
      </c>
      <c r="E263" s="1" t="s">
        <v>493</v>
      </c>
      <c r="F263" s="1" t="s">
        <v>1535</v>
      </c>
      <c r="G263" s="1" t="s">
        <v>1536</v>
      </c>
      <c r="H263" s="1">
        <v>32462614</v>
      </c>
      <c r="I263" s="1">
        <v>3206040708</v>
      </c>
      <c r="J263" s="1" t="s">
        <v>1537</v>
      </c>
      <c r="K263" s="1"/>
      <c r="L263" s="1" t="s">
        <v>379</v>
      </c>
      <c r="M263" s="1" t="s">
        <v>379</v>
      </c>
      <c r="N263" s="1" t="s">
        <v>35</v>
      </c>
      <c r="O263" s="1"/>
      <c r="P263" s="1">
        <v>1</v>
      </c>
      <c r="Q263" s="1">
        <v>74</v>
      </c>
      <c r="R263" s="1" t="s">
        <v>1538</v>
      </c>
      <c r="S263" s="1" t="s">
        <v>38</v>
      </c>
      <c r="T263" s="1" t="s">
        <v>1539</v>
      </c>
      <c r="U263" s="1"/>
      <c r="V263" s="1"/>
      <c r="W263" s="1"/>
      <c r="X263" s="1"/>
      <c r="Y263" s="1"/>
      <c r="Z263" s="1"/>
      <c r="AA263" s="1"/>
      <c r="AB263" s="1"/>
      <c r="AC263" s="1" t="s">
        <v>1540</v>
      </c>
      <c r="AD263" s="1"/>
      <c r="AE263" s="1" t="s">
        <v>379</v>
      </c>
      <c r="AF263" s="1"/>
      <c r="AG263" s="1"/>
      <c r="AH263" s="1"/>
      <c r="AI263" s="1"/>
      <c r="AJ263" s="1"/>
    </row>
    <row r="264" spans="1:36" x14ac:dyDescent="0.2">
      <c r="A264" s="18">
        <v>45207.48927262731</v>
      </c>
      <c r="B264" s="19" t="s">
        <v>416</v>
      </c>
      <c r="C264" s="19">
        <v>3342310729</v>
      </c>
      <c r="D264" s="19" t="s">
        <v>79</v>
      </c>
      <c r="E264" s="19" t="s">
        <v>493</v>
      </c>
      <c r="F264" s="19" t="s">
        <v>1541</v>
      </c>
      <c r="G264" s="19" t="s">
        <v>1542</v>
      </c>
      <c r="H264" s="19">
        <v>10755042</v>
      </c>
      <c r="I264" s="19">
        <v>3005652324</v>
      </c>
      <c r="J264" s="19" t="s">
        <v>1543</v>
      </c>
      <c r="K264" s="19">
        <v>3045666598</v>
      </c>
      <c r="L264" s="19" t="s">
        <v>379</v>
      </c>
      <c r="M264" s="19" t="s">
        <v>379</v>
      </c>
      <c r="N264" s="19" t="s">
        <v>35</v>
      </c>
      <c r="O264" s="19"/>
      <c r="P264" s="19">
        <v>3</v>
      </c>
      <c r="Q264" s="19" t="s">
        <v>1544</v>
      </c>
      <c r="R264" s="19" t="s">
        <v>1545</v>
      </c>
      <c r="S264" s="19" t="s">
        <v>1546</v>
      </c>
      <c r="T264" s="19" t="s">
        <v>170</v>
      </c>
      <c r="U264" s="19"/>
      <c r="V264" s="19"/>
      <c r="W264" s="19"/>
      <c r="X264" s="19"/>
      <c r="Y264" s="19"/>
      <c r="Z264" s="19"/>
      <c r="AA264" s="19"/>
      <c r="AB264" s="19"/>
      <c r="AC264" s="19" t="s">
        <v>1547</v>
      </c>
      <c r="AD264" s="19"/>
      <c r="AE264" s="19" t="s">
        <v>379</v>
      </c>
      <c r="AF264" s="19"/>
      <c r="AG264" s="19"/>
      <c r="AH264" s="19"/>
      <c r="AI264" s="19"/>
      <c r="AJ264" s="19"/>
    </row>
    <row r="265" spans="1:36" x14ac:dyDescent="0.2">
      <c r="A265" s="12">
        <v>45213.717805995373</v>
      </c>
      <c r="B265" s="13" t="s">
        <v>871</v>
      </c>
      <c r="C265" s="13">
        <v>3116299558</v>
      </c>
      <c r="D265" s="13" t="s">
        <v>79</v>
      </c>
      <c r="E265" s="13" t="s">
        <v>865</v>
      </c>
      <c r="F265" s="13" t="s">
        <v>1548</v>
      </c>
      <c r="G265" s="13" t="s">
        <v>1549</v>
      </c>
      <c r="H265" s="13">
        <v>39409264</v>
      </c>
      <c r="I265" s="13">
        <v>3146918283</v>
      </c>
      <c r="J265" s="13" t="s">
        <v>1550</v>
      </c>
      <c r="K265" s="13">
        <v>3128615074</v>
      </c>
      <c r="L265" s="13">
        <v>5</v>
      </c>
      <c r="M265" s="13">
        <v>5</v>
      </c>
      <c r="N265" s="13" t="s">
        <v>35</v>
      </c>
      <c r="O265" s="13"/>
      <c r="P265" s="13">
        <v>3</v>
      </c>
      <c r="Q265" s="13" t="s">
        <v>1551</v>
      </c>
      <c r="R265" s="13" t="s">
        <v>1552</v>
      </c>
      <c r="S265" s="13" t="s">
        <v>1553</v>
      </c>
      <c r="T265" s="13" t="s">
        <v>1554</v>
      </c>
      <c r="U265" s="13"/>
      <c r="V265" s="13"/>
      <c r="W265" s="13"/>
      <c r="X265" s="13"/>
      <c r="Y265" s="13"/>
      <c r="Z265" s="13"/>
      <c r="AA265" s="13"/>
      <c r="AB265" s="13"/>
      <c r="AC265" s="13" t="s">
        <v>1555</v>
      </c>
      <c r="AD265" s="13"/>
      <c r="AE265" s="13">
        <v>5</v>
      </c>
      <c r="AF265" s="1"/>
      <c r="AG265" s="1"/>
      <c r="AH265" s="1"/>
      <c r="AI265" s="1"/>
      <c r="AJ265" s="1"/>
    </row>
    <row r="266" spans="1:36" x14ac:dyDescent="0.2">
      <c r="A266" s="12">
        <v>45213.728957372688</v>
      </c>
      <c r="B266" s="13" t="s">
        <v>871</v>
      </c>
      <c r="C266" s="13">
        <v>3116299558</v>
      </c>
      <c r="D266" s="13" t="s">
        <v>79</v>
      </c>
      <c r="E266" s="13" t="s">
        <v>865</v>
      </c>
      <c r="F266" s="13" t="s">
        <v>1415</v>
      </c>
      <c r="G266" s="13" t="s">
        <v>1556</v>
      </c>
      <c r="H266" s="13">
        <v>19586349</v>
      </c>
      <c r="I266" s="13">
        <v>3217727921</v>
      </c>
      <c r="J266" s="13" t="s">
        <v>1557</v>
      </c>
      <c r="K266" s="13">
        <v>3007823212</v>
      </c>
      <c r="L266" s="13">
        <v>2</v>
      </c>
      <c r="M266" s="13">
        <v>2</v>
      </c>
      <c r="N266" s="13" t="s">
        <v>35</v>
      </c>
      <c r="O266" s="13"/>
      <c r="P266" s="13">
        <v>3</v>
      </c>
      <c r="Q266" s="13" t="s">
        <v>1558</v>
      </c>
      <c r="R266" s="13" t="s">
        <v>244</v>
      </c>
      <c r="S266" s="13" t="s">
        <v>1017</v>
      </c>
      <c r="T266" s="13" t="s">
        <v>1219</v>
      </c>
      <c r="U266" s="13"/>
      <c r="V266" s="13"/>
      <c r="W266" s="13"/>
      <c r="X266" s="13"/>
      <c r="Y266" s="13"/>
      <c r="Z266" s="13"/>
      <c r="AA266" s="13"/>
      <c r="AB266" s="13"/>
      <c r="AC266" s="13" t="s">
        <v>1559</v>
      </c>
      <c r="AD266" s="13"/>
      <c r="AE266" s="13">
        <v>2</v>
      </c>
      <c r="AF266" s="1"/>
      <c r="AG266" s="1"/>
      <c r="AH266" s="1"/>
      <c r="AI266" s="1"/>
      <c r="AJ266" s="1"/>
    </row>
    <row r="267" spans="1:36" x14ac:dyDescent="0.2">
      <c r="A267" s="12">
        <v>45213.737001238427</v>
      </c>
      <c r="B267" s="13" t="s">
        <v>871</v>
      </c>
      <c r="C267" s="13">
        <v>3116299558</v>
      </c>
      <c r="D267" s="13" t="s">
        <v>79</v>
      </c>
      <c r="E267" s="13" t="s">
        <v>865</v>
      </c>
      <c r="F267" s="13" t="s">
        <v>1560</v>
      </c>
      <c r="G267" s="13" t="s">
        <v>1561</v>
      </c>
      <c r="H267" s="13">
        <v>43844285</v>
      </c>
      <c r="I267" s="13">
        <v>3146222931</v>
      </c>
      <c r="J267" s="13" t="s">
        <v>1562</v>
      </c>
      <c r="K267" s="13" t="s">
        <v>1562</v>
      </c>
      <c r="L267" s="13">
        <v>5</v>
      </c>
      <c r="M267" s="13">
        <v>3</v>
      </c>
      <c r="N267" s="13" t="s">
        <v>35</v>
      </c>
      <c r="O267" s="13"/>
      <c r="P267" s="13">
        <v>6</v>
      </c>
      <c r="Q267" s="13" t="s">
        <v>1563</v>
      </c>
      <c r="R267" s="13" t="s">
        <v>1564</v>
      </c>
      <c r="S267" s="13" t="s">
        <v>110</v>
      </c>
      <c r="T267" s="13" t="s">
        <v>1219</v>
      </c>
      <c r="U267" s="13"/>
      <c r="V267" s="13"/>
      <c r="W267" s="13"/>
      <c r="X267" s="13"/>
      <c r="Y267" s="13"/>
      <c r="Z267" s="13"/>
      <c r="AA267" s="13"/>
      <c r="AB267" s="13"/>
      <c r="AC267" s="13" t="s">
        <v>1565</v>
      </c>
      <c r="AD267" s="13"/>
      <c r="AE267" s="13">
        <v>5</v>
      </c>
      <c r="AF267" s="1"/>
      <c r="AG267" s="1"/>
      <c r="AH267" s="1"/>
      <c r="AI267" s="1"/>
      <c r="AJ267" s="1"/>
    </row>
    <row r="268" spans="1:36" x14ac:dyDescent="0.2">
      <c r="A268" s="12">
        <v>45213.746132314816</v>
      </c>
      <c r="B268" s="13" t="s">
        <v>871</v>
      </c>
      <c r="C268" s="13">
        <v>3116299558</v>
      </c>
      <c r="D268" s="13" t="s">
        <v>79</v>
      </c>
      <c r="E268" s="13" t="s">
        <v>865</v>
      </c>
      <c r="F268" s="13" t="s">
        <v>1566</v>
      </c>
      <c r="G268" s="13" t="s">
        <v>1567</v>
      </c>
      <c r="H268" s="13">
        <v>30752054</v>
      </c>
      <c r="I268" s="13">
        <v>3023571555</v>
      </c>
      <c r="J268" s="13" t="s">
        <v>1562</v>
      </c>
      <c r="K268" s="13" t="s">
        <v>1562</v>
      </c>
      <c r="L268" s="13">
        <v>1</v>
      </c>
      <c r="M268" s="13" t="s">
        <v>1568</v>
      </c>
      <c r="N268" s="13" t="s">
        <v>132</v>
      </c>
      <c r="O268" s="13"/>
      <c r="P268" s="13">
        <v>4</v>
      </c>
      <c r="Q268" s="13" t="s">
        <v>1569</v>
      </c>
      <c r="R268" s="13" t="s">
        <v>1570</v>
      </c>
      <c r="S268" s="13" t="s">
        <v>110</v>
      </c>
      <c r="T268" s="13" t="s">
        <v>1571</v>
      </c>
      <c r="U268" s="13"/>
      <c r="V268" s="13"/>
      <c r="W268" s="13"/>
      <c r="X268" s="13"/>
      <c r="Y268" s="13"/>
      <c r="Z268" s="13"/>
      <c r="AA268" s="13"/>
      <c r="AB268" s="13"/>
      <c r="AC268" s="13" t="s">
        <v>1572</v>
      </c>
      <c r="AD268" s="13"/>
      <c r="AE268" s="13">
        <v>1</v>
      </c>
      <c r="AF268" s="1"/>
      <c r="AG268" s="1"/>
      <c r="AH268" s="1"/>
      <c r="AI268" s="1"/>
      <c r="AJ268" s="1"/>
    </row>
    <row r="269" spans="1:36" x14ac:dyDescent="0.2">
      <c r="A269" s="12">
        <v>45213.755969351856</v>
      </c>
      <c r="B269" s="13" t="s">
        <v>871</v>
      </c>
      <c r="C269" s="13">
        <v>3116299558</v>
      </c>
      <c r="D269" s="13" t="s">
        <v>79</v>
      </c>
      <c r="E269" s="13" t="s">
        <v>865</v>
      </c>
      <c r="F269" s="13" t="s">
        <v>1573</v>
      </c>
      <c r="G269" s="13" t="s">
        <v>1574</v>
      </c>
      <c r="H269" s="13">
        <v>1152683030</v>
      </c>
      <c r="I269" s="13">
        <v>3128832290</v>
      </c>
      <c r="J269" s="13" t="s">
        <v>1575</v>
      </c>
      <c r="K269" s="13">
        <v>3044795421</v>
      </c>
      <c r="L269" s="13">
        <v>8</v>
      </c>
      <c r="M269" s="13">
        <v>8</v>
      </c>
      <c r="N269" s="13" t="s">
        <v>35</v>
      </c>
      <c r="O269" s="13"/>
      <c r="P269" s="13">
        <v>3</v>
      </c>
      <c r="Q269" s="13" t="s">
        <v>1576</v>
      </c>
      <c r="R269" s="13" t="s">
        <v>1577</v>
      </c>
      <c r="S269" s="13" t="s">
        <v>110</v>
      </c>
      <c r="T269" s="13" t="s">
        <v>1219</v>
      </c>
      <c r="U269" s="13"/>
      <c r="V269" s="13"/>
      <c r="W269" s="13"/>
      <c r="X269" s="13"/>
      <c r="Y269" s="13"/>
      <c r="Z269" s="13"/>
      <c r="AA269" s="13"/>
      <c r="AB269" s="13"/>
      <c r="AC269" s="13" t="s">
        <v>1578</v>
      </c>
      <c r="AD269" s="13"/>
      <c r="AE269" s="13">
        <v>8</v>
      </c>
      <c r="AF269" s="1"/>
      <c r="AG269" s="1"/>
      <c r="AH269" s="1"/>
      <c r="AI269" s="1"/>
      <c r="AJ269" s="1"/>
    </row>
    <row r="270" spans="1:36" x14ac:dyDescent="0.2">
      <c r="A270" s="12">
        <v>45214.403709918981</v>
      </c>
      <c r="B270" s="13" t="s">
        <v>1579</v>
      </c>
      <c r="C270" s="13">
        <v>3147255457</v>
      </c>
      <c r="D270" s="13" t="s">
        <v>79</v>
      </c>
      <c r="E270" s="13" t="s">
        <v>865</v>
      </c>
      <c r="F270" s="13" t="s">
        <v>1180</v>
      </c>
      <c r="G270" s="13" t="s">
        <v>1580</v>
      </c>
      <c r="H270" s="13">
        <v>1036673274</v>
      </c>
      <c r="I270" s="13">
        <v>3242953173</v>
      </c>
      <c r="J270" s="13" t="s">
        <v>1581</v>
      </c>
      <c r="K270" s="13">
        <v>3205962345</v>
      </c>
      <c r="L270" s="13" t="s">
        <v>167</v>
      </c>
      <c r="M270" s="13" t="s">
        <v>784</v>
      </c>
      <c r="N270" s="13" t="s">
        <v>35</v>
      </c>
      <c r="O270" s="13"/>
      <c r="P270" s="13">
        <v>2</v>
      </c>
      <c r="Q270" s="13" t="s">
        <v>1582</v>
      </c>
      <c r="R270" s="13" t="s">
        <v>411</v>
      </c>
      <c r="S270" s="13" t="s">
        <v>38</v>
      </c>
      <c r="T270" s="13" t="s">
        <v>1583</v>
      </c>
      <c r="U270" s="13"/>
      <c r="V270" s="13"/>
      <c r="W270" s="13"/>
      <c r="X270" s="13"/>
      <c r="Y270" s="13"/>
      <c r="Z270" s="13"/>
      <c r="AA270" s="13"/>
      <c r="AB270" s="13"/>
      <c r="AC270" s="13" t="s">
        <v>1584</v>
      </c>
      <c r="AD270" s="13"/>
      <c r="AE270" s="13" t="s">
        <v>167</v>
      </c>
      <c r="AF270" s="1"/>
      <c r="AG270" s="1"/>
      <c r="AH270" s="1"/>
      <c r="AI270" s="1"/>
      <c r="AJ270" s="1"/>
    </row>
    <row r="271" spans="1:36" x14ac:dyDescent="0.2">
      <c r="A271" s="12">
        <v>45214.453432800925</v>
      </c>
      <c r="B271" s="13" t="s">
        <v>1585</v>
      </c>
      <c r="C271" s="13">
        <v>3178071274</v>
      </c>
      <c r="D271" s="13" t="s">
        <v>79</v>
      </c>
      <c r="E271" s="13" t="s">
        <v>865</v>
      </c>
      <c r="F271" s="13" t="s">
        <v>1586</v>
      </c>
      <c r="G271" s="13" t="s">
        <v>1587</v>
      </c>
      <c r="H271" s="13">
        <v>43155467</v>
      </c>
      <c r="I271" s="13">
        <v>3137851407</v>
      </c>
      <c r="J271" s="13" t="s">
        <v>1588</v>
      </c>
      <c r="K271" s="13">
        <v>3108049353</v>
      </c>
      <c r="L271" s="13" t="s">
        <v>44</v>
      </c>
      <c r="M271" s="13" t="s">
        <v>1589</v>
      </c>
      <c r="N271" s="13" t="s">
        <v>35</v>
      </c>
      <c r="O271" s="13"/>
      <c r="P271" s="13">
        <v>2</v>
      </c>
      <c r="Q271" s="13">
        <v>50.45</v>
      </c>
      <c r="R271" s="13" t="s">
        <v>1590</v>
      </c>
      <c r="S271" s="13" t="s">
        <v>110</v>
      </c>
      <c r="T271" s="15">
        <v>500000</v>
      </c>
      <c r="U271" s="13"/>
      <c r="V271" s="13"/>
      <c r="W271" s="13"/>
      <c r="X271" s="13"/>
      <c r="Y271" s="13"/>
      <c r="Z271" s="13"/>
      <c r="AA271" s="13"/>
      <c r="AB271" s="13"/>
      <c r="AC271" s="13" t="s">
        <v>1591</v>
      </c>
      <c r="AD271" s="13"/>
      <c r="AE271" s="13" t="s">
        <v>44</v>
      </c>
      <c r="AF271" s="1"/>
      <c r="AG271" s="1"/>
      <c r="AH271" s="1"/>
      <c r="AI271" s="1"/>
      <c r="AJ271" s="1"/>
    </row>
    <row r="272" spans="1:36" x14ac:dyDescent="0.2">
      <c r="A272" s="12">
        <v>45214.567939976856</v>
      </c>
      <c r="B272" s="13" t="s">
        <v>1233</v>
      </c>
      <c r="C272" s="13">
        <v>3105276997</v>
      </c>
      <c r="D272" s="13" t="s">
        <v>79</v>
      </c>
      <c r="E272" s="13" t="s">
        <v>865</v>
      </c>
      <c r="F272" s="13" t="s">
        <v>1592</v>
      </c>
      <c r="G272" s="13" t="s">
        <v>1593</v>
      </c>
      <c r="H272" s="13">
        <v>1020493516</v>
      </c>
      <c r="I272" s="13">
        <v>3106266278</v>
      </c>
      <c r="J272" s="13">
        <v>3147802598</v>
      </c>
      <c r="K272" s="13">
        <v>3106266278</v>
      </c>
      <c r="L272" s="13" t="s">
        <v>1594</v>
      </c>
      <c r="M272" s="13" t="s">
        <v>1594</v>
      </c>
      <c r="N272" s="13" t="s">
        <v>35</v>
      </c>
      <c r="O272" s="13"/>
      <c r="P272" s="13">
        <v>5</v>
      </c>
      <c r="Q272" s="13" t="s">
        <v>1595</v>
      </c>
      <c r="R272" s="13" t="s">
        <v>1596</v>
      </c>
      <c r="S272" s="13" t="s">
        <v>38</v>
      </c>
      <c r="T272" s="13" t="s">
        <v>132</v>
      </c>
      <c r="U272" s="13"/>
      <c r="V272" s="13"/>
      <c r="W272" s="13"/>
      <c r="X272" s="13"/>
      <c r="Y272" s="13"/>
      <c r="Z272" s="13"/>
      <c r="AA272" s="13"/>
      <c r="AB272" s="13"/>
      <c r="AC272" s="13"/>
      <c r="AD272" s="13"/>
      <c r="AE272" s="13" t="s">
        <v>1594</v>
      </c>
      <c r="AF272" s="1"/>
      <c r="AG272" s="1"/>
      <c r="AH272" s="1"/>
      <c r="AI272" s="1"/>
      <c r="AJ272" s="1"/>
    </row>
    <row r="273" spans="1:36" x14ac:dyDescent="0.2">
      <c r="A273" s="12">
        <v>45214.573339583338</v>
      </c>
      <c r="B273" s="13" t="s">
        <v>1597</v>
      </c>
      <c r="C273" s="13">
        <v>3105265997</v>
      </c>
      <c r="D273" s="13" t="s">
        <v>79</v>
      </c>
      <c r="E273" s="13" t="s">
        <v>865</v>
      </c>
      <c r="F273" s="13" t="s">
        <v>1598</v>
      </c>
      <c r="G273" s="13" t="s">
        <v>1599</v>
      </c>
      <c r="H273" s="13">
        <v>1038766483</v>
      </c>
      <c r="I273" s="13">
        <v>3236292939</v>
      </c>
      <c r="J273" s="13">
        <v>3006854087</v>
      </c>
      <c r="K273" s="13"/>
      <c r="L273" s="13" t="s">
        <v>335</v>
      </c>
      <c r="M273" s="13" t="s">
        <v>44</v>
      </c>
      <c r="N273" s="13" t="s">
        <v>35</v>
      </c>
      <c r="O273" s="13"/>
      <c r="P273" s="13">
        <v>3</v>
      </c>
      <c r="Q273" s="13" t="s">
        <v>1600</v>
      </c>
      <c r="R273" s="13" t="s">
        <v>1601</v>
      </c>
      <c r="S273" s="13" t="s">
        <v>38</v>
      </c>
      <c r="T273" s="13" t="s">
        <v>132</v>
      </c>
      <c r="U273" s="13"/>
      <c r="V273" s="13"/>
      <c r="W273" s="13"/>
      <c r="X273" s="13"/>
      <c r="Y273" s="13"/>
      <c r="Z273" s="13"/>
      <c r="AA273" s="13"/>
      <c r="AB273" s="13"/>
      <c r="AC273" s="13"/>
      <c r="AD273" s="13"/>
      <c r="AE273" s="13" t="s">
        <v>335</v>
      </c>
      <c r="AF273" s="1"/>
      <c r="AG273" s="1"/>
      <c r="AH273" s="1"/>
      <c r="AI273" s="1"/>
      <c r="AJ273" s="1"/>
    </row>
    <row r="274" spans="1:36" x14ac:dyDescent="0.2">
      <c r="A274" s="5">
        <v>45241.546742326391</v>
      </c>
      <c r="B274" s="1" t="s">
        <v>1602</v>
      </c>
      <c r="C274" s="1">
        <v>3017388009</v>
      </c>
      <c r="D274" s="1" t="s">
        <v>79</v>
      </c>
      <c r="E274" s="1" t="s">
        <v>493</v>
      </c>
      <c r="F274" s="1" t="s">
        <v>1603</v>
      </c>
      <c r="G274" s="1" t="s">
        <v>1604</v>
      </c>
      <c r="H274" s="1">
        <v>1003337583</v>
      </c>
      <c r="I274" s="1">
        <v>3105245469</v>
      </c>
      <c r="J274" s="1" t="s">
        <v>1605</v>
      </c>
      <c r="K274" s="1">
        <v>3226770045</v>
      </c>
      <c r="L274" s="1">
        <v>8</v>
      </c>
      <c r="M274" s="1">
        <v>8</v>
      </c>
      <c r="N274" s="1" t="s">
        <v>35</v>
      </c>
      <c r="O274" s="1"/>
      <c r="P274" s="1">
        <v>4</v>
      </c>
      <c r="Q274" s="1" t="s">
        <v>1606</v>
      </c>
      <c r="R274" s="1" t="s">
        <v>1607</v>
      </c>
      <c r="S274" s="1" t="s">
        <v>1608</v>
      </c>
      <c r="T274" s="1" t="s">
        <v>1609</v>
      </c>
      <c r="U274" s="1"/>
      <c r="V274" s="1"/>
      <c r="W274" s="1"/>
      <c r="X274" s="1"/>
      <c r="Y274" s="1"/>
      <c r="Z274" s="1"/>
      <c r="AA274" s="1"/>
      <c r="AB274" s="1"/>
      <c r="AC274" s="1" t="s">
        <v>1610</v>
      </c>
      <c r="AD274" s="1"/>
      <c r="AE274" s="1">
        <v>8</v>
      </c>
      <c r="AF274" s="1"/>
      <c r="AG274" s="1"/>
      <c r="AH274" s="1"/>
      <c r="AI274" s="1"/>
      <c r="AJ274" s="1"/>
    </row>
    <row r="275" spans="1:36" x14ac:dyDescent="0.2">
      <c r="A275" s="5">
        <v>45241.651051122681</v>
      </c>
      <c r="B275" s="1" t="s">
        <v>1602</v>
      </c>
      <c r="C275" s="1">
        <v>3017388009</v>
      </c>
      <c r="D275" s="1" t="s">
        <v>79</v>
      </c>
      <c r="E275" s="1" t="s">
        <v>493</v>
      </c>
      <c r="F275" s="1" t="s">
        <v>1611</v>
      </c>
      <c r="G275" s="1" t="s">
        <v>1612</v>
      </c>
      <c r="H275" s="1">
        <v>1015066931</v>
      </c>
      <c r="I275" s="1">
        <v>3170326622</v>
      </c>
      <c r="J275" s="1" t="s">
        <v>1613</v>
      </c>
      <c r="K275" s="1">
        <v>3007036512</v>
      </c>
      <c r="L275" s="1">
        <v>2</v>
      </c>
      <c r="M275" s="1">
        <v>2</v>
      </c>
      <c r="N275" s="1" t="s">
        <v>35</v>
      </c>
      <c r="O275" s="1"/>
      <c r="P275" s="1">
        <v>4</v>
      </c>
      <c r="Q275" s="1" t="s">
        <v>1614</v>
      </c>
      <c r="R275" s="1" t="s">
        <v>453</v>
      </c>
      <c r="S275" s="1" t="s">
        <v>38</v>
      </c>
      <c r="T275" s="1" t="s">
        <v>1615</v>
      </c>
      <c r="U275" s="1"/>
      <c r="V275" s="1"/>
      <c r="W275" s="1"/>
      <c r="X275" s="1"/>
      <c r="Y275" s="1"/>
      <c r="Z275" s="1"/>
      <c r="AA275" s="1"/>
      <c r="AB275" s="1"/>
      <c r="AC275" s="1" t="s">
        <v>1616</v>
      </c>
      <c r="AD275" s="1"/>
      <c r="AE275" s="1">
        <v>2</v>
      </c>
      <c r="AF275" s="1"/>
      <c r="AG275" s="1"/>
      <c r="AH275" s="1"/>
      <c r="AI275" s="1"/>
      <c r="AJ275" s="1"/>
    </row>
    <row r="276" spans="1:36" x14ac:dyDescent="0.2">
      <c r="A276" s="5">
        <v>45242.485483912038</v>
      </c>
      <c r="B276" s="1" t="s">
        <v>1602</v>
      </c>
      <c r="C276" s="1">
        <v>3017388009</v>
      </c>
      <c r="D276" s="1" t="s">
        <v>79</v>
      </c>
      <c r="E276" s="1" t="s">
        <v>493</v>
      </c>
      <c r="F276" s="1" t="s">
        <v>613</v>
      </c>
      <c r="G276" s="1" t="s">
        <v>1617</v>
      </c>
      <c r="H276" s="1">
        <v>43652207</v>
      </c>
      <c r="I276" s="1">
        <v>3015943559</v>
      </c>
      <c r="J276" s="1" t="s">
        <v>1618</v>
      </c>
      <c r="K276" s="1" t="s">
        <v>1619</v>
      </c>
      <c r="L276" s="1">
        <v>12</v>
      </c>
      <c r="M276" s="1">
        <v>12</v>
      </c>
      <c r="N276" s="1" t="s">
        <v>35</v>
      </c>
      <c r="O276" s="1"/>
      <c r="P276" s="1">
        <v>3</v>
      </c>
      <c r="Q276" s="1" t="s">
        <v>1620</v>
      </c>
      <c r="R276" s="1" t="s">
        <v>453</v>
      </c>
      <c r="S276" s="1" t="s">
        <v>38</v>
      </c>
      <c r="T276" s="1" t="s">
        <v>132</v>
      </c>
      <c r="U276" s="1"/>
      <c r="V276" s="1"/>
      <c r="W276" s="1"/>
      <c r="X276" s="1"/>
      <c r="Y276" s="1"/>
      <c r="Z276" s="1"/>
      <c r="AA276" s="1"/>
      <c r="AB276" s="1"/>
      <c r="AC276" s="1" t="s">
        <v>1621</v>
      </c>
      <c r="AD276" s="1"/>
      <c r="AE276" s="1">
        <v>12</v>
      </c>
      <c r="AF276" s="1"/>
      <c r="AG276" s="1"/>
      <c r="AH276" s="1"/>
      <c r="AI276" s="1"/>
      <c r="AJ276" s="1"/>
    </row>
    <row r="277" spans="1:36" x14ac:dyDescent="0.2">
      <c r="A277" s="5">
        <v>45242.50828840278</v>
      </c>
      <c r="B277" s="1" t="s">
        <v>1622</v>
      </c>
      <c r="C277" s="1">
        <v>305472938</v>
      </c>
      <c r="D277" s="1" t="s">
        <v>79</v>
      </c>
      <c r="E277" s="1" t="s">
        <v>493</v>
      </c>
      <c r="F277" s="1" t="s">
        <v>1623</v>
      </c>
      <c r="G277" s="1" t="s">
        <v>1624</v>
      </c>
      <c r="H277" s="1">
        <v>70541984</v>
      </c>
      <c r="I277" s="1">
        <v>3106415258</v>
      </c>
      <c r="J277" s="1" t="s">
        <v>1625</v>
      </c>
      <c r="K277" s="1">
        <v>3128694231</v>
      </c>
      <c r="L277" s="1" t="s">
        <v>341</v>
      </c>
      <c r="M277" s="1" t="s">
        <v>341</v>
      </c>
      <c r="N277" s="1" t="s">
        <v>35</v>
      </c>
      <c r="O277" s="1"/>
      <c r="P277" s="1">
        <v>3</v>
      </c>
      <c r="Q277" s="1" t="s">
        <v>1626</v>
      </c>
      <c r="R277" s="1" t="s">
        <v>411</v>
      </c>
      <c r="S277" s="1" t="s">
        <v>38</v>
      </c>
      <c r="T277" s="1" t="s">
        <v>1627</v>
      </c>
      <c r="U277" s="1"/>
      <c r="V277" s="1"/>
      <c r="W277" s="1"/>
      <c r="X277" s="1"/>
      <c r="Y277" s="1"/>
      <c r="Z277" s="1"/>
      <c r="AA277" s="1"/>
      <c r="AB277" s="1"/>
      <c r="AC277" s="1"/>
      <c r="AD277" s="1"/>
      <c r="AE277" s="1" t="s">
        <v>341</v>
      </c>
      <c r="AF277" s="1"/>
      <c r="AG277" s="1"/>
      <c r="AH277" s="1"/>
      <c r="AI277" s="1"/>
      <c r="AJ277" s="1"/>
    </row>
    <row r="278" spans="1:36" x14ac:dyDescent="0.2">
      <c r="A278" s="5">
        <v>45242.56689534722</v>
      </c>
      <c r="B278" s="1" t="s">
        <v>1622</v>
      </c>
      <c r="C278" s="1">
        <v>3054572938</v>
      </c>
      <c r="D278" s="1" t="s">
        <v>79</v>
      </c>
      <c r="E278" s="1" t="s">
        <v>493</v>
      </c>
      <c r="F278" s="1" t="s">
        <v>613</v>
      </c>
      <c r="G278" s="1" t="s">
        <v>1628</v>
      </c>
      <c r="H278" s="1">
        <v>43117671</v>
      </c>
      <c r="I278" s="1">
        <v>3107175754</v>
      </c>
      <c r="J278" s="1" t="s">
        <v>1629</v>
      </c>
      <c r="K278" s="1">
        <v>3218891168</v>
      </c>
      <c r="L278" s="1" t="s">
        <v>181</v>
      </c>
      <c r="M278" s="1" t="s">
        <v>181</v>
      </c>
      <c r="N278" s="1" t="s">
        <v>35</v>
      </c>
      <c r="O278" s="1"/>
      <c r="P278" s="1">
        <v>2</v>
      </c>
      <c r="Q278" s="1" t="s">
        <v>1630</v>
      </c>
      <c r="R278" s="1" t="s">
        <v>1631</v>
      </c>
      <c r="S278" s="1" t="s">
        <v>38</v>
      </c>
      <c r="T278" s="1" t="s">
        <v>1632</v>
      </c>
      <c r="U278" s="1"/>
      <c r="V278" s="1"/>
      <c r="W278" s="1"/>
      <c r="X278" s="1"/>
      <c r="Y278" s="1"/>
      <c r="Z278" s="1"/>
      <c r="AA278" s="1"/>
      <c r="AB278" s="1"/>
      <c r="AC278" s="1" t="s">
        <v>1633</v>
      </c>
      <c r="AD278" s="1"/>
      <c r="AE278" s="1" t="s">
        <v>181</v>
      </c>
      <c r="AF278" s="1"/>
      <c r="AG278" s="1"/>
      <c r="AH278" s="1"/>
      <c r="AI278" s="1"/>
      <c r="AJ278" s="1"/>
    </row>
    <row r="279" spans="1:36" x14ac:dyDescent="0.2">
      <c r="A279" s="5">
        <v>45242.632199907406</v>
      </c>
      <c r="B279" s="1" t="s">
        <v>1602</v>
      </c>
      <c r="C279" s="1">
        <v>3017388009</v>
      </c>
      <c r="D279" s="1" t="s">
        <v>79</v>
      </c>
      <c r="E279" s="1" t="s">
        <v>493</v>
      </c>
      <c r="F279" s="1" t="s">
        <v>1634</v>
      </c>
      <c r="G279" s="1" t="s">
        <v>1635</v>
      </c>
      <c r="H279" s="1">
        <v>78727041</v>
      </c>
      <c r="I279" s="1">
        <v>3028502989</v>
      </c>
      <c r="J279" s="1" t="s">
        <v>1636</v>
      </c>
      <c r="K279" s="1">
        <v>3244673920</v>
      </c>
      <c r="L279" s="1">
        <v>3</v>
      </c>
      <c r="M279" s="1">
        <v>3</v>
      </c>
      <c r="N279" s="1" t="s">
        <v>35</v>
      </c>
      <c r="O279" s="1"/>
      <c r="P279" s="1">
        <v>6</v>
      </c>
      <c r="Q279" s="1" t="s">
        <v>1637</v>
      </c>
      <c r="R279" s="1" t="s">
        <v>1638</v>
      </c>
      <c r="S279" s="1" t="s">
        <v>38</v>
      </c>
      <c r="T279" s="1" t="s">
        <v>422</v>
      </c>
      <c r="U279" s="1"/>
      <c r="V279" s="1"/>
      <c r="W279" s="1"/>
      <c r="X279" s="1"/>
      <c r="Y279" s="1"/>
      <c r="Z279" s="1"/>
      <c r="AA279" s="1"/>
      <c r="AB279" s="1"/>
      <c r="AC279" s="1" t="s">
        <v>1639</v>
      </c>
      <c r="AD279" s="1"/>
      <c r="AE279" s="1">
        <v>3</v>
      </c>
      <c r="AF279" s="1"/>
      <c r="AG279" s="1"/>
      <c r="AH279" s="1"/>
      <c r="AI279" s="1"/>
      <c r="AJ279" s="1"/>
    </row>
    <row r="280" spans="1:36" x14ac:dyDescent="0.2">
      <c r="A280" s="12">
        <v>45244.587084895829</v>
      </c>
      <c r="B280" s="13" t="s">
        <v>871</v>
      </c>
      <c r="C280" s="13">
        <v>3116299558</v>
      </c>
      <c r="D280" s="13" t="s">
        <v>79</v>
      </c>
      <c r="E280" s="13" t="s">
        <v>865</v>
      </c>
      <c r="F280" s="13" t="s">
        <v>1440</v>
      </c>
      <c r="G280" s="13" t="s">
        <v>1640</v>
      </c>
      <c r="H280" s="13">
        <v>35897369</v>
      </c>
      <c r="I280" s="13">
        <v>3102707351</v>
      </c>
      <c r="J280" s="13"/>
      <c r="K280" s="13"/>
      <c r="L280" s="13">
        <v>14</v>
      </c>
      <c r="M280" s="13">
        <v>12</v>
      </c>
      <c r="N280" s="13" t="s">
        <v>35</v>
      </c>
      <c r="O280" s="13"/>
      <c r="P280" s="13">
        <v>6</v>
      </c>
      <c r="Q280" s="13" t="s">
        <v>1641</v>
      </c>
      <c r="R280" s="13" t="s">
        <v>1642</v>
      </c>
      <c r="S280" s="13" t="s">
        <v>38</v>
      </c>
      <c r="T280" s="13" t="s">
        <v>1219</v>
      </c>
      <c r="U280" s="13"/>
      <c r="V280" s="13"/>
      <c r="W280" s="13"/>
      <c r="X280" s="13"/>
      <c r="Y280" s="13"/>
      <c r="Z280" s="13"/>
      <c r="AA280" s="13"/>
      <c r="AB280" s="13"/>
      <c r="AC280" s="13" t="s">
        <v>1643</v>
      </c>
      <c r="AD280" s="13"/>
      <c r="AE280" s="13">
        <v>14</v>
      </c>
      <c r="AF280" s="1"/>
      <c r="AG280" s="1"/>
      <c r="AH280" s="1"/>
      <c r="AI280" s="1"/>
      <c r="AJ280" s="1"/>
    </row>
    <row r="281" spans="1:36" x14ac:dyDescent="0.2">
      <c r="A281" s="12">
        <v>45248.505312789348</v>
      </c>
      <c r="B281" s="13" t="s">
        <v>1644</v>
      </c>
      <c r="C281" s="13">
        <v>3126219115</v>
      </c>
      <c r="D281" s="13" t="s">
        <v>79</v>
      </c>
      <c r="E281" s="13" t="s">
        <v>865</v>
      </c>
      <c r="F281" s="13" t="s">
        <v>1645</v>
      </c>
      <c r="G281" s="13" t="s">
        <v>1646</v>
      </c>
      <c r="H281" s="13">
        <v>21603847</v>
      </c>
      <c r="I281" s="13">
        <v>3146660639</v>
      </c>
      <c r="J281" s="13"/>
      <c r="K281" s="13"/>
      <c r="L281" s="13">
        <v>15</v>
      </c>
      <c r="M281" s="13">
        <v>15</v>
      </c>
      <c r="N281" s="13" t="s">
        <v>35</v>
      </c>
      <c r="O281" s="13"/>
      <c r="P281" s="13">
        <v>1</v>
      </c>
      <c r="Q281" s="13">
        <v>58</v>
      </c>
      <c r="R281" s="13" t="s">
        <v>1647</v>
      </c>
      <c r="S281" s="13" t="s">
        <v>110</v>
      </c>
      <c r="T281" s="13">
        <v>150000</v>
      </c>
      <c r="U281" s="13"/>
      <c r="V281" s="13"/>
      <c r="W281" s="13"/>
      <c r="X281" s="13"/>
      <c r="Y281" s="13"/>
      <c r="Z281" s="13"/>
      <c r="AA281" s="13"/>
      <c r="AB281" s="13"/>
      <c r="AC281" s="13" t="s">
        <v>1648</v>
      </c>
      <c r="AD281" s="13"/>
      <c r="AE281" s="13">
        <v>15</v>
      </c>
      <c r="AF281" s="1"/>
      <c r="AG281" s="1"/>
      <c r="AH281" s="1"/>
      <c r="AI281" s="1"/>
      <c r="AJ281" s="1"/>
    </row>
    <row r="282" spans="1:36" x14ac:dyDescent="0.2">
      <c r="A282" s="12">
        <v>45248.507713726853</v>
      </c>
      <c r="B282" s="13" t="s">
        <v>1644</v>
      </c>
      <c r="C282" s="13">
        <v>3126219115</v>
      </c>
      <c r="D282" s="13" t="s">
        <v>79</v>
      </c>
      <c r="E282" s="13" t="s">
        <v>865</v>
      </c>
      <c r="F282" s="13" t="s">
        <v>1649</v>
      </c>
      <c r="G282" s="13" t="s">
        <v>1650</v>
      </c>
      <c r="H282" s="13">
        <v>32272319</v>
      </c>
      <c r="I282" s="13">
        <v>3216378954</v>
      </c>
      <c r="J282" s="13" t="s">
        <v>1651</v>
      </c>
      <c r="K282" s="13">
        <v>3218611886</v>
      </c>
      <c r="L282" s="13">
        <v>6</v>
      </c>
      <c r="M282" s="13">
        <v>6</v>
      </c>
      <c r="N282" s="13" t="s">
        <v>35</v>
      </c>
      <c r="O282" s="13"/>
      <c r="P282" s="13">
        <v>2</v>
      </c>
      <c r="Q282" s="13" t="s">
        <v>1652</v>
      </c>
      <c r="R282" s="13" t="s">
        <v>1653</v>
      </c>
      <c r="S282" s="13" t="s">
        <v>1654</v>
      </c>
      <c r="T282" s="13">
        <v>1000000</v>
      </c>
      <c r="U282" s="13"/>
      <c r="V282" s="13"/>
      <c r="W282" s="13"/>
      <c r="X282" s="13"/>
      <c r="Y282" s="13"/>
      <c r="Z282" s="13"/>
      <c r="AA282" s="13"/>
      <c r="AB282" s="13"/>
      <c r="AC282" s="13" t="s">
        <v>1655</v>
      </c>
      <c r="AD282" s="13"/>
      <c r="AE282" s="13">
        <v>6</v>
      </c>
      <c r="AF282" s="1"/>
      <c r="AG282" s="1"/>
      <c r="AH282" s="1"/>
      <c r="AI282" s="1"/>
      <c r="AJ282" s="1"/>
    </row>
    <row r="283" spans="1:36" x14ac:dyDescent="0.2">
      <c r="A283" s="12">
        <v>45248.510431770832</v>
      </c>
      <c r="B283" s="13" t="s">
        <v>1644</v>
      </c>
      <c r="C283" s="13">
        <v>3226219115</v>
      </c>
      <c r="D283" s="13" t="s">
        <v>79</v>
      </c>
      <c r="E283" s="13" t="s">
        <v>865</v>
      </c>
      <c r="F283" s="13" t="s">
        <v>1656</v>
      </c>
      <c r="G283" s="13" t="s">
        <v>1657</v>
      </c>
      <c r="H283" s="13">
        <v>3446967</v>
      </c>
      <c r="I283" s="13">
        <v>3157187516</v>
      </c>
      <c r="J283" s="13" t="s">
        <v>1658</v>
      </c>
      <c r="K283" s="13">
        <v>3106682240</v>
      </c>
      <c r="L283" s="13">
        <v>2</v>
      </c>
      <c r="M283" s="13" t="s">
        <v>1659</v>
      </c>
      <c r="N283" s="13" t="s">
        <v>35</v>
      </c>
      <c r="O283" s="13"/>
      <c r="P283" s="13">
        <v>1</v>
      </c>
      <c r="Q283" s="13">
        <v>68</v>
      </c>
      <c r="R283" s="13" t="s">
        <v>1660</v>
      </c>
      <c r="S283" s="13" t="s">
        <v>110</v>
      </c>
      <c r="T283" s="13">
        <v>80000</v>
      </c>
      <c r="U283" s="13"/>
      <c r="V283" s="13"/>
      <c r="W283" s="13"/>
      <c r="X283" s="13"/>
      <c r="Y283" s="13"/>
      <c r="Z283" s="13"/>
      <c r="AA283" s="13"/>
      <c r="AB283" s="13"/>
      <c r="AC283" s="13" t="s">
        <v>1661</v>
      </c>
      <c r="AD283" s="13"/>
      <c r="AE283" s="13">
        <v>2</v>
      </c>
      <c r="AF283" s="1"/>
      <c r="AG283" s="1"/>
      <c r="AH283" s="1"/>
      <c r="AI283" s="1"/>
      <c r="AJ283" s="1"/>
    </row>
    <row r="284" spans="1:36" x14ac:dyDescent="0.2">
      <c r="A284" s="12">
        <v>45248.514550150459</v>
      </c>
      <c r="B284" s="13" t="s">
        <v>1644</v>
      </c>
      <c r="C284" s="13">
        <v>3126219115</v>
      </c>
      <c r="D284" s="13" t="s">
        <v>79</v>
      </c>
      <c r="E284" s="13" t="s">
        <v>865</v>
      </c>
      <c r="F284" s="13" t="s">
        <v>1662</v>
      </c>
      <c r="G284" s="13" t="s">
        <v>1663</v>
      </c>
      <c r="H284" s="13">
        <v>21938045</v>
      </c>
      <c r="I284" s="13">
        <v>3106682240</v>
      </c>
      <c r="J284" s="13"/>
      <c r="K284" s="13"/>
      <c r="L284" s="13">
        <v>20</v>
      </c>
      <c r="M284" s="13">
        <v>4</v>
      </c>
      <c r="N284" s="13" t="s">
        <v>35</v>
      </c>
      <c r="O284" s="13"/>
      <c r="P284" s="13">
        <v>4</v>
      </c>
      <c r="Q284" s="13" t="s">
        <v>1664</v>
      </c>
      <c r="R284" s="13" t="s">
        <v>1665</v>
      </c>
      <c r="S284" s="13" t="s">
        <v>38</v>
      </c>
      <c r="T284" s="13">
        <v>360000</v>
      </c>
      <c r="U284" s="13"/>
      <c r="V284" s="13"/>
      <c r="W284" s="13"/>
      <c r="X284" s="13"/>
      <c r="Y284" s="13"/>
      <c r="Z284" s="13"/>
      <c r="AA284" s="13"/>
      <c r="AB284" s="13"/>
      <c r="AC284" s="13" t="s">
        <v>1666</v>
      </c>
      <c r="AD284" s="13"/>
      <c r="AE284" s="13">
        <v>20</v>
      </c>
      <c r="AF284" s="1"/>
      <c r="AG284" s="1"/>
      <c r="AH284" s="1"/>
      <c r="AI284" s="1"/>
      <c r="AJ284" s="1"/>
    </row>
    <row r="285" spans="1:36" x14ac:dyDescent="0.2">
      <c r="A285" s="12">
        <v>45248.51723380787</v>
      </c>
      <c r="B285" s="13" t="s">
        <v>1644</v>
      </c>
      <c r="C285" s="13">
        <v>3126219115</v>
      </c>
      <c r="D285" s="13" t="s">
        <v>79</v>
      </c>
      <c r="E285" s="13" t="s">
        <v>865</v>
      </c>
      <c r="F285" s="13" t="s">
        <v>1662</v>
      </c>
      <c r="G285" s="13" t="s">
        <v>1667</v>
      </c>
      <c r="H285" s="13">
        <v>31962913</v>
      </c>
      <c r="I285" s="13">
        <v>3053691845</v>
      </c>
      <c r="J285" s="13" t="s">
        <v>1668</v>
      </c>
      <c r="K285" s="13">
        <v>3106682240</v>
      </c>
      <c r="L285" s="13">
        <v>6</v>
      </c>
      <c r="M285" s="13">
        <v>5</v>
      </c>
      <c r="N285" s="13" t="s">
        <v>35</v>
      </c>
      <c r="O285" s="13"/>
      <c r="P285" s="13">
        <v>2</v>
      </c>
      <c r="Q285" s="13" t="s">
        <v>1669</v>
      </c>
      <c r="R285" s="13" t="s">
        <v>1665</v>
      </c>
      <c r="S285" s="13" t="s">
        <v>38</v>
      </c>
      <c r="T285" s="13">
        <v>100000</v>
      </c>
      <c r="U285" s="13"/>
      <c r="V285" s="13"/>
      <c r="W285" s="13"/>
      <c r="X285" s="13"/>
      <c r="Y285" s="13"/>
      <c r="Z285" s="13"/>
      <c r="AA285" s="13"/>
      <c r="AB285" s="13"/>
      <c r="AC285" s="13" t="s">
        <v>1670</v>
      </c>
      <c r="AD285" s="13"/>
      <c r="AE285" s="13">
        <v>6</v>
      </c>
      <c r="AF285" s="1"/>
      <c r="AG285" s="1"/>
      <c r="AH285" s="1"/>
      <c r="AI285" s="1"/>
      <c r="AJ285" s="1"/>
    </row>
    <row r="286" spans="1:36" x14ac:dyDescent="0.2">
      <c r="A286" s="12">
        <v>45248.520764155095</v>
      </c>
      <c r="B286" s="13" t="s">
        <v>1644</v>
      </c>
      <c r="C286" s="13">
        <v>3126219115</v>
      </c>
      <c r="D286" s="13" t="s">
        <v>79</v>
      </c>
      <c r="E286" s="13" t="s">
        <v>865</v>
      </c>
      <c r="F286" s="13" t="s">
        <v>1671</v>
      </c>
      <c r="G286" s="13" t="s">
        <v>1672</v>
      </c>
      <c r="H286" s="13">
        <v>21863494</v>
      </c>
      <c r="I286" s="13">
        <v>3116987899</v>
      </c>
      <c r="J286" s="13" t="s">
        <v>1673</v>
      </c>
      <c r="K286" s="13">
        <v>3147825137</v>
      </c>
      <c r="L286" s="13">
        <v>1</v>
      </c>
      <c r="M286" s="13">
        <v>1</v>
      </c>
      <c r="N286" s="13" t="s">
        <v>35</v>
      </c>
      <c r="O286" s="13"/>
      <c r="P286" s="13">
        <v>6</v>
      </c>
      <c r="Q286" s="13" t="s">
        <v>1674</v>
      </c>
      <c r="R286" s="13" t="s">
        <v>1675</v>
      </c>
      <c r="S286" s="13" t="s">
        <v>110</v>
      </c>
      <c r="T286" s="13">
        <v>1000000</v>
      </c>
      <c r="U286" s="13"/>
      <c r="V286" s="13"/>
      <c r="W286" s="13"/>
      <c r="X286" s="13"/>
      <c r="Y286" s="13"/>
      <c r="Z286" s="13"/>
      <c r="AA286" s="13"/>
      <c r="AB286" s="13"/>
      <c r="AC286" s="13" t="s">
        <v>1676</v>
      </c>
      <c r="AD286" s="13"/>
      <c r="AE286" s="13">
        <v>1</v>
      </c>
      <c r="AF286" s="1"/>
      <c r="AG286" s="1"/>
      <c r="AH286" s="1"/>
      <c r="AI286" s="1"/>
      <c r="AJ286" s="1"/>
    </row>
    <row r="287" spans="1:36" x14ac:dyDescent="0.2">
      <c r="A287" s="12">
        <v>45248.524321608798</v>
      </c>
      <c r="B287" s="13" t="s">
        <v>1677</v>
      </c>
      <c r="C287" s="13">
        <v>3027636879</v>
      </c>
      <c r="D287" s="13" t="s">
        <v>79</v>
      </c>
      <c r="E287" s="13" t="s">
        <v>865</v>
      </c>
      <c r="F287" s="13" t="s">
        <v>1678</v>
      </c>
      <c r="G287" s="13" t="s">
        <v>1679</v>
      </c>
      <c r="H287" s="13">
        <v>707225959</v>
      </c>
      <c r="I287" s="13">
        <v>3194498224</v>
      </c>
      <c r="J287" s="13" t="s">
        <v>1680</v>
      </c>
      <c r="K287" s="13">
        <v>3137035755</v>
      </c>
      <c r="L287" s="13">
        <v>23</v>
      </c>
      <c r="M287" s="13">
        <v>23</v>
      </c>
      <c r="N287" s="13" t="s">
        <v>35</v>
      </c>
      <c r="O287" s="13"/>
      <c r="P287" s="13">
        <v>3</v>
      </c>
      <c r="Q287" s="13" t="s">
        <v>1681</v>
      </c>
      <c r="R287" s="13" t="s">
        <v>1682</v>
      </c>
      <c r="S287" s="13" t="s">
        <v>38</v>
      </c>
      <c r="T287" s="13" t="s">
        <v>132</v>
      </c>
      <c r="U287" s="13"/>
      <c r="V287" s="13"/>
      <c r="W287" s="13"/>
      <c r="X287" s="13"/>
      <c r="Y287" s="13"/>
      <c r="Z287" s="13"/>
      <c r="AA287" s="13"/>
      <c r="AB287" s="13"/>
      <c r="AC287" s="13"/>
      <c r="AD287" s="13"/>
      <c r="AE287" s="13">
        <v>23</v>
      </c>
      <c r="AF287" s="1"/>
      <c r="AG287" s="1"/>
      <c r="AH287" s="1"/>
      <c r="AI287" s="1"/>
      <c r="AJ287" s="1"/>
    </row>
    <row r="288" spans="1:36" x14ac:dyDescent="0.2">
      <c r="A288" s="12">
        <v>45248.52516315972</v>
      </c>
      <c r="B288" s="13" t="s">
        <v>1644</v>
      </c>
      <c r="C288" s="13">
        <v>3126219115</v>
      </c>
      <c r="D288" s="13" t="s">
        <v>79</v>
      </c>
      <c r="E288" s="13" t="s">
        <v>865</v>
      </c>
      <c r="F288" s="13" t="s">
        <v>1683</v>
      </c>
      <c r="G288" s="13" t="s">
        <v>1684</v>
      </c>
      <c r="H288" s="13">
        <v>43640747</v>
      </c>
      <c r="I288" s="13">
        <v>3155383884</v>
      </c>
      <c r="J288" s="13" t="s">
        <v>1685</v>
      </c>
      <c r="K288" s="13">
        <v>3014290387</v>
      </c>
      <c r="L288" s="13">
        <v>15</v>
      </c>
      <c r="M288" s="13">
        <v>15</v>
      </c>
      <c r="N288" s="13" t="s">
        <v>35</v>
      </c>
      <c r="O288" s="13"/>
      <c r="P288" s="13">
        <v>3</v>
      </c>
      <c r="Q288" s="13">
        <v>50</v>
      </c>
      <c r="R288" s="13" t="s">
        <v>453</v>
      </c>
      <c r="S288" s="13" t="s">
        <v>110</v>
      </c>
      <c r="T288" s="13">
        <v>1000000</v>
      </c>
      <c r="U288" s="13"/>
      <c r="V288" s="13"/>
      <c r="W288" s="13"/>
      <c r="X288" s="13"/>
      <c r="Y288" s="13"/>
      <c r="Z288" s="13"/>
      <c r="AA288" s="13"/>
      <c r="AB288" s="13"/>
      <c r="AC288" s="13" t="s">
        <v>1686</v>
      </c>
      <c r="AD288" s="13"/>
      <c r="AE288" s="13">
        <v>15</v>
      </c>
      <c r="AF288" s="1"/>
      <c r="AG288" s="1"/>
      <c r="AH288" s="1"/>
      <c r="AI288" s="1"/>
      <c r="AJ288" s="1"/>
    </row>
    <row r="289" spans="1:36" x14ac:dyDescent="0.2">
      <c r="A289" s="12">
        <v>45248.528738344903</v>
      </c>
      <c r="B289" s="13" t="s">
        <v>1644</v>
      </c>
      <c r="C289" s="13">
        <v>3126219115</v>
      </c>
      <c r="D289" s="13" t="s">
        <v>79</v>
      </c>
      <c r="E289" s="13" t="s">
        <v>865</v>
      </c>
      <c r="F289" s="13" t="s">
        <v>1671</v>
      </c>
      <c r="G289" s="13" t="s">
        <v>1687</v>
      </c>
      <c r="H289" s="13">
        <v>43978579</v>
      </c>
      <c r="I289" s="13">
        <v>3122775947</v>
      </c>
      <c r="J289" s="13"/>
      <c r="K289" s="13"/>
      <c r="L289" s="13">
        <v>6</v>
      </c>
      <c r="M289" s="13">
        <v>3</v>
      </c>
      <c r="N289" s="13" t="s">
        <v>35</v>
      </c>
      <c r="O289" s="13"/>
      <c r="P289" s="13">
        <v>1</v>
      </c>
      <c r="Q289" s="13">
        <v>38</v>
      </c>
      <c r="R289" s="13" t="s">
        <v>1688</v>
      </c>
      <c r="S289" s="13" t="s">
        <v>110</v>
      </c>
      <c r="T289" s="13" t="s">
        <v>1689</v>
      </c>
      <c r="U289" s="13"/>
      <c r="V289" s="13"/>
      <c r="W289" s="13"/>
      <c r="X289" s="13"/>
      <c r="Y289" s="13"/>
      <c r="Z289" s="13"/>
      <c r="AA289" s="13"/>
      <c r="AB289" s="13"/>
      <c r="AC289" s="13" t="s">
        <v>1690</v>
      </c>
      <c r="AD289" s="13"/>
      <c r="AE289" s="13">
        <v>6</v>
      </c>
      <c r="AF289" s="1"/>
      <c r="AG289" s="1"/>
      <c r="AH289" s="1"/>
      <c r="AI289" s="1"/>
      <c r="AJ289" s="1"/>
    </row>
    <row r="290" spans="1:36" x14ac:dyDescent="0.2">
      <c r="A290" s="12">
        <v>45248.532479918984</v>
      </c>
      <c r="B290" s="13" t="s">
        <v>1644</v>
      </c>
      <c r="C290" s="13">
        <v>3126219115</v>
      </c>
      <c r="D290" s="13" t="s">
        <v>79</v>
      </c>
      <c r="E290" s="13" t="s">
        <v>865</v>
      </c>
      <c r="F290" s="13" t="s">
        <v>1671</v>
      </c>
      <c r="G290" s="13" t="s">
        <v>1691</v>
      </c>
      <c r="H290" s="13">
        <v>1128468125</v>
      </c>
      <c r="I290" s="13">
        <v>3044764329</v>
      </c>
      <c r="J290" s="13" t="s">
        <v>1692</v>
      </c>
      <c r="K290" s="13">
        <v>3053060072</v>
      </c>
      <c r="L290" s="13">
        <v>12</v>
      </c>
      <c r="M290" s="13">
        <v>12</v>
      </c>
      <c r="N290" s="13" t="s">
        <v>35</v>
      </c>
      <c r="O290" s="13"/>
      <c r="P290" s="13">
        <v>3</v>
      </c>
      <c r="Q290" s="13" t="s">
        <v>1693</v>
      </c>
      <c r="R290" s="13" t="s">
        <v>62</v>
      </c>
      <c r="S290" s="13" t="s">
        <v>38</v>
      </c>
      <c r="T290" s="13">
        <v>450000</v>
      </c>
      <c r="U290" s="13"/>
      <c r="V290" s="13"/>
      <c r="W290" s="13"/>
      <c r="X290" s="13"/>
      <c r="Y290" s="13"/>
      <c r="Z290" s="13"/>
      <c r="AA290" s="13"/>
      <c r="AB290" s="13"/>
      <c r="AC290" s="13"/>
      <c r="AD290" s="13"/>
      <c r="AE290" s="13">
        <v>12</v>
      </c>
      <c r="AF290" s="1"/>
      <c r="AG290" s="1"/>
      <c r="AH290" s="1"/>
      <c r="AI290" s="1"/>
      <c r="AJ290" s="1"/>
    </row>
    <row r="291" spans="1:36" x14ac:dyDescent="0.2">
      <c r="A291" s="12">
        <v>45250.619934363422</v>
      </c>
      <c r="B291" s="13" t="s">
        <v>1622</v>
      </c>
      <c r="C291" s="13">
        <v>3054572838</v>
      </c>
      <c r="D291" s="13" t="s">
        <v>79</v>
      </c>
      <c r="E291" s="13" t="s">
        <v>865</v>
      </c>
      <c r="F291" s="13" t="s">
        <v>1694</v>
      </c>
      <c r="G291" s="13" t="s">
        <v>1695</v>
      </c>
      <c r="H291" s="13">
        <v>1077446474</v>
      </c>
      <c r="I291" s="13">
        <v>3108940811</v>
      </c>
      <c r="J291" s="13" t="s">
        <v>1696</v>
      </c>
      <c r="K291" s="13">
        <v>3106394643</v>
      </c>
      <c r="L291" s="13" t="s">
        <v>292</v>
      </c>
      <c r="M291" s="13" t="s">
        <v>1697</v>
      </c>
      <c r="N291" s="13" t="s">
        <v>35</v>
      </c>
      <c r="O291" s="13"/>
      <c r="P291" s="13">
        <v>4</v>
      </c>
      <c r="Q291" s="13" t="s">
        <v>1698</v>
      </c>
      <c r="R291" s="13" t="s">
        <v>1699</v>
      </c>
      <c r="S291" s="13" t="s">
        <v>110</v>
      </c>
      <c r="T291" s="13" t="s">
        <v>368</v>
      </c>
      <c r="U291" s="13"/>
      <c r="V291" s="13"/>
      <c r="W291" s="13"/>
      <c r="X291" s="13"/>
      <c r="Y291" s="13"/>
      <c r="Z291" s="13"/>
      <c r="AA291" s="13"/>
      <c r="AB291" s="13"/>
      <c r="AC291" s="13" t="s">
        <v>1700</v>
      </c>
      <c r="AD291" s="13"/>
      <c r="AE291" s="13" t="s">
        <v>292</v>
      </c>
      <c r="AF291" s="1"/>
      <c r="AG291" s="1"/>
      <c r="AH291" s="1"/>
      <c r="AI291" s="1"/>
      <c r="AJ291" s="1"/>
    </row>
    <row r="292" spans="1:36" x14ac:dyDescent="0.2">
      <c r="A292" s="12">
        <v>45250.699973229166</v>
      </c>
      <c r="B292" s="13" t="s">
        <v>1622</v>
      </c>
      <c r="C292" s="13">
        <v>3054572938</v>
      </c>
      <c r="D292" s="13" t="s">
        <v>79</v>
      </c>
      <c r="E292" s="13" t="s">
        <v>865</v>
      </c>
      <c r="F292" s="13" t="s">
        <v>1135</v>
      </c>
      <c r="G292" s="13" t="s">
        <v>1701</v>
      </c>
      <c r="H292" s="13">
        <v>1001229470</v>
      </c>
      <c r="I292" s="13">
        <v>3228546896</v>
      </c>
      <c r="J292" s="13" t="s">
        <v>1702</v>
      </c>
      <c r="K292" s="13">
        <v>3243948530</v>
      </c>
      <c r="L292" s="13" t="s">
        <v>267</v>
      </c>
      <c r="M292" s="13" t="s">
        <v>267</v>
      </c>
      <c r="N292" s="13" t="s">
        <v>35</v>
      </c>
      <c r="O292" s="13"/>
      <c r="P292" s="13">
        <v>3</v>
      </c>
      <c r="Q292" s="13" t="s">
        <v>1703</v>
      </c>
      <c r="R292" s="13" t="s">
        <v>1704</v>
      </c>
      <c r="S292" s="13" t="s">
        <v>110</v>
      </c>
      <c r="T292" s="13" t="s">
        <v>352</v>
      </c>
      <c r="U292" s="13"/>
      <c r="V292" s="13"/>
      <c r="W292" s="13"/>
      <c r="X292" s="13"/>
      <c r="Y292" s="13"/>
      <c r="Z292" s="13"/>
      <c r="AA292" s="13"/>
      <c r="AB292" s="13"/>
      <c r="AC292" s="13"/>
      <c r="AD292" s="13"/>
      <c r="AE292" s="13" t="s">
        <v>267</v>
      </c>
      <c r="AF292" s="1"/>
      <c r="AG292" s="1"/>
      <c r="AH292" s="1"/>
      <c r="AI292" s="1"/>
      <c r="AJ292" s="1"/>
    </row>
    <row r="293" spans="1:36" x14ac:dyDescent="0.2">
      <c r="A293" s="2">
        <v>45256.389054652776</v>
      </c>
      <c r="B293" s="3" t="s">
        <v>233</v>
      </c>
      <c r="C293" s="3">
        <v>3003606520</v>
      </c>
      <c r="D293" s="3" t="s">
        <v>30</v>
      </c>
      <c r="E293" s="3" t="s">
        <v>31</v>
      </c>
      <c r="F293" s="3">
        <v>4</v>
      </c>
      <c r="G293" s="3" t="s">
        <v>1705</v>
      </c>
      <c r="H293" s="3">
        <v>1038812335</v>
      </c>
      <c r="I293" s="3">
        <v>3135757219</v>
      </c>
      <c r="J293" s="3" t="s">
        <v>1706</v>
      </c>
      <c r="K293" s="3">
        <v>3234322190</v>
      </c>
      <c r="L293" s="3">
        <v>5</v>
      </c>
      <c r="M293" s="3" t="s">
        <v>1707</v>
      </c>
      <c r="N293" s="3" t="s">
        <v>35</v>
      </c>
      <c r="O293" s="3"/>
      <c r="P293" s="3">
        <v>5</v>
      </c>
      <c r="Q293" s="3" t="s">
        <v>1708</v>
      </c>
      <c r="R293" s="3" t="s">
        <v>62</v>
      </c>
      <c r="S293" s="3" t="s">
        <v>110</v>
      </c>
      <c r="T293" s="3" t="s">
        <v>39</v>
      </c>
      <c r="U293" s="3"/>
      <c r="V293" s="3"/>
      <c r="W293" s="3"/>
      <c r="X293" s="3"/>
      <c r="Y293" s="3"/>
      <c r="Z293" s="3"/>
      <c r="AA293" s="3"/>
      <c r="AB293" s="3"/>
      <c r="AC293" s="3"/>
      <c r="AD293" s="3"/>
      <c r="AE293" s="3">
        <v>5</v>
      </c>
      <c r="AF293" s="1"/>
      <c r="AG293" s="1"/>
      <c r="AH293" s="1"/>
      <c r="AI293" s="1"/>
      <c r="AJ293" s="1"/>
    </row>
    <row r="294" spans="1:36" x14ac:dyDescent="0.2">
      <c r="A294" s="5">
        <v>45262.395890347223</v>
      </c>
      <c r="B294" s="1" t="s">
        <v>1084</v>
      </c>
      <c r="C294" s="1">
        <v>3206977356</v>
      </c>
      <c r="D294" s="1" t="s">
        <v>79</v>
      </c>
      <c r="E294" s="1" t="s">
        <v>493</v>
      </c>
      <c r="F294" s="1" t="s">
        <v>1709</v>
      </c>
      <c r="G294" s="1" t="s">
        <v>1710</v>
      </c>
      <c r="H294" s="1">
        <v>1045139759</v>
      </c>
      <c r="I294" s="1">
        <v>3024908419</v>
      </c>
      <c r="J294" s="1" t="s">
        <v>1711</v>
      </c>
      <c r="K294" s="1">
        <v>3235094173</v>
      </c>
      <c r="L294" s="1">
        <v>6</v>
      </c>
      <c r="M294" s="1">
        <v>6</v>
      </c>
      <c r="N294" s="1" t="s">
        <v>35</v>
      </c>
      <c r="O294" s="1"/>
      <c r="P294" s="1">
        <v>5</v>
      </c>
      <c r="Q294" s="1" t="s">
        <v>1712</v>
      </c>
      <c r="R294" s="1" t="s">
        <v>1713</v>
      </c>
      <c r="S294" s="1" t="s">
        <v>38</v>
      </c>
      <c r="T294" s="1" t="s">
        <v>1714</v>
      </c>
      <c r="U294" s="1"/>
      <c r="V294" s="1"/>
      <c r="W294" s="1"/>
      <c r="X294" s="1"/>
      <c r="Y294" s="1"/>
      <c r="Z294" s="1"/>
      <c r="AA294" s="1"/>
      <c r="AB294" s="1"/>
      <c r="AC294" s="1" t="s">
        <v>1715</v>
      </c>
      <c r="AD294" s="1"/>
      <c r="AE294" s="1">
        <v>6</v>
      </c>
      <c r="AF294" s="1"/>
      <c r="AG294" s="1"/>
      <c r="AH294" s="1"/>
      <c r="AI294" s="1"/>
      <c r="AJ294" s="1"/>
    </row>
    <row r="295" spans="1:36" x14ac:dyDescent="0.2">
      <c r="A295" s="5">
        <v>45262.399405439814</v>
      </c>
      <c r="B295" s="1" t="s">
        <v>1084</v>
      </c>
      <c r="C295" s="1">
        <v>3206977356</v>
      </c>
      <c r="D295" s="1" t="s">
        <v>79</v>
      </c>
      <c r="E295" s="1" t="s">
        <v>493</v>
      </c>
      <c r="F295" s="1" t="s">
        <v>1716</v>
      </c>
      <c r="G295" s="1" t="s">
        <v>1717</v>
      </c>
      <c r="H295" s="1">
        <v>1037044359</v>
      </c>
      <c r="I295" s="1">
        <v>3215943426</v>
      </c>
      <c r="J295" s="1" t="s">
        <v>1718</v>
      </c>
      <c r="K295" s="1">
        <v>3013987040</v>
      </c>
      <c r="L295" s="1">
        <v>7</v>
      </c>
      <c r="M295" s="1">
        <v>7</v>
      </c>
      <c r="N295" s="1" t="s">
        <v>35</v>
      </c>
      <c r="O295" s="1"/>
      <c r="P295" s="1">
        <v>4</v>
      </c>
      <c r="Q295" s="1" t="s">
        <v>1719</v>
      </c>
      <c r="R295" s="1" t="s">
        <v>1720</v>
      </c>
      <c r="S295" s="1" t="s">
        <v>38</v>
      </c>
      <c r="T295" s="1" t="s">
        <v>1721</v>
      </c>
      <c r="U295" s="1"/>
      <c r="V295" s="1"/>
      <c r="W295" s="1"/>
      <c r="X295" s="1"/>
      <c r="Y295" s="1"/>
      <c r="Z295" s="1"/>
      <c r="AA295" s="1"/>
      <c r="AB295" s="1"/>
      <c r="AC295" s="1" t="s">
        <v>1722</v>
      </c>
      <c r="AD295" s="1"/>
      <c r="AE295" s="1">
        <v>7</v>
      </c>
      <c r="AF295" s="1"/>
      <c r="AG295" s="1"/>
      <c r="AH295" s="1"/>
      <c r="AI295" s="1"/>
      <c r="AJ295" s="1"/>
    </row>
    <row r="296" spans="1:36" x14ac:dyDescent="0.2">
      <c r="A296" s="5">
        <v>45262.499034687498</v>
      </c>
      <c r="B296" s="1" t="s">
        <v>1723</v>
      </c>
      <c r="C296" s="1">
        <v>3192146053</v>
      </c>
      <c r="D296" s="1" t="s">
        <v>79</v>
      </c>
      <c r="E296" s="1" t="s">
        <v>493</v>
      </c>
      <c r="F296" s="1" t="s">
        <v>1724</v>
      </c>
      <c r="G296" s="1" t="s">
        <v>1725</v>
      </c>
      <c r="H296" s="1">
        <v>1017123329</v>
      </c>
      <c r="I296" s="1">
        <v>3042527450</v>
      </c>
      <c r="J296" s="1" t="s">
        <v>1726</v>
      </c>
      <c r="K296" s="1">
        <v>3136095069</v>
      </c>
      <c r="L296" s="1" t="s">
        <v>1456</v>
      </c>
      <c r="M296" s="1" t="s">
        <v>1727</v>
      </c>
      <c r="N296" s="1" t="s">
        <v>35</v>
      </c>
      <c r="O296" s="1"/>
      <c r="P296" s="1">
        <v>2</v>
      </c>
      <c r="Q296" s="1" t="s">
        <v>1728</v>
      </c>
      <c r="R296" s="1" t="s">
        <v>1729</v>
      </c>
      <c r="S296" s="1" t="s">
        <v>38</v>
      </c>
      <c r="T296" s="1" t="s">
        <v>35</v>
      </c>
      <c r="U296" s="1"/>
      <c r="V296" s="1"/>
      <c r="W296" s="1"/>
      <c r="X296" s="1"/>
      <c r="Y296" s="1"/>
      <c r="Z296" s="1"/>
      <c r="AA296" s="1"/>
      <c r="AB296" s="1"/>
      <c r="AC296" s="1"/>
      <c r="AD296" s="1"/>
      <c r="AE296" s="1" t="s">
        <v>1456</v>
      </c>
      <c r="AF296" s="1"/>
      <c r="AG296" s="1"/>
      <c r="AH296" s="1"/>
      <c r="AI296" s="1"/>
      <c r="AJ296" s="1"/>
    </row>
    <row r="297" spans="1:36" x14ac:dyDescent="0.2">
      <c r="A297" s="5">
        <v>45262.508377928243</v>
      </c>
      <c r="B297" s="1" t="s">
        <v>1032</v>
      </c>
      <c r="C297" s="1">
        <v>3206977356</v>
      </c>
      <c r="D297" s="1" t="s">
        <v>79</v>
      </c>
      <c r="E297" s="1" t="s">
        <v>493</v>
      </c>
      <c r="F297" s="1" t="s">
        <v>1730</v>
      </c>
      <c r="G297" s="1" t="s">
        <v>1731</v>
      </c>
      <c r="H297" s="1">
        <v>26317393</v>
      </c>
      <c r="I297" s="1">
        <v>3215985163</v>
      </c>
      <c r="J297" s="1" t="s">
        <v>1732</v>
      </c>
      <c r="K297" s="1"/>
      <c r="L297" s="1">
        <v>9</v>
      </c>
      <c r="M297" s="1">
        <v>9</v>
      </c>
      <c r="N297" s="1" t="s">
        <v>35</v>
      </c>
      <c r="O297" s="1"/>
      <c r="P297" s="1">
        <v>1</v>
      </c>
      <c r="Q297" s="1">
        <v>65</v>
      </c>
      <c r="R297" s="1" t="s">
        <v>1733</v>
      </c>
      <c r="S297" s="1" t="s">
        <v>38</v>
      </c>
      <c r="T297" s="1" t="s">
        <v>1734</v>
      </c>
      <c r="U297" s="1"/>
      <c r="V297" s="1"/>
      <c r="W297" s="1"/>
      <c r="X297" s="1"/>
      <c r="Y297" s="1"/>
      <c r="Z297" s="1"/>
      <c r="AA297" s="1"/>
      <c r="AB297" s="1"/>
      <c r="AC297" s="1" t="s">
        <v>1735</v>
      </c>
      <c r="AD297" s="1"/>
      <c r="AE297" s="1">
        <v>9</v>
      </c>
      <c r="AF297" s="1"/>
      <c r="AG297" s="1"/>
      <c r="AH297" s="1"/>
      <c r="AI297" s="1"/>
      <c r="AJ297" s="1"/>
    </row>
    <row r="298" spans="1:36" x14ac:dyDescent="0.2">
      <c r="A298" s="5">
        <v>45262.510923530092</v>
      </c>
      <c r="B298" s="1" t="s">
        <v>1736</v>
      </c>
      <c r="C298" s="1">
        <v>3206977356</v>
      </c>
      <c r="D298" s="1" t="s">
        <v>79</v>
      </c>
      <c r="E298" s="1" t="s">
        <v>493</v>
      </c>
      <c r="F298" s="1" t="s">
        <v>1737</v>
      </c>
      <c r="G298" s="1" t="s">
        <v>1738</v>
      </c>
      <c r="H298" s="1">
        <v>1033653731</v>
      </c>
      <c r="I298" s="1">
        <v>3103759453</v>
      </c>
      <c r="J298" s="1" t="s">
        <v>1739</v>
      </c>
      <c r="K298" s="1">
        <v>3116474025</v>
      </c>
      <c r="L298" s="1" t="s">
        <v>1336</v>
      </c>
      <c r="M298" s="1" t="s">
        <v>1456</v>
      </c>
      <c r="N298" s="1" t="s">
        <v>35</v>
      </c>
      <c r="O298" s="1"/>
      <c r="P298" s="1">
        <v>3</v>
      </c>
      <c r="Q298" s="1" t="s">
        <v>1740</v>
      </c>
      <c r="R298" s="1" t="s">
        <v>1741</v>
      </c>
      <c r="S298" s="1" t="s">
        <v>38</v>
      </c>
      <c r="T298" s="1" t="s">
        <v>1742</v>
      </c>
      <c r="U298" s="1"/>
      <c r="V298" s="1"/>
      <c r="W298" s="1"/>
      <c r="X298" s="1"/>
      <c r="Y298" s="1"/>
      <c r="Z298" s="1"/>
      <c r="AA298" s="1"/>
      <c r="AB298" s="1"/>
      <c r="AC298" s="1" t="s">
        <v>1743</v>
      </c>
      <c r="AD298" s="1"/>
      <c r="AE298" s="1" t="s">
        <v>1336</v>
      </c>
      <c r="AF298" s="1"/>
      <c r="AG298" s="1"/>
      <c r="AH298" s="1"/>
      <c r="AI298" s="1"/>
      <c r="AJ298" s="1"/>
    </row>
    <row r="299" spans="1:36" x14ac:dyDescent="0.2">
      <c r="A299" s="5">
        <v>45262.515624722218</v>
      </c>
      <c r="B299" s="1" t="s">
        <v>1032</v>
      </c>
      <c r="C299" s="1">
        <v>3206977356</v>
      </c>
      <c r="D299" s="1" t="s">
        <v>79</v>
      </c>
      <c r="E299" s="1" t="s">
        <v>493</v>
      </c>
      <c r="F299" s="1" t="s">
        <v>272</v>
      </c>
      <c r="G299" s="1" t="s">
        <v>1744</v>
      </c>
      <c r="H299" s="1">
        <v>43781820</v>
      </c>
      <c r="I299" s="1">
        <v>3136095069</v>
      </c>
      <c r="J299" s="1" t="s">
        <v>1745</v>
      </c>
      <c r="K299" s="1">
        <v>3045498874</v>
      </c>
      <c r="L299" s="1">
        <v>8</v>
      </c>
      <c r="M299" s="1">
        <v>8</v>
      </c>
      <c r="N299" s="1" t="s">
        <v>35</v>
      </c>
      <c r="O299" s="1"/>
      <c r="P299" s="1">
        <v>6</v>
      </c>
      <c r="Q299" s="1" t="s">
        <v>1746</v>
      </c>
      <c r="R299" s="1" t="s">
        <v>1747</v>
      </c>
      <c r="S299" s="1" t="s">
        <v>38</v>
      </c>
      <c r="T299" s="1" t="s">
        <v>1748</v>
      </c>
      <c r="U299" s="1"/>
      <c r="V299" s="1"/>
      <c r="W299" s="1"/>
      <c r="X299" s="1"/>
      <c r="Y299" s="1"/>
      <c r="Z299" s="1"/>
      <c r="AA299" s="1"/>
      <c r="AB299" s="1"/>
      <c r="AC299" s="1" t="s">
        <v>1749</v>
      </c>
      <c r="AD299" s="1"/>
      <c r="AE299" s="1">
        <v>8</v>
      </c>
      <c r="AF299" s="1"/>
      <c r="AG299" s="1"/>
      <c r="AH299" s="1"/>
      <c r="AI299" s="1"/>
      <c r="AJ299" s="1"/>
    </row>
    <row r="300" spans="1:36" x14ac:dyDescent="0.2">
      <c r="A300" s="5">
        <v>45262.516746990739</v>
      </c>
      <c r="B300" s="1" t="s">
        <v>1750</v>
      </c>
      <c r="C300" s="1">
        <v>3166531751</v>
      </c>
      <c r="D300" s="1" t="s">
        <v>79</v>
      </c>
      <c r="E300" s="1" t="s">
        <v>493</v>
      </c>
      <c r="F300" s="1" t="s">
        <v>1751</v>
      </c>
      <c r="G300" s="1" t="s">
        <v>1752</v>
      </c>
      <c r="H300" s="1">
        <v>1237443428</v>
      </c>
      <c r="I300" s="1">
        <v>3123957247</v>
      </c>
      <c r="J300" s="1" t="s">
        <v>1753</v>
      </c>
      <c r="K300" s="1">
        <v>3013079356</v>
      </c>
      <c r="L300" s="1" t="s">
        <v>1754</v>
      </c>
      <c r="M300" s="1" t="s">
        <v>181</v>
      </c>
      <c r="N300" s="1" t="s">
        <v>35</v>
      </c>
      <c r="O300" s="1"/>
      <c r="P300" s="1">
        <v>1</v>
      </c>
      <c r="Q300" s="1" t="s">
        <v>1755</v>
      </c>
      <c r="R300" s="1" t="s">
        <v>798</v>
      </c>
      <c r="S300" s="1" t="s">
        <v>110</v>
      </c>
      <c r="T300" s="1" t="s">
        <v>1756</v>
      </c>
      <c r="U300" s="1"/>
      <c r="V300" s="1"/>
      <c r="W300" s="1"/>
      <c r="X300" s="1"/>
      <c r="Y300" s="1"/>
      <c r="Z300" s="1"/>
      <c r="AA300" s="1"/>
      <c r="AB300" s="1"/>
      <c r="AC300" s="1" t="s">
        <v>1757</v>
      </c>
      <c r="AD300" s="1"/>
      <c r="AE300" s="1" t="s">
        <v>1754</v>
      </c>
      <c r="AF300" s="1"/>
      <c r="AG300" s="1"/>
      <c r="AH300" s="1"/>
      <c r="AI300" s="1"/>
      <c r="AJ300" s="1"/>
    </row>
    <row r="301" spans="1:36" x14ac:dyDescent="0.2">
      <c r="A301" s="5">
        <v>45262.532212754624</v>
      </c>
      <c r="B301" s="1" t="s">
        <v>1758</v>
      </c>
      <c r="C301" s="1">
        <v>3206977356</v>
      </c>
      <c r="D301" s="1" t="s">
        <v>79</v>
      </c>
      <c r="E301" s="1" t="s">
        <v>493</v>
      </c>
      <c r="F301" s="1" t="s">
        <v>272</v>
      </c>
      <c r="G301" s="1" t="s">
        <v>1759</v>
      </c>
      <c r="H301" s="1">
        <v>1193221237</v>
      </c>
      <c r="I301" s="1">
        <v>3148324764</v>
      </c>
      <c r="J301" s="1" t="s">
        <v>1760</v>
      </c>
      <c r="K301" s="1">
        <v>3136095069</v>
      </c>
      <c r="L301" s="1" t="s">
        <v>306</v>
      </c>
      <c r="M301" s="1" t="s">
        <v>306</v>
      </c>
      <c r="N301" s="1" t="s">
        <v>35</v>
      </c>
      <c r="O301" s="1"/>
      <c r="P301" s="1">
        <v>3</v>
      </c>
      <c r="Q301" s="1" t="s">
        <v>1761</v>
      </c>
      <c r="R301" s="1" t="s">
        <v>798</v>
      </c>
      <c r="S301" s="1" t="s">
        <v>38</v>
      </c>
      <c r="T301" s="1" t="s">
        <v>1762</v>
      </c>
      <c r="U301" s="1"/>
      <c r="V301" s="1"/>
      <c r="W301" s="1"/>
      <c r="X301" s="1"/>
      <c r="Y301" s="1"/>
      <c r="Z301" s="1"/>
      <c r="AA301" s="1"/>
      <c r="AB301" s="1"/>
      <c r="AC301" s="1" t="s">
        <v>1763</v>
      </c>
      <c r="AD301" s="1"/>
      <c r="AE301" s="1" t="s">
        <v>306</v>
      </c>
      <c r="AF301" s="1"/>
      <c r="AG301" s="1"/>
      <c r="AH301" s="1"/>
      <c r="AI301" s="1"/>
      <c r="AJ301" s="1"/>
    </row>
    <row r="302" spans="1:36" x14ac:dyDescent="0.2">
      <c r="A302" s="5">
        <v>45263.567467233792</v>
      </c>
      <c r="B302" s="1" t="s">
        <v>1451</v>
      </c>
      <c r="C302" s="1">
        <v>3042044378</v>
      </c>
      <c r="D302" s="1" t="s">
        <v>79</v>
      </c>
      <c r="E302" s="1" t="s">
        <v>493</v>
      </c>
      <c r="F302" s="1" t="s">
        <v>1764</v>
      </c>
      <c r="G302" s="1" t="s">
        <v>1765</v>
      </c>
      <c r="H302" s="1">
        <v>1049564109</v>
      </c>
      <c r="I302" s="1">
        <v>3136160646</v>
      </c>
      <c r="J302" s="1" t="s">
        <v>1766</v>
      </c>
      <c r="K302" s="1">
        <v>3233286020</v>
      </c>
      <c r="L302" s="1" t="s">
        <v>158</v>
      </c>
      <c r="M302" s="1" t="s">
        <v>267</v>
      </c>
      <c r="N302" s="1" t="s">
        <v>35</v>
      </c>
      <c r="O302" s="1"/>
      <c r="P302" s="1">
        <v>5</v>
      </c>
      <c r="Q302" s="1" t="s">
        <v>1767</v>
      </c>
      <c r="R302" s="1" t="s">
        <v>1768</v>
      </c>
      <c r="S302" s="1" t="s">
        <v>110</v>
      </c>
      <c r="T302" s="1" t="s">
        <v>35</v>
      </c>
      <c r="U302" s="1"/>
      <c r="V302" s="1"/>
      <c r="W302" s="1"/>
      <c r="X302" s="1"/>
      <c r="Y302" s="1"/>
      <c r="Z302" s="1"/>
      <c r="AA302" s="1"/>
      <c r="AB302" s="1"/>
      <c r="AC302" s="1" t="s">
        <v>1769</v>
      </c>
      <c r="AD302" s="1"/>
      <c r="AE302" s="1" t="s">
        <v>158</v>
      </c>
      <c r="AF302" s="1"/>
      <c r="AG302" s="1"/>
      <c r="AH302" s="1"/>
      <c r="AI302" s="1"/>
      <c r="AJ302" s="1"/>
    </row>
    <row r="303" spans="1:36" x14ac:dyDescent="0.2">
      <c r="A303" s="12">
        <v>45295.67366915509</v>
      </c>
      <c r="B303" s="13" t="s">
        <v>1530</v>
      </c>
      <c r="C303" s="13">
        <v>3052542905</v>
      </c>
      <c r="D303" s="13" t="s">
        <v>79</v>
      </c>
      <c r="E303" s="13" t="s">
        <v>865</v>
      </c>
      <c r="F303" s="13" t="s">
        <v>1770</v>
      </c>
      <c r="G303" s="13" t="s">
        <v>1441</v>
      </c>
      <c r="H303" s="13">
        <v>71387340</v>
      </c>
      <c r="I303" s="13">
        <v>3228450535</v>
      </c>
      <c r="J303" s="13" t="s">
        <v>1771</v>
      </c>
      <c r="K303" s="13">
        <v>3228450535</v>
      </c>
      <c r="L303" s="13" t="s">
        <v>213</v>
      </c>
      <c r="M303" s="13" t="s">
        <v>1772</v>
      </c>
      <c r="N303" s="13" t="s">
        <v>35</v>
      </c>
      <c r="O303" s="13"/>
      <c r="P303" s="13">
        <v>3</v>
      </c>
      <c r="Q303" s="13" t="s">
        <v>1773</v>
      </c>
      <c r="R303" s="13" t="s">
        <v>1140</v>
      </c>
      <c r="S303" s="13" t="s">
        <v>38</v>
      </c>
      <c r="T303" s="13" t="s">
        <v>1774</v>
      </c>
      <c r="U303" s="13"/>
      <c r="V303" s="13"/>
      <c r="W303" s="13"/>
      <c r="X303" s="13"/>
      <c r="Y303" s="13"/>
      <c r="Z303" s="13"/>
      <c r="AA303" s="13"/>
      <c r="AB303" s="13"/>
      <c r="AC303" s="13" t="s">
        <v>1775</v>
      </c>
      <c r="AD303" s="13"/>
      <c r="AE303" s="13" t="s">
        <v>213</v>
      </c>
      <c r="AF303" s="1"/>
      <c r="AG303" s="1"/>
      <c r="AH303" s="1"/>
      <c r="AI303" s="1"/>
      <c r="AJ303" s="1"/>
    </row>
    <row r="304" spans="1:36" x14ac:dyDescent="0.2">
      <c r="A304" s="5">
        <v>45318.430524618059</v>
      </c>
      <c r="B304" s="1" t="s">
        <v>1032</v>
      </c>
      <c r="C304" s="1">
        <v>3206977356</v>
      </c>
      <c r="D304" s="1" t="s">
        <v>79</v>
      </c>
      <c r="E304" s="1" t="s">
        <v>493</v>
      </c>
      <c r="F304" s="1" t="s">
        <v>272</v>
      </c>
      <c r="G304" s="1" t="s">
        <v>1776</v>
      </c>
      <c r="H304" s="1">
        <v>43101702</v>
      </c>
      <c r="I304" s="1">
        <v>3225820283</v>
      </c>
      <c r="J304" s="1" t="s">
        <v>1777</v>
      </c>
      <c r="K304" s="1">
        <v>3222832936</v>
      </c>
      <c r="L304" s="1">
        <v>13</v>
      </c>
      <c r="M304" s="1">
        <v>13</v>
      </c>
      <c r="N304" s="1" t="s">
        <v>35</v>
      </c>
      <c r="O304" s="1"/>
      <c r="P304" s="1">
        <v>1</v>
      </c>
      <c r="Q304" s="1">
        <v>47</v>
      </c>
      <c r="R304" s="1" t="s">
        <v>1778</v>
      </c>
      <c r="S304" s="1" t="s">
        <v>38</v>
      </c>
      <c r="T304" s="1" t="s">
        <v>1779</v>
      </c>
      <c r="U304" s="1"/>
      <c r="V304" s="1"/>
      <c r="W304" s="1"/>
      <c r="X304" s="1"/>
      <c r="Y304" s="1"/>
      <c r="Z304" s="1"/>
      <c r="AA304" s="1"/>
      <c r="AB304" s="1"/>
      <c r="AC304" s="1"/>
      <c r="AD304" s="1"/>
      <c r="AE304" s="1">
        <v>13</v>
      </c>
      <c r="AF304" s="1"/>
      <c r="AG304" s="1"/>
      <c r="AH304" s="1"/>
      <c r="AI304" s="1"/>
      <c r="AJ304" s="1"/>
    </row>
    <row r="305" spans="1:36" x14ac:dyDescent="0.2">
      <c r="A305" s="5">
        <v>45318.433731249999</v>
      </c>
      <c r="B305" s="1" t="s">
        <v>1032</v>
      </c>
      <c r="C305" s="1">
        <v>3206977356</v>
      </c>
      <c r="D305" s="1" t="s">
        <v>79</v>
      </c>
      <c r="E305" s="1" t="s">
        <v>493</v>
      </c>
      <c r="F305" s="1" t="s">
        <v>1780</v>
      </c>
      <c r="G305" s="1" t="s">
        <v>1781</v>
      </c>
      <c r="H305" s="1">
        <v>43852044</v>
      </c>
      <c r="I305" s="1">
        <v>3235999833</v>
      </c>
      <c r="J305" s="1" t="s">
        <v>1191</v>
      </c>
      <c r="K305" s="1">
        <v>3137053213</v>
      </c>
      <c r="L305" s="1">
        <v>5</v>
      </c>
      <c r="M305" s="1">
        <v>2</v>
      </c>
      <c r="N305" s="1" t="s">
        <v>35</v>
      </c>
      <c r="O305" s="1"/>
      <c r="P305" s="1">
        <v>3</v>
      </c>
      <c r="Q305" s="1" t="s">
        <v>1782</v>
      </c>
      <c r="R305" s="1" t="s">
        <v>869</v>
      </c>
      <c r="S305" s="1" t="s">
        <v>38</v>
      </c>
      <c r="T305" s="1" t="s">
        <v>1783</v>
      </c>
      <c r="U305" s="1"/>
      <c r="V305" s="1"/>
      <c r="W305" s="1"/>
      <c r="X305" s="1"/>
      <c r="Y305" s="1"/>
      <c r="Z305" s="1"/>
      <c r="AA305" s="1"/>
      <c r="AB305" s="1"/>
      <c r="AC305" s="1"/>
      <c r="AD305" s="1"/>
      <c r="AE305" s="1">
        <v>5</v>
      </c>
      <c r="AF305" s="1"/>
      <c r="AG305" s="1"/>
      <c r="AH305" s="1"/>
      <c r="AI305" s="1"/>
      <c r="AJ305" s="1"/>
    </row>
    <row r="306" spans="1:36" x14ac:dyDescent="0.2">
      <c r="A306" s="5">
        <v>45318.433931585649</v>
      </c>
      <c r="B306" s="1" t="s">
        <v>1784</v>
      </c>
      <c r="C306" s="1">
        <v>3176066977</v>
      </c>
      <c r="D306" s="1" t="s">
        <v>79</v>
      </c>
      <c r="E306" s="1" t="s">
        <v>493</v>
      </c>
      <c r="F306" s="1" t="s">
        <v>1785</v>
      </c>
      <c r="G306" s="1" t="s">
        <v>1786</v>
      </c>
      <c r="H306" s="1">
        <v>27642872</v>
      </c>
      <c r="I306" s="1">
        <v>3127297661</v>
      </c>
      <c r="J306" s="1" t="s">
        <v>1787</v>
      </c>
      <c r="K306" s="1">
        <v>3127297661</v>
      </c>
      <c r="L306" s="1" t="s">
        <v>1788</v>
      </c>
      <c r="M306" s="1" t="s">
        <v>1788</v>
      </c>
      <c r="N306" s="1" t="s">
        <v>35</v>
      </c>
      <c r="O306" s="1"/>
      <c r="P306" s="1">
        <v>3</v>
      </c>
      <c r="Q306" s="1" t="s">
        <v>1789</v>
      </c>
      <c r="R306" s="1" t="s">
        <v>807</v>
      </c>
      <c r="S306" s="1" t="s">
        <v>110</v>
      </c>
      <c r="T306" s="1" t="s">
        <v>1790</v>
      </c>
      <c r="U306" s="1"/>
      <c r="V306" s="1"/>
      <c r="W306" s="1"/>
      <c r="X306" s="1"/>
      <c r="Y306" s="1"/>
      <c r="Z306" s="1"/>
      <c r="AA306" s="1"/>
      <c r="AB306" s="1"/>
      <c r="AC306" s="1" t="s">
        <v>1791</v>
      </c>
      <c r="AD306" s="1"/>
      <c r="AE306" s="1" t="s">
        <v>1788</v>
      </c>
      <c r="AF306" s="1"/>
      <c r="AG306" s="1"/>
      <c r="AH306" s="1"/>
      <c r="AI306" s="1"/>
      <c r="AJ306" s="1"/>
    </row>
    <row r="307" spans="1:36" x14ac:dyDescent="0.2">
      <c r="A307" s="5">
        <v>45318.437721249997</v>
      </c>
      <c r="B307" s="1" t="s">
        <v>1038</v>
      </c>
      <c r="C307" s="1">
        <v>3206977356</v>
      </c>
      <c r="D307" s="1" t="s">
        <v>79</v>
      </c>
      <c r="E307" s="1" t="s">
        <v>493</v>
      </c>
      <c r="F307" s="1" t="s">
        <v>1792</v>
      </c>
      <c r="G307" s="1" t="s">
        <v>1793</v>
      </c>
      <c r="H307" s="1">
        <v>1035302697</v>
      </c>
      <c r="I307" s="1">
        <v>3235061085</v>
      </c>
      <c r="J307" s="1" t="s">
        <v>1794</v>
      </c>
      <c r="K307" s="1">
        <v>3146191341</v>
      </c>
      <c r="L307" s="1">
        <v>3</v>
      </c>
      <c r="M307" s="1">
        <v>1</v>
      </c>
      <c r="N307" s="1" t="s">
        <v>35</v>
      </c>
      <c r="O307" s="1"/>
      <c r="P307" s="1">
        <v>3</v>
      </c>
      <c r="Q307" s="1" t="s">
        <v>1795</v>
      </c>
      <c r="R307" s="1" t="s">
        <v>869</v>
      </c>
      <c r="S307" s="1" t="s">
        <v>110</v>
      </c>
      <c r="T307" s="1" t="s">
        <v>1796</v>
      </c>
      <c r="U307" s="1"/>
      <c r="V307" s="1"/>
      <c r="W307" s="1"/>
      <c r="X307" s="1"/>
      <c r="Y307" s="1"/>
      <c r="Z307" s="1"/>
      <c r="AA307" s="1"/>
      <c r="AB307" s="1"/>
      <c r="AC307" s="1" t="s">
        <v>1797</v>
      </c>
      <c r="AD307" s="1"/>
      <c r="AE307" s="1">
        <v>3</v>
      </c>
      <c r="AF307" s="1"/>
      <c r="AG307" s="1"/>
      <c r="AH307" s="1"/>
      <c r="AI307" s="1"/>
      <c r="AJ307" s="1"/>
    </row>
    <row r="308" spans="1:36" x14ac:dyDescent="0.2">
      <c r="A308" s="2">
        <v>45333.475298194448</v>
      </c>
      <c r="B308" s="3" t="s">
        <v>346</v>
      </c>
      <c r="C308" s="3">
        <v>3016234523</v>
      </c>
      <c r="D308" s="3" t="s">
        <v>30</v>
      </c>
      <c r="E308" s="3" t="s">
        <v>31</v>
      </c>
      <c r="F308" s="3" t="s">
        <v>164</v>
      </c>
      <c r="G308" s="3" t="s">
        <v>1798</v>
      </c>
      <c r="H308" s="3">
        <v>3608539</v>
      </c>
      <c r="I308" s="3">
        <v>3205667543</v>
      </c>
      <c r="J308" s="3" t="s">
        <v>1799</v>
      </c>
      <c r="K308" s="3"/>
      <c r="L308" s="3">
        <v>24</v>
      </c>
      <c r="M308" s="3">
        <v>24</v>
      </c>
      <c r="N308" s="3" t="s">
        <v>35</v>
      </c>
      <c r="O308" s="3"/>
      <c r="P308" s="3">
        <v>1</v>
      </c>
      <c r="Q308" s="3">
        <v>78</v>
      </c>
      <c r="R308" s="3" t="s">
        <v>1800</v>
      </c>
      <c r="S308" s="3" t="s">
        <v>38</v>
      </c>
      <c r="T308" s="3" t="s">
        <v>132</v>
      </c>
      <c r="U308" s="3"/>
      <c r="V308" s="3"/>
      <c r="W308" s="3"/>
      <c r="X308" s="3"/>
      <c r="Y308" s="3"/>
      <c r="Z308" s="3"/>
      <c r="AA308" s="3"/>
      <c r="AB308" s="3"/>
      <c r="AC308" s="3"/>
      <c r="AD308" s="3"/>
      <c r="AE308" s="3">
        <v>24</v>
      </c>
      <c r="AF308" s="1"/>
      <c r="AG308" s="1"/>
      <c r="AH308" s="1"/>
      <c r="AI308" s="1"/>
      <c r="AJ308" s="1"/>
    </row>
    <row r="309" spans="1:36" x14ac:dyDescent="0.2">
      <c r="A309" s="2">
        <v>45333.503054201385</v>
      </c>
      <c r="B309" s="3" t="s">
        <v>1801</v>
      </c>
      <c r="C309" s="3">
        <v>31137597799</v>
      </c>
      <c r="D309" s="3" t="s">
        <v>30</v>
      </c>
      <c r="E309" s="3" t="s">
        <v>31</v>
      </c>
      <c r="F309" s="3" t="s">
        <v>1802</v>
      </c>
      <c r="G309" s="3" t="s">
        <v>1803</v>
      </c>
      <c r="H309" s="3">
        <v>21812704</v>
      </c>
      <c r="I309" s="3">
        <v>3216574572</v>
      </c>
      <c r="J309" s="3"/>
      <c r="K309" s="3"/>
      <c r="L309" s="3" t="s">
        <v>83</v>
      </c>
      <c r="M309" s="3" t="s">
        <v>83</v>
      </c>
      <c r="N309" s="3" t="s">
        <v>35</v>
      </c>
      <c r="O309" s="3"/>
      <c r="P309" s="3">
        <v>1</v>
      </c>
      <c r="Q309" s="3">
        <v>58</v>
      </c>
      <c r="R309" s="3" t="s">
        <v>1804</v>
      </c>
      <c r="S309" s="3" t="s">
        <v>38</v>
      </c>
      <c r="T309" s="3" t="s">
        <v>132</v>
      </c>
      <c r="U309" s="3"/>
      <c r="V309" s="3"/>
      <c r="W309" s="3"/>
      <c r="X309" s="3"/>
      <c r="Y309" s="3"/>
      <c r="Z309" s="3"/>
      <c r="AA309" s="3"/>
      <c r="AB309" s="3"/>
      <c r="AC309" s="3"/>
      <c r="AD309" s="3"/>
      <c r="AE309" s="3" t="s">
        <v>83</v>
      </c>
      <c r="AF309" s="1"/>
      <c r="AG309" s="1"/>
      <c r="AH309" s="1"/>
      <c r="AI309" s="1"/>
      <c r="AJ309" s="1"/>
    </row>
    <row r="310" spans="1:36" x14ac:dyDescent="0.2">
      <c r="A310" s="2">
        <v>45333.536254513892</v>
      </c>
      <c r="B310" s="3" t="s">
        <v>1805</v>
      </c>
      <c r="C310" s="3">
        <v>3113759799</v>
      </c>
      <c r="D310" s="3" t="s">
        <v>30</v>
      </c>
      <c r="E310" s="3" t="s">
        <v>31</v>
      </c>
      <c r="F310" s="3" t="s">
        <v>1806</v>
      </c>
      <c r="G310" s="3" t="s">
        <v>1807</v>
      </c>
      <c r="H310" s="3">
        <v>1017135681</v>
      </c>
      <c r="I310" s="3">
        <v>3245687365</v>
      </c>
      <c r="J310" s="3" t="s">
        <v>1808</v>
      </c>
      <c r="K310" s="3">
        <v>3124108677</v>
      </c>
      <c r="L310" s="3" t="s">
        <v>1809</v>
      </c>
      <c r="M310" s="3" t="s">
        <v>1809</v>
      </c>
      <c r="N310" s="3" t="s">
        <v>35</v>
      </c>
      <c r="O310" s="3"/>
      <c r="P310" s="3">
        <v>5</v>
      </c>
      <c r="Q310" s="3" t="s">
        <v>1810</v>
      </c>
      <c r="R310" s="3" t="s">
        <v>1811</v>
      </c>
      <c r="S310" s="3" t="s">
        <v>38</v>
      </c>
      <c r="T310" s="3" t="s">
        <v>35</v>
      </c>
      <c r="U310" s="3"/>
      <c r="V310" s="3"/>
      <c r="W310" s="3"/>
      <c r="X310" s="3"/>
      <c r="Y310" s="3"/>
      <c r="Z310" s="3"/>
      <c r="AA310" s="3"/>
      <c r="AB310" s="3"/>
      <c r="AC310" s="3"/>
      <c r="AD310" s="3"/>
      <c r="AE310" s="3" t="s">
        <v>1809</v>
      </c>
      <c r="AF310" s="1"/>
      <c r="AG310" s="1"/>
      <c r="AH310" s="1"/>
      <c r="AI310" s="1"/>
      <c r="AJ310" s="1"/>
    </row>
    <row r="311" spans="1:36" x14ac:dyDescent="0.2">
      <c r="A311" s="12">
        <v>45338.638955486109</v>
      </c>
      <c r="B311" s="13" t="s">
        <v>1622</v>
      </c>
      <c r="C311" s="13">
        <v>305</v>
      </c>
      <c r="D311" s="13" t="s">
        <v>79</v>
      </c>
      <c r="E311" s="13" t="s">
        <v>865</v>
      </c>
      <c r="F311" s="13" t="s">
        <v>1812</v>
      </c>
      <c r="G311" s="13" t="s">
        <v>1441</v>
      </c>
      <c r="H311" s="13">
        <v>71387340</v>
      </c>
      <c r="I311" s="13">
        <v>3228450535</v>
      </c>
      <c r="J311" s="13" t="s">
        <v>1813</v>
      </c>
      <c r="K311" s="13">
        <v>3118450535</v>
      </c>
      <c r="L311" s="13" t="s">
        <v>1814</v>
      </c>
      <c r="M311" s="13" t="s">
        <v>213</v>
      </c>
      <c r="N311" s="13" t="s">
        <v>35</v>
      </c>
      <c r="O311" s="13"/>
      <c r="P311" s="13">
        <v>3</v>
      </c>
      <c r="Q311" s="13" t="s">
        <v>1815</v>
      </c>
      <c r="R311" s="13" t="s">
        <v>1816</v>
      </c>
      <c r="S311" s="13" t="s">
        <v>110</v>
      </c>
      <c r="T311" s="13" t="s">
        <v>1817</v>
      </c>
      <c r="U311" s="13"/>
      <c r="V311" s="13"/>
      <c r="W311" s="13"/>
      <c r="X311" s="13"/>
      <c r="Y311" s="13"/>
      <c r="Z311" s="13"/>
      <c r="AA311" s="13"/>
      <c r="AB311" s="13"/>
      <c r="AC311" s="13" t="s">
        <v>1818</v>
      </c>
      <c r="AD311" s="13"/>
      <c r="AE311" s="13" t="s">
        <v>1814</v>
      </c>
      <c r="AF311" s="1"/>
      <c r="AG311" s="1"/>
      <c r="AH311" s="1"/>
      <c r="AI311" s="1"/>
      <c r="AJ311" s="1"/>
    </row>
    <row r="312" spans="1:36" x14ac:dyDescent="0.2">
      <c r="A312" s="5">
        <v>45340.453270115744</v>
      </c>
      <c r="B312" s="1" t="s">
        <v>1819</v>
      </c>
      <c r="C312" s="1">
        <v>3022563871</v>
      </c>
      <c r="D312" s="1" t="s">
        <v>79</v>
      </c>
      <c r="E312" s="1" t="s">
        <v>493</v>
      </c>
      <c r="F312" s="1" t="s">
        <v>1820</v>
      </c>
      <c r="G312" s="1" t="s">
        <v>1821</v>
      </c>
      <c r="H312" s="1" t="s">
        <v>1822</v>
      </c>
      <c r="I312" s="1">
        <v>3043303492</v>
      </c>
      <c r="J312" s="1" t="s">
        <v>1823</v>
      </c>
      <c r="K312" s="1">
        <v>3104125909</v>
      </c>
      <c r="L312" s="1">
        <v>1</v>
      </c>
      <c r="M312" s="1">
        <v>1</v>
      </c>
      <c r="N312" s="1" t="s">
        <v>132</v>
      </c>
      <c r="O312" s="1"/>
      <c r="P312" s="1">
        <v>7</v>
      </c>
      <c r="Q312" s="1" t="s">
        <v>1824</v>
      </c>
      <c r="R312" s="1" t="s">
        <v>1825</v>
      </c>
      <c r="S312" s="1" t="s">
        <v>110</v>
      </c>
      <c r="T312" s="1" t="s">
        <v>132</v>
      </c>
      <c r="U312" s="1"/>
      <c r="V312" s="1"/>
      <c r="W312" s="1"/>
      <c r="X312" s="1"/>
      <c r="Y312" s="1"/>
      <c r="Z312" s="1"/>
      <c r="AA312" s="1"/>
      <c r="AB312" s="1"/>
      <c r="AC312" s="1"/>
      <c r="AD312" s="1"/>
      <c r="AE312" s="1">
        <v>1</v>
      </c>
      <c r="AF312" s="1"/>
      <c r="AG312" s="1"/>
      <c r="AH312" s="1"/>
      <c r="AI312" s="1"/>
      <c r="AJ312" s="1"/>
    </row>
    <row r="313" spans="1:36" x14ac:dyDescent="0.2">
      <c r="A313" s="5">
        <v>45345.740726736112</v>
      </c>
      <c r="B313" s="1" t="s">
        <v>1530</v>
      </c>
      <c r="C313" s="1">
        <v>3052572609</v>
      </c>
      <c r="D313" s="1" t="s">
        <v>79</v>
      </c>
      <c r="E313" s="1" t="s">
        <v>493</v>
      </c>
      <c r="F313" s="1" t="s">
        <v>1826</v>
      </c>
      <c r="G313" s="1" t="s">
        <v>1827</v>
      </c>
      <c r="H313" s="1">
        <v>43649841</v>
      </c>
      <c r="I313" s="1">
        <v>3136957149</v>
      </c>
      <c r="J313" s="1" t="s">
        <v>1828</v>
      </c>
      <c r="K313" s="1">
        <v>3024387461</v>
      </c>
      <c r="L313" s="1" t="s">
        <v>292</v>
      </c>
      <c r="M313" s="1" t="s">
        <v>267</v>
      </c>
      <c r="N313" s="1" t="s">
        <v>35</v>
      </c>
      <c r="O313" s="1"/>
      <c r="P313" s="1">
        <v>6</v>
      </c>
      <c r="Q313" s="1" t="s">
        <v>1829</v>
      </c>
      <c r="R313" s="1" t="s">
        <v>1178</v>
      </c>
      <c r="S313" s="1" t="s">
        <v>110</v>
      </c>
      <c r="T313" s="1" t="s">
        <v>1830</v>
      </c>
      <c r="U313" s="1"/>
      <c r="V313" s="1"/>
      <c r="W313" s="1"/>
      <c r="X313" s="1"/>
      <c r="Y313" s="1"/>
      <c r="Z313" s="1"/>
      <c r="AA313" s="1"/>
      <c r="AB313" s="1"/>
      <c r="AC313" s="1" t="s">
        <v>1831</v>
      </c>
      <c r="AD313" s="1"/>
      <c r="AE313" s="1" t="s">
        <v>292</v>
      </c>
      <c r="AF313" s="1"/>
      <c r="AG313" s="1"/>
      <c r="AH313" s="1"/>
      <c r="AI313" s="1"/>
      <c r="AJ313" s="1"/>
    </row>
    <row r="314" spans="1:36" x14ac:dyDescent="0.2">
      <c r="A314" s="12">
        <v>45346.516940439818</v>
      </c>
      <c r="B314" s="13" t="s">
        <v>871</v>
      </c>
      <c r="C314" s="13">
        <v>3116299558</v>
      </c>
      <c r="D314" s="13" t="s">
        <v>79</v>
      </c>
      <c r="E314" s="13" t="s">
        <v>865</v>
      </c>
      <c r="F314" s="13" t="s">
        <v>1440</v>
      </c>
      <c r="G314" s="13" t="s">
        <v>1832</v>
      </c>
      <c r="H314" s="13">
        <v>1104419170</v>
      </c>
      <c r="I314" s="13">
        <v>3128776208</v>
      </c>
      <c r="J314" s="13" t="s">
        <v>1833</v>
      </c>
      <c r="K314" s="13">
        <v>3003132680</v>
      </c>
      <c r="L314" s="13">
        <v>5</v>
      </c>
      <c r="M314" s="13" t="s">
        <v>159</v>
      </c>
      <c r="N314" s="13" t="s">
        <v>35</v>
      </c>
      <c r="O314" s="13"/>
      <c r="P314" s="13">
        <v>6</v>
      </c>
      <c r="Q314" s="13" t="s">
        <v>1834</v>
      </c>
      <c r="R314" s="13" t="s">
        <v>1835</v>
      </c>
      <c r="S314" s="13" t="s">
        <v>110</v>
      </c>
      <c r="T314" s="13" t="s">
        <v>1836</v>
      </c>
      <c r="U314" s="13"/>
      <c r="V314" s="13"/>
      <c r="W314" s="13"/>
      <c r="X314" s="13"/>
      <c r="Y314" s="13"/>
      <c r="Z314" s="13"/>
      <c r="AA314" s="13"/>
      <c r="AB314" s="13"/>
      <c r="AC314" s="13" t="s">
        <v>1837</v>
      </c>
      <c r="AD314" s="13"/>
      <c r="AE314" s="13">
        <v>5</v>
      </c>
      <c r="AF314" s="1"/>
      <c r="AG314" s="1"/>
      <c r="AH314" s="1"/>
      <c r="AI314" s="1"/>
      <c r="AJ314" s="1"/>
    </row>
    <row r="315" spans="1:36" x14ac:dyDescent="0.2">
      <c r="A315" s="12">
        <v>45346.521302928246</v>
      </c>
      <c r="B315" s="13" t="s">
        <v>1838</v>
      </c>
      <c r="C315" s="13">
        <v>3116299558</v>
      </c>
      <c r="D315" s="13" t="s">
        <v>30</v>
      </c>
      <c r="E315" s="13" t="s">
        <v>865</v>
      </c>
      <c r="F315" s="13" t="s">
        <v>1548</v>
      </c>
      <c r="G315" s="13" t="s">
        <v>1839</v>
      </c>
      <c r="H315" s="13">
        <v>1001510090</v>
      </c>
      <c r="I315" s="13">
        <v>3145248029</v>
      </c>
      <c r="J315" s="13" t="s">
        <v>1840</v>
      </c>
      <c r="K315" s="13">
        <v>3028607391</v>
      </c>
      <c r="L315" s="13">
        <v>8</v>
      </c>
      <c r="M315" s="13" t="s">
        <v>1336</v>
      </c>
      <c r="N315" s="13" t="s">
        <v>35</v>
      </c>
      <c r="O315" s="13"/>
      <c r="P315" s="13">
        <v>4</v>
      </c>
      <c r="Q315" s="13" t="s">
        <v>1841</v>
      </c>
      <c r="R315" s="13" t="s">
        <v>1842</v>
      </c>
      <c r="S315" s="13" t="s">
        <v>110</v>
      </c>
      <c r="T315" s="13" t="s">
        <v>35</v>
      </c>
      <c r="U315" s="13"/>
      <c r="V315" s="13"/>
      <c r="W315" s="13"/>
      <c r="X315" s="13"/>
      <c r="Y315" s="13"/>
      <c r="Z315" s="13"/>
      <c r="AA315" s="13"/>
      <c r="AB315" s="13"/>
      <c r="AC315" s="13" t="s">
        <v>1843</v>
      </c>
      <c r="AD315" s="13"/>
      <c r="AE315" s="13">
        <v>8</v>
      </c>
      <c r="AF315" s="1"/>
      <c r="AG315" s="1"/>
      <c r="AH315" s="1"/>
      <c r="AI315" s="1"/>
      <c r="AJ315" s="1"/>
    </row>
    <row r="316" spans="1:36" x14ac:dyDescent="0.2">
      <c r="A316" s="12">
        <v>45346.525864317126</v>
      </c>
      <c r="B316" s="13" t="s">
        <v>871</v>
      </c>
      <c r="C316" s="13">
        <v>3116299558</v>
      </c>
      <c r="D316" s="13" t="s">
        <v>30</v>
      </c>
      <c r="E316" s="13" t="s">
        <v>865</v>
      </c>
      <c r="F316" s="13" t="s">
        <v>1440</v>
      </c>
      <c r="G316" s="13" t="s">
        <v>1844</v>
      </c>
      <c r="H316" s="13">
        <v>1146440823</v>
      </c>
      <c r="I316" s="13">
        <v>3011896693</v>
      </c>
      <c r="J316" s="13" t="s">
        <v>1845</v>
      </c>
      <c r="K316" s="13">
        <v>3106682240</v>
      </c>
      <c r="L316" s="13">
        <v>10</v>
      </c>
      <c r="M316" s="13" t="s">
        <v>1336</v>
      </c>
      <c r="N316" s="13" t="s">
        <v>35</v>
      </c>
      <c r="O316" s="13"/>
      <c r="P316" s="13">
        <v>4</v>
      </c>
      <c r="Q316" s="13" t="s">
        <v>1846</v>
      </c>
      <c r="R316" s="13" t="s">
        <v>1847</v>
      </c>
      <c r="S316" s="13" t="s">
        <v>110</v>
      </c>
      <c r="T316" s="13" t="s">
        <v>35</v>
      </c>
      <c r="U316" s="13"/>
      <c r="V316" s="13"/>
      <c r="W316" s="13"/>
      <c r="X316" s="13"/>
      <c r="Y316" s="13"/>
      <c r="Z316" s="13"/>
      <c r="AA316" s="13"/>
      <c r="AB316" s="13"/>
      <c r="AC316" s="13" t="s">
        <v>1848</v>
      </c>
      <c r="AD316" s="13"/>
      <c r="AE316" s="13">
        <v>10</v>
      </c>
      <c r="AF316" s="1"/>
      <c r="AG316" s="1"/>
      <c r="AH316" s="1"/>
      <c r="AI316" s="1"/>
      <c r="AJ316" s="1"/>
    </row>
    <row r="317" spans="1:36" x14ac:dyDescent="0.2">
      <c r="A317" s="12">
        <v>45346.530000914354</v>
      </c>
      <c r="B317" s="13" t="s">
        <v>1420</v>
      </c>
      <c r="C317" s="13">
        <v>3116299558</v>
      </c>
      <c r="D317" s="13" t="s">
        <v>30</v>
      </c>
      <c r="E317" s="13" t="s">
        <v>865</v>
      </c>
      <c r="F317" s="13" t="s">
        <v>1339</v>
      </c>
      <c r="G317" s="13" t="s">
        <v>1849</v>
      </c>
      <c r="H317" s="13">
        <v>31962913</v>
      </c>
      <c r="I317" s="13">
        <v>3106682240</v>
      </c>
      <c r="J317" s="13"/>
      <c r="K317" s="13"/>
      <c r="L317" s="13">
        <v>6</v>
      </c>
      <c r="M317" s="13">
        <v>4</v>
      </c>
      <c r="N317" s="13" t="s">
        <v>35</v>
      </c>
      <c r="O317" s="13"/>
      <c r="P317" s="13">
        <v>2</v>
      </c>
      <c r="Q317" s="13" t="s">
        <v>1850</v>
      </c>
      <c r="R317" s="13" t="s">
        <v>1851</v>
      </c>
      <c r="S317" s="13" t="s">
        <v>38</v>
      </c>
      <c r="T317" s="13" t="s">
        <v>1424</v>
      </c>
      <c r="U317" s="13"/>
      <c r="V317" s="13"/>
      <c r="W317" s="13"/>
      <c r="X317" s="13"/>
      <c r="Y317" s="13"/>
      <c r="Z317" s="13"/>
      <c r="AA317" s="13"/>
      <c r="AB317" s="13"/>
      <c r="AC317" s="13"/>
      <c r="AD317" s="13"/>
      <c r="AE317" s="13">
        <v>6</v>
      </c>
      <c r="AF317" s="1"/>
      <c r="AG317" s="1"/>
      <c r="AH317" s="1"/>
      <c r="AI317" s="1"/>
      <c r="AJ317" s="1"/>
    </row>
    <row r="318" spans="1:36" x14ac:dyDescent="0.2">
      <c r="A318" s="12">
        <v>45346.530409861109</v>
      </c>
      <c r="B318" s="13" t="s">
        <v>1852</v>
      </c>
      <c r="C318" s="13">
        <v>3154128883</v>
      </c>
      <c r="D318" s="13" t="s">
        <v>79</v>
      </c>
      <c r="E318" s="13" t="s">
        <v>865</v>
      </c>
      <c r="F318" s="13" t="s">
        <v>1020</v>
      </c>
      <c r="G318" s="13" t="s">
        <v>1853</v>
      </c>
      <c r="H318" s="13">
        <v>43141932</v>
      </c>
      <c r="I318" s="13">
        <v>3218322928</v>
      </c>
      <c r="J318" s="13"/>
      <c r="K318" s="13"/>
      <c r="L318" s="13" t="s">
        <v>1854</v>
      </c>
      <c r="M318" s="13" t="s">
        <v>1854</v>
      </c>
      <c r="N318" s="13" t="s">
        <v>35</v>
      </c>
      <c r="O318" s="13"/>
      <c r="P318" s="13">
        <v>1</v>
      </c>
      <c r="Q318" s="13" t="s">
        <v>1333</v>
      </c>
      <c r="R318" s="13" t="s">
        <v>62</v>
      </c>
      <c r="S318" s="13" t="s">
        <v>38</v>
      </c>
      <c r="T318" s="13" t="s">
        <v>1855</v>
      </c>
      <c r="U318" s="13"/>
      <c r="V318" s="13"/>
      <c r="W318" s="13"/>
      <c r="X318" s="13"/>
      <c r="Y318" s="13"/>
      <c r="Z318" s="13"/>
      <c r="AA318" s="13"/>
      <c r="AB318" s="13"/>
      <c r="AC318" s="13" t="s">
        <v>1856</v>
      </c>
      <c r="AD318" s="13"/>
      <c r="AE318" s="13" t="s">
        <v>1854</v>
      </c>
      <c r="AF318" s="1"/>
      <c r="AG318" s="1"/>
      <c r="AH318" s="1"/>
      <c r="AI318" s="1"/>
      <c r="AJ318" s="1"/>
    </row>
    <row r="319" spans="1:36" x14ac:dyDescent="0.2">
      <c r="A319" s="12">
        <v>45346.531642442133</v>
      </c>
      <c r="B319" s="13" t="s">
        <v>1857</v>
      </c>
      <c r="C319" s="13">
        <v>3243925512</v>
      </c>
      <c r="D319" s="13" t="s">
        <v>79</v>
      </c>
      <c r="E319" s="13" t="s">
        <v>865</v>
      </c>
      <c r="F319" s="13" t="s">
        <v>1858</v>
      </c>
      <c r="G319" s="13" t="s">
        <v>1859</v>
      </c>
      <c r="H319" s="13">
        <v>1067840974</v>
      </c>
      <c r="I319" s="13">
        <v>3003132680</v>
      </c>
      <c r="J319" s="13" t="s">
        <v>1860</v>
      </c>
      <c r="K319" s="13">
        <v>3133993454</v>
      </c>
      <c r="L319" s="13" t="s">
        <v>659</v>
      </c>
      <c r="M319" s="13" t="s">
        <v>1138</v>
      </c>
      <c r="N319" s="13" t="s">
        <v>35</v>
      </c>
      <c r="O319" s="13"/>
      <c r="P319" s="13">
        <v>6</v>
      </c>
      <c r="Q319" s="13" t="s">
        <v>1861</v>
      </c>
      <c r="R319" s="13" t="s">
        <v>62</v>
      </c>
      <c r="S319" s="13" t="s">
        <v>110</v>
      </c>
      <c r="T319" s="13" t="s">
        <v>1862</v>
      </c>
      <c r="U319" s="13"/>
      <c r="V319" s="13"/>
      <c r="W319" s="13"/>
      <c r="X319" s="13"/>
      <c r="Y319" s="13"/>
      <c r="Z319" s="13"/>
      <c r="AA319" s="13"/>
      <c r="AB319" s="13"/>
      <c r="AC319" s="13" t="s">
        <v>1863</v>
      </c>
      <c r="AD319" s="13"/>
      <c r="AE319" s="13" t="s">
        <v>659</v>
      </c>
      <c r="AF319" s="1"/>
      <c r="AG319" s="1"/>
      <c r="AH319" s="1"/>
      <c r="AI319" s="1"/>
      <c r="AJ319" s="1"/>
    </row>
    <row r="320" spans="1:36" x14ac:dyDescent="0.2">
      <c r="A320" s="12">
        <v>45346.533106921299</v>
      </c>
      <c r="B320" s="13" t="s">
        <v>1864</v>
      </c>
      <c r="C320" s="13">
        <v>3154128883</v>
      </c>
      <c r="D320" s="13" t="s">
        <v>79</v>
      </c>
      <c r="E320" s="13" t="s">
        <v>865</v>
      </c>
      <c r="F320" s="13" t="s">
        <v>1858</v>
      </c>
      <c r="G320" s="13" t="s">
        <v>1865</v>
      </c>
      <c r="H320" s="13">
        <v>1001507555</v>
      </c>
      <c r="I320" s="13">
        <v>3107344468</v>
      </c>
      <c r="J320" s="13" t="s">
        <v>1766</v>
      </c>
      <c r="K320" s="13">
        <v>3214402986</v>
      </c>
      <c r="L320" s="13" t="s">
        <v>84</v>
      </c>
      <c r="M320" s="13" t="s">
        <v>306</v>
      </c>
      <c r="N320" s="13" t="s">
        <v>35</v>
      </c>
      <c r="O320" s="13"/>
      <c r="P320" s="13">
        <v>3</v>
      </c>
      <c r="Q320" s="14" t="s">
        <v>1866</v>
      </c>
      <c r="R320" s="13" t="s">
        <v>869</v>
      </c>
      <c r="S320" s="13" t="s">
        <v>110</v>
      </c>
      <c r="T320" s="13" t="s">
        <v>1867</v>
      </c>
      <c r="U320" s="13"/>
      <c r="V320" s="13"/>
      <c r="W320" s="13"/>
      <c r="X320" s="13"/>
      <c r="Y320" s="13"/>
      <c r="Z320" s="13"/>
      <c r="AA320" s="13"/>
      <c r="AB320" s="13"/>
      <c r="AC320" s="13" t="s">
        <v>1868</v>
      </c>
      <c r="AD320" s="13"/>
      <c r="AE320" s="13" t="s">
        <v>84</v>
      </c>
      <c r="AF320" s="1"/>
      <c r="AG320" s="1"/>
      <c r="AH320" s="1"/>
      <c r="AI320" s="1"/>
      <c r="AJ320" s="1"/>
    </row>
    <row r="321" spans="1:36" x14ac:dyDescent="0.2">
      <c r="A321" s="12">
        <v>45346.535042719908</v>
      </c>
      <c r="B321" s="13" t="s">
        <v>871</v>
      </c>
      <c r="C321" s="13">
        <v>3116299558</v>
      </c>
      <c r="D321" s="13" t="s">
        <v>30</v>
      </c>
      <c r="E321" s="13" t="s">
        <v>865</v>
      </c>
      <c r="F321" s="13" t="s">
        <v>1440</v>
      </c>
      <c r="G321" s="13" t="s">
        <v>1869</v>
      </c>
      <c r="H321" s="13">
        <v>3506567</v>
      </c>
      <c r="I321" s="13">
        <v>3225323952</v>
      </c>
      <c r="J321" s="13" t="s">
        <v>1870</v>
      </c>
      <c r="K321" s="13">
        <v>3504543816</v>
      </c>
      <c r="L321" s="13">
        <v>2</v>
      </c>
      <c r="M321" s="13">
        <v>2</v>
      </c>
      <c r="N321" s="13" t="s">
        <v>35</v>
      </c>
      <c r="O321" s="13"/>
      <c r="P321" s="13">
        <v>1</v>
      </c>
      <c r="Q321" s="13">
        <v>73</v>
      </c>
      <c r="R321" s="13" t="s">
        <v>1871</v>
      </c>
      <c r="S321" s="13" t="s">
        <v>38</v>
      </c>
      <c r="T321" s="13" t="s">
        <v>132</v>
      </c>
      <c r="U321" s="13"/>
      <c r="V321" s="13"/>
      <c r="W321" s="13"/>
      <c r="X321" s="13"/>
      <c r="Y321" s="13"/>
      <c r="Z321" s="13"/>
      <c r="AA321" s="13"/>
      <c r="AB321" s="13"/>
      <c r="AC321" s="13" t="s">
        <v>1872</v>
      </c>
      <c r="AD321" s="13"/>
      <c r="AE321" s="13">
        <v>2</v>
      </c>
      <c r="AF321" s="1"/>
      <c r="AG321" s="1"/>
      <c r="AH321" s="1"/>
      <c r="AI321" s="1"/>
      <c r="AJ321" s="1"/>
    </row>
    <row r="322" spans="1:36" x14ac:dyDescent="0.2">
      <c r="A322" s="12">
        <v>45346.542560428235</v>
      </c>
      <c r="B322" s="13" t="s">
        <v>1857</v>
      </c>
      <c r="C322" s="13">
        <v>3243925512</v>
      </c>
      <c r="D322" s="13" t="s">
        <v>79</v>
      </c>
      <c r="E322" s="13" t="s">
        <v>865</v>
      </c>
      <c r="F322" s="13" t="s">
        <v>1873</v>
      </c>
      <c r="G322" s="13" t="s">
        <v>1874</v>
      </c>
      <c r="H322" s="13">
        <v>1017219955</v>
      </c>
      <c r="I322" s="13">
        <v>3114268085</v>
      </c>
      <c r="J322" s="13" t="s">
        <v>1875</v>
      </c>
      <c r="K322" s="13">
        <v>3128056747</v>
      </c>
      <c r="L322" s="13">
        <v>15</v>
      </c>
      <c r="M322" s="13" t="s">
        <v>286</v>
      </c>
      <c r="N322" s="13" t="s">
        <v>35</v>
      </c>
      <c r="O322" s="13"/>
      <c r="P322" s="13">
        <v>3</v>
      </c>
      <c r="Q322" s="13" t="s">
        <v>1876</v>
      </c>
      <c r="R322" s="13" t="s">
        <v>1877</v>
      </c>
      <c r="S322" s="13" t="s">
        <v>1017</v>
      </c>
      <c r="T322" s="13" t="s">
        <v>1878</v>
      </c>
      <c r="U322" s="13"/>
      <c r="V322" s="13"/>
      <c r="W322" s="13"/>
      <c r="X322" s="13"/>
      <c r="Y322" s="13"/>
      <c r="Z322" s="13"/>
      <c r="AA322" s="13"/>
      <c r="AB322" s="13"/>
      <c r="AC322" s="13" t="s">
        <v>1879</v>
      </c>
      <c r="AD322" s="13"/>
      <c r="AE322" s="13">
        <v>15</v>
      </c>
      <c r="AF322" s="1"/>
      <c r="AG322" s="1"/>
      <c r="AH322" s="1"/>
      <c r="AI322" s="1"/>
      <c r="AJ322" s="1"/>
    </row>
    <row r="323" spans="1:36" x14ac:dyDescent="0.2">
      <c r="A323" s="2">
        <v>45354.476015694439</v>
      </c>
      <c r="B323" s="3" t="s">
        <v>624</v>
      </c>
      <c r="C323" s="3">
        <v>3148609978</v>
      </c>
      <c r="D323" s="3" t="s">
        <v>30</v>
      </c>
      <c r="E323" s="3" t="s">
        <v>31</v>
      </c>
      <c r="F323" s="3" t="s">
        <v>1880</v>
      </c>
      <c r="G323" s="3" t="s">
        <v>1881</v>
      </c>
      <c r="H323" s="3">
        <v>43666385</v>
      </c>
      <c r="I323" s="3">
        <v>3024641766</v>
      </c>
      <c r="J323" s="3"/>
      <c r="K323" s="3" t="s">
        <v>1882</v>
      </c>
      <c r="L323" s="3" t="s">
        <v>400</v>
      </c>
      <c r="M323" s="3">
        <v>8</v>
      </c>
      <c r="N323" s="3" t="s">
        <v>35</v>
      </c>
      <c r="O323" s="3"/>
      <c r="P323" s="3">
        <v>2</v>
      </c>
      <c r="Q323" s="3" t="s">
        <v>1883</v>
      </c>
      <c r="R323" s="3" t="s">
        <v>1884</v>
      </c>
      <c r="S323" s="3" t="s">
        <v>38</v>
      </c>
      <c r="T323" s="3" t="s">
        <v>132</v>
      </c>
      <c r="U323" s="3"/>
      <c r="V323" s="3"/>
      <c r="W323" s="3"/>
      <c r="X323" s="3"/>
      <c r="Y323" s="3"/>
      <c r="Z323" s="3"/>
      <c r="AA323" s="3"/>
      <c r="AB323" s="3"/>
      <c r="AC323" s="3" t="s">
        <v>1885</v>
      </c>
      <c r="AD323" s="3"/>
      <c r="AE323" s="3" t="s">
        <v>400</v>
      </c>
      <c r="AF323" s="1"/>
      <c r="AG323" s="1"/>
      <c r="AH323" s="1"/>
      <c r="AI323" s="1"/>
      <c r="AJ323" s="1"/>
    </row>
    <row r="324" spans="1:36" x14ac:dyDescent="0.2">
      <c r="A324" s="5">
        <v>45361.91441420139</v>
      </c>
      <c r="B324" s="1" t="s">
        <v>416</v>
      </c>
      <c r="C324" s="1">
        <v>3242310729</v>
      </c>
      <c r="D324" s="1" t="s">
        <v>79</v>
      </c>
      <c r="E324" s="1" t="s">
        <v>493</v>
      </c>
      <c r="F324" s="1" t="s">
        <v>613</v>
      </c>
      <c r="G324" s="1" t="s">
        <v>1886</v>
      </c>
      <c r="H324" s="1">
        <v>1143984233</v>
      </c>
      <c r="I324" s="1">
        <v>3127429297</v>
      </c>
      <c r="J324" s="1"/>
      <c r="K324" s="1"/>
      <c r="L324" s="1" t="s">
        <v>1887</v>
      </c>
      <c r="M324" s="1" t="s">
        <v>1887</v>
      </c>
      <c r="N324" s="1" t="s">
        <v>35</v>
      </c>
      <c r="O324" s="1"/>
      <c r="P324" s="1">
        <v>2</v>
      </c>
      <c r="Q324" s="1">
        <v>39</v>
      </c>
      <c r="R324" s="1" t="s">
        <v>453</v>
      </c>
      <c r="S324" s="1" t="s">
        <v>38</v>
      </c>
      <c r="T324" s="1" t="s">
        <v>1888</v>
      </c>
      <c r="U324" s="1"/>
      <c r="V324" s="1"/>
      <c r="W324" s="1"/>
      <c r="X324" s="1"/>
      <c r="Y324" s="1"/>
      <c r="Z324" s="1"/>
      <c r="AA324" s="1"/>
      <c r="AB324" s="1"/>
      <c r="AC324" s="1" t="s">
        <v>1889</v>
      </c>
      <c r="AD324" s="1"/>
      <c r="AE324" s="1" t="s">
        <v>1887</v>
      </c>
      <c r="AF324" s="1"/>
      <c r="AG324" s="1"/>
      <c r="AH324" s="1"/>
      <c r="AI324" s="1"/>
      <c r="AJ324" s="1"/>
    </row>
    <row r="325" spans="1:36" x14ac:dyDescent="0.2">
      <c r="A325" s="5">
        <v>45361.917618460648</v>
      </c>
      <c r="B325" s="1" t="s">
        <v>416</v>
      </c>
      <c r="C325" s="1">
        <v>3242310729</v>
      </c>
      <c r="D325" s="1" t="s">
        <v>79</v>
      </c>
      <c r="E325" s="1" t="s">
        <v>493</v>
      </c>
      <c r="F325" s="1" t="s">
        <v>272</v>
      </c>
      <c r="G325" s="1" t="s">
        <v>1890</v>
      </c>
      <c r="H325" s="1">
        <v>1034886497</v>
      </c>
      <c r="I325" s="1">
        <v>3023921814</v>
      </c>
      <c r="J325" s="1"/>
      <c r="K325" s="1"/>
      <c r="L325" s="1" t="s">
        <v>676</v>
      </c>
      <c r="M325" s="1" t="s">
        <v>92</v>
      </c>
      <c r="N325" s="1" t="s">
        <v>35</v>
      </c>
      <c r="O325" s="1"/>
      <c r="P325" s="1">
        <v>2</v>
      </c>
      <c r="Q325" s="1">
        <v>18</v>
      </c>
      <c r="R325" s="1" t="s">
        <v>453</v>
      </c>
      <c r="S325" s="1" t="s">
        <v>110</v>
      </c>
      <c r="T325" s="1" t="s">
        <v>282</v>
      </c>
      <c r="U325" s="1"/>
      <c r="V325" s="1"/>
      <c r="W325" s="1"/>
      <c r="X325" s="1"/>
      <c r="Y325" s="1"/>
      <c r="Z325" s="1"/>
      <c r="AA325" s="1"/>
      <c r="AB325" s="1"/>
      <c r="AC325" s="1" t="s">
        <v>1891</v>
      </c>
      <c r="AD325" s="1"/>
      <c r="AE325" s="1" t="s">
        <v>676</v>
      </c>
      <c r="AF325" s="1"/>
      <c r="AG325" s="1"/>
      <c r="AH325" s="1"/>
      <c r="AI325" s="1"/>
      <c r="AJ325" s="1"/>
    </row>
    <row r="326" spans="1:36" x14ac:dyDescent="0.2">
      <c r="A326" s="5">
        <v>45367.390172974541</v>
      </c>
      <c r="B326" s="1" t="s">
        <v>1084</v>
      </c>
      <c r="C326" s="1">
        <v>3206977356</v>
      </c>
      <c r="D326" s="1" t="s">
        <v>79</v>
      </c>
      <c r="E326" s="1" t="s">
        <v>493</v>
      </c>
      <c r="F326" s="1" t="s">
        <v>1892</v>
      </c>
      <c r="G326" s="1" t="s">
        <v>1893</v>
      </c>
      <c r="H326" s="1">
        <v>42997434</v>
      </c>
      <c r="I326" s="1">
        <v>3126752841</v>
      </c>
      <c r="J326" s="1" t="s">
        <v>1894</v>
      </c>
      <c r="K326" s="1">
        <v>3135148002</v>
      </c>
      <c r="L326" s="1" t="s">
        <v>1895</v>
      </c>
      <c r="M326" s="1" t="s">
        <v>1896</v>
      </c>
      <c r="N326" s="1" t="s">
        <v>35</v>
      </c>
      <c r="O326" s="1"/>
      <c r="P326" s="1">
        <v>3</v>
      </c>
      <c r="Q326" s="1" t="s">
        <v>1897</v>
      </c>
      <c r="R326" s="1" t="s">
        <v>1898</v>
      </c>
      <c r="S326" s="1" t="s">
        <v>110</v>
      </c>
      <c r="T326" s="8">
        <v>400000</v>
      </c>
      <c r="U326" s="1"/>
      <c r="V326" s="1"/>
      <c r="W326" s="1"/>
      <c r="X326" s="1"/>
      <c r="Y326" s="1"/>
      <c r="Z326" s="1"/>
      <c r="AA326" s="1"/>
      <c r="AB326" s="1"/>
      <c r="AC326" s="1" t="s">
        <v>1899</v>
      </c>
      <c r="AD326" s="1"/>
      <c r="AE326" s="1" t="s">
        <v>1895</v>
      </c>
      <c r="AF326" s="1"/>
      <c r="AG326" s="1"/>
      <c r="AH326" s="1"/>
      <c r="AI326" s="1"/>
      <c r="AJ326" s="1"/>
    </row>
    <row r="327" spans="1:36" x14ac:dyDescent="0.2">
      <c r="A327" s="5">
        <v>45367.397133009261</v>
      </c>
      <c r="B327" s="1" t="s">
        <v>1084</v>
      </c>
      <c r="C327" s="1">
        <v>3206977356</v>
      </c>
      <c r="D327" s="1" t="s">
        <v>79</v>
      </c>
      <c r="E327" s="1" t="s">
        <v>493</v>
      </c>
      <c r="F327" s="1" t="s">
        <v>1900</v>
      </c>
      <c r="G327" s="1" t="s">
        <v>1901</v>
      </c>
      <c r="H327" s="1">
        <v>1038819992</v>
      </c>
      <c r="I327" s="1">
        <v>3158470144</v>
      </c>
      <c r="J327" s="1" t="s">
        <v>1902</v>
      </c>
      <c r="K327" s="1">
        <v>3176424895</v>
      </c>
      <c r="L327" s="1" t="s">
        <v>1903</v>
      </c>
      <c r="M327" s="1" t="s">
        <v>1405</v>
      </c>
      <c r="N327" s="1" t="s">
        <v>35</v>
      </c>
      <c r="O327" s="1"/>
      <c r="P327" s="1">
        <v>3</v>
      </c>
      <c r="Q327" s="1" t="s">
        <v>1904</v>
      </c>
      <c r="R327" s="1" t="s">
        <v>1905</v>
      </c>
      <c r="S327" s="1" t="s">
        <v>110</v>
      </c>
      <c r="T327" s="8">
        <v>150000</v>
      </c>
      <c r="U327" s="1"/>
      <c r="V327" s="1"/>
      <c r="W327" s="1"/>
      <c r="X327" s="1"/>
      <c r="Y327" s="1"/>
      <c r="Z327" s="1"/>
      <c r="AA327" s="1"/>
      <c r="AB327" s="1"/>
      <c r="AC327" s="1" t="s">
        <v>1906</v>
      </c>
      <c r="AD327" s="1"/>
      <c r="AE327" s="1" t="s">
        <v>1903</v>
      </c>
      <c r="AF327" s="1"/>
      <c r="AG327" s="1"/>
      <c r="AH327" s="1"/>
      <c r="AI327" s="1"/>
      <c r="AJ327" s="1"/>
    </row>
    <row r="328" spans="1:36" x14ac:dyDescent="0.2">
      <c r="A328" s="5">
        <v>45367.452082280091</v>
      </c>
      <c r="B328" s="1" t="s">
        <v>1758</v>
      </c>
      <c r="C328" s="1">
        <v>3206977356</v>
      </c>
      <c r="D328" s="1" t="s">
        <v>79</v>
      </c>
      <c r="E328" s="1" t="s">
        <v>493</v>
      </c>
      <c r="F328" s="1" t="s">
        <v>613</v>
      </c>
      <c r="G328" s="1" t="s">
        <v>1907</v>
      </c>
      <c r="H328" s="1">
        <v>1216729746</v>
      </c>
      <c r="I328" s="1">
        <v>3177236925</v>
      </c>
      <c r="J328" s="1" t="s">
        <v>1361</v>
      </c>
      <c r="K328" s="1">
        <v>3007094213</v>
      </c>
      <c r="L328" s="1">
        <v>6</v>
      </c>
      <c r="M328" s="1">
        <v>6</v>
      </c>
      <c r="N328" s="1" t="s">
        <v>35</v>
      </c>
      <c r="O328" s="1"/>
      <c r="P328" s="1">
        <v>6</v>
      </c>
      <c r="Q328" s="1" t="s">
        <v>1908</v>
      </c>
      <c r="R328" s="1" t="s">
        <v>62</v>
      </c>
      <c r="S328" s="1" t="s">
        <v>38</v>
      </c>
      <c r="T328" s="1" t="s">
        <v>1909</v>
      </c>
      <c r="U328" s="1"/>
      <c r="V328" s="1"/>
      <c r="W328" s="1"/>
      <c r="X328" s="1"/>
      <c r="Y328" s="1"/>
      <c r="Z328" s="1"/>
      <c r="AA328" s="1"/>
      <c r="AB328" s="1"/>
      <c r="AC328" s="1" t="s">
        <v>1910</v>
      </c>
      <c r="AD328" s="1"/>
      <c r="AE328" s="1">
        <v>6</v>
      </c>
      <c r="AF328" s="1"/>
      <c r="AG328" s="1"/>
      <c r="AH328" s="1"/>
      <c r="AI328" s="1"/>
      <c r="AJ328" s="1"/>
    </row>
    <row r="329" spans="1:36" x14ac:dyDescent="0.2">
      <c r="A329" s="12">
        <v>45388.423550995372</v>
      </c>
      <c r="B329" s="13" t="s">
        <v>233</v>
      </c>
      <c r="C329" s="13">
        <v>3003606520</v>
      </c>
      <c r="D329" s="13" t="s">
        <v>79</v>
      </c>
      <c r="E329" s="13" t="s">
        <v>865</v>
      </c>
      <c r="F329" s="13" t="s">
        <v>1911</v>
      </c>
      <c r="G329" s="13" t="s">
        <v>1912</v>
      </c>
      <c r="H329" s="13">
        <v>70142953</v>
      </c>
      <c r="I329" s="13">
        <v>3218389477</v>
      </c>
      <c r="J329" s="13" t="s">
        <v>1913</v>
      </c>
      <c r="K329" s="13">
        <v>3194991652</v>
      </c>
      <c r="L329" s="13" t="s">
        <v>691</v>
      </c>
      <c r="M329" s="13" t="s">
        <v>691</v>
      </c>
      <c r="N329" s="13" t="s">
        <v>35</v>
      </c>
      <c r="O329" s="13"/>
      <c r="P329" s="13">
        <v>3</v>
      </c>
      <c r="Q329" s="14" t="s">
        <v>1914</v>
      </c>
      <c r="R329" s="13" t="s">
        <v>1915</v>
      </c>
      <c r="S329" s="13" t="s">
        <v>38</v>
      </c>
      <c r="T329" s="13" t="s">
        <v>39</v>
      </c>
      <c r="U329" s="13"/>
      <c r="V329" s="13"/>
      <c r="W329" s="13"/>
      <c r="X329" s="13"/>
      <c r="Y329" s="13"/>
      <c r="Z329" s="13"/>
      <c r="AA329" s="13"/>
      <c r="AB329" s="13"/>
      <c r="AC329" s="13" t="s">
        <v>1916</v>
      </c>
      <c r="AD329" s="13"/>
      <c r="AE329" s="13" t="s">
        <v>691</v>
      </c>
      <c r="AF329" s="1"/>
      <c r="AG329" s="1"/>
      <c r="AH329" s="1"/>
      <c r="AI329" s="1"/>
      <c r="AJ329" s="1"/>
    </row>
    <row r="330" spans="1:36" x14ac:dyDescent="0.2">
      <c r="A330" s="12">
        <v>45388.511322141203</v>
      </c>
      <c r="B330" s="13" t="s">
        <v>1917</v>
      </c>
      <c r="C330" s="13">
        <v>3154128883</v>
      </c>
      <c r="D330" s="13" t="s">
        <v>79</v>
      </c>
      <c r="E330" s="13" t="s">
        <v>865</v>
      </c>
      <c r="F330" s="13" t="s">
        <v>1918</v>
      </c>
      <c r="G330" s="13" t="s">
        <v>1919</v>
      </c>
      <c r="H330" s="13">
        <v>39326182</v>
      </c>
      <c r="I330" s="13">
        <v>3186812280</v>
      </c>
      <c r="J330" s="13"/>
      <c r="K330" s="13"/>
      <c r="L330" s="13" t="s">
        <v>1186</v>
      </c>
      <c r="M330" s="13" t="s">
        <v>1920</v>
      </c>
      <c r="N330" s="13" t="s">
        <v>35</v>
      </c>
      <c r="O330" s="13"/>
      <c r="P330" s="13">
        <v>2</v>
      </c>
      <c r="Q330" s="13" t="s">
        <v>1921</v>
      </c>
      <c r="R330" s="13" t="s">
        <v>62</v>
      </c>
      <c r="S330" s="13" t="s">
        <v>38</v>
      </c>
      <c r="T330" s="13" t="s">
        <v>564</v>
      </c>
      <c r="U330" s="13"/>
      <c r="V330" s="13"/>
      <c r="W330" s="13"/>
      <c r="X330" s="13"/>
      <c r="Y330" s="13"/>
      <c r="Z330" s="13"/>
      <c r="AA330" s="13"/>
      <c r="AB330" s="13"/>
      <c r="AC330" s="13" t="s">
        <v>1922</v>
      </c>
      <c r="AD330" s="13"/>
      <c r="AE330" s="13" t="s">
        <v>1186</v>
      </c>
      <c r="AF330" s="1"/>
      <c r="AG330" s="1"/>
      <c r="AH330" s="1"/>
      <c r="AI330" s="1"/>
      <c r="AJ330" s="1"/>
    </row>
    <row r="331" spans="1:36" x14ac:dyDescent="0.2">
      <c r="A331" s="5">
        <v>45403.565736643519</v>
      </c>
      <c r="B331" s="1" t="s">
        <v>416</v>
      </c>
      <c r="C331" s="1">
        <v>3242310729</v>
      </c>
      <c r="D331" s="1" t="s">
        <v>79</v>
      </c>
      <c r="E331" s="1" t="s">
        <v>493</v>
      </c>
      <c r="F331" s="1" t="s">
        <v>1923</v>
      </c>
      <c r="G331" s="1" t="s">
        <v>1924</v>
      </c>
      <c r="H331" s="1">
        <v>15621853</v>
      </c>
      <c r="I331" s="1">
        <v>3014046446</v>
      </c>
      <c r="J331" s="1" t="s">
        <v>1925</v>
      </c>
      <c r="K331" s="1">
        <v>3217102661</v>
      </c>
      <c r="L331" s="1" t="s">
        <v>379</v>
      </c>
      <c r="M331" s="1" t="s">
        <v>379</v>
      </c>
      <c r="N331" s="1" t="s">
        <v>35</v>
      </c>
      <c r="O331" s="1"/>
      <c r="P331" s="1">
        <v>3</v>
      </c>
      <c r="Q331" s="1" t="s">
        <v>1926</v>
      </c>
      <c r="R331" s="1" t="s">
        <v>244</v>
      </c>
      <c r="S331" s="1" t="s">
        <v>38</v>
      </c>
      <c r="T331" s="1" t="s">
        <v>1927</v>
      </c>
      <c r="U331" s="1"/>
      <c r="V331" s="1"/>
      <c r="W331" s="1"/>
      <c r="X331" s="1"/>
      <c r="Y331" s="1"/>
      <c r="Z331" s="1"/>
      <c r="AA331" s="1"/>
      <c r="AB331" s="1"/>
      <c r="AC331" s="1" t="s">
        <v>1928</v>
      </c>
      <c r="AD331" s="1"/>
      <c r="AE331" s="1" t="s">
        <v>379</v>
      </c>
      <c r="AF331" s="1"/>
      <c r="AG331" s="1"/>
      <c r="AH331" s="1"/>
      <c r="AI331" s="1"/>
      <c r="AJ331" s="1"/>
    </row>
    <row r="332" spans="1:36" x14ac:dyDescent="0.2">
      <c r="A332" s="5">
        <v>45417.428624074077</v>
      </c>
      <c r="B332" s="1" t="s">
        <v>416</v>
      </c>
      <c r="C332" s="1">
        <v>3242310729</v>
      </c>
      <c r="D332" s="1" t="s">
        <v>30</v>
      </c>
      <c r="E332" s="1" t="s">
        <v>31</v>
      </c>
      <c r="F332" s="1" t="s">
        <v>32</v>
      </c>
      <c r="G332" s="1" t="s">
        <v>1929</v>
      </c>
      <c r="H332" s="1">
        <v>1152467817</v>
      </c>
      <c r="I332" s="1">
        <v>3137255618</v>
      </c>
      <c r="J332" s="1" t="s">
        <v>1930</v>
      </c>
      <c r="K332" s="1">
        <v>3011852055</v>
      </c>
      <c r="L332" s="1" t="s">
        <v>1931</v>
      </c>
      <c r="M332" s="1" t="s">
        <v>1931</v>
      </c>
      <c r="N332" s="1" t="s">
        <v>35</v>
      </c>
      <c r="O332" s="1"/>
      <c r="P332" s="1">
        <v>3</v>
      </c>
      <c r="Q332" s="1" t="s">
        <v>1932</v>
      </c>
      <c r="R332" s="1" t="s">
        <v>1933</v>
      </c>
      <c r="S332" s="1" t="s">
        <v>38</v>
      </c>
      <c r="T332" s="1" t="s">
        <v>1934</v>
      </c>
      <c r="U332" s="1"/>
      <c r="V332" s="1"/>
      <c r="W332" s="1"/>
      <c r="X332" s="1"/>
      <c r="Y332" s="1"/>
      <c r="Z332" s="1"/>
      <c r="AA332" s="1"/>
      <c r="AB332" s="1"/>
      <c r="AC332" s="1" t="s">
        <v>1935</v>
      </c>
      <c r="AD332" s="1"/>
      <c r="AE332" s="1"/>
      <c r="AF332" s="1"/>
      <c r="AG332" s="1"/>
      <c r="AH332" s="1"/>
      <c r="AI332" s="1"/>
      <c r="AJ332" s="1"/>
    </row>
    <row r="333" spans="1:36" x14ac:dyDescent="0.2">
      <c r="A333" s="12">
        <v>45423.47786673611</v>
      </c>
      <c r="B333" s="13" t="s">
        <v>1936</v>
      </c>
      <c r="C333" s="13">
        <v>3175751549</v>
      </c>
      <c r="D333" s="13" t="s">
        <v>79</v>
      </c>
      <c r="E333" s="13" t="s">
        <v>865</v>
      </c>
      <c r="F333" s="13" t="s">
        <v>1937</v>
      </c>
      <c r="G333" s="13" t="s">
        <v>1938</v>
      </c>
      <c r="H333" s="13">
        <v>4797270</v>
      </c>
      <c r="I333" s="13">
        <v>3045614888</v>
      </c>
      <c r="J333" s="13"/>
      <c r="K333" s="13"/>
      <c r="L333" s="13" t="s">
        <v>299</v>
      </c>
      <c r="M333" s="13" t="s">
        <v>299</v>
      </c>
      <c r="N333" s="13" t="s">
        <v>35</v>
      </c>
      <c r="O333" s="13"/>
      <c r="P333" s="13">
        <v>1</v>
      </c>
      <c r="Q333" s="13" t="s">
        <v>1939</v>
      </c>
      <c r="R333" s="13" t="s">
        <v>1940</v>
      </c>
      <c r="S333" s="13" t="s">
        <v>38</v>
      </c>
      <c r="T333" s="13" t="s">
        <v>132</v>
      </c>
      <c r="U333" s="13"/>
      <c r="V333" s="13"/>
      <c r="W333" s="13"/>
      <c r="X333" s="13"/>
      <c r="Y333" s="13"/>
      <c r="Z333" s="13"/>
      <c r="AA333" s="13"/>
      <c r="AB333" s="13"/>
      <c r="AC333" s="13" t="s">
        <v>1941</v>
      </c>
      <c r="AD333" s="13"/>
      <c r="AE333" s="13"/>
      <c r="AF333" s="1"/>
      <c r="AG333" s="1"/>
      <c r="AH333" s="1"/>
      <c r="AI333" s="1"/>
      <c r="AJ333" s="1"/>
    </row>
    <row r="334" spans="1:36" x14ac:dyDescent="0.2">
      <c r="A334" s="12">
        <v>45423.482150138894</v>
      </c>
      <c r="B334" s="13" t="s">
        <v>1942</v>
      </c>
      <c r="C334" s="13">
        <v>3226989260</v>
      </c>
      <c r="D334" s="13" t="s">
        <v>79</v>
      </c>
      <c r="E334" s="13" t="s">
        <v>865</v>
      </c>
      <c r="F334" s="13" t="s">
        <v>1943</v>
      </c>
      <c r="G334" s="13" t="s">
        <v>1944</v>
      </c>
      <c r="H334" s="13">
        <v>6847970</v>
      </c>
      <c r="I334" s="13">
        <v>3114887729</v>
      </c>
      <c r="J334" s="13" t="s">
        <v>1945</v>
      </c>
      <c r="K334" s="13">
        <v>3135306502</v>
      </c>
      <c r="L334" s="13" t="s">
        <v>92</v>
      </c>
      <c r="M334" s="13" t="s">
        <v>181</v>
      </c>
      <c r="N334" s="13" t="s">
        <v>132</v>
      </c>
      <c r="O334" s="13"/>
      <c r="P334" s="13">
        <v>7</v>
      </c>
      <c r="Q334" s="13" t="s">
        <v>1946</v>
      </c>
      <c r="R334" s="13" t="s">
        <v>798</v>
      </c>
      <c r="S334" s="13" t="s">
        <v>1947</v>
      </c>
      <c r="T334" s="13" t="s">
        <v>1948</v>
      </c>
      <c r="U334" s="13"/>
      <c r="V334" s="13"/>
      <c r="W334" s="13"/>
      <c r="X334" s="13"/>
      <c r="Y334" s="13"/>
      <c r="Z334" s="13"/>
      <c r="AA334" s="13"/>
      <c r="AB334" s="13"/>
      <c r="AC334" s="13" t="s">
        <v>1949</v>
      </c>
      <c r="AD334" s="13"/>
      <c r="AE334" s="13"/>
      <c r="AF334" s="1"/>
      <c r="AG334" s="1"/>
      <c r="AH334" s="1"/>
      <c r="AI334" s="1"/>
      <c r="AJ334" s="1"/>
    </row>
    <row r="335" spans="1:36" x14ac:dyDescent="0.2">
      <c r="A335" s="12">
        <v>45423.496386273153</v>
      </c>
      <c r="B335" s="13" t="s">
        <v>681</v>
      </c>
      <c r="C335" s="13">
        <v>3003606520</v>
      </c>
      <c r="D335" s="13" t="s">
        <v>79</v>
      </c>
      <c r="E335" s="13" t="s">
        <v>865</v>
      </c>
      <c r="F335" s="13" t="s">
        <v>1950</v>
      </c>
      <c r="G335" s="13" t="s">
        <v>1951</v>
      </c>
      <c r="H335" s="13">
        <v>2084116</v>
      </c>
      <c r="I335" s="13">
        <v>3014749680</v>
      </c>
      <c r="J335" s="13"/>
      <c r="K335" s="13"/>
      <c r="L335" s="13" t="s">
        <v>1589</v>
      </c>
      <c r="M335" s="13" t="s">
        <v>1589</v>
      </c>
      <c r="N335" s="13" t="s">
        <v>35</v>
      </c>
      <c r="O335" s="13"/>
      <c r="P335" s="13">
        <v>5</v>
      </c>
      <c r="Q335" s="13" t="s">
        <v>1952</v>
      </c>
      <c r="R335" s="13" t="s">
        <v>62</v>
      </c>
      <c r="S335" s="13" t="s">
        <v>110</v>
      </c>
      <c r="T335" s="13" t="s">
        <v>1953</v>
      </c>
      <c r="U335" s="13"/>
      <c r="V335" s="13"/>
      <c r="W335" s="13"/>
      <c r="X335" s="13"/>
      <c r="Y335" s="13"/>
      <c r="Z335" s="13"/>
      <c r="AA335" s="13"/>
      <c r="AB335" s="13"/>
      <c r="AC335" s="13"/>
      <c r="AD335" s="13"/>
      <c r="AE335" s="13"/>
      <c r="AF335" s="1"/>
      <c r="AG335" s="1"/>
      <c r="AH335" s="1"/>
      <c r="AI335" s="1"/>
      <c r="AJ335" s="1"/>
    </row>
    <row r="336" spans="1:36" x14ac:dyDescent="0.2">
      <c r="A336" s="5">
        <v>45472.456696550929</v>
      </c>
      <c r="B336" s="1" t="s">
        <v>1954</v>
      </c>
      <c r="C336" s="1">
        <v>3113759799</v>
      </c>
      <c r="D336" s="1" t="s">
        <v>79</v>
      </c>
      <c r="E336" s="1" t="s">
        <v>493</v>
      </c>
      <c r="F336" s="1" t="s">
        <v>1955</v>
      </c>
      <c r="G336" s="1" t="s">
        <v>1956</v>
      </c>
      <c r="H336" s="1">
        <v>98431786</v>
      </c>
      <c r="I336" s="1">
        <v>3207125200</v>
      </c>
      <c r="J336" s="1" t="s">
        <v>1957</v>
      </c>
      <c r="K336" s="1"/>
      <c r="L336" s="1" t="s">
        <v>44</v>
      </c>
      <c r="M336" s="1" t="s">
        <v>44</v>
      </c>
      <c r="N336" s="1" t="s">
        <v>35</v>
      </c>
      <c r="O336" s="1"/>
      <c r="P336" s="1">
        <v>4</v>
      </c>
      <c r="Q336" s="1" t="s">
        <v>1958</v>
      </c>
      <c r="R336" s="1" t="s">
        <v>1959</v>
      </c>
      <c r="S336" s="1" t="s">
        <v>38</v>
      </c>
      <c r="T336" s="1" t="s">
        <v>132</v>
      </c>
      <c r="U336" s="1"/>
      <c r="V336" s="1"/>
      <c r="W336" s="1"/>
      <c r="X336" s="1"/>
      <c r="Y336" s="1"/>
      <c r="Z336" s="1"/>
      <c r="AA336" s="1"/>
      <c r="AB336" s="1"/>
      <c r="AC336" s="1"/>
      <c r="AD336" s="1"/>
      <c r="AE336" s="1"/>
      <c r="AF336" s="1"/>
      <c r="AG336" s="1"/>
      <c r="AH336" s="1"/>
      <c r="AI336" s="1"/>
      <c r="AJ336" s="1"/>
    </row>
    <row r="337" spans="1:36" x14ac:dyDescent="0.2">
      <c r="A337" s="5">
        <v>45472.45869965278</v>
      </c>
      <c r="B337" s="1" t="s">
        <v>1960</v>
      </c>
      <c r="C337" s="1">
        <v>3113759799</v>
      </c>
      <c r="D337" s="1" t="s">
        <v>79</v>
      </c>
      <c r="E337" s="1" t="s">
        <v>493</v>
      </c>
      <c r="F337" s="1" t="s">
        <v>1961</v>
      </c>
      <c r="G337" s="1" t="s">
        <v>1962</v>
      </c>
      <c r="H337" s="1">
        <v>1040749275</v>
      </c>
      <c r="I337" s="1">
        <v>3209984031</v>
      </c>
      <c r="J337" s="1" t="s">
        <v>1963</v>
      </c>
      <c r="K337" s="1">
        <v>3012523091</v>
      </c>
      <c r="L337" s="1" t="s">
        <v>286</v>
      </c>
      <c r="M337" s="1" t="s">
        <v>286</v>
      </c>
      <c r="N337" s="1" t="s">
        <v>35</v>
      </c>
      <c r="O337" s="1"/>
      <c r="P337" s="1">
        <v>5</v>
      </c>
      <c r="Q337" s="1" t="s">
        <v>1964</v>
      </c>
      <c r="R337" s="1" t="s">
        <v>1965</v>
      </c>
      <c r="S337" s="1" t="s">
        <v>38</v>
      </c>
      <c r="T337" s="1" t="s">
        <v>132</v>
      </c>
      <c r="U337" s="1"/>
      <c r="V337" s="1"/>
      <c r="W337" s="1"/>
      <c r="X337" s="1"/>
      <c r="Y337" s="1"/>
      <c r="Z337" s="1"/>
      <c r="AA337" s="1"/>
      <c r="AB337" s="1"/>
      <c r="AC337" s="1"/>
      <c r="AD337" s="1"/>
      <c r="AE337" s="1"/>
      <c r="AF337" s="1"/>
      <c r="AG337" s="1"/>
      <c r="AH337" s="1"/>
      <c r="AI337" s="1"/>
      <c r="AJ337" s="1"/>
    </row>
    <row r="338" spans="1:36" x14ac:dyDescent="0.2">
      <c r="A338" s="5">
        <v>45472.460167372687</v>
      </c>
      <c r="B338" s="1" t="s">
        <v>1966</v>
      </c>
      <c r="C338" s="1">
        <v>3113759799</v>
      </c>
      <c r="D338" s="1" t="s">
        <v>79</v>
      </c>
      <c r="E338" s="1" t="s">
        <v>493</v>
      </c>
      <c r="F338" s="1" t="s">
        <v>656</v>
      </c>
      <c r="G338" s="1" t="s">
        <v>1967</v>
      </c>
      <c r="H338" s="1">
        <v>43925125</v>
      </c>
      <c r="I338" s="1">
        <v>3022967975</v>
      </c>
      <c r="J338" s="1" t="s">
        <v>1968</v>
      </c>
      <c r="K338" s="1">
        <v>3004573860</v>
      </c>
      <c r="L338" s="1" t="s">
        <v>659</v>
      </c>
      <c r="M338" s="1" t="s">
        <v>1969</v>
      </c>
      <c r="N338" s="1" t="s">
        <v>35</v>
      </c>
      <c r="O338" s="1"/>
      <c r="P338" s="1">
        <v>2</v>
      </c>
      <c r="Q338" s="1" t="s">
        <v>1970</v>
      </c>
      <c r="R338" s="1" t="s">
        <v>453</v>
      </c>
      <c r="S338" s="1" t="s">
        <v>38</v>
      </c>
      <c r="T338" s="1" t="s">
        <v>132</v>
      </c>
      <c r="U338" s="1"/>
      <c r="V338" s="1"/>
      <c r="W338" s="1"/>
      <c r="X338" s="1"/>
      <c r="Y338" s="1"/>
      <c r="Z338" s="1"/>
      <c r="AA338" s="1"/>
      <c r="AB338" s="1"/>
      <c r="AC338" s="1"/>
      <c r="AD338" s="1"/>
      <c r="AE338" s="1"/>
      <c r="AF338" s="1"/>
      <c r="AG338" s="1"/>
      <c r="AH338" s="1"/>
      <c r="AI338" s="1"/>
      <c r="AJ338" s="1"/>
    </row>
    <row r="339" spans="1:36" x14ac:dyDescent="0.2">
      <c r="A339" s="5">
        <v>45472.461871921296</v>
      </c>
      <c r="B339" s="1" t="s">
        <v>1966</v>
      </c>
      <c r="C339" s="1">
        <v>3113759799</v>
      </c>
      <c r="D339" s="1" t="s">
        <v>79</v>
      </c>
      <c r="E339" s="1" t="s">
        <v>493</v>
      </c>
      <c r="F339" s="1" t="s">
        <v>656</v>
      </c>
      <c r="G339" s="1" t="s">
        <v>1971</v>
      </c>
      <c r="H339" s="1">
        <v>42691472</v>
      </c>
      <c r="I339" s="1">
        <v>3011920478</v>
      </c>
      <c r="J339" s="1" t="s">
        <v>1968</v>
      </c>
      <c r="K339" s="1">
        <v>3046616222</v>
      </c>
      <c r="L339" s="1">
        <v>12</v>
      </c>
      <c r="M339" s="1">
        <v>12</v>
      </c>
      <c r="N339" s="1" t="s">
        <v>35</v>
      </c>
      <c r="O339" s="1"/>
      <c r="P339" s="1">
        <v>6</v>
      </c>
      <c r="Q339" s="1" t="s">
        <v>1972</v>
      </c>
      <c r="R339" s="1" t="s">
        <v>453</v>
      </c>
      <c r="S339" s="1" t="s">
        <v>38</v>
      </c>
      <c r="T339" s="1" t="s">
        <v>132</v>
      </c>
      <c r="U339" s="1"/>
      <c r="V339" s="1"/>
      <c r="W339" s="1"/>
      <c r="X339" s="1"/>
      <c r="Y339" s="1"/>
      <c r="Z339" s="1"/>
      <c r="AA339" s="1"/>
      <c r="AB339" s="1"/>
      <c r="AC339" s="1" t="s">
        <v>1973</v>
      </c>
      <c r="AD339" s="1"/>
      <c r="AE339" s="1"/>
      <c r="AF339" s="1"/>
      <c r="AG339" s="1"/>
      <c r="AH339" s="1"/>
      <c r="AI339" s="1"/>
      <c r="AJ339" s="1"/>
    </row>
    <row r="340" spans="1:36" x14ac:dyDescent="0.2">
      <c r="A340" s="5">
        <v>45480.57407318287</v>
      </c>
      <c r="B340" s="1" t="s">
        <v>1974</v>
      </c>
      <c r="C340" s="1">
        <v>3165428133</v>
      </c>
      <c r="D340" s="1" t="s">
        <v>79</v>
      </c>
      <c r="E340" s="1" t="s">
        <v>493</v>
      </c>
      <c r="F340" s="1" t="s">
        <v>1975</v>
      </c>
      <c r="G340" s="1" t="s">
        <v>1976</v>
      </c>
      <c r="H340" s="1">
        <v>1073690779</v>
      </c>
      <c r="I340" s="1">
        <v>3156698182</v>
      </c>
      <c r="J340" s="1" t="s">
        <v>1977</v>
      </c>
      <c r="K340" s="1">
        <v>3002610284</v>
      </c>
      <c r="L340" s="1">
        <v>4</v>
      </c>
      <c r="M340" s="1">
        <v>3</v>
      </c>
      <c r="N340" s="1" t="s">
        <v>35</v>
      </c>
      <c r="O340" s="1"/>
      <c r="P340" s="1">
        <v>3</v>
      </c>
      <c r="Q340" s="1" t="s">
        <v>1978</v>
      </c>
      <c r="R340" s="1" t="s">
        <v>1979</v>
      </c>
      <c r="S340" s="1" t="s">
        <v>110</v>
      </c>
      <c r="T340" s="1" t="s">
        <v>1980</v>
      </c>
      <c r="U340" s="1"/>
      <c r="V340" s="1"/>
      <c r="W340" s="1"/>
      <c r="X340" s="1"/>
      <c r="Y340" s="1"/>
      <c r="Z340" s="1"/>
      <c r="AA340" s="1"/>
      <c r="AB340" s="1"/>
      <c r="AC340" s="1"/>
      <c r="AD340" s="1"/>
      <c r="AE340" s="1"/>
      <c r="AF340" s="1"/>
      <c r="AG340" s="1"/>
      <c r="AH340" s="1"/>
      <c r="AI340" s="1"/>
      <c r="AJ340" s="1"/>
    </row>
    <row r="341" spans="1:36" x14ac:dyDescent="0.2">
      <c r="A341" s="5">
        <v>45480.574160266202</v>
      </c>
      <c r="B341" s="1" t="s">
        <v>1981</v>
      </c>
      <c r="C341" s="1">
        <v>3212264732</v>
      </c>
      <c r="D341" s="1" t="s">
        <v>79</v>
      </c>
      <c r="E341" s="1" t="s">
        <v>493</v>
      </c>
      <c r="F341" s="1" t="s">
        <v>1982</v>
      </c>
      <c r="G341" s="1" t="s">
        <v>1983</v>
      </c>
      <c r="H341" s="1">
        <v>35600771</v>
      </c>
      <c r="I341" s="1">
        <v>3113788835</v>
      </c>
      <c r="J341" s="1" t="s">
        <v>1984</v>
      </c>
      <c r="K341" s="1">
        <v>3506881123</v>
      </c>
      <c r="L341" s="1">
        <v>4</v>
      </c>
      <c r="M341" s="1">
        <v>4</v>
      </c>
      <c r="N341" s="1" t="s">
        <v>35</v>
      </c>
      <c r="O341" s="1"/>
      <c r="P341" s="1">
        <v>3</v>
      </c>
      <c r="Q341" s="1" t="s">
        <v>1985</v>
      </c>
      <c r="R341" s="1" t="s">
        <v>807</v>
      </c>
      <c r="S341" s="1" t="s">
        <v>110</v>
      </c>
      <c r="T341" s="1" t="s">
        <v>132</v>
      </c>
      <c r="U341" s="1"/>
      <c r="V341" s="1"/>
      <c r="W341" s="1"/>
      <c r="X341" s="1"/>
      <c r="Y341" s="1"/>
      <c r="Z341" s="1"/>
      <c r="AA341" s="1"/>
      <c r="AB341" s="1"/>
      <c r="AC341" s="1"/>
      <c r="AD341" s="1"/>
      <c r="AE341" s="1"/>
      <c r="AF341" s="1"/>
      <c r="AG341" s="1"/>
      <c r="AH341" s="1"/>
      <c r="AI341" s="1"/>
      <c r="AJ341" s="1"/>
    </row>
    <row r="342" spans="1:36" x14ac:dyDescent="0.2">
      <c r="A342" s="12">
        <v>45493.488359432871</v>
      </c>
      <c r="B342" s="13" t="s">
        <v>1986</v>
      </c>
      <c r="C342" s="13">
        <v>3003606520</v>
      </c>
      <c r="D342" s="13" t="s">
        <v>79</v>
      </c>
      <c r="E342" s="13" t="s">
        <v>865</v>
      </c>
      <c r="F342" s="13" t="s">
        <v>1987</v>
      </c>
      <c r="G342" s="13" t="s">
        <v>1988</v>
      </c>
      <c r="H342" s="13">
        <v>52131106</v>
      </c>
      <c r="I342" s="13">
        <v>3178167165</v>
      </c>
      <c r="J342" s="13"/>
      <c r="K342" s="13"/>
      <c r="L342" s="13" t="s">
        <v>372</v>
      </c>
      <c r="M342" s="13" t="s">
        <v>911</v>
      </c>
      <c r="N342" s="13" t="s">
        <v>35</v>
      </c>
      <c r="O342" s="13"/>
      <c r="P342" s="13">
        <v>2</v>
      </c>
      <c r="Q342" s="13" t="s">
        <v>1989</v>
      </c>
      <c r="R342" s="13" t="s">
        <v>1990</v>
      </c>
      <c r="S342" s="13" t="s">
        <v>38</v>
      </c>
      <c r="T342" s="15">
        <v>500000</v>
      </c>
      <c r="U342" s="13"/>
      <c r="V342" s="13"/>
      <c r="W342" s="13"/>
      <c r="X342" s="13"/>
      <c r="Y342" s="13"/>
      <c r="Z342" s="13"/>
      <c r="AA342" s="13"/>
      <c r="AB342" s="13"/>
      <c r="AC342" s="13"/>
      <c r="AD342" s="13"/>
      <c r="AE342" s="13"/>
      <c r="AF342" s="1"/>
      <c r="AG342" s="1"/>
      <c r="AH342" s="1"/>
      <c r="AI342" s="1"/>
      <c r="AJ342" s="1"/>
    </row>
    <row r="343" spans="1:36" x14ac:dyDescent="0.2">
      <c r="A343" s="12">
        <v>45493.490305601852</v>
      </c>
      <c r="B343" s="13" t="s">
        <v>1986</v>
      </c>
      <c r="C343" s="13">
        <v>3003606520</v>
      </c>
      <c r="D343" s="13" t="s">
        <v>79</v>
      </c>
      <c r="E343" s="13" t="s">
        <v>865</v>
      </c>
      <c r="F343" s="13" t="s">
        <v>1911</v>
      </c>
      <c r="G343" s="13" t="s">
        <v>1991</v>
      </c>
      <c r="H343" s="13">
        <v>1000193138</v>
      </c>
      <c r="I343" s="13">
        <v>3164586627</v>
      </c>
      <c r="J343" s="13" t="s">
        <v>1992</v>
      </c>
      <c r="K343" s="13">
        <v>3225706466</v>
      </c>
      <c r="L343" s="13" t="s">
        <v>181</v>
      </c>
      <c r="M343" s="13" t="s">
        <v>158</v>
      </c>
      <c r="N343" s="13" t="s">
        <v>35</v>
      </c>
      <c r="O343" s="13"/>
      <c r="P343" s="13">
        <v>2</v>
      </c>
      <c r="Q343" s="13" t="s">
        <v>1993</v>
      </c>
      <c r="R343" s="13" t="s">
        <v>276</v>
      </c>
      <c r="S343" s="13" t="s">
        <v>38</v>
      </c>
      <c r="T343" s="13" t="s">
        <v>103</v>
      </c>
      <c r="U343" s="13"/>
      <c r="V343" s="13"/>
      <c r="W343" s="13"/>
      <c r="X343" s="13"/>
      <c r="Y343" s="13"/>
      <c r="Z343" s="13"/>
      <c r="AA343" s="13"/>
      <c r="AB343" s="13"/>
      <c r="AC343" s="13"/>
      <c r="AD343" s="13"/>
      <c r="AE343" s="13"/>
      <c r="AF343" s="1"/>
      <c r="AG343" s="1"/>
      <c r="AH343" s="1"/>
      <c r="AI343" s="1"/>
      <c r="AJ343" s="1"/>
    </row>
    <row r="344" spans="1:36" x14ac:dyDescent="0.2">
      <c r="A344" s="12">
        <v>45493.490677685186</v>
      </c>
      <c r="B344" s="13" t="s">
        <v>1994</v>
      </c>
      <c r="C344" s="13">
        <v>3166985120</v>
      </c>
      <c r="D344" s="13" t="s">
        <v>30</v>
      </c>
      <c r="E344" s="13" t="s">
        <v>865</v>
      </c>
      <c r="F344" s="13" t="s">
        <v>1995</v>
      </c>
      <c r="G344" s="13" t="s">
        <v>1996</v>
      </c>
      <c r="H344" s="13">
        <v>43380488</v>
      </c>
      <c r="I344" s="13">
        <v>3184242970</v>
      </c>
      <c r="J344" s="13">
        <v>3104535763</v>
      </c>
      <c r="K344" s="13">
        <v>3184242970</v>
      </c>
      <c r="L344" s="13">
        <v>20</v>
      </c>
      <c r="M344" s="13">
        <v>3</v>
      </c>
      <c r="N344" s="13" t="s">
        <v>35</v>
      </c>
      <c r="O344" s="13"/>
      <c r="P344" s="13">
        <v>4</v>
      </c>
      <c r="Q344" s="13" t="s">
        <v>1997</v>
      </c>
      <c r="R344" s="13" t="s">
        <v>453</v>
      </c>
      <c r="S344" s="13" t="s">
        <v>110</v>
      </c>
      <c r="T344" s="13" t="s">
        <v>132</v>
      </c>
      <c r="U344" s="13"/>
      <c r="V344" s="13"/>
      <c r="W344" s="13"/>
      <c r="X344" s="13"/>
      <c r="Y344" s="13"/>
      <c r="Z344" s="13"/>
      <c r="AA344" s="13"/>
      <c r="AB344" s="13"/>
      <c r="AC344" s="13"/>
      <c r="AD344" s="13"/>
      <c r="AE344" s="13"/>
      <c r="AF344" s="1"/>
      <c r="AG344" s="1"/>
      <c r="AH344" s="1"/>
      <c r="AI344" s="1"/>
      <c r="AJ344" s="1"/>
    </row>
    <row r="345" spans="1:36" x14ac:dyDescent="0.2">
      <c r="A345" s="12">
        <v>45493.492312337963</v>
      </c>
      <c r="B345" s="13" t="s">
        <v>1986</v>
      </c>
      <c r="C345" s="13">
        <v>3003606520</v>
      </c>
      <c r="D345" s="13" t="s">
        <v>79</v>
      </c>
      <c r="E345" s="13" t="s">
        <v>865</v>
      </c>
      <c r="F345" s="13" t="s">
        <v>1911</v>
      </c>
      <c r="G345" s="13" t="s">
        <v>1998</v>
      </c>
      <c r="H345" s="13">
        <v>22023495</v>
      </c>
      <c r="I345" s="13">
        <v>3146143358</v>
      </c>
      <c r="J345" s="13" t="s">
        <v>1999</v>
      </c>
      <c r="K345" s="13">
        <v>3107258255</v>
      </c>
      <c r="L345" s="13" t="s">
        <v>44</v>
      </c>
      <c r="M345" s="13" t="s">
        <v>44</v>
      </c>
      <c r="N345" s="13" t="s">
        <v>35</v>
      </c>
      <c r="O345" s="13"/>
      <c r="P345" s="13">
        <v>1</v>
      </c>
      <c r="Q345" s="13">
        <v>73</v>
      </c>
      <c r="R345" s="13" t="s">
        <v>62</v>
      </c>
      <c r="S345" s="13" t="s">
        <v>110</v>
      </c>
      <c r="T345" s="13" t="s">
        <v>216</v>
      </c>
      <c r="U345" s="13"/>
      <c r="V345" s="13"/>
      <c r="W345" s="13"/>
      <c r="X345" s="13"/>
      <c r="Y345" s="13"/>
      <c r="Z345" s="13"/>
      <c r="AA345" s="13"/>
      <c r="AB345" s="13"/>
      <c r="AC345" s="13"/>
      <c r="AD345" s="13"/>
      <c r="AE345" s="13"/>
      <c r="AF345" s="1"/>
      <c r="AG345" s="1"/>
      <c r="AH345" s="1"/>
      <c r="AI345" s="1"/>
      <c r="AJ345" s="1"/>
    </row>
    <row r="346" spans="1:36" x14ac:dyDescent="0.2">
      <c r="A346" s="12">
        <v>45493.494540821761</v>
      </c>
      <c r="B346" s="13" t="s">
        <v>2000</v>
      </c>
      <c r="C346" s="13">
        <v>3147009822</v>
      </c>
      <c r="D346" s="13" t="s">
        <v>79</v>
      </c>
      <c r="E346" s="13" t="s">
        <v>865</v>
      </c>
      <c r="F346" s="13" t="s">
        <v>1911</v>
      </c>
      <c r="G346" s="13" t="s">
        <v>2001</v>
      </c>
      <c r="H346" s="13">
        <v>1151448293</v>
      </c>
      <c r="I346" s="13">
        <v>3022763900</v>
      </c>
      <c r="J346" s="13" t="s">
        <v>2002</v>
      </c>
      <c r="K346" s="13">
        <v>3217664595</v>
      </c>
      <c r="L346" s="13">
        <v>4</v>
      </c>
      <c r="M346" s="13">
        <v>4</v>
      </c>
      <c r="N346" s="13" t="s">
        <v>35</v>
      </c>
      <c r="O346" s="13"/>
      <c r="P346" s="13">
        <v>4</v>
      </c>
      <c r="Q346" s="14" t="s">
        <v>2003</v>
      </c>
      <c r="R346" s="13" t="s">
        <v>798</v>
      </c>
      <c r="S346" s="13" t="s">
        <v>38</v>
      </c>
      <c r="T346" s="13" t="s">
        <v>132</v>
      </c>
      <c r="U346" s="13"/>
      <c r="V346" s="13"/>
      <c r="W346" s="13"/>
      <c r="X346" s="13"/>
      <c r="Y346" s="13"/>
      <c r="Z346" s="13"/>
      <c r="AA346" s="13"/>
      <c r="AB346" s="13"/>
      <c r="AC346" s="13"/>
      <c r="AD346" s="13"/>
      <c r="AE346" s="13"/>
      <c r="AF346" s="1"/>
      <c r="AG346" s="1"/>
      <c r="AH346" s="1"/>
      <c r="AI346" s="1"/>
      <c r="AJ346" s="1"/>
    </row>
    <row r="347" spans="1:36" x14ac:dyDescent="0.2">
      <c r="A347" s="12">
        <v>45493.49467226852</v>
      </c>
      <c r="B347" s="13" t="s">
        <v>1986</v>
      </c>
      <c r="C347" s="13">
        <v>3003606520</v>
      </c>
      <c r="D347" s="13" t="s">
        <v>79</v>
      </c>
      <c r="E347" s="13" t="s">
        <v>865</v>
      </c>
      <c r="F347" s="13" t="s">
        <v>1911</v>
      </c>
      <c r="G347" s="13" t="s">
        <v>2004</v>
      </c>
      <c r="H347" s="13">
        <v>22034684</v>
      </c>
      <c r="I347" s="13">
        <v>3107258255</v>
      </c>
      <c r="J347" s="13" t="s">
        <v>2005</v>
      </c>
      <c r="K347" s="13">
        <v>3117296007</v>
      </c>
      <c r="L347" s="13" t="s">
        <v>306</v>
      </c>
      <c r="M347" s="13" t="s">
        <v>181</v>
      </c>
      <c r="N347" s="13" t="s">
        <v>35</v>
      </c>
      <c r="O347" s="13"/>
      <c r="P347" s="13">
        <v>3</v>
      </c>
      <c r="Q347" s="13" t="s">
        <v>2006</v>
      </c>
      <c r="R347" s="13" t="s">
        <v>62</v>
      </c>
      <c r="S347" s="13" t="s">
        <v>38</v>
      </c>
      <c r="T347" s="13" t="s">
        <v>2007</v>
      </c>
      <c r="U347" s="13"/>
      <c r="V347" s="13"/>
      <c r="W347" s="13"/>
      <c r="X347" s="13"/>
      <c r="Y347" s="13"/>
      <c r="Z347" s="13"/>
      <c r="AA347" s="13"/>
      <c r="AB347" s="13"/>
      <c r="AC347" s="13"/>
      <c r="AD347" s="13"/>
      <c r="AE347" s="13"/>
      <c r="AF347" s="1"/>
      <c r="AG347" s="1"/>
      <c r="AH347" s="1"/>
      <c r="AI347" s="1"/>
      <c r="AJ347" s="1"/>
    </row>
    <row r="348" spans="1:36" x14ac:dyDescent="0.2">
      <c r="A348" s="12">
        <v>45493.495847106482</v>
      </c>
      <c r="B348" s="13" t="s">
        <v>2008</v>
      </c>
      <c r="C348" s="13">
        <v>3166985120</v>
      </c>
      <c r="D348" s="13" t="s">
        <v>30</v>
      </c>
      <c r="E348" s="13" t="s">
        <v>865</v>
      </c>
      <c r="F348" s="13" t="s">
        <v>1180</v>
      </c>
      <c r="G348" s="13" t="s">
        <v>2009</v>
      </c>
      <c r="H348" s="13">
        <v>1148145041</v>
      </c>
      <c r="I348" s="13">
        <v>3027665898</v>
      </c>
      <c r="J348" s="13">
        <v>3224225428</v>
      </c>
      <c r="K348" s="13"/>
      <c r="L348" s="13">
        <v>20</v>
      </c>
      <c r="M348" s="13">
        <v>1</v>
      </c>
      <c r="N348" s="13" t="s">
        <v>35</v>
      </c>
      <c r="O348" s="13"/>
      <c r="P348" s="13">
        <v>2</v>
      </c>
      <c r="Q348" s="13">
        <v>6.26</v>
      </c>
      <c r="R348" s="13" t="s">
        <v>2010</v>
      </c>
      <c r="S348" s="13" t="s">
        <v>110</v>
      </c>
      <c r="T348" s="13" t="s">
        <v>2011</v>
      </c>
      <c r="U348" s="13"/>
      <c r="V348" s="13"/>
      <c r="W348" s="13"/>
      <c r="X348" s="13"/>
      <c r="Y348" s="13"/>
      <c r="Z348" s="13"/>
      <c r="AA348" s="13"/>
      <c r="AB348" s="13"/>
      <c r="AC348" s="13"/>
      <c r="AD348" s="13"/>
      <c r="AE348" s="13"/>
      <c r="AF348" s="1"/>
      <c r="AG348" s="1"/>
      <c r="AH348" s="1"/>
      <c r="AI348" s="1"/>
      <c r="AJ348" s="1"/>
    </row>
    <row r="349" spans="1:36" x14ac:dyDescent="0.2">
      <c r="A349" s="12">
        <v>45493.496601620369</v>
      </c>
      <c r="B349" s="13" t="s">
        <v>1986</v>
      </c>
      <c r="C349" s="13">
        <v>3003606520</v>
      </c>
      <c r="D349" s="13" t="s">
        <v>79</v>
      </c>
      <c r="E349" s="13" t="s">
        <v>865</v>
      </c>
      <c r="F349" s="13" t="s">
        <v>1911</v>
      </c>
      <c r="G349" s="13" t="s">
        <v>2012</v>
      </c>
      <c r="H349" s="13">
        <v>42691859</v>
      </c>
      <c r="I349" s="13">
        <v>3137359361</v>
      </c>
      <c r="J349" s="13"/>
      <c r="K349" s="13"/>
      <c r="L349" s="13" t="s">
        <v>181</v>
      </c>
      <c r="M349" s="13" t="s">
        <v>267</v>
      </c>
      <c r="N349" s="13" t="s">
        <v>35</v>
      </c>
      <c r="O349" s="13"/>
      <c r="P349" s="13">
        <v>1</v>
      </c>
      <c r="Q349" s="13">
        <v>43</v>
      </c>
      <c r="R349" s="13" t="s">
        <v>2013</v>
      </c>
      <c r="S349" s="13" t="s">
        <v>110</v>
      </c>
      <c r="T349" s="13" t="s">
        <v>2014</v>
      </c>
      <c r="U349" s="13"/>
      <c r="V349" s="13"/>
      <c r="W349" s="13"/>
      <c r="X349" s="13"/>
      <c r="Y349" s="13"/>
      <c r="Z349" s="13"/>
      <c r="AA349" s="13"/>
      <c r="AB349" s="13"/>
      <c r="AC349" s="13"/>
      <c r="AD349" s="13"/>
      <c r="AE349" s="13"/>
      <c r="AF349" s="1"/>
      <c r="AG349" s="1"/>
      <c r="AH349" s="1"/>
      <c r="AI349" s="1"/>
      <c r="AJ349" s="1"/>
    </row>
    <row r="350" spans="1:36" x14ac:dyDescent="0.2">
      <c r="A350" s="12">
        <v>45493.497243692131</v>
      </c>
      <c r="B350" s="13" t="s">
        <v>2015</v>
      </c>
      <c r="C350" s="13">
        <v>3147009822</v>
      </c>
      <c r="D350" s="13" t="s">
        <v>79</v>
      </c>
      <c r="E350" s="13" t="s">
        <v>865</v>
      </c>
      <c r="F350" s="13" t="s">
        <v>1911</v>
      </c>
      <c r="G350" s="13" t="s">
        <v>2016</v>
      </c>
      <c r="H350" s="13">
        <v>1017239458</v>
      </c>
      <c r="I350" s="13">
        <v>3155010091</v>
      </c>
      <c r="J350" s="13" t="s">
        <v>2017</v>
      </c>
      <c r="K350" s="13">
        <v>3022763900</v>
      </c>
      <c r="L350" s="13">
        <v>2</v>
      </c>
      <c r="M350" s="13">
        <v>2</v>
      </c>
      <c r="N350" s="13" t="s">
        <v>35</v>
      </c>
      <c r="O350" s="13"/>
      <c r="P350" s="13">
        <v>4</v>
      </c>
      <c r="Q350" s="13" t="s">
        <v>2018</v>
      </c>
      <c r="R350" s="13" t="s">
        <v>453</v>
      </c>
      <c r="S350" s="13" t="s">
        <v>2019</v>
      </c>
      <c r="T350" s="13" t="s">
        <v>132</v>
      </c>
      <c r="U350" s="13"/>
      <c r="V350" s="13"/>
      <c r="W350" s="13"/>
      <c r="X350" s="13"/>
      <c r="Y350" s="13"/>
      <c r="Z350" s="13"/>
      <c r="AA350" s="13"/>
      <c r="AB350" s="13"/>
      <c r="AC350" s="13"/>
      <c r="AD350" s="13"/>
      <c r="AE350" s="13"/>
      <c r="AF350" s="1"/>
      <c r="AG350" s="1"/>
      <c r="AH350" s="1"/>
      <c r="AI350" s="1"/>
      <c r="AJ350" s="1"/>
    </row>
    <row r="351" spans="1:36" x14ac:dyDescent="0.2">
      <c r="A351" s="12">
        <v>45493.498584351852</v>
      </c>
      <c r="B351" s="13" t="s">
        <v>1986</v>
      </c>
      <c r="C351" s="13">
        <v>3003606520</v>
      </c>
      <c r="D351" s="13" t="s">
        <v>79</v>
      </c>
      <c r="E351" s="13" t="s">
        <v>865</v>
      </c>
      <c r="F351" s="13" t="s">
        <v>1180</v>
      </c>
      <c r="G351" s="13" t="s">
        <v>2020</v>
      </c>
      <c r="H351" s="13">
        <v>1060010315</v>
      </c>
      <c r="I351" s="13">
        <v>3244625364</v>
      </c>
      <c r="J351" s="13" t="s">
        <v>2021</v>
      </c>
      <c r="K351" s="13">
        <v>3244141171</v>
      </c>
      <c r="L351" s="13" t="s">
        <v>335</v>
      </c>
      <c r="M351" s="13" t="s">
        <v>911</v>
      </c>
      <c r="N351" s="13" t="s">
        <v>35</v>
      </c>
      <c r="O351" s="13"/>
      <c r="P351" s="13">
        <v>3</v>
      </c>
      <c r="Q351" s="13" t="s">
        <v>2022</v>
      </c>
      <c r="R351" s="13" t="s">
        <v>2023</v>
      </c>
      <c r="S351" s="13" t="s">
        <v>38</v>
      </c>
      <c r="T351" s="15">
        <v>400000</v>
      </c>
      <c r="U351" s="13"/>
      <c r="V351" s="13"/>
      <c r="W351" s="13"/>
      <c r="X351" s="13"/>
      <c r="Y351" s="13"/>
      <c r="Z351" s="13"/>
      <c r="AA351" s="13"/>
      <c r="AB351" s="13"/>
      <c r="AC351" s="13"/>
      <c r="AD351" s="13"/>
      <c r="AE351" s="13"/>
      <c r="AF351" s="1"/>
      <c r="AG351" s="1"/>
      <c r="AH351" s="1"/>
      <c r="AI351" s="1"/>
      <c r="AJ351" s="1"/>
    </row>
    <row r="352" spans="1:36" x14ac:dyDescent="0.2">
      <c r="A352" s="12">
        <v>45493.49874166667</v>
      </c>
      <c r="B352" s="13" t="s">
        <v>1994</v>
      </c>
      <c r="C352" s="13">
        <v>3166985120</v>
      </c>
      <c r="D352" s="13" t="s">
        <v>30</v>
      </c>
      <c r="E352" s="13" t="s">
        <v>865</v>
      </c>
      <c r="F352" s="13" t="s">
        <v>2024</v>
      </c>
      <c r="G352" s="13" t="s">
        <v>2025</v>
      </c>
      <c r="H352" s="13">
        <v>98460477</v>
      </c>
      <c r="I352" s="13">
        <v>321740</v>
      </c>
      <c r="J352" s="13"/>
      <c r="K352" s="13"/>
      <c r="L352" s="13">
        <v>15</v>
      </c>
      <c r="M352" s="13">
        <v>15</v>
      </c>
      <c r="N352" s="13" t="s">
        <v>35</v>
      </c>
      <c r="O352" s="13"/>
      <c r="P352" s="13">
        <v>2</v>
      </c>
      <c r="Q352" s="13">
        <v>7.56</v>
      </c>
      <c r="R352" s="13" t="s">
        <v>2026</v>
      </c>
      <c r="S352" s="13" t="s">
        <v>38</v>
      </c>
      <c r="T352" s="13" t="s">
        <v>132</v>
      </c>
      <c r="U352" s="13"/>
      <c r="V352" s="13"/>
      <c r="W352" s="13"/>
      <c r="X352" s="13"/>
      <c r="Y352" s="13"/>
      <c r="Z352" s="13"/>
      <c r="AA352" s="13"/>
      <c r="AB352" s="13"/>
      <c r="AC352" s="13"/>
      <c r="AD352" s="13"/>
      <c r="AE352" s="13"/>
      <c r="AF352" s="1"/>
      <c r="AG352" s="1"/>
      <c r="AH352" s="1"/>
      <c r="AI352" s="1"/>
      <c r="AJ352" s="1"/>
    </row>
    <row r="353" spans="1:36" x14ac:dyDescent="0.2">
      <c r="A353" s="12">
        <v>45493.500091273148</v>
      </c>
      <c r="B353" s="13" t="s">
        <v>2015</v>
      </c>
      <c r="C353" s="13">
        <v>3147009822</v>
      </c>
      <c r="D353" s="13" t="s">
        <v>79</v>
      </c>
      <c r="E353" s="13" t="s">
        <v>865</v>
      </c>
      <c r="F353" s="13" t="s">
        <v>1180</v>
      </c>
      <c r="G353" s="13" t="s">
        <v>2027</v>
      </c>
      <c r="H353" s="13">
        <v>70724209</v>
      </c>
      <c r="I353" s="13">
        <v>3007561504</v>
      </c>
      <c r="J353" s="13"/>
      <c r="K353" s="13"/>
      <c r="L353" s="13">
        <v>8</v>
      </c>
      <c r="M353" s="13">
        <v>8</v>
      </c>
      <c r="N353" s="13" t="s">
        <v>35</v>
      </c>
      <c r="O353" s="13"/>
      <c r="P353" s="13">
        <v>1</v>
      </c>
      <c r="Q353" s="13">
        <v>58</v>
      </c>
      <c r="R353" s="13" t="s">
        <v>2028</v>
      </c>
      <c r="S353" s="13" t="s">
        <v>38</v>
      </c>
      <c r="T353" s="13" t="s">
        <v>132</v>
      </c>
      <c r="U353" s="13"/>
      <c r="V353" s="13"/>
      <c r="W353" s="13"/>
      <c r="X353" s="13"/>
      <c r="Y353" s="13"/>
      <c r="Z353" s="13"/>
      <c r="AA353" s="13"/>
      <c r="AB353" s="13"/>
      <c r="AC353" s="13"/>
      <c r="AD353" s="13"/>
      <c r="AE353" s="13"/>
      <c r="AF353" s="1"/>
      <c r="AG353" s="1"/>
      <c r="AH353" s="1"/>
      <c r="AI353" s="1"/>
      <c r="AJ353" s="1"/>
    </row>
    <row r="354" spans="1:36" x14ac:dyDescent="0.2">
      <c r="A354" s="12">
        <v>45493.500546921292</v>
      </c>
      <c r="B354" s="13" t="s">
        <v>1986</v>
      </c>
      <c r="C354" s="13">
        <v>3003606520</v>
      </c>
      <c r="D354" s="13" t="s">
        <v>79</v>
      </c>
      <c r="E354" s="13" t="s">
        <v>865</v>
      </c>
      <c r="F354" s="13" t="s">
        <v>1911</v>
      </c>
      <c r="G354" s="13" t="s">
        <v>2029</v>
      </c>
      <c r="H354" s="13">
        <v>39405462</v>
      </c>
      <c r="I354" s="13">
        <v>3214942669</v>
      </c>
      <c r="J354" s="13" t="s">
        <v>2030</v>
      </c>
      <c r="K354" s="13">
        <v>3127382751</v>
      </c>
      <c r="L354" s="13" t="s">
        <v>180</v>
      </c>
      <c r="M354" s="13" t="s">
        <v>180</v>
      </c>
      <c r="N354" s="13" t="s">
        <v>35</v>
      </c>
      <c r="O354" s="13"/>
      <c r="P354" s="13">
        <v>4</v>
      </c>
      <c r="Q354" s="13" t="s">
        <v>2031</v>
      </c>
      <c r="R354" s="13" t="s">
        <v>62</v>
      </c>
      <c r="S354" s="13" t="s">
        <v>38</v>
      </c>
      <c r="T354" s="13" t="s">
        <v>1313</v>
      </c>
      <c r="U354" s="13"/>
      <c r="V354" s="13"/>
      <c r="W354" s="13"/>
      <c r="X354" s="13"/>
      <c r="Y354" s="13"/>
      <c r="Z354" s="13"/>
      <c r="AA354" s="13"/>
      <c r="AB354" s="13"/>
      <c r="AC354" s="13"/>
      <c r="AD354" s="13"/>
      <c r="AE354" s="13"/>
      <c r="AF354" s="1"/>
      <c r="AG354" s="1"/>
      <c r="AH354" s="1"/>
      <c r="AI354" s="1"/>
      <c r="AJ354" s="1"/>
    </row>
    <row r="355" spans="1:36" x14ac:dyDescent="0.2">
      <c r="A355" s="12">
        <v>45493.502204999997</v>
      </c>
      <c r="B355" s="13" t="s">
        <v>1994</v>
      </c>
      <c r="C355" s="13">
        <v>3166985120</v>
      </c>
      <c r="D355" s="13" t="s">
        <v>30</v>
      </c>
      <c r="E355" s="13" t="s">
        <v>865</v>
      </c>
      <c r="F355" s="13" t="s">
        <v>2032</v>
      </c>
      <c r="G355" s="13" t="s">
        <v>2033</v>
      </c>
      <c r="H355" s="13">
        <v>21282466</v>
      </c>
      <c r="I355" s="13">
        <v>3234605404</v>
      </c>
      <c r="J355" s="13"/>
      <c r="K355" s="13"/>
      <c r="L355" s="13">
        <v>5</v>
      </c>
      <c r="M355" s="13">
        <v>5</v>
      </c>
      <c r="N355" s="13" t="s">
        <v>35</v>
      </c>
      <c r="O355" s="13"/>
      <c r="P355" s="13">
        <v>3</v>
      </c>
      <c r="Q355" s="13" t="s">
        <v>2034</v>
      </c>
      <c r="R355" s="13" t="s">
        <v>869</v>
      </c>
      <c r="S355" s="13" t="s">
        <v>2035</v>
      </c>
      <c r="T355" s="13" t="s">
        <v>132</v>
      </c>
      <c r="U355" s="13"/>
      <c r="V355" s="13"/>
      <c r="W355" s="13"/>
      <c r="X355" s="13"/>
      <c r="Y355" s="13"/>
      <c r="Z355" s="13"/>
      <c r="AA355" s="13"/>
      <c r="AB355" s="13"/>
      <c r="AC355" s="13"/>
      <c r="AD355" s="13"/>
      <c r="AE355" s="13"/>
      <c r="AF355" s="1"/>
      <c r="AG355" s="1"/>
      <c r="AH355" s="1"/>
      <c r="AI355" s="1"/>
      <c r="AJ355" s="1"/>
    </row>
    <row r="356" spans="1:36" x14ac:dyDescent="0.2">
      <c r="A356" s="12">
        <v>45493.502761944445</v>
      </c>
      <c r="B356" s="13" t="s">
        <v>1986</v>
      </c>
      <c r="C356" s="13">
        <v>3003606520</v>
      </c>
      <c r="D356" s="13" t="s">
        <v>79</v>
      </c>
      <c r="E356" s="13" t="s">
        <v>865</v>
      </c>
      <c r="F356" s="13" t="s">
        <v>1911</v>
      </c>
      <c r="G356" s="13" t="s">
        <v>2036</v>
      </c>
      <c r="H356" s="13">
        <v>1027948637</v>
      </c>
      <c r="I356" s="13">
        <v>3146850250</v>
      </c>
      <c r="J356" s="13" t="s">
        <v>2037</v>
      </c>
      <c r="K356" s="13">
        <v>3242678973</v>
      </c>
      <c r="L356" s="13" t="s">
        <v>214</v>
      </c>
      <c r="M356" s="13" t="s">
        <v>214</v>
      </c>
      <c r="N356" s="13" t="s">
        <v>35</v>
      </c>
      <c r="O356" s="13"/>
      <c r="P356" s="13">
        <v>3</v>
      </c>
      <c r="Q356" s="14" t="s">
        <v>2038</v>
      </c>
      <c r="R356" s="13" t="s">
        <v>2039</v>
      </c>
      <c r="S356" s="13" t="s">
        <v>38</v>
      </c>
      <c r="T356" s="15">
        <v>400000</v>
      </c>
      <c r="U356" s="13"/>
      <c r="V356" s="13"/>
      <c r="W356" s="13"/>
      <c r="X356" s="13"/>
      <c r="Y356" s="13"/>
      <c r="Z356" s="13"/>
      <c r="AA356" s="13"/>
      <c r="AB356" s="13"/>
      <c r="AC356" s="13"/>
      <c r="AD356" s="13"/>
      <c r="AE356" s="13"/>
      <c r="AF356" s="1"/>
      <c r="AG356" s="1"/>
      <c r="AH356" s="1"/>
      <c r="AI356" s="1"/>
      <c r="AJ356" s="1"/>
    </row>
    <row r="357" spans="1:36" x14ac:dyDescent="0.2">
      <c r="A357" s="12">
        <v>45493.502814409723</v>
      </c>
      <c r="B357" s="13" t="s">
        <v>2015</v>
      </c>
      <c r="C357" s="13">
        <v>3147009822</v>
      </c>
      <c r="D357" s="13" t="s">
        <v>79</v>
      </c>
      <c r="E357" s="13" t="s">
        <v>865</v>
      </c>
      <c r="F357" s="13" t="s">
        <v>1911</v>
      </c>
      <c r="G357" s="13" t="s">
        <v>2040</v>
      </c>
      <c r="H357" s="13">
        <v>98456261</v>
      </c>
      <c r="I357" s="13">
        <v>3005062742</v>
      </c>
      <c r="J357" s="13"/>
      <c r="K357" s="13"/>
      <c r="L357" s="13">
        <v>22</v>
      </c>
      <c r="M357" s="13">
        <v>22</v>
      </c>
      <c r="N357" s="13" t="s">
        <v>35</v>
      </c>
      <c r="O357" s="13"/>
      <c r="P357" s="13">
        <v>4</v>
      </c>
      <c r="Q357" s="13" t="s">
        <v>2041</v>
      </c>
      <c r="R357" s="13" t="s">
        <v>2042</v>
      </c>
      <c r="S357" s="13" t="s">
        <v>38</v>
      </c>
      <c r="T357" s="13" t="s">
        <v>132</v>
      </c>
      <c r="U357" s="13"/>
      <c r="V357" s="13"/>
      <c r="W357" s="13"/>
      <c r="X357" s="13"/>
      <c r="Y357" s="13"/>
      <c r="Z357" s="13"/>
      <c r="AA357" s="13"/>
      <c r="AB357" s="13"/>
      <c r="AC357" s="13"/>
      <c r="AD357" s="13"/>
      <c r="AE357" s="13"/>
      <c r="AF357" s="1"/>
      <c r="AG357" s="1"/>
      <c r="AH357" s="1"/>
      <c r="AI357" s="1"/>
      <c r="AJ357" s="1"/>
    </row>
    <row r="358" spans="1:36" x14ac:dyDescent="0.2">
      <c r="A358" s="12">
        <v>45493.504893472222</v>
      </c>
      <c r="B358" s="13" t="s">
        <v>1986</v>
      </c>
      <c r="C358" s="13">
        <v>3003606520</v>
      </c>
      <c r="D358" s="13" t="s">
        <v>79</v>
      </c>
      <c r="E358" s="13" t="s">
        <v>865</v>
      </c>
      <c r="F358" s="13" t="s">
        <v>1911</v>
      </c>
      <c r="G358" s="13" t="s">
        <v>2043</v>
      </c>
      <c r="H358" s="13">
        <v>8464404</v>
      </c>
      <c r="I358" s="13">
        <v>3114061783</v>
      </c>
      <c r="J358" s="13"/>
      <c r="K358" s="13"/>
      <c r="L358" s="13" t="s">
        <v>286</v>
      </c>
      <c r="M358" s="13" t="s">
        <v>286</v>
      </c>
      <c r="N358" s="13" t="s">
        <v>35</v>
      </c>
      <c r="O358" s="13"/>
      <c r="P358" s="13">
        <v>4</v>
      </c>
      <c r="Q358" s="13" t="s">
        <v>2044</v>
      </c>
      <c r="R358" s="13" t="s">
        <v>2045</v>
      </c>
      <c r="S358" s="13" t="s">
        <v>38</v>
      </c>
      <c r="T358" s="13" t="s">
        <v>2046</v>
      </c>
      <c r="U358" s="13"/>
      <c r="V358" s="13"/>
      <c r="W358" s="13"/>
      <c r="X358" s="13"/>
      <c r="Y358" s="13"/>
      <c r="Z358" s="13"/>
      <c r="AA358" s="13"/>
      <c r="AB358" s="13"/>
      <c r="AC358" s="13"/>
      <c r="AD358" s="13"/>
      <c r="AE358" s="13"/>
      <c r="AF358" s="1"/>
      <c r="AG358" s="1"/>
      <c r="AH358" s="1"/>
      <c r="AI358" s="1"/>
      <c r="AJ358" s="1"/>
    </row>
    <row r="359" spans="1:36" x14ac:dyDescent="0.2">
      <c r="A359" s="12">
        <v>45493.506062777778</v>
      </c>
      <c r="B359" s="13" t="s">
        <v>2015</v>
      </c>
      <c r="C359" s="13">
        <v>3147009822</v>
      </c>
      <c r="D359" s="13" t="s">
        <v>79</v>
      </c>
      <c r="E359" s="13" t="s">
        <v>865</v>
      </c>
      <c r="F359" s="13" t="s">
        <v>1180</v>
      </c>
      <c r="G359" s="13" t="s">
        <v>2047</v>
      </c>
      <c r="H359" s="13">
        <v>1128405818</v>
      </c>
      <c r="I359" s="13">
        <v>3046732823</v>
      </c>
      <c r="J359" s="13"/>
      <c r="K359" s="13"/>
      <c r="L359" s="13">
        <v>8</v>
      </c>
      <c r="M359" s="13">
        <v>8</v>
      </c>
      <c r="N359" s="13" t="s">
        <v>35</v>
      </c>
      <c r="O359" s="13"/>
      <c r="P359" s="13">
        <v>3</v>
      </c>
      <c r="Q359" s="14" t="s">
        <v>2048</v>
      </c>
      <c r="R359" s="13" t="s">
        <v>2049</v>
      </c>
      <c r="S359" s="13" t="s">
        <v>38</v>
      </c>
      <c r="T359" s="13" t="s">
        <v>35</v>
      </c>
      <c r="U359" s="13"/>
      <c r="V359" s="13"/>
      <c r="W359" s="13"/>
      <c r="X359" s="13"/>
      <c r="Y359" s="13"/>
      <c r="Z359" s="13"/>
      <c r="AA359" s="13"/>
      <c r="AB359" s="13"/>
      <c r="AC359" s="13" t="s">
        <v>1313</v>
      </c>
      <c r="AD359" s="13"/>
      <c r="AE359" s="13"/>
      <c r="AF359" s="1"/>
      <c r="AG359" s="1"/>
      <c r="AH359" s="1"/>
      <c r="AI359" s="1"/>
      <c r="AJ359" s="1"/>
    </row>
    <row r="360" spans="1:36" x14ac:dyDescent="0.2">
      <c r="A360" s="12">
        <v>45493.507283020837</v>
      </c>
      <c r="B360" s="13" t="s">
        <v>1986</v>
      </c>
      <c r="C360" s="13">
        <v>3003606520</v>
      </c>
      <c r="D360" s="13" t="s">
        <v>79</v>
      </c>
      <c r="E360" s="13" t="s">
        <v>865</v>
      </c>
      <c r="F360" s="13" t="s">
        <v>1911</v>
      </c>
      <c r="G360" s="13" t="s">
        <v>2050</v>
      </c>
      <c r="H360" s="13">
        <v>1036838395</v>
      </c>
      <c r="I360" s="13">
        <v>3243871268</v>
      </c>
      <c r="J360" s="13"/>
      <c r="K360" s="13"/>
      <c r="L360" s="13" t="s">
        <v>306</v>
      </c>
      <c r="M360" s="13" t="s">
        <v>286</v>
      </c>
      <c r="N360" s="13" t="s">
        <v>35</v>
      </c>
      <c r="O360" s="13"/>
      <c r="P360" s="13">
        <v>2</v>
      </c>
      <c r="Q360" s="13" t="s">
        <v>2051</v>
      </c>
      <c r="R360" s="13" t="s">
        <v>869</v>
      </c>
      <c r="S360" s="13" t="s">
        <v>110</v>
      </c>
      <c r="T360" s="13" t="s">
        <v>1313</v>
      </c>
      <c r="U360" s="13"/>
      <c r="V360" s="13"/>
      <c r="W360" s="13"/>
      <c r="X360" s="13"/>
      <c r="Y360" s="13"/>
      <c r="Z360" s="13"/>
      <c r="AA360" s="13"/>
      <c r="AB360" s="13"/>
      <c r="AC360" s="13"/>
      <c r="AD360" s="13"/>
      <c r="AE360" s="13"/>
      <c r="AF360" s="1"/>
      <c r="AG360" s="1"/>
      <c r="AH360" s="1"/>
      <c r="AI360" s="1"/>
      <c r="AJ360" s="1"/>
    </row>
    <row r="361" spans="1:36" x14ac:dyDescent="0.2">
      <c r="A361" s="12">
        <v>45493.507848032408</v>
      </c>
      <c r="B361" s="13" t="s">
        <v>1994</v>
      </c>
      <c r="C361" s="13">
        <v>3166985120</v>
      </c>
      <c r="D361" s="13" t="s">
        <v>30</v>
      </c>
      <c r="E361" s="13" t="s">
        <v>865</v>
      </c>
      <c r="F361" s="13" t="s">
        <v>1995</v>
      </c>
      <c r="G361" s="13" t="s">
        <v>2052</v>
      </c>
      <c r="H361" s="13">
        <v>1036668740</v>
      </c>
      <c r="I361" s="13">
        <v>3001649351</v>
      </c>
      <c r="J361" s="13"/>
      <c r="K361" s="13"/>
      <c r="L361" s="13">
        <v>0</v>
      </c>
      <c r="M361" s="13">
        <v>0</v>
      </c>
      <c r="N361" s="13" t="s">
        <v>35</v>
      </c>
      <c r="O361" s="13"/>
      <c r="P361" s="13">
        <v>3</v>
      </c>
      <c r="Q361" s="14" t="s">
        <v>2053</v>
      </c>
      <c r="R361" s="13" t="s">
        <v>244</v>
      </c>
      <c r="S361" s="13" t="s">
        <v>2054</v>
      </c>
      <c r="T361" s="13" t="s">
        <v>2055</v>
      </c>
      <c r="U361" s="13"/>
      <c r="V361" s="13"/>
      <c r="W361" s="13"/>
      <c r="X361" s="13"/>
      <c r="Y361" s="13"/>
      <c r="Z361" s="13"/>
      <c r="AA361" s="13"/>
      <c r="AB361" s="13"/>
      <c r="AC361" s="13"/>
      <c r="AD361" s="13"/>
      <c r="AE361" s="13"/>
      <c r="AF361" s="1"/>
      <c r="AG361" s="1"/>
      <c r="AH361" s="1"/>
      <c r="AI361" s="1"/>
      <c r="AJ361" s="1"/>
    </row>
    <row r="362" spans="1:36" x14ac:dyDescent="0.2">
      <c r="A362" s="12">
        <v>45493.508788263891</v>
      </c>
      <c r="B362" s="13" t="s">
        <v>2056</v>
      </c>
      <c r="C362" s="13">
        <v>3043940067</v>
      </c>
      <c r="D362" s="13" t="s">
        <v>79</v>
      </c>
      <c r="E362" s="13" t="s">
        <v>865</v>
      </c>
      <c r="F362" s="13" t="s">
        <v>1180</v>
      </c>
      <c r="G362" s="13" t="s">
        <v>2057</v>
      </c>
      <c r="H362" s="13">
        <v>1018232769</v>
      </c>
      <c r="I362" s="13">
        <v>3044684722</v>
      </c>
      <c r="J362" s="13" t="s">
        <v>2058</v>
      </c>
      <c r="K362" s="13">
        <v>3217409087</v>
      </c>
      <c r="L362" s="13" t="s">
        <v>2059</v>
      </c>
      <c r="M362" s="13" t="s">
        <v>2060</v>
      </c>
      <c r="N362" s="13" t="s">
        <v>35</v>
      </c>
      <c r="O362" s="13"/>
      <c r="P362" s="13">
        <v>4</v>
      </c>
      <c r="Q362" s="13" t="s">
        <v>2061</v>
      </c>
      <c r="R362" s="13" t="s">
        <v>238</v>
      </c>
      <c r="S362" s="13" t="s">
        <v>110</v>
      </c>
      <c r="T362" s="13" t="s">
        <v>132</v>
      </c>
      <c r="U362" s="13"/>
      <c r="V362" s="13"/>
      <c r="W362" s="13"/>
      <c r="X362" s="13"/>
      <c r="Y362" s="13"/>
      <c r="Z362" s="13"/>
      <c r="AA362" s="13"/>
      <c r="AB362" s="13"/>
      <c r="AC362" s="13"/>
      <c r="AD362" s="13"/>
      <c r="AE362" s="13"/>
      <c r="AF362" s="1"/>
      <c r="AG362" s="1"/>
      <c r="AH362" s="1"/>
      <c r="AI362" s="1"/>
      <c r="AJ362" s="1"/>
    </row>
    <row r="363" spans="1:36" x14ac:dyDescent="0.2">
      <c r="A363" s="12">
        <v>45493.508836689813</v>
      </c>
      <c r="B363" s="13" t="s">
        <v>2015</v>
      </c>
      <c r="C363" s="13">
        <v>3147009822</v>
      </c>
      <c r="D363" s="13" t="s">
        <v>79</v>
      </c>
      <c r="E363" s="13" t="s">
        <v>865</v>
      </c>
      <c r="F363" s="13" t="s">
        <v>1180</v>
      </c>
      <c r="G363" s="13" t="s">
        <v>2062</v>
      </c>
      <c r="H363" s="13">
        <v>43901501</v>
      </c>
      <c r="I363" s="13">
        <v>3217409087</v>
      </c>
      <c r="J363" s="13" t="s">
        <v>2063</v>
      </c>
      <c r="K363" s="13">
        <v>3173238035</v>
      </c>
      <c r="L363" s="13">
        <v>20</v>
      </c>
      <c r="M363" s="13">
        <v>20</v>
      </c>
      <c r="N363" s="13" t="s">
        <v>35</v>
      </c>
      <c r="O363" s="13"/>
      <c r="P363" s="13">
        <v>4</v>
      </c>
      <c r="Q363" s="13" t="s">
        <v>2064</v>
      </c>
      <c r="R363" s="13" t="s">
        <v>2065</v>
      </c>
      <c r="S363" s="13" t="s">
        <v>38</v>
      </c>
      <c r="T363" s="13" t="s">
        <v>132</v>
      </c>
      <c r="U363" s="13"/>
      <c r="V363" s="13"/>
      <c r="W363" s="13"/>
      <c r="X363" s="13"/>
      <c r="Y363" s="13"/>
      <c r="Z363" s="13"/>
      <c r="AA363" s="13"/>
      <c r="AB363" s="13"/>
      <c r="AC363" s="13"/>
      <c r="AD363" s="13"/>
      <c r="AE363" s="13"/>
      <c r="AF363" s="1"/>
      <c r="AG363" s="1"/>
      <c r="AH363" s="1"/>
      <c r="AI363" s="1"/>
      <c r="AJ363" s="1"/>
    </row>
    <row r="364" spans="1:36" x14ac:dyDescent="0.2">
      <c r="A364" s="12">
        <v>45493.509799016203</v>
      </c>
      <c r="B364" s="13" t="s">
        <v>1986</v>
      </c>
      <c r="C364" s="13">
        <v>3003606520</v>
      </c>
      <c r="D364" s="13" t="s">
        <v>79</v>
      </c>
      <c r="E364" s="13" t="s">
        <v>865</v>
      </c>
      <c r="F364" s="13" t="s">
        <v>1180</v>
      </c>
      <c r="G364" s="13" t="s">
        <v>2066</v>
      </c>
      <c r="H364" s="13">
        <v>43747666</v>
      </c>
      <c r="I364" s="13">
        <v>3207048892</v>
      </c>
      <c r="J364" s="13" t="s">
        <v>2067</v>
      </c>
      <c r="K364" s="13">
        <v>3015306328</v>
      </c>
      <c r="L364" s="13" t="s">
        <v>180</v>
      </c>
      <c r="M364" s="13" t="s">
        <v>306</v>
      </c>
      <c r="N364" s="13" t="s">
        <v>35</v>
      </c>
      <c r="O364" s="13"/>
      <c r="P364" s="13">
        <v>3</v>
      </c>
      <c r="Q364" s="13" t="s">
        <v>2068</v>
      </c>
      <c r="R364" s="13" t="s">
        <v>869</v>
      </c>
      <c r="S364" s="13" t="s">
        <v>110</v>
      </c>
      <c r="T364" s="15">
        <v>500000</v>
      </c>
      <c r="U364" s="13"/>
      <c r="V364" s="13"/>
      <c r="W364" s="13"/>
      <c r="X364" s="13"/>
      <c r="Y364" s="13"/>
      <c r="Z364" s="13"/>
      <c r="AA364" s="13"/>
      <c r="AB364" s="13"/>
      <c r="AC364" s="13"/>
      <c r="AD364" s="13"/>
      <c r="AE364" s="13"/>
      <c r="AF364" s="1"/>
      <c r="AG364" s="1"/>
      <c r="AH364" s="1"/>
      <c r="AI364" s="1"/>
      <c r="AJ364" s="1"/>
    </row>
    <row r="365" spans="1:36" x14ac:dyDescent="0.2">
      <c r="A365" s="12">
        <v>45493.510018148147</v>
      </c>
      <c r="B365" s="13" t="s">
        <v>1994</v>
      </c>
      <c r="C365" s="13">
        <v>3166985120</v>
      </c>
      <c r="D365" s="13" t="s">
        <v>79</v>
      </c>
      <c r="E365" s="13" t="s">
        <v>865</v>
      </c>
      <c r="F365" s="13" t="s">
        <v>2024</v>
      </c>
      <c r="G365" s="13" t="s">
        <v>2069</v>
      </c>
      <c r="H365" s="13">
        <v>43155328</v>
      </c>
      <c r="I365" s="13">
        <v>3004475587</v>
      </c>
      <c r="J365" s="13">
        <v>3053325661</v>
      </c>
      <c r="K365" s="13"/>
      <c r="L365" s="13">
        <v>4</v>
      </c>
      <c r="M365" s="13">
        <v>4</v>
      </c>
      <c r="N365" s="13" t="s">
        <v>35</v>
      </c>
      <c r="O365" s="13"/>
      <c r="P365" s="13">
        <v>3</v>
      </c>
      <c r="Q365" s="13" t="s">
        <v>2070</v>
      </c>
      <c r="R365" s="13" t="s">
        <v>707</v>
      </c>
      <c r="S365" s="13" t="s">
        <v>1017</v>
      </c>
      <c r="T365" s="13" t="s">
        <v>2071</v>
      </c>
      <c r="U365" s="13"/>
      <c r="V365" s="13"/>
      <c r="W365" s="13"/>
      <c r="X365" s="13"/>
      <c r="Y365" s="13"/>
      <c r="Z365" s="13"/>
      <c r="AA365" s="13"/>
      <c r="AB365" s="13"/>
      <c r="AC365" s="13"/>
      <c r="AD365" s="13"/>
      <c r="AE365" s="13"/>
      <c r="AF365" s="1"/>
      <c r="AG365" s="1"/>
      <c r="AH365" s="1"/>
      <c r="AI365" s="1"/>
      <c r="AJ365" s="1"/>
    </row>
    <row r="366" spans="1:36" x14ac:dyDescent="0.2">
      <c r="A366" s="12">
        <v>45493.510922118061</v>
      </c>
      <c r="B366" s="13" t="s">
        <v>2015</v>
      </c>
      <c r="C366" s="13">
        <v>3147009822</v>
      </c>
      <c r="D366" s="13" t="s">
        <v>79</v>
      </c>
      <c r="E366" s="13" t="s">
        <v>865</v>
      </c>
      <c r="F366" s="13" t="s">
        <v>1180</v>
      </c>
      <c r="G366" s="13" t="s">
        <v>2072</v>
      </c>
      <c r="H366" s="13">
        <v>70094831</v>
      </c>
      <c r="I366" s="13">
        <v>3015114678</v>
      </c>
      <c r="J366" s="13"/>
      <c r="K366" s="13"/>
      <c r="L366" s="13">
        <v>11</v>
      </c>
      <c r="M366" s="13">
        <v>11</v>
      </c>
      <c r="N366" s="13" t="s">
        <v>35</v>
      </c>
      <c r="O366" s="13"/>
      <c r="P366" s="13">
        <v>2</v>
      </c>
      <c r="Q366" s="13">
        <v>70.69</v>
      </c>
      <c r="R366" s="13" t="s">
        <v>276</v>
      </c>
      <c r="S366" s="13" t="s">
        <v>38</v>
      </c>
      <c r="T366" s="13" t="s">
        <v>132</v>
      </c>
      <c r="U366" s="13"/>
      <c r="V366" s="13"/>
      <c r="W366" s="13"/>
      <c r="X366" s="13"/>
      <c r="Y366" s="13"/>
      <c r="Z366" s="13"/>
      <c r="AA366" s="13"/>
      <c r="AB366" s="13"/>
      <c r="AC366" s="13"/>
      <c r="AD366" s="13"/>
      <c r="AE366" s="13"/>
      <c r="AF366" s="1"/>
      <c r="AG366" s="1"/>
      <c r="AH366" s="1"/>
      <c r="AI366" s="1"/>
      <c r="AJ366" s="1"/>
    </row>
    <row r="367" spans="1:36" x14ac:dyDescent="0.2">
      <c r="A367" s="12">
        <v>45493.511342812504</v>
      </c>
      <c r="B367" s="13" t="s">
        <v>2073</v>
      </c>
      <c r="C367" s="13">
        <v>3043940067</v>
      </c>
      <c r="D367" s="13" t="s">
        <v>79</v>
      </c>
      <c r="E367" s="13" t="s">
        <v>865</v>
      </c>
      <c r="F367" s="13" t="s">
        <v>1180</v>
      </c>
      <c r="G367" s="13" t="s">
        <v>2074</v>
      </c>
      <c r="H367" s="13">
        <v>28480224</v>
      </c>
      <c r="I367" s="13">
        <v>3106812247</v>
      </c>
      <c r="J367" s="13" t="s">
        <v>795</v>
      </c>
      <c r="K367" s="13">
        <v>3043431310</v>
      </c>
      <c r="L367" s="13" t="s">
        <v>180</v>
      </c>
      <c r="M367" s="13">
        <v>12</v>
      </c>
      <c r="N367" s="13" t="s">
        <v>35</v>
      </c>
      <c r="O367" s="13"/>
      <c r="P367" s="13">
        <v>4</v>
      </c>
      <c r="Q367" s="13" t="s">
        <v>2075</v>
      </c>
      <c r="R367" s="13" t="s">
        <v>62</v>
      </c>
      <c r="S367" s="13" t="s">
        <v>38</v>
      </c>
      <c r="T367" s="13" t="s">
        <v>2076</v>
      </c>
      <c r="U367" s="13"/>
      <c r="V367" s="13"/>
      <c r="W367" s="13"/>
      <c r="X367" s="13"/>
      <c r="Y367" s="13"/>
      <c r="Z367" s="13"/>
      <c r="AA367" s="13"/>
      <c r="AB367" s="13"/>
      <c r="AC367" s="13"/>
      <c r="AD367" s="13"/>
      <c r="AE367" s="13"/>
      <c r="AF367" s="1"/>
      <c r="AG367" s="1"/>
      <c r="AH367" s="1"/>
      <c r="AI367" s="1"/>
      <c r="AJ367" s="1"/>
    </row>
    <row r="368" spans="1:36" x14ac:dyDescent="0.2">
      <c r="A368" s="12">
        <v>45493.512196238429</v>
      </c>
      <c r="B368" s="13" t="s">
        <v>1986</v>
      </c>
      <c r="C368" s="13">
        <v>3003606520</v>
      </c>
      <c r="D368" s="13" t="s">
        <v>79</v>
      </c>
      <c r="E368" s="13" t="s">
        <v>865</v>
      </c>
      <c r="F368" s="13" t="s">
        <v>1180</v>
      </c>
      <c r="G368" s="13" t="s">
        <v>2077</v>
      </c>
      <c r="H368" s="13">
        <v>98710013</v>
      </c>
      <c r="I368" s="13">
        <v>3246718292</v>
      </c>
      <c r="J368" s="13"/>
      <c r="K368" s="13"/>
      <c r="L368" s="13" t="s">
        <v>44</v>
      </c>
      <c r="M368" s="13" t="s">
        <v>44</v>
      </c>
      <c r="N368" s="13" t="s">
        <v>35</v>
      </c>
      <c r="O368" s="13"/>
      <c r="P368" s="13">
        <v>1</v>
      </c>
      <c r="Q368" s="13">
        <v>39</v>
      </c>
      <c r="R368" s="13" t="s">
        <v>2078</v>
      </c>
      <c r="S368" s="13" t="s">
        <v>110</v>
      </c>
      <c r="T368" s="13" t="s">
        <v>103</v>
      </c>
      <c r="U368" s="13"/>
      <c r="V368" s="13"/>
      <c r="W368" s="13"/>
      <c r="X368" s="13"/>
      <c r="Y368" s="13"/>
      <c r="Z368" s="13"/>
      <c r="AA368" s="13"/>
      <c r="AB368" s="13"/>
      <c r="AC368" s="13"/>
      <c r="AD368" s="13"/>
      <c r="AE368" s="13"/>
      <c r="AF368" s="1"/>
      <c r="AG368" s="1"/>
      <c r="AH368" s="1"/>
      <c r="AI368" s="1"/>
      <c r="AJ368" s="1"/>
    </row>
    <row r="369" spans="1:36" x14ac:dyDescent="0.2">
      <c r="A369" s="12">
        <v>45493.512814768517</v>
      </c>
      <c r="B369" s="13" t="s">
        <v>1994</v>
      </c>
      <c r="C369" s="13">
        <v>3166985120</v>
      </c>
      <c r="D369" s="13" t="s">
        <v>79</v>
      </c>
      <c r="E369" s="13" t="s">
        <v>865</v>
      </c>
      <c r="F369" s="13" t="s">
        <v>1995</v>
      </c>
      <c r="G369" s="13" t="s">
        <v>2079</v>
      </c>
      <c r="H369" s="13">
        <v>63541365</v>
      </c>
      <c r="I369" s="13">
        <v>3148730356</v>
      </c>
      <c r="J369" s="13">
        <v>3105936624</v>
      </c>
      <c r="K369" s="13"/>
      <c r="L369" s="13">
        <v>1</v>
      </c>
      <c r="M369" s="13">
        <v>1</v>
      </c>
      <c r="N369" s="13" t="s">
        <v>132</v>
      </c>
      <c r="O369" s="13"/>
      <c r="P369" s="13">
        <v>4</v>
      </c>
      <c r="Q369" s="13" t="s">
        <v>2080</v>
      </c>
      <c r="R369" s="13" t="s">
        <v>1321</v>
      </c>
      <c r="S369" s="13" t="s">
        <v>110</v>
      </c>
      <c r="T369" s="13" t="s">
        <v>2081</v>
      </c>
      <c r="U369" s="13"/>
      <c r="V369" s="13"/>
      <c r="W369" s="13"/>
      <c r="X369" s="13"/>
      <c r="Y369" s="13"/>
      <c r="Z369" s="13"/>
      <c r="AA369" s="13"/>
      <c r="AB369" s="13"/>
      <c r="AC369" s="13"/>
      <c r="AD369" s="13"/>
      <c r="AE369" s="13"/>
      <c r="AF369" s="1"/>
      <c r="AG369" s="1"/>
      <c r="AH369" s="1"/>
      <c r="AI369" s="1"/>
      <c r="AJ369" s="1"/>
    </row>
    <row r="370" spans="1:36" x14ac:dyDescent="0.2">
      <c r="A370" s="5">
        <v>45522.485331655094</v>
      </c>
      <c r="B370" s="1" t="s">
        <v>2082</v>
      </c>
      <c r="C370" s="1"/>
      <c r="D370" s="1"/>
      <c r="E370" s="1" t="s">
        <v>493</v>
      </c>
      <c r="F370" s="1"/>
      <c r="G370" s="1" t="s">
        <v>2083</v>
      </c>
      <c r="H370" s="1">
        <v>21849681</v>
      </c>
      <c r="I370" s="1">
        <v>3122096109</v>
      </c>
      <c r="J370" s="1" t="s">
        <v>2084</v>
      </c>
      <c r="K370" s="1">
        <v>3105494347</v>
      </c>
      <c r="L370" s="1" t="s">
        <v>267</v>
      </c>
      <c r="M370" s="1"/>
      <c r="N370" s="1" t="s">
        <v>35</v>
      </c>
      <c r="O370" s="1" t="s">
        <v>2085</v>
      </c>
      <c r="P370" s="1"/>
      <c r="Q370" s="1"/>
      <c r="R370" s="1"/>
      <c r="S370" s="1"/>
      <c r="T370" s="1"/>
      <c r="U370" s="1" t="s">
        <v>132</v>
      </c>
      <c r="V370" s="1" t="s">
        <v>564</v>
      </c>
      <c r="W370" s="1" t="s">
        <v>2086</v>
      </c>
      <c r="X370" s="1" t="s">
        <v>564</v>
      </c>
      <c r="Y370" s="1" t="s">
        <v>564</v>
      </c>
      <c r="Z370" s="1" t="s">
        <v>132</v>
      </c>
      <c r="AA370" s="1" t="s">
        <v>564</v>
      </c>
      <c r="AB370" s="1"/>
      <c r="AC370" s="1"/>
      <c r="AD370" s="1"/>
      <c r="AE370" s="1"/>
      <c r="AF370" s="1"/>
      <c r="AG370" s="1"/>
      <c r="AH370" s="1"/>
      <c r="AI370" s="1"/>
      <c r="AJ370" s="1"/>
    </row>
    <row r="371" spans="1:36" x14ac:dyDescent="0.2">
      <c r="A371" s="5">
        <v>45522.505032256944</v>
      </c>
      <c r="B371" s="1" t="s">
        <v>2087</v>
      </c>
      <c r="C371" s="1"/>
      <c r="D371" s="1"/>
      <c r="E371" s="1" t="s">
        <v>493</v>
      </c>
      <c r="F371" s="1"/>
      <c r="G371" s="1" t="s">
        <v>2088</v>
      </c>
      <c r="H371" s="1">
        <v>43880226</v>
      </c>
      <c r="I371" s="1">
        <v>3006977933</v>
      </c>
      <c r="J371" s="1" t="s">
        <v>2089</v>
      </c>
      <c r="K371" s="1">
        <v>3003714497</v>
      </c>
      <c r="L371" s="1" t="s">
        <v>2090</v>
      </c>
      <c r="M371" s="1"/>
      <c r="N371" s="1" t="s">
        <v>35</v>
      </c>
      <c r="O371" s="1" t="s">
        <v>2091</v>
      </c>
      <c r="P371" s="1"/>
      <c r="Q371" s="1"/>
      <c r="R371" s="1"/>
      <c r="S371" s="1"/>
      <c r="T371" s="1"/>
      <c r="U371" s="1" t="s">
        <v>132</v>
      </c>
      <c r="V371" s="1" t="s">
        <v>564</v>
      </c>
      <c r="W371" s="1" t="s">
        <v>2086</v>
      </c>
      <c r="X371" s="1" t="s">
        <v>564</v>
      </c>
      <c r="Y371" s="1" t="s">
        <v>564</v>
      </c>
      <c r="Z371" s="1" t="s">
        <v>564</v>
      </c>
      <c r="AA371" s="1" t="s">
        <v>564</v>
      </c>
      <c r="AB371" s="1"/>
      <c r="AC371" s="1" t="s">
        <v>2092</v>
      </c>
      <c r="AD371" s="1"/>
      <c r="AE371" s="1"/>
      <c r="AF371" s="1"/>
      <c r="AG371" s="1"/>
      <c r="AH371" s="1"/>
      <c r="AI371" s="1"/>
      <c r="AJ371" s="1"/>
    </row>
    <row r="372" spans="1:36" x14ac:dyDescent="0.2">
      <c r="A372" s="5">
        <v>45536.405358842589</v>
      </c>
      <c r="B372" s="1" t="s">
        <v>805</v>
      </c>
      <c r="C372" s="1"/>
      <c r="D372" s="1"/>
      <c r="E372" s="1" t="s">
        <v>31</v>
      </c>
      <c r="F372" s="1" t="s">
        <v>2093</v>
      </c>
      <c r="G372" s="1" t="s">
        <v>2094</v>
      </c>
      <c r="H372" s="1">
        <v>98524736</v>
      </c>
      <c r="I372" s="1">
        <v>3106716444</v>
      </c>
      <c r="J372" s="1"/>
      <c r="K372" s="1"/>
      <c r="L372" s="1">
        <v>25</v>
      </c>
      <c r="M372" s="1"/>
      <c r="N372" s="1" t="s">
        <v>35</v>
      </c>
      <c r="O372" s="1" t="s">
        <v>2095</v>
      </c>
      <c r="P372" s="1"/>
      <c r="Q372" s="1"/>
      <c r="R372" s="1"/>
      <c r="S372" s="1"/>
      <c r="T372" s="1"/>
      <c r="U372" s="1" t="s">
        <v>132</v>
      </c>
      <c r="V372" s="1" t="s">
        <v>564</v>
      </c>
      <c r="W372" s="1" t="s">
        <v>132</v>
      </c>
      <c r="X372" s="1" t="s">
        <v>564</v>
      </c>
      <c r="Y372" s="1" t="s">
        <v>132</v>
      </c>
      <c r="Z372" s="1" t="s">
        <v>564</v>
      </c>
      <c r="AA372" s="1" t="s">
        <v>564</v>
      </c>
      <c r="AB372" s="1"/>
      <c r="AC372" s="1" t="s">
        <v>2096</v>
      </c>
      <c r="AD372" s="1"/>
      <c r="AE372" s="1"/>
      <c r="AF372" s="1"/>
      <c r="AG372" s="1"/>
      <c r="AH372" s="1"/>
      <c r="AI372" s="1"/>
      <c r="AJ372" s="1"/>
    </row>
    <row r="373" spans="1:36" x14ac:dyDescent="0.2">
      <c r="A373" s="5">
        <v>45543.417759814816</v>
      </c>
      <c r="B373" s="1" t="s">
        <v>233</v>
      </c>
      <c r="C373" s="1"/>
      <c r="D373" s="1"/>
      <c r="E373" s="1" t="s">
        <v>493</v>
      </c>
      <c r="F373" s="1" t="s">
        <v>2097</v>
      </c>
      <c r="G373" s="1" t="s">
        <v>2098</v>
      </c>
      <c r="H373" s="1">
        <v>21854928</v>
      </c>
      <c r="I373" s="1">
        <v>3170353148</v>
      </c>
      <c r="J373" s="1" t="s">
        <v>2099</v>
      </c>
      <c r="K373" s="1">
        <v>3207127200</v>
      </c>
      <c r="L373" s="1" t="s">
        <v>292</v>
      </c>
      <c r="M373" s="1"/>
      <c r="N373" s="1" t="s">
        <v>35</v>
      </c>
      <c r="O373" s="1" t="s">
        <v>2100</v>
      </c>
      <c r="P373" s="1"/>
      <c r="Q373" s="1"/>
      <c r="R373" s="1"/>
      <c r="S373" s="1"/>
      <c r="T373" s="1"/>
      <c r="U373" s="1" t="s">
        <v>132</v>
      </c>
      <c r="V373" s="1" t="s">
        <v>564</v>
      </c>
      <c r="W373" s="1" t="s">
        <v>2086</v>
      </c>
      <c r="X373" s="1" t="s">
        <v>132</v>
      </c>
      <c r="Y373" s="1" t="s">
        <v>132</v>
      </c>
      <c r="Z373" s="1" t="s">
        <v>132</v>
      </c>
      <c r="AA373" s="1" t="s">
        <v>132</v>
      </c>
      <c r="AB373" s="1"/>
      <c r="AC373" s="1" t="s">
        <v>2101</v>
      </c>
      <c r="AD373" s="1"/>
      <c r="AE373" s="1"/>
      <c r="AF373" s="1"/>
      <c r="AG373" s="1"/>
      <c r="AH373" s="1"/>
      <c r="AI373" s="1"/>
      <c r="AJ373" s="1"/>
    </row>
    <row r="374" spans="1:36" x14ac:dyDescent="0.2">
      <c r="A374" s="5">
        <v>45543.419079537038</v>
      </c>
      <c r="B374" s="1" t="s">
        <v>2102</v>
      </c>
      <c r="C374" s="1"/>
      <c r="D374" s="1"/>
      <c r="E374" s="1" t="s">
        <v>493</v>
      </c>
      <c r="F374" s="1" t="s">
        <v>2103</v>
      </c>
      <c r="G374" s="1" t="s">
        <v>2104</v>
      </c>
      <c r="H374" s="1">
        <v>43999270</v>
      </c>
      <c r="I374" s="1">
        <v>3223056246</v>
      </c>
      <c r="J374" s="1" t="s">
        <v>2105</v>
      </c>
      <c r="K374" s="1"/>
      <c r="L374" s="1" t="s">
        <v>911</v>
      </c>
      <c r="M374" s="1"/>
      <c r="N374" s="1" t="s">
        <v>35</v>
      </c>
      <c r="O374" s="1" t="s">
        <v>2106</v>
      </c>
      <c r="P374" s="1"/>
      <c r="Q374" s="1"/>
      <c r="R374" s="1"/>
      <c r="S374" s="1"/>
      <c r="T374" s="1"/>
      <c r="U374" s="1" t="s">
        <v>132</v>
      </c>
      <c r="V374" s="1" t="s">
        <v>564</v>
      </c>
      <c r="W374" s="1" t="s">
        <v>2107</v>
      </c>
      <c r="X374" s="1" t="s">
        <v>564</v>
      </c>
      <c r="Y374" s="1" t="s">
        <v>132</v>
      </c>
      <c r="Z374" s="1" t="s">
        <v>564</v>
      </c>
      <c r="AA374" s="1" t="s">
        <v>564</v>
      </c>
      <c r="AB374" s="1"/>
      <c r="AC374" s="1" t="s">
        <v>2108</v>
      </c>
      <c r="AD374" s="1"/>
      <c r="AE374" s="1"/>
      <c r="AF374" s="1"/>
      <c r="AG374" s="1"/>
      <c r="AH374" s="1"/>
      <c r="AI374" s="1"/>
      <c r="AJ374" s="1"/>
    </row>
    <row r="375" spans="1:36" x14ac:dyDescent="0.2">
      <c r="A375" s="5">
        <v>45543.446673726852</v>
      </c>
      <c r="B375" s="1" t="s">
        <v>2102</v>
      </c>
      <c r="C375" s="1"/>
      <c r="D375" s="1"/>
      <c r="E375" s="1" t="s">
        <v>493</v>
      </c>
      <c r="F375" s="1" t="s">
        <v>2109</v>
      </c>
      <c r="G375" s="1" t="s">
        <v>2110</v>
      </c>
      <c r="H375" s="1">
        <v>1128431596</v>
      </c>
      <c r="I375" s="1">
        <v>3126294037</v>
      </c>
      <c r="J375" s="1" t="s">
        <v>2111</v>
      </c>
      <c r="K375" s="1">
        <v>3127651884</v>
      </c>
      <c r="L375" s="1" t="s">
        <v>1288</v>
      </c>
      <c r="M375" s="1"/>
      <c r="N375" s="1" t="s">
        <v>35</v>
      </c>
      <c r="O375" s="1" t="s">
        <v>2112</v>
      </c>
      <c r="P375" s="1"/>
      <c r="Q375" s="1"/>
      <c r="R375" s="1"/>
      <c r="S375" s="1"/>
      <c r="T375" s="1"/>
      <c r="U375" s="1" t="s">
        <v>132</v>
      </c>
      <c r="V375" s="1" t="s">
        <v>564</v>
      </c>
      <c r="W375" s="1" t="s">
        <v>2107</v>
      </c>
      <c r="X375" s="1" t="s">
        <v>564</v>
      </c>
      <c r="Y375" s="1" t="s">
        <v>564</v>
      </c>
      <c r="Z375" s="1" t="s">
        <v>564</v>
      </c>
      <c r="AA375" s="1" t="s">
        <v>564</v>
      </c>
      <c r="AB375" s="1"/>
      <c r="AC375" s="1"/>
      <c r="AD375" s="1"/>
      <c r="AE375" s="1"/>
      <c r="AF375" s="1"/>
      <c r="AG375" s="1"/>
      <c r="AH375" s="1"/>
      <c r="AI375" s="1"/>
      <c r="AJ375" s="1"/>
    </row>
    <row r="376" spans="1:36" x14ac:dyDescent="0.2">
      <c r="A376" s="5">
        <v>45543.481272326389</v>
      </c>
      <c r="B376" s="1" t="s">
        <v>2113</v>
      </c>
      <c r="C376" s="1"/>
      <c r="D376" s="1"/>
      <c r="E376" s="1" t="s">
        <v>493</v>
      </c>
      <c r="F376" s="1" t="s">
        <v>2114</v>
      </c>
      <c r="G376" s="1" t="s">
        <v>2115</v>
      </c>
      <c r="H376" s="1">
        <v>70433606</v>
      </c>
      <c r="I376" s="1">
        <v>3244799373</v>
      </c>
      <c r="J376" s="1"/>
      <c r="K376" s="1"/>
      <c r="L376" s="1">
        <v>10</v>
      </c>
      <c r="M376" s="1"/>
      <c r="N376" s="1" t="s">
        <v>35</v>
      </c>
      <c r="O376" s="1" t="s">
        <v>2116</v>
      </c>
      <c r="P376" s="1"/>
      <c r="Q376" s="1"/>
      <c r="R376" s="1"/>
      <c r="S376" s="1"/>
      <c r="T376" s="1"/>
      <c r="U376" s="1" t="s">
        <v>132</v>
      </c>
      <c r="V376" s="1" t="s">
        <v>564</v>
      </c>
      <c r="W376" s="1" t="s">
        <v>2107</v>
      </c>
      <c r="X376" s="1" t="s">
        <v>132</v>
      </c>
      <c r="Y376" s="1" t="s">
        <v>132</v>
      </c>
      <c r="Z376" s="1" t="s">
        <v>132</v>
      </c>
      <c r="AA376" s="1" t="s">
        <v>132</v>
      </c>
      <c r="AB376" s="1"/>
      <c r="AC376" s="1" t="s">
        <v>2117</v>
      </c>
      <c r="AD376" s="1"/>
      <c r="AE376" s="1"/>
      <c r="AF376" s="1"/>
      <c r="AG376" s="1"/>
      <c r="AH376" s="1"/>
      <c r="AI376" s="1"/>
      <c r="AJ376" s="1"/>
    </row>
    <row r="377" spans="1:36" x14ac:dyDescent="0.2">
      <c r="A377" s="5">
        <v>45543.483525347227</v>
      </c>
      <c r="B377" s="1" t="s">
        <v>2118</v>
      </c>
      <c r="C377" s="1"/>
      <c r="D377" s="1"/>
      <c r="E377" s="1" t="s">
        <v>493</v>
      </c>
      <c r="F377" s="1" t="s">
        <v>2119</v>
      </c>
      <c r="G377" s="1" t="s">
        <v>2120</v>
      </c>
      <c r="H377" s="1">
        <v>32090083</v>
      </c>
      <c r="I377" s="1">
        <v>3128304717</v>
      </c>
      <c r="J377" s="1" t="s">
        <v>2121</v>
      </c>
      <c r="K377" s="1">
        <v>3147512379</v>
      </c>
      <c r="L377" s="1" t="s">
        <v>213</v>
      </c>
      <c r="M377" s="1"/>
      <c r="N377" s="1" t="s">
        <v>35</v>
      </c>
      <c r="O377" s="1" t="s">
        <v>2122</v>
      </c>
      <c r="P377" s="1"/>
      <c r="Q377" s="1"/>
      <c r="R377" s="1"/>
      <c r="S377" s="1"/>
      <c r="T377" s="1"/>
      <c r="U377" s="1" t="s">
        <v>132</v>
      </c>
      <c r="V377" s="1" t="s">
        <v>564</v>
      </c>
      <c r="W377" s="1" t="s">
        <v>2107</v>
      </c>
      <c r="X377" s="1" t="s">
        <v>564</v>
      </c>
      <c r="Y377" s="1" t="s">
        <v>564</v>
      </c>
      <c r="Z377" s="1" t="s">
        <v>564</v>
      </c>
      <c r="AA377" s="1" t="s">
        <v>564</v>
      </c>
      <c r="AB377" s="1"/>
      <c r="AC377" s="1" t="s">
        <v>2123</v>
      </c>
      <c r="AD377" s="1"/>
      <c r="AE377" s="1"/>
      <c r="AF377" s="1"/>
      <c r="AG377" s="1"/>
      <c r="AH377" s="1"/>
      <c r="AI377" s="1"/>
      <c r="AJ377" s="1"/>
    </row>
    <row r="378" spans="1:36" x14ac:dyDescent="0.2">
      <c r="A378" s="5">
        <v>45543.48504832176</v>
      </c>
      <c r="B378" s="1" t="s">
        <v>2102</v>
      </c>
      <c r="C378" s="1"/>
      <c r="D378" s="1"/>
      <c r="E378" s="1" t="s">
        <v>493</v>
      </c>
      <c r="F378" s="1" t="s">
        <v>2124</v>
      </c>
      <c r="G378" s="1" t="s">
        <v>2125</v>
      </c>
      <c r="H378" s="1">
        <v>5363819</v>
      </c>
      <c r="I378" s="1">
        <v>3132073975</v>
      </c>
      <c r="J378" s="1" t="s">
        <v>2126</v>
      </c>
      <c r="K378" s="1">
        <v>3217817750</v>
      </c>
      <c r="L378" s="1" t="s">
        <v>292</v>
      </c>
      <c r="M378" s="1"/>
      <c r="N378" s="1" t="s">
        <v>35</v>
      </c>
      <c r="O378" s="1" t="s">
        <v>2091</v>
      </c>
      <c r="P378" s="1"/>
      <c r="Q378" s="1"/>
      <c r="R378" s="1"/>
      <c r="S378" s="1"/>
      <c r="T378" s="1"/>
      <c r="U378" s="1" t="s">
        <v>132</v>
      </c>
      <c r="V378" s="1" t="s">
        <v>564</v>
      </c>
      <c r="W378" s="1" t="s">
        <v>132</v>
      </c>
      <c r="X378" s="1" t="s">
        <v>564</v>
      </c>
      <c r="Y378" s="1" t="s">
        <v>132</v>
      </c>
      <c r="Z378" s="1" t="s">
        <v>564</v>
      </c>
      <c r="AA378" s="1" t="s">
        <v>564</v>
      </c>
      <c r="AB378" s="1"/>
      <c r="AC378" s="1"/>
      <c r="AD378" s="1"/>
      <c r="AE378" s="1"/>
      <c r="AF378" s="1"/>
      <c r="AG378" s="1"/>
      <c r="AH378" s="1"/>
      <c r="AI378" s="1"/>
      <c r="AJ378" s="1"/>
    </row>
    <row r="379" spans="1:36" x14ac:dyDescent="0.2">
      <c r="A379" s="5">
        <v>45543.48588547454</v>
      </c>
      <c r="B379" s="1" t="s">
        <v>2127</v>
      </c>
      <c r="C379" s="1"/>
      <c r="D379" s="1"/>
      <c r="E379" s="1" t="s">
        <v>493</v>
      </c>
      <c r="F379" s="1" t="s">
        <v>2128</v>
      </c>
      <c r="G379" s="1" t="s">
        <v>2129</v>
      </c>
      <c r="H379" s="1">
        <v>1446215</v>
      </c>
      <c r="I379" s="1">
        <v>3103534700</v>
      </c>
      <c r="J379" s="1" t="s">
        <v>2130</v>
      </c>
      <c r="K379" s="1">
        <v>3249118774</v>
      </c>
      <c r="L379" s="1" t="s">
        <v>292</v>
      </c>
      <c r="M379" s="1"/>
      <c r="N379" s="1" t="s">
        <v>35</v>
      </c>
      <c r="O379" s="1" t="s">
        <v>2131</v>
      </c>
      <c r="P379" s="1"/>
      <c r="Q379" s="1"/>
      <c r="R379" s="1"/>
      <c r="S379" s="1"/>
      <c r="T379" s="1"/>
      <c r="U379" s="1" t="s">
        <v>132</v>
      </c>
      <c r="V379" s="1" t="s">
        <v>564</v>
      </c>
      <c r="W379" s="1" t="s">
        <v>132</v>
      </c>
      <c r="X379" s="1" t="s">
        <v>564</v>
      </c>
      <c r="Y379" s="1" t="s">
        <v>132</v>
      </c>
      <c r="Z379" s="1" t="s">
        <v>564</v>
      </c>
      <c r="AA379" s="1" t="s">
        <v>564</v>
      </c>
      <c r="AB379" s="1"/>
      <c r="AC379" s="1"/>
      <c r="AD379" s="1"/>
      <c r="AE379" s="1"/>
      <c r="AF379" s="1"/>
      <c r="AG379" s="1"/>
      <c r="AH379" s="1"/>
      <c r="AI379" s="1"/>
      <c r="AJ379" s="1"/>
    </row>
    <row r="380" spans="1:36" x14ac:dyDescent="0.2">
      <c r="A380" s="5">
        <v>45543.487965231485</v>
      </c>
      <c r="B380" s="1" t="s">
        <v>2132</v>
      </c>
      <c r="C380" s="1"/>
      <c r="D380" s="1"/>
      <c r="E380" s="1" t="s">
        <v>493</v>
      </c>
      <c r="F380" s="1" t="s">
        <v>2133</v>
      </c>
      <c r="G380" s="1" t="s">
        <v>2134</v>
      </c>
      <c r="H380" s="1">
        <v>43449120</v>
      </c>
      <c r="I380" s="1">
        <v>3161573988</v>
      </c>
      <c r="J380" s="1" t="s">
        <v>2135</v>
      </c>
      <c r="K380" s="1">
        <v>3148029759</v>
      </c>
      <c r="L380" s="1" t="s">
        <v>315</v>
      </c>
      <c r="M380" s="1"/>
      <c r="N380" s="1" t="s">
        <v>35</v>
      </c>
      <c r="O380" s="1" t="s">
        <v>2136</v>
      </c>
      <c r="P380" s="1"/>
      <c r="Q380" s="1"/>
      <c r="R380" s="1"/>
      <c r="S380" s="1"/>
      <c r="T380" s="1"/>
      <c r="U380" s="1" t="s">
        <v>132</v>
      </c>
      <c r="V380" s="1" t="s">
        <v>564</v>
      </c>
      <c r="W380" s="1" t="s">
        <v>132</v>
      </c>
      <c r="X380" s="1" t="s">
        <v>564</v>
      </c>
      <c r="Y380" s="1" t="s">
        <v>564</v>
      </c>
      <c r="Z380" s="1" t="s">
        <v>564</v>
      </c>
      <c r="AA380" s="1" t="s">
        <v>564</v>
      </c>
      <c r="AB380" s="1"/>
      <c r="AC380" s="1" t="s">
        <v>2137</v>
      </c>
      <c r="AD380" s="1"/>
      <c r="AE380" s="1"/>
      <c r="AF380" s="1"/>
      <c r="AG380" s="1"/>
      <c r="AH380" s="1"/>
      <c r="AI380" s="1"/>
      <c r="AJ380" s="1"/>
    </row>
    <row r="381" spans="1:36" x14ac:dyDescent="0.2">
      <c r="A381" s="5">
        <v>45543.492896770833</v>
      </c>
      <c r="B381" s="1" t="s">
        <v>2138</v>
      </c>
      <c r="C381" s="1"/>
      <c r="D381" s="1"/>
      <c r="E381" s="1" t="s">
        <v>493</v>
      </c>
      <c r="F381" s="1" t="s">
        <v>2139</v>
      </c>
      <c r="G381" s="1" t="s">
        <v>2140</v>
      </c>
      <c r="H381" s="1">
        <v>70756096</v>
      </c>
      <c r="I381" s="1">
        <v>3024464741</v>
      </c>
      <c r="J381" s="1" t="s">
        <v>2141</v>
      </c>
      <c r="K381" s="1">
        <v>3206040708</v>
      </c>
      <c r="L381" s="1" t="s">
        <v>2142</v>
      </c>
      <c r="M381" s="1"/>
      <c r="N381" s="1" t="s">
        <v>35</v>
      </c>
      <c r="O381" s="1" t="s">
        <v>2143</v>
      </c>
      <c r="P381" s="1"/>
      <c r="Q381" s="1"/>
      <c r="R381" s="1"/>
      <c r="S381" s="1"/>
      <c r="T381" s="1"/>
      <c r="U381" s="1" t="s">
        <v>132</v>
      </c>
      <c r="V381" s="1" t="s">
        <v>564</v>
      </c>
      <c r="W381" s="1" t="s">
        <v>2107</v>
      </c>
      <c r="X381" s="1" t="s">
        <v>564</v>
      </c>
      <c r="Y381" s="1" t="s">
        <v>564</v>
      </c>
      <c r="Z381" s="1" t="s">
        <v>132</v>
      </c>
      <c r="AA381" s="1" t="s">
        <v>132</v>
      </c>
      <c r="AB381" s="1"/>
      <c r="AC381" s="1"/>
      <c r="AD381" s="1"/>
      <c r="AE381" s="1"/>
      <c r="AF381" s="1"/>
      <c r="AG381" s="1"/>
      <c r="AH381" s="1"/>
      <c r="AI381" s="1"/>
      <c r="AJ381" s="1"/>
    </row>
    <row r="382" spans="1:36" x14ac:dyDescent="0.2">
      <c r="A382" s="5">
        <v>45543.504828124998</v>
      </c>
      <c r="B382" s="1" t="s">
        <v>2144</v>
      </c>
      <c r="C382" s="1"/>
      <c r="D382" s="1"/>
      <c r="E382" s="1" t="s">
        <v>493</v>
      </c>
      <c r="F382" s="1" t="s">
        <v>2145</v>
      </c>
      <c r="G382" s="1" t="s">
        <v>2146</v>
      </c>
      <c r="H382" s="1">
        <v>42997434</v>
      </c>
      <c r="I382" s="1">
        <v>3126752841</v>
      </c>
      <c r="J382" s="1" t="s">
        <v>2147</v>
      </c>
      <c r="K382" s="1">
        <v>3028440509</v>
      </c>
      <c r="L382" s="1" t="s">
        <v>158</v>
      </c>
      <c r="M382" s="1"/>
      <c r="N382" s="1" t="s">
        <v>35</v>
      </c>
      <c r="O382" s="1" t="s">
        <v>2148</v>
      </c>
      <c r="P382" s="1"/>
      <c r="Q382" s="1"/>
      <c r="R382" s="1"/>
      <c r="S382" s="1"/>
      <c r="T382" s="1"/>
      <c r="U382" s="1" t="s">
        <v>564</v>
      </c>
      <c r="V382" s="1" t="s">
        <v>564</v>
      </c>
      <c r="W382" s="1" t="s">
        <v>132</v>
      </c>
      <c r="X382" s="1" t="s">
        <v>564</v>
      </c>
      <c r="Y382" s="1" t="s">
        <v>564</v>
      </c>
      <c r="Z382" s="1" t="s">
        <v>564</v>
      </c>
      <c r="AA382" s="1" t="s">
        <v>564</v>
      </c>
      <c r="AB382" s="1"/>
      <c r="AC382" s="1" t="s">
        <v>2149</v>
      </c>
      <c r="AD382" s="1"/>
      <c r="AE382" s="1"/>
      <c r="AF382" s="1"/>
      <c r="AG382" s="1"/>
      <c r="AH382" s="1"/>
      <c r="AI382" s="1"/>
      <c r="AJ382" s="1"/>
    </row>
    <row r="383" spans="1:36" x14ac:dyDescent="0.2">
      <c r="A383" s="5">
        <v>45543.519147268518</v>
      </c>
      <c r="B383" s="1" t="s">
        <v>1622</v>
      </c>
      <c r="C383" s="1"/>
      <c r="D383" s="1"/>
      <c r="E383" s="1" t="s">
        <v>493</v>
      </c>
      <c r="F383" s="1" t="s">
        <v>2097</v>
      </c>
      <c r="G383" s="1" t="s">
        <v>2150</v>
      </c>
      <c r="H383" s="1">
        <v>3583991</v>
      </c>
      <c r="I383" s="1">
        <v>3043099331</v>
      </c>
      <c r="J383" s="1" t="s">
        <v>2151</v>
      </c>
      <c r="K383" s="1">
        <v>3024013710</v>
      </c>
      <c r="L383" s="1" t="s">
        <v>180</v>
      </c>
      <c r="M383" s="1"/>
      <c r="N383" s="1" t="s">
        <v>35</v>
      </c>
      <c r="O383" s="1" t="s">
        <v>2152</v>
      </c>
      <c r="P383" s="1"/>
      <c r="Q383" s="1"/>
      <c r="R383" s="1"/>
      <c r="S383" s="1"/>
      <c r="T383" s="1"/>
      <c r="U383" s="1" t="s">
        <v>132</v>
      </c>
      <c r="V383" s="1" t="s">
        <v>132</v>
      </c>
      <c r="W383" s="1" t="s">
        <v>2107</v>
      </c>
      <c r="X383" s="1" t="s">
        <v>132</v>
      </c>
      <c r="Y383" s="1" t="s">
        <v>564</v>
      </c>
      <c r="Z383" s="1" t="s">
        <v>132</v>
      </c>
      <c r="AA383" s="1" t="s">
        <v>564</v>
      </c>
      <c r="AB383" s="1"/>
      <c r="AC383" s="1" t="s">
        <v>2153</v>
      </c>
      <c r="AD383" s="1"/>
      <c r="AE383" s="1"/>
      <c r="AF383" s="1"/>
      <c r="AG383" s="1"/>
      <c r="AH383" s="1"/>
      <c r="AI383" s="1"/>
      <c r="AJ383" s="1"/>
    </row>
    <row r="384" spans="1:36" x14ac:dyDescent="0.2">
      <c r="A384" s="12">
        <v>45549.475126053236</v>
      </c>
      <c r="B384" s="13" t="s">
        <v>2144</v>
      </c>
      <c r="C384" s="13"/>
      <c r="D384" s="13"/>
      <c r="E384" s="13" t="s">
        <v>865</v>
      </c>
      <c r="F384" s="13" t="s">
        <v>1911</v>
      </c>
      <c r="G384" s="13" t="s">
        <v>2154</v>
      </c>
      <c r="H384" s="13">
        <v>21588077</v>
      </c>
      <c r="I384" s="13">
        <v>3106598751</v>
      </c>
      <c r="J384" s="13" t="s">
        <v>2155</v>
      </c>
      <c r="K384" s="13">
        <v>3007724270</v>
      </c>
      <c r="L384" s="13" t="s">
        <v>1405</v>
      </c>
      <c r="M384" s="13"/>
      <c r="N384" s="13" t="s">
        <v>35</v>
      </c>
      <c r="O384" s="13" t="s">
        <v>2156</v>
      </c>
      <c r="P384" s="13"/>
      <c r="Q384" s="13"/>
      <c r="R384" s="13"/>
      <c r="S384" s="13"/>
      <c r="T384" s="13"/>
      <c r="U384" s="13" t="s">
        <v>132</v>
      </c>
      <c r="V384" s="13" t="s">
        <v>564</v>
      </c>
      <c r="W384" s="13" t="s">
        <v>132</v>
      </c>
      <c r="X384" s="13" t="s">
        <v>564</v>
      </c>
      <c r="Y384" s="13" t="s">
        <v>132</v>
      </c>
      <c r="Z384" s="13" t="s">
        <v>564</v>
      </c>
      <c r="AA384" s="13" t="s">
        <v>564</v>
      </c>
      <c r="AB384" s="13"/>
      <c r="AC384" s="13" t="s">
        <v>2157</v>
      </c>
      <c r="AD384" s="13"/>
      <c r="AE384" s="13"/>
      <c r="AF384" s="1"/>
      <c r="AG384" s="1"/>
      <c r="AH384" s="1"/>
      <c r="AI384" s="1"/>
      <c r="AJ384" s="1"/>
    </row>
    <row r="385" spans="1:36" x14ac:dyDescent="0.2">
      <c r="A385" s="12">
        <v>45549.477873171301</v>
      </c>
      <c r="B385" s="13" t="s">
        <v>2144</v>
      </c>
      <c r="C385" s="13"/>
      <c r="D385" s="13"/>
      <c r="E385" s="13" t="s">
        <v>865</v>
      </c>
      <c r="F385" s="13" t="s">
        <v>929</v>
      </c>
      <c r="G385" s="13" t="s">
        <v>2158</v>
      </c>
      <c r="H385" s="13">
        <v>1001229226</v>
      </c>
      <c r="I385" s="13">
        <v>3218648195</v>
      </c>
      <c r="J385" s="13" t="s">
        <v>2159</v>
      </c>
      <c r="K385" s="13">
        <v>3147664535</v>
      </c>
      <c r="L385" s="13" t="s">
        <v>341</v>
      </c>
      <c r="M385" s="13"/>
      <c r="N385" s="13" t="s">
        <v>35</v>
      </c>
      <c r="O385" s="13" t="s">
        <v>2160</v>
      </c>
      <c r="P385" s="13"/>
      <c r="Q385" s="13"/>
      <c r="R385" s="13"/>
      <c r="S385" s="13"/>
      <c r="T385" s="13"/>
      <c r="U385" s="13" t="s">
        <v>132</v>
      </c>
      <c r="V385" s="13" t="s">
        <v>564</v>
      </c>
      <c r="W385" s="13" t="s">
        <v>132</v>
      </c>
      <c r="X385" s="13" t="s">
        <v>564</v>
      </c>
      <c r="Y385" s="13" t="s">
        <v>132</v>
      </c>
      <c r="Z385" s="13" t="s">
        <v>564</v>
      </c>
      <c r="AA385" s="13" t="s">
        <v>564</v>
      </c>
      <c r="AB385" s="13"/>
      <c r="AC385" s="13" t="s">
        <v>2161</v>
      </c>
      <c r="AD385" s="13"/>
      <c r="AE385" s="13"/>
      <c r="AF385" s="1"/>
      <c r="AG385" s="1"/>
      <c r="AH385" s="1"/>
      <c r="AI385" s="1"/>
      <c r="AJ385" s="1"/>
    </row>
    <row r="386" spans="1:36" x14ac:dyDescent="0.2">
      <c r="A386" s="12">
        <v>45549.481361180558</v>
      </c>
      <c r="B386" s="13" t="s">
        <v>2144</v>
      </c>
      <c r="C386" s="13"/>
      <c r="D386" s="13"/>
      <c r="E386" s="13" t="s">
        <v>865</v>
      </c>
      <c r="F386" s="13" t="s">
        <v>1180</v>
      </c>
      <c r="G386" s="13" t="s">
        <v>2162</v>
      </c>
      <c r="H386" s="13">
        <v>1128394766</v>
      </c>
      <c r="I386" s="13">
        <v>3009559896</v>
      </c>
      <c r="J386" s="13" t="s">
        <v>2163</v>
      </c>
      <c r="K386" s="13">
        <v>3023280117</v>
      </c>
      <c r="L386" s="13" t="s">
        <v>84</v>
      </c>
      <c r="M386" s="13"/>
      <c r="N386" s="13" t="s">
        <v>35</v>
      </c>
      <c r="O386" s="13" t="s">
        <v>2164</v>
      </c>
      <c r="P386" s="13"/>
      <c r="Q386" s="13"/>
      <c r="R386" s="13"/>
      <c r="S386" s="13"/>
      <c r="T386" s="13"/>
      <c r="U386" s="13" t="s">
        <v>564</v>
      </c>
      <c r="V386" s="13" t="s">
        <v>564</v>
      </c>
      <c r="W386" s="13" t="s">
        <v>2086</v>
      </c>
      <c r="X386" s="13" t="s">
        <v>564</v>
      </c>
      <c r="Y386" s="13" t="s">
        <v>132</v>
      </c>
      <c r="Z386" s="13" t="s">
        <v>564</v>
      </c>
      <c r="AA386" s="13" t="s">
        <v>564</v>
      </c>
      <c r="AB386" s="13"/>
      <c r="AC386" s="13" t="s">
        <v>2165</v>
      </c>
      <c r="AD386" s="13"/>
      <c r="AE386" s="13"/>
      <c r="AF386" s="1"/>
      <c r="AG386" s="1"/>
      <c r="AH386" s="1"/>
      <c r="AI386" s="1"/>
      <c r="AJ386" s="1"/>
    </row>
    <row r="387" spans="1:36" x14ac:dyDescent="0.2">
      <c r="A387" s="12">
        <v>45549.486102916664</v>
      </c>
      <c r="B387" s="13" t="s">
        <v>2144</v>
      </c>
      <c r="C387" s="13"/>
      <c r="D387" s="13"/>
      <c r="E387" s="13" t="s">
        <v>865</v>
      </c>
      <c r="F387" s="13" t="s">
        <v>1180</v>
      </c>
      <c r="G387" s="13" t="s">
        <v>2166</v>
      </c>
      <c r="H387" s="13">
        <v>11644344871</v>
      </c>
      <c r="I387" s="13">
        <v>3136251973</v>
      </c>
      <c r="J387" s="13" t="s">
        <v>2167</v>
      </c>
      <c r="K387" s="13">
        <v>3147321703</v>
      </c>
      <c r="L387" s="13" t="s">
        <v>911</v>
      </c>
      <c r="M387" s="13"/>
      <c r="N387" s="13" t="s">
        <v>35</v>
      </c>
      <c r="O387" s="13" t="s">
        <v>2168</v>
      </c>
      <c r="P387" s="13"/>
      <c r="Q387" s="13"/>
      <c r="R387" s="13"/>
      <c r="S387" s="13"/>
      <c r="T387" s="13"/>
      <c r="U387" s="13" t="s">
        <v>564</v>
      </c>
      <c r="V387" s="13" t="s">
        <v>564</v>
      </c>
      <c r="W387" s="13" t="s">
        <v>2086</v>
      </c>
      <c r="X387" s="13" t="s">
        <v>564</v>
      </c>
      <c r="Y387" s="13" t="s">
        <v>132</v>
      </c>
      <c r="Z387" s="13" t="s">
        <v>564</v>
      </c>
      <c r="AA387" s="13" t="s">
        <v>564</v>
      </c>
      <c r="AB387" s="13"/>
      <c r="AC387" s="13" t="s">
        <v>2169</v>
      </c>
      <c r="AD387" s="13"/>
      <c r="AE387" s="13"/>
      <c r="AF387" s="1"/>
      <c r="AG387" s="1"/>
      <c r="AH387" s="1"/>
      <c r="AI387" s="1"/>
      <c r="AJ387" s="1"/>
    </row>
    <row r="388" spans="1:36" x14ac:dyDescent="0.2">
      <c r="A388" s="12">
        <v>45549.491322337963</v>
      </c>
      <c r="B388" s="13" t="s">
        <v>2144</v>
      </c>
      <c r="C388" s="13"/>
      <c r="D388" s="13"/>
      <c r="E388" s="13" t="s">
        <v>865</v>
      </c>
      <c r="F388" s="13" t="s">
        <v>1180</v>
      </c>
      <c r="G388" s="13" t="s">
        <v>2170</v>
      </c>
      <c r="H388" s="13">
        <v>1148141308</v>
      </c>
      <c r="I388" s="13">
        <v>3128657903</v>
      </c>
      <c r="J388" s="13" t="s">
        <v>2171</v>
      </c>
      <c r="K388" s="13">
        <v>3188841358</v>
      </c>
      <c r="L388" s="13" t="s">
        <v>372</v>
      </c>
      <c r="M388" s="13"/>
      <c r="N388" s="13" t="s">
        <v>35</v>
      </c>
      <c r="O388" s="13" t="s">
        <v>2172</v>
      </c>
      <c r="P388" s="13"/>
      <c r="Q388" s="13"/>
      <c r="R388" s="13"/>
      <c r="S388" s="13"/>
      <c r="T388" s="13"/>
      <c r="U388" s="13" t="s">
        <v>564</v>
      </c>
      <c r="V388" s="13" t="s">
        <v>564</v>
      </c>
      <c r="W388" s="13" t="s">
        <v>2086</v>
      </c>
      <c r="X388" s="13" t="s">
        <v>564</v>
      </c>
      <c r="Y388" s="13" t="s">
        <v>132</v>
      </c>
      <c r="Z388" s="13" t="s">
        <v>564</v>
      </c>
      <c r="AA388" s="13" t="s">
        <v>564</v>
      </c>
      <c r="AB388" s="13"/>
      <c r="AC388" s="13" t="s">
        <v>2173</v>
      </c>
      <c r="AD388" s="13"/>
      <c r="AE388" s="13"/>
      <c r="AF388" s="1"/>
      <c r="AG388" s="1"/>
      <c r="AH388" s="1"/>
      <c r="AI388" s="1"/>
      <c r="AJ388" s="1"/>
    </row>
    <row r="389" spans="1:36" x14ac:dyDescent="0.2">
      <c r="A389" s="12">
        <v>45570.573367418983</v>
      </c>
      <c r="B389" s="13" t="s">
        <v>2174</v>
      </c>
      <c r="C389" s="13"/>
      <c r="D389" s="13"/>
      <c r="E389" s="13" t="s">
        <v>865</v>
      </c>
      <c r="F389" s="13" t="s">
        <v>2175</v>
      </c>
      <c r="G389" s="13" t="s">
        <v>2176</v>
      </c>
      <c r="H389" s="13">
        <v>43640747</v>
      </c>
      <c r="I389" s="13">
        <v>3155383884</v>
      </c>
      <c r="J389" s="13"/>
      <c r="K389" s="13"/>
      <c r="L389" s="13" t="s">
        <v>167</v>
      </c>
      <c r="M389" s="13"/>
      <c r="N389" s="13" t="s">
        <v>35</v>
      </c>
      <c r="O389" s="13" t="s">
        <v>2177</v>
      </c>
      <c r="P389" s="13"/>
      <c r="Q389" s="13"/>
      <c r="R389" s="13"/>
      <c r="S389" s="13"/>
      <c r="T389" s="13"/>
      <c r="U389" s="13" t="s">
        <v>132</v>
      </c>
      <c r="V389" s="13" t="s">
        <v>564</v>
      </c>
      <c r="W389" s="13" t="s">
        <v>2107</v>
      </c>
      <c r="X389" s="13" t="s">
        <v>564</v>
      </c>
      <c r="Y389" s="13" t="s">
        <v>564</v>
      </c>
      <c r="Z389" s="13" t="s">
        <v>564</v>
      </c>
      <c r="AA389" s="13" t="s">
        <v>564</v>
      </c>
      <c r="AB389" s="13"/>
      <c r="AC389" s="13" t="s">
        <v>2178</v>
      </c>
      <c r="AD389" s="13"/>
      <c r="AE389" s="13"/>
      <c r="AF389" s="1"/>
      <c r="AG389" s="1"/>
      <c r="AH389" s="1"/>
      <c r="AI389" s="1"/>
      <c r="AJ389" s="1"/>
    </row>
    <row r="390" spans="1:36" x14ac:dyDescent="0.2">
      <c r="A390" s="5">
        <v>45583.798717002312</v>
      </c>
      <c r="B390" s="1" t="s">
        <v>2179</v>
      </c>
      <c r="C390" s="1"/>
      <c r="D390" s="1"/>
      <c r="E390" s="1" t="s">
        <v>493</v>
      </c>
      <c r="F390" s="1" t="s">
        <v>2180</v>
      </c>
      <c r="G390" s="1" t="s">
        <v>2181</v>
      </c>
      <c r="H390" s="1">
        <v>1037625830</v>
      </c>
      <c r="I390" s="1">
        <v>3013060330</v>
      </c>
      <c r="J390" s="1" t="s">
        <v>1361</v>
      </c>
      <c r="K390" s="1">
        <v>3114367132</v>
      </c>
      <c r="L390" s="1" t="s">
        <v>306</v>
      </c>
      <c r="M390" s="1"/>
      <c r="N390" s="1" t="s">
        <v>35</v>
      </c>
      <c r="O390" s="1" t="s">
        <v>2182</v>
      </c>
      <c r="P390" s="1"/>
      <c r="Q390" s="1"/>
      <c r="R390" s="1"/>
      <c r="S390" s="1"/>
      <c r="T390" s="1"/>
      <c r="U390" s="1" t="s">
        <v>132</v>
      </c>
      <c r="V390" s="1" t="s">
        <v>564</v>
      </c>
      <c r="W390" s="1" t="s">
        <v>2086</v>
      </c>
      <c r="X390" s="1" t="s">
        <v>564</v>
      </c>
      <c r="Y390" s="1" t="s">
        <v>132</v>
      </c>
      <c r="Z390" s="1" t="s">
        <v>564</v>
      </c>
      <c r="AA390" s="1" t="s">
        <v>564</v>
      </c>
      <c r="AB390" s="1"/>
      <c r="AC390" s="1" t="s">
        <v>2183</v>
      </c>
      <c r="AD390" s="1"/>
      <c r="AE390" s="1"/>
      <c r="AF390" s="1"/>
      <c r="AG390" s="1"/>
      <c r="AH390" s="1"/>
      <c r="AI390" s="1"/>
      <c r="AJ390" s="1"/>
    </row>
    <row r="391" spans="1:36" x14ac:dyDescent="0.2">
      <c r="A391" s="12">
        <v>45584.673816828705</v>
      </c>
      <c r="B391" s="13" t="s">
        <v>2132</v>
      </c>
      <c r="C391" s="13"/>
      <c r="D391" s="13"/>
      <c r="E391" s="13" t="s">
        <v>865</v>
      </c>
      <c r="F391" s="13" t="s">
        <v>1911</v>
      </c>
      <c r="G391" s="13" t="s">
        <v>2184</v>
      </c>
      <c r="H391" s="13">
        <v>32757914</v>
      </c>
      <c r="I391" s="13">
        <v>3014698790</v>
      </c>
      <c r="J391" s="13" t="s">
        <v>2185</v>
      </c>
      <c r="K391" s="13">
        <v>3043331044</v>
      </c>
      <c r="L391" s="13" t="s">
        <v>180</v>
      </c>
      <c r="M391" s="13"/>
      <c r="N391" s="13" t="s">
        <v>35</v>
      </c>
      <c r="O391" s="13" t="s">
        <v>2186</v>
      </c>
      <c r="P391" s="13"/>
      <c r="Q391" s="13"/>
      <c r="R391" s="13"/>
      <c r="S391" s="13"/>
      <c r="T391" s="13"/>
      <c r="U391" s="13" t="s">
        <v>132</v>
      </c>
      <c r="V391" s="13" t="s">
        <v>564</v>
      </c>
      <c r="W391" s="13" t="s">
        <v>2086</v>
      </c>
      <c r="X391" s="13" t="s">
        <v>564</v>
      </c>
      <c r="Y391" s="13" t="s">
        <v>564</v>
      </c>
      <c r="Z391" s="13" t="s">
        <v>564</v>
      </c>
      <c r="AA391" s="13" t="s">
        <v>564</v>
      </c>
      <c r="AB391" s="13"/>
      <c r="AC391" s="13"/>
      <c r="AD391" s="13"/>
      <c r="AE391" s="13"/>
      <c r="AF391" s="1"/>
      <c r="AG391" s="1"/>
      <c r="AH391" s="1"/>
      <c r="AI391" s="1"/>
      <c r="AJ391" s="1"/>
    </row>
    <row r="392" spans="1:36" x14ac:dyDescent="0.2">
      <c r="A392" s="12">
        <v>45585.764741493054</v>
      </c>
      <c r="B392" s="13" t="s">
        <v>2144</v>
      </c>
      <c r="C392" s="13"/>
      <c r="D392" s="13"/>
      <c r="E392" s="13" t="s">
        <v>865</v>
      </c>
      <c r="F392" s="13" t="s">
        <v>1911</v>
      </c>
      <c r="G392" s="13" t="s">
        <v>2187</v>
      </c>
      <c r="H392" s="13">
        <v>1035230686</v>
      </c>
      <c r="I392" s="13">
        <v>3193281993</v>
      </c>
      <c r="J392" s="13" t="s">
        <v>2188</v>
      </c>
      <c r="K392" s="13">
        <v>3225461423</v>
      </c>
      <c r="L392" s="13" t="s">
        <v>2189</v>
      </c>
      <c r="M392" s="13"/>
      <c r="N392" s="13" t="s">
        <v>35</v>
      </c>
      <c r="O392" s="13" t="s">
        <v>2190</v>
      </c>
      <c r="P392" s="13"/>
      <c r="Q392" s="13"/>
      <c r="R392" s="13"/>
      <c r="S392" s="13"/>
      <c r="T392" s="13"/>
      <c r="U392" s="13" t="s">
        <v>132</v>
      </c>
      <c r="V392" s="13" t="s">
        <v>564</v>
      </c>
      <c r="W392" s="13" t="s">
        <v>132</v>
      </c>
      <c r="X392" s="13" t="s">
        <v>564</v>
      </c>
      <c r="Y392" s="13" t="s">
        <v>132</v>
      </c>
      <c r="Z392" s="13" t="s">
        <v>564</v>
      </c>
      <c r="AA392" s="13" t="s">
        <v>564</v>
      </c>
      <c r="AB392" s="13"/>
      <c r="AC392" s="13" t="s">
        <v>2191</v>
      </c>
      <c r="AD392" s="13"/>
      <c r="AE392" s="13"/>
      <c r="AF392" s="1"/>
      <c r="AG392" s="1"/>
      <c r="AH392" s="1"/>
      <c r="AI392" s="1"/>
      <c r="AJ392" s="1"/>
    </row>
    <row r="393" spans="1:36" x14ac:dyDescent="0.2">
      <c r="A393" s="5">
        <v>45591.393808414352</v>
      </c>
      <c r="B393" s="1" t="s">
        <v>2192</v>
      </c>
      <c r="C393" s="1"/>
      <c r="D393" s="1"/>
      <c r="E393" s="1" t="s">
        <v>493</v>
      </c>
      <c r="F393" s="1" t="s">
        <v>2193</v>
      </c>
      <c r="G393" s="1" t="s">
        <v>2194</v>
      </c>
      <c r="H393" s="1">
        <v>42999756</v>
      </c>
      <c r="I393" s="1">
        <v>3002961411</v>
      </c>
      <c r="J393" s="1" t="s">
        <v>2195</v>
      </c>
      <c r="K393" s="1">
        <v>3128143956</v>
      </c>
      <c r="L393" s="1" t="s">
        <v>2196</v>
      </c>
      <c r="M393" s="1"/>
      <c r="N393" s="1" t="s">
        <v>35</v>
      </c>
      <c r="O393" s="1" t="s">
        <v>2116</v>
      </c>
      <c r="P393" s="1"/>
      <c r="Q393" s="1"/>
      <c r="R393" s="1"/>
      <c r="S393" s="1"/>
      <c r="T393" s="1"/>
      <c r="U393" s="1" t="s">
        <v>132</v>
      </c>
      <c r="V393" s="1" t="s">
        <v>564</v>
      </c>
      <c r="W393" s="1" t="s">
        <v>2086</v>
      </c>
      <c r="X393" s="1" t="s">
        <v>564</v>
      </c>
      <c r="Y393" s="1" t="s">
        <v>132</v>
      </c>
      <c r="Z393" s="1" t="s">
        <v>564</v>
      </c>
      <c r="AA393" s="1" t="s">
        <v>132</v>
      </c>
      <c r="AB393" s="1"/>
      <c r="AC393" s="1" t="s">
        <v>2197</v>
      </c>
      <c r="AD393" s="1"/>
      <c r="AE393" s="1"/>
      <c r="AF393" s="1"/>
      <c r="AG393" s="1"/>
      <c r="AH393" s="1"/>
      <c r="AI393" s="1"/>
      <c r="AJ393" s="1"/>
    </row>
    <row r="394" spans="1:36" x14ac:dyDescent="0.2">
      <c r="A394" s="5">
        <v>45591.492591076385</v>
      </c>
      <c r="B394" s="1" t="s">
        <v>2192</v>
      </c>
      <c r="C394" s="1"/>
      <c r="D394" s="1"/>
      <c r="E394" s="1" t="s">
        <v>493</v>
      </c>
      <c r="F394" s="1" t="s">
        <v>2198</v>
      </c>
      <c r="G394" s="1" t="s">
        <v>2199</v>
      </c>
      <c r="H394" s="1">
        <v>1010026167</v>
      </c>
      <c r="I394" s="1">
        <v>3003247096</v>
      </c>
      <c r="J394" s="1" t="s">
        <v>2200</v>
      </c>
      <c r="K394" s="1">
        <v>3017328772</v>
      </c>
      <c r="L394" s="1" t="s">
        <v>1272</v>
      </c>
      <c r="M394" s="1"/>
      <c r="N394" s="1" t="s">
        <v>35</v>
      </c>
      <c r="O394" s="1" t="s">
        <v>2116</v>
      </c>
      <c r="P394" s="1"/>
      <c r="Q394" s="1"/>
      <c r="R394" s="1"/>
      <c r="S394" s="1"/>
      <c r="T394" s="1"/>
      <c r="U394" s="1" t="s">
        <v>132</v>
      </c>
      <c r="V394" s="1" t="s">
        <v>564</v>
      </c>
      <c r="W394" s="1" t="s">
        <v>2107</v>
      </c>
      <c r="X394" s="1" t="s">
        <v>564</v>
      </c>
      <c r="Y394" s="1" t="s">
        <v>132</v>
      </c>
      <c r="Z394" s="1" t="s">
        <v>564</v>
      </c>
      <c r="AA394" s="1" t="s">
        <v>564</v>
      </c>
      <c r="AB394" s="1"/>
      <c r="AC394" s="1" t="s">
        <v>2201</v>
      </c>
      <c r="AD394" s="1"/>
      <c r="AE394" s="1"/>
      <c r="AF394" s="1"/>
      <c r="AG394" s="1"/>
      <c r="AH394" s="1"/>
      <c r="AI394" s="1"/>
      <c r="AJ394" s="1"/>
    </row>
    <row r="395" spans="1:36" x14ac:dyDescent="0.2">
      <c r="A395" s="5">
        <v>45591.496972129629</v>
      </c>
      <c r="B395" s="1" t="s">
        <v>2202</v>
      </c>
      <c r="C395" s="1"/>
      <c r="D395" s="1"/>
      <c r="E395" s="1" t="s">
        <v>493</v>
      </c>
      <c r="F395" s="1" t="s">
        <v>2203</v>
      </c>
      <c r="G395" s="1" t="s">
        <v>2204</v>
      </c>
      <c r="H395" s="1">
        <v>71987883</v>
      </c>
      <c r="I395" s="1">
        <v>3175616456</v>
      </c>
      <c r="J395" s="1" t="s">
        <v>2204</v>
      </c>
      <c r="K395" s="1">
        <v>3175616456</v>
      </c>
      <c r="L395" s="1" t="s">
        <v>292</v>
      </c>
      <c r="M395" s="1"/>
      <c r="N395" s="1" t="s">
        <v>35</v>
      </c>
      <c r="O395" s="1" t="s">
        <v>2205</v>
      </c>
      <c r="P395" s="1"/>
      <c r="Q395" s="1"/>
      <c r="R395" s="1"/>
      <c r="S395" s="1"/>
      <c r="T395" s="1"/>
      <c r="U395" s="1" t="s">
        <v>132</v>
      </c>
      <c r="V395" s="1" t="s">
        <v>132</v>
      </c>
      <c r="W395" s="1" t="s">
        <v>2086</v>
      </c>
      <c r="X395" s="1" t="s">
        <v>564</v>
      </c>
      <c r="Y395" s="1" t="s">
        <v>132</v>
      </c>
      <c r="Z395" s="1" t="s">
        <v>132</v>
      </c>
      <c r="AA395" s="1" t="s">
        <v>564</v>
      </c>
      <c r="AB395" s="1"/>
      <c r="AC395" s="1" t="s">
        <v>2206</v>
      </c>
      <c r="AD395" s="1"/>
      <c r="AE395" s="1"/>
      <c r="AF395" s="1"/>
      <c r="AG395" s="1"/>
      <c r="AH395" s="1"/>
      <c r="AI395" s="1"/>
      <c r="AJ395" s="1"/>
    </row>
    <row r="396" spans="1:36" x14ac:dyDescent="0.2">
      <c r="A396" s="5">
        <v>45591.498204074072</v>
      </c>
      <c r="B396" s="1" t="s">
        <v>2179</v>
      </c>
      <c r="C396" s="1"/>
      <c r="D396" s="1"/>
      <c r="E396" s="1" t="s">
        <v>493</v>
      </c>
      <c r="F396" s="1" t="s">
        <v>2207</v>
      </c>
      <c r="G396" s="1" t="s">
        <v>2208</v>
      </c>
      <c r="H396" s="1">
        <v>1214728850</v>
      </c>
      <c r="I396" s="1">
        <v>3022938345</v>
      </c>
      <c r="J396" s="1" t="s">
        <v>2209</v>
      </c>
      <c r="K396" s="1">
        <v>3043762390</v>
      </c>
      <c r="L396" s="1" t="s">
        <v>44</v>
      </c>
      <c r="M396" s="1"/>
      <c r="N396" s="1" t="s">
        <v>35</v>
      </c>
      <c r="O396" s="1" t="s">
        <v>2210</v>
      </c>
      <c r="P396" s="1"/>
      <c r="Q396" s="1"/>
      <c r="R396" s="1"/>
      <c r="S396" s="1"/>
      <c r="T396" s="1"/>
      <c r="U396" s="1" t="s">
        <v>132</v>
      </c>
      <c r="V396" s="1" t="s">
        <v>564</v>
      </c>
      <c r="W396" s="1" t="s">
        <v>132</v>
      </c>
      <c r="X396" s="1" t="s">
        <v>564</v>
      </c>
      <c r="Y396" s="1" t="s">
        <v>132</v>
      </c>
      <c r="Z396" s="1" t="s">
        <v>564</v>
      </c>
      <c r="AA396" s="1" t="s">
        <v>564</v>
      </c>
      <c r="AB396" s="1"/>
      <c r="AC396" s="1" t="s">
        <v>2211</v>
      </c>
      <c r="AD396" s="1"/>
      <c r="AE396" s="1"/>
      <c r="AF396" s="1"/>
      <c r="AG396" s="1"/>
      <c r="AH396" s="1"/>
      <c r="AI396" s="1"/>
      <c r="AJ396" s="1"/>
    </row>
    <row r="397" spans="1:36" x14ac:dyDescent="0.2">
      <c r="A397" s="5">
        <v>45591.53448894676</v>
      </c>
      <c r="B397" s="1" t="s">
        <v>2179</v>
      </c>
      <c r="C397" s="1"/>
      <c r="D397" s="1"/>
      <c r="E397" s="1" t="s">
        <v>493</v>
      </c>
      <c r="F397" s="1" t="s">
        <v>2212</v>
      </c>
      <c r="G397" s="1" t="s">
        <v>2213</v>
      </c>
      <c r="H397" s="1">
        <v>43091279</v>
      </c>
      <c r="I397" s="1">
        <v>3004556076</v>
      </c>
      <c r="J397" s="1"/>
      <c r="K397" s="1"/>
      <c r="L397" s="1" t="s">
        <v>84</v>
      </c>
      <c r="M397" s="1"/>
      <c r="N397" s="1" t="s">
        <v>35</v>
      </c>
      <c r="O397" s="1" t="s">
        <v>2214</v>
      </c>
      <c r="P397" s="1"/>
      <c r="Q397" s="1"/>
      <c r="R397" s="1"/>
      <c r="S397" s="1"/>
      <c r="T397" s="1"/>
      <c r="U397" s="1" t="s">
        <v>132</v>
      </c>
      <c r="V397" s="1" t="s">
        <v>564</v>
      </c>
      <c r="W397" s="1" t="s">
        <v>132</v>
      </c>
      <c r="X397" s="1" t="s">
        <v>564</v>
      </c>
      <c r="Y397" s="1" t="s">
        <v>132</v>
      </c>
      <c r="Z397" s="1" t="s">
        <v>564</v>
      </c>
      <c r="AA397" s="1" t="s">
        <v>564</v>
      </c>
      <c r="AB397" s="1"/>
      <c r="AC397" s="1" t="s">
        <v>2215</v>
      </c>
      <c r="AD397" s="1"/>
      <c r="AE397" s="1"/>
      <c r="AF397" s="1"/>
      <c r="AG397" s="1"/>
      <c r="AH397" s="1"/>
      <c r="AI397" s="1"/>
      <c r="AJ397" s="1"/>
    </row>
    <row r="398" spans="1:36" x14ac:dyDescent="0.2">
      <c r="A398" s="5">
        <v>45592.418605231476</v>
      </c>
      <c r="B398" s="1" t="s">
        <v>2192</v>
      </c>
      <c r="C398" s="1"/>
      <c r="D398" s="1"/>
      <c r="E398" s="1" t="s">
        <v>493</v>
      </c>
      <c r="F398" s="1" t="s">
        <v>2216</v>
      </c>
      <c r="G398" s="1" t="s">
        <v>2217</v>
      </c>
      <c r="H398" s="1">
        <v>1131106161</v>
      </c>
      <c r="I398" s="1">
        <v>3234936646</v>
      </c>
      <c r="J398" s="1" t="s">
        <v>2218</v>
      </c>
      <c r="K398" s="1">
        <v>3126295497</v>
      </c>
      <c r="L398" s="1" t="s">
        <v>292</v>
      </c>
      <c r="M398" s="1"/>
      <c r="N398" s="1" t="s">
        <v>35</v>
      </c>
      <c r="O398" s="1" t="s">
        <v>2219</v>
      </c>
      <c r="P398" s="1"/>
      <c r="Q398" s="1"/>
      <c r="R398" s="1"/>
      <c r="S398" s="1"/>
      <c r="T398" s="1"/>
      <c r="U398" s="1" t="s">
        <v>132</v>
      </c>
      <c r="V398" s="1" t="s">
        <v>564</v>
      </c>
      <c r="W398" s="1" t="s">
        <v>2086</v>
      </c>
      <c r="X398" s="1" t="s">
        <v>564</v>
      </c>
      <c r="Y398" s="1" t="s">
        <v>132</v>
      </c>
      <c r="Z398" s="1" t="s">
        <v>564</v>
      </c>
      <c r="AA398" s="1" t="s">
        <v>564</v>
      </c>
      <c r="AB398" s="1"/>
      <c r="AC398" s="1" t="s">
        <v>2220</v>
      </c>
      <c r="AD398" s="1"/>
      <c r="AE398" s="1"/>
      <c r="AF398" s="1"/>
      <c r="AG398" s="1"/>
      <c r="AH398" s="1"/>
      <c r="AI398" s="1"/>
      <c r="AJ398" s="1"/>
    </row>
    <row r="399" spans="1:36" x14ac:dyDescent="0.2">
      <c r="A399" s="12">
        <v>45592.452523807871</v>
      </c>
      <c r="B399" s="13" t="s">
        <v>871</v>
      </c>
      <c r="C399" s="13"/>
      <c r="D399" s="13"/>
      <c r="E399" s="13" t="s">
        <v>865</v>
      </c>
      <c r="F399" s="13" t="s">
        <v>1415</v>
      </c>
      <c r="G399" s="13" t="s">
        <v>2221</v>
      </c>
      <c r="H399" s="13">
        <v>70069899</v>
      </c>
      <c r="I399" s="13">
        <v>3016468660</v>
      </c>
      <c r="J399" s="13"/>
      <c r="K399" s="13"/>
      <c r="L399" s="13" t="s">
        <v>2222</v>
      </c>
      <c r="M399" s="13"/>
      <c r="N399" s="13" t="s">
        <v>132</v>
      </c>
      <c r="O399" s="13" t="s">
        <v>2223</v>
      </c>
      <c r="P399" s="13"/>
      <c r="Q399" s="13"/>
      <c r="R399" s="13"/>
      <c r="S399" s="13"/>
      <c r="T399" s="13"/>
      <c r="U399" s="13" t="s">
        <v>132</v>
      </c>
      <c r="V399" s="13" t="s">
        <v>564</v>
      </c>
      <c r="W399" s="13" t="s">
        <v>132</v>
      </c>
      <c r="X399" s="13" t="s">
        <v>564</v>
      </c>
      <c r="Y399" s="13" t="s">
        <v>132</v>
      </c>
      <c r="Z399" s="13" t="s">
        <v>564</v>
      </c>
      <c r="AA399" s="13" t="s">
        <v>564</v>
      </c>
      <c r="AB399" s="13"/>
      <c r="AC399" s="13" t="s">
        <v>2224</v>
      </c>
      <c r="AD399" s="13"/>
      <c r="AE399" s="13"/>
      <c r="AF399" s="1"/>
      <c r="AG399" s="1"/>
      <c r="AH399" s="1"/>
      <c r="AI399" s="1"/>
      <c r="AJ399" s="1"/>
    </row>
    <row r="400" spans="1:36" x14ac:dyDescent="0.2">
      <c r="A400" s="12">
        <v>45592.456550752315</v>
      </c>
      <c r="B400" s="13" t="s">
        <v>871</v>
      </c>
      <c r="C400" s="13"/>
      <c r="D400" s="13"/>
      <c r="E400" s="13" t="s">
        <v>865</v>
      </c>
      <c r="F400" s="13" t="s">
        <v>1415</v>
      </c>
      <c r="G400" s="13" t="s">
        <v>2225</v>
      </c>
      <c r="H400" s="13">
        <v>26261781</v>
      </c>
      <c r="I400" s="13">
        <v>3024568151</v>
      </c>
      <c r="J400" s="13" t="s">
        <v>2226</v>
      </c>
      <c r="K400" s="13">
        <v>3043241096</v>
      </c>
      <c r="L400" s="13">
        <v>12</v>
      </c>
      <c r="M400" s="13"/>
      <c r="N400" s="13" t="s">
        <v>35</v>
      </c>
      <c r="O400" s="13">
        <v>100</v>
      </c>
      <c r="P400" s="13"/>
      <c r="Q400" s="13"/>
      <c r="R400" s="13"/>
      <c r="S400" s="13"/>
      <c r="T400" s="13"/>
      <c r="U400" s="13" t="s">
        <v>132</v>
      </c>
      <c r="V400" s="13" t="s">
        <v>564</v>
      </c>
      <c r="W400" s="13" t="s">
        <v>2086</v>
      </c>
      <c r="X400" s="13" t="s">
        <v>564</v>
      </c>
      <c r="Y400" s="13" t="s">
        <v>132</v>
      </c>
      <c r="Z400" s="13" t="s">
        <v>564</v>
      </c>
      <c r="AA400" s="13" t="s">
        <v>564</v>
      </c>
      <c r="AB400" s="13"/>
      <c r="AC400" s="13" t="s">
        <v>2227</v>
      </c>
      <c r="AD400" s="13"/>
      <c r="AE400" s="13"/>
      <c r="AF400" s="1"/>
      <c r="AG400" s="1"/>
      <c r="AH400" s="1"/>
      <c r="AI400" s="1"/>
      <c r="AJ400" s="1"/>
    </row>
    <row r="401" spans="1:36" x14ac:dyDescent="0.2">
      <c r="A401" s="5">
        <v>45592.538489456019</v>
      </c>
      <c r="B401" s="1" t="s">
        <v>2179</v>
      </c>
      <c r="C401" s="1"/>
      <c r="D401" s="1"/>
      <c r="E401" s="1" t="s">
        <v>493</v>
      </c>
      <c r="F401" s="1" t="s">
        <v>272</v>
      </c>
      <c r="G401" s="1" t="s">
        <v>2228</v>
      </c>
      <c r="H401" s="1">
        <v>21475549</v>
      </c>
      <c r="I401" s="1">
        <v>3245576702</v>
      </c>
      <c r="J401" s="1" t="s">
        <v>2229</v>
      </c>
      <c r="K401" s="1">
        <v>3177304336</v>
      </c>
      <c r="L401" s="1" t="s">
        <v>400</v>
      </c>
      <c r="M401" s="1"/>
      <c r="N401" s="1" t="s">
        <v>35</v>
      </c>
      <c r="O401" s="1" t="s">
        <v>2230</v>
      </c>
      <c r="P401" s="1"/>
      <c r="Q401" s="1"/>
      <c r="R401" s="1"/>
      <c r="S401" s="1"/>
      <c r="T401" s="1"/>
      <c r="U401" s="1" t="s">
        <v>132</v>
      </c>
      <c r="V401" s="1" t="s">
        <v>564</v>
      </c>
      <c r="W401" s="1" t="s">
        <v>132</v>
      </c>
      <c r="X401" s="1" t="s">
        <v>564</v>
      </c>
      <c r="Y401" s="1" t="s">
        <v>132</v>
      </c>
      <c r="Z401" s="1" t="s">
        <v>564</v>
      </c>
      <c r="AA401" s="1" t="s">
        <v>564</v>
      </c>
      <c r="AB401" s="1"/>
      <c r="AC401" s="1" t="s">
        <v>2231</v>
      </c>
      <c r="AD401" s="1"/>
      <c r="AE401" s="1"/>
      <c r="AF401" s="1"/>
      <c r="AG401" s="1"/>
      <c r="AH401" s="1"/>
      <c r="AI401" s="1"/>
      <c r="AJ401" s="1"/>
    </row>
    <row r="402" spans="1:36" x14ac:dyDescent="0.2">
      <c r="A402" s="5">
        <v>45592.629209467588</v>
      </c>
      <c r="B402" s="1" t="s">
        <v>2232</v>
      </c>
      <c r="C402" s="1"/>
      <c r="D402" s="1"/>
      <c r="E402" s="1" t="s">
        <v>493</v>
      </c>
      <c r="F402" s="1" t="s">
        <v>480</v>
      </c>
      <c r="G402" s="1" t="s">
        <v>2233</v>
      </c>
      <c r="H402" s="1">
        <v>43112146</v>
      </c>
      <c r="I402" s="1">
        <v>3016756886</v>
      </c>
      <c r="J402" s="1" t="s">
        <v>2234</v>
      </c>
      <c r="K402" s="1">
        <v>3024055449</v>
      </c>
      <c r="L402" s="1" t="s">
        <v>299</v>
      </c>
      <c r="M402" s="1"/>
      <c r="N402" s="1" t="s">
        <v>35</v>
      </c>
      <c r="O402" s="1" t="s">
        <v>2235</v>
      </c>
      <c r="P402" s="1"/>
      <c r="Q402" s="1"/>
      <c r="R402" s="1"/>
      <c r="S402" s="1"/>
      <c r="T402" s="1"/>
      <c r="U402" s="1" t="s">
        <v>132</v>
      </c>
      <c r="V402" s="1" t="s">
        <v>564</v>
      </c>
      <c r="W402" s="1" t="s">
        <v>132</v>
      </c>
      <c r="X402" s="1" t="s">
        <v>564</v>
      </c>
      <c r="Y402" s="1" t="s">
        <v>132</v>
      </c>
      <c r="Z402" s="1" t="s">
        <v>564</v>
      </c>
      <c r="AA402" s="1" t="s">
        <v>564</v>
      </c>
      <c r="AB402" s="1"/>
      <c r="AC402" s="1" t="s">
        <v>2236</v>
      </c>
      <c r="AD402" s="1"/>
      <c r="AE402" s="1"/>
      <c r="AF402" s="1"/>
      <c r="AG402" s="1"/>
      <c r="AH402" s="1"/>
      <c r="AI402" s="1"/>
      <c r="AJ402" s="1"/>
    </row>
    <row r="403" spans="1:36" x14ac:dyDescent="0.2">
      <c r="A403" s="5">
        <v>45599.409749976854</v>
      </c>
      <c r="B403" s="1" t="s">
        <v>2087</v>
      </c>
      <c r="C403" s="1"/>
      <c r="D403" s="1"/>
      <c r="E403" s="1" t="s">
        <v>493</v>
      </c>
      <c r="F403" s="1" t="s">
        <v>2237</v>
      </c>
      <c r="G403" s="1" t="s">
        <v>2238</v>
      </c>
      <c r="H403" s="1">
        <v>1035851885</v>
      </c>
      <c r="I403" s="1">
        <v>3024645117</v>
      </c>
      <c r="J403" s="1" t="s">
        <v>2239</v>
      </c>
      <c r="K403" s="1">
        <v>3015974479</v>
      </c>
      <c r="L403" s="1">
        <v>4</v>
      </c>
      <c r="M403" s="1"/>
      <c r="N403" s="1" t="s">
        <v>35</v>
      </c>
      <c r="O403" s="1" t="s">
        <v>2240</v>
      </c>
      <c r="P403" s="1"/>
      <c r="Q403" s="1"/>
      <c r="R403" s="1"/>
      <c r="S403" s="1"/>
      <c r="T403" s="1"/>
      <c r="U403" s="1" t="s">
        <v>132</v>
      </c>
      <c r="V403" s="1" t="s">
        <v>564</v>
      </c>
      <c r="W403" s="1" t="s">
        <v>2086</v>
      </c>
      <c r="X403" s="1" t="s">
        <v>564</v>
      </c>
      <c r="Y403" s="1" t="s">
        <v>132</v>
      </c>
      <c r="Z403" s="1" t="s">
        <v>564</v>
      </c>
      <c r="AA403" s="1" t="s">
        <v>564</v>
      </c>
      <c r="AB403" s="1"/>
      <c r="AC403" s="1"/>
      <c r="AD403" s="1"/>
      <c r="AE403" s="1"/>
      <c r="AF403" s="1"/>
      <c r="AG403" s="1"/>
      <c r="AH403" s="1"/>
      <c r="AI403" s="1"/>
      <c r="AJ403" s="1"/>
    </row>
    <row r="404" spans="1:36" x14ac:dyDescent="0.2">
      <c r="A404" s="5">
        <v>45599.486581550926</v>
      </c>
      <c r="B404" s="1" t="s">
        <v>2232</v>
      </c>
      <c r="C404" s="1"/>
      <c r="D404" s="1"/>
      <c r="E404" s="1" t="s">
        <v>493</v>
      </c>
      <c r="F404" s="1" t="s">
        <v>2241</v>
      </c>
      <c r="G404" s="1" t="s">
        <v>2242</v>
      </c>
      <c r="H404" s="1">
        <v>15679404</v>
      </c>
      <c r="I404" s="1">
        <v>3013549214</v>
      </c>
      <c r="J404" s="1" t="s">
        <v>2243</v>
      </c>
      <c r="K404" s="1">
        <v>3218392074</v>
      </c>
      <c r="L404" s="1" t="s">
        <v>299</v>
      </c>
      <c r="M404" s="1"/>
      <c r="N404" s="1" t="s">
        <v>35</v>
      </c>
      <c r="O404" s="1" t="s">
        <v>2244</v>
      </c>
      <c r="P404" s="1"/>
      <c r="Q404" s="1"/>
      <c r="R404" s="1"/>
      <c r="S404" s="1"/>
      <c r="T404" s="1"/>
      <c r="U404" s="1" t="s">
        <v>132</v>
      </c>
      <c r="V404" s="1" t="s">
        <v>564</v>
      </c>
      <c r="W404" s="1" t="s">
        <v>132</v>
      </c>
      <c r="X404" s="1" t="s">
        <v>564</v>
      </c>
      <c r="Y404" s="1" t="s">
        <v>132</v>
      </c>
      <c r="Z404" s="1" t="s">
        <v>564</v>
      </c>
      <c r="AA404" s="1" t="s">
        <v>564</v>
      </c>
      <c r="AB404" s="1"/>
      <c r="AC404" s="1" t="s">
        <v>2245</v>
      </c>
      <c r="AD404" s="1"/>
      <c r="AE404" s="1"/>
      <c r="AF404" s="1"/>
      <c r="AG404" s="1"/>
      <c r="AH404" s="1"/>
      <c r="AI404" s="1"/>
      <c r="AJ404" s="1"/>
    </row>
    <row r="405" spans="1:36" x14ac:dyDescent="0.2">
      <c r="A405" s="5">
        <v>45599.48895219907</v>
      </c>
      <c r="B405" s="1" t="s">
        <v>2232</v>
      </c>
      <c r="C405" s="1"/>
      <c r="D405" s="1"/>
      <c r="E405" s="1" t="s">
        <v>493</v>
      </c>
      <c r="F405" s="1" t="s">
        <v>297</v>
      </c>
      <c r="G405" s="1" t="s">
        <v>2246</v>
      </c>
      <c r="H405" s="1">
        <v>1066525111</v>
      </c>
      <c r="I405" s="1">
        <v>3117575683</v>
      </c>
      <c r="J405" s="1" t="s">
        <v>2247</v>
      </c>
      <c r="K405" s="1">
        <v>3233509738</v>
      </c>
      <c r="L405" s="1" t="s">
        <v>2248</v>
      </c>
      <c r="M405" s="1"/>
      <c r="N405" s="1" t="s">
        <v>35</v>
      </c>
      <c r="O405" s="1" t="s">
        <v>2249</v>
      </c>
      <c r="P405" s="1"/>
      <c r="Q405" s="1"/>
      <c r="R405" s="1"/>
      <c r="S405" s="1"/>
      <c r="T405" s="1"/>
      <c r="U405" s="1" t="s">
        <v>132</v>
      </c>
      <c r="V405" s="1" t="s">
        <v>564</v>
      </c>
      <c r="W405" s="1" t="s">
        <v>132</v>
      </c>
      <c r="X405" s="1" t="s">
        <v>564</v>
      </c>
      <c r="Y405" s="1" t="s">
        <v>564</v>
      </c>
      <c r="Z405" s="1" t="s">
        <v>564</v>
      </c>
      <c r="AA405" s="1" t="s">
        <v>564</v>
      </c>
      <c r="AB405" s="1"/>
      <c r="AC405" s="1" t="s">
        <v>2250</v>
      </c>
      <c r="AD405" s="1"/>
      <c r="AE405" s="1"/>
      <c r="AF405" s="1"/>
      <c r="AG405" s="1"/>
      <c r="AH405" s="1"/>
      <c r="AI405" s="1"/>
      <c r="AJ405" s="1"/>
    </row>
    <row r="406" spans="1:36" x14ac:dyDescent="0.2">
      <c r="A406" s="5">
        <v>45606.382969131941</v>
      </c>
      <c r="B406" s="1" t="s">
        <v>1602</v>
      </c>
      <c r="C406" s="1"/>
      <c r="D406" s="1"/>
      <c r="E406" s="1" t="s">
        <v>493</v>
      </c>
      <c r="F406" s="1" t="s">
        <v>2251</v>
      </c>
      <c r="G406" s="1" t="s">
        <v>2252</v>
      </c>
      <c r="H406" s="1">
        <v>1033762428</v>
      </c>
      <c r="I406" s="1">
        <v>3042041213</v>
      </c>
      <c r="J406" s="1" t="s">
        <v>2253</v>
      </c>
      <c r="K406" s="1">
        <v>3005955636</v>
      </c>
      <c r="L406" s="1">
        <v>18</v>
      </c>
      <c r="M406" s="1"/>
      <c r="N406" s="1" t="s">
        <v>35</v>
      </c>
      <c r="O406" s="1" t="s">
        <v>2148</v>
      </c>
      <c r="P406" s="1"/>
      <c r="Q406" s="1"/>
      <c r="R406" s="1"/>
      <c r="S406" s="1"/>
      <c r="T406" s="1"/>
      <c r="U406" s="1" t="s">
        <v>132</v>
      </c>
      <c r="V406" s="1" t="s">
        <v>564</v>
      </c>
      <c r="W406" s="1" t="s">
        <v>2086</v>
      </c>
      <c r="X406" s="1" t="s">
        <v>564</v>
      </c>
      <c r="Y406" s="1" t="s">
        <v>564</v>
      </c>
      <c r="Z406" s="1" t="s">
        <v>564</v>
      </c>
      <c r="AA406" s="1" t="s">
        <v>564</v>
      </c>
      <c r="AB406" s="1"/>
      <c r="AC406" s="1" t="s">
        <v>2254</v>
      </c>
      <c r="AD406" s="1"/>
      <c r="AE406" s="1"/>
      <c r="AF406" s="1"/>
      <c r="AG406" s="1"/>
      <c r="AH406" s="1"/>
      <c r="AI406" s="1"/>
      <c r="AJ406" s="1"/>
    </row>
    <row r="407" spans="1:36" x14ac:dyDescent="0.2">
      <c r="A407" s="12">
        <v>45626.461824803242</v>
      </c>
      <c r="B407" s="13" t="s">
        <v>2255</v>
      </c>
      <c r="C407" s="13"/>
      <c r="D407" s="13"/>
      <c r="E407" s="13" t="s">
        <v>865</v>
      </c>
      <c r="F407" s="13" t="s">
        <v>1180</v>
      </c>
      <c r="G407" s="13" t="s">
        <v>2256</v>
      </c>
      <c r="H407" s="13">
        <v>43818393</v>
      </c>
      <c r="I407" s="13">
        <v>3217169088</v>
      </c>
      <c r="J407" s="13"/>
      <c r="K407" s="13"/>
      <c r="L407" s="13">
        <v>20</v>
      </c>
      <c r="M407" s="13"/>
      <c r="N407" s="13" t="s">
        <v>132</v>
      </c>
      <c r="O407" s="13" t="s">
        <v>2257</v>
      </c>
      <c r="P407" s="13"/>
      <c r="Q407" s="13"/>
      <c r="R407" s="13"/>
      <c r="S407" s="13"/>
      <c r="T407" s="13"/>
      <c r="U407" s="13" t="s">
        <v>132</v>
      </c>
      <c r="V407" s="13" t="s">
        <v>564</v>
      </c>
      <c r="W407" s="13" t="s">
        <v>2107</v>
      </c>
      <c r="X407" s="13" t="s">
        <v>564</v>
      </c>
      <c r="Y407" s="13" t="s">
        <v>132</v>
      </c>
      <c r="Z407" s="13" t="s">
        <v>564</v>
      </c>
      <c r="AA407" s="13" t="s">
        <v>132</v>
      </c>
      <c r="AB407" s="13"/>
      <c r="AC407" s="13"/>
      <c r="AD407" s="13"/>
      <c r="AE407" s="13"/>
      <c r="AF407" s="1"/>
      <c r="AG407" s="1"/>
      <c r="AH407" s="1"/>
      <c r="AI407" s="1"/>
      <c r="AJ407" s="1"/>
    </row>
    <row r="408" spans="1:36" x14ac:dyDescent="0.2">
      <c r="A408" s="12">
        <v>45626.46646059028</v>
      </c>
      <c r="B408" s="13" t="s">
        <v>2255</v>
      </c>
      <c r="C408" s="13"/>
      <c r="D408" s="13"/>
      <c r="E408" s="13" t="s">
        <v>865</v>
      </c>
      <c r="F408" s="13" t="s">
        <v>1911</v>
      </c>
      <c r="G408" s="13" t="s">
        <v>2258</v>
      </c>
      <c r="H408" s="13">
        <v>21992120</v>
      </c>
      <c r="I408" s="13">
        <v>3104351293</v>
      </c>
      <c r="J408" s="13"/>
      <c r="K408" s="13"/>
      <c r="L408" s="13">
        <v>8</v>
      </c>
      <c r="M408" s="13"/>
      <c r="N408" s="13" t="s">
        <v>35</v>
      </c>
      <c r="O408" s="13" t="s">
        <v>2257</v>
      </c>
      <c r="P408" s="13"/>
      <c r="Q408" s="13"/>
      <c r="R408" s="13"/>
      <c r="S408" s="13"/>
      <c r="T408" s="13"/>
      <c r="U408" s="13" t="s">
        <v>132</v>
      </c>
      <c r="V408" s="13" t="s">
        <v>564</v>
      </c>
      <c r="W408" s="13" t="s">
        <v>2107</v>
      </c>
      <c r="X408" s="13" t="s">
        <v>564</v>
      </c>
      <c r="Y408" s="13" t="s">
        <v>132</v>
      </c>
      <c r="Z408" s="13" t="s">
        <v>564</v>
      </c>
      <c r="AA408" s="13" t="s">
        <v>132</v>
      </c>
      <c r="AB408" s="13"/>
      <c r="AC408" s="13"/>
      <c r="AD408" s="13"/>
      <c r="AE408" s="13"/>
      <c r="AF408" s="1"/>
      <c r="AG408" s="1"/>
      <c r="AH408" s="1"/>
      <c r="AI408" s="1"/>
      <c r="AJ408" s="1"/>
    </row>
    <row r="409" spans="1:36" x14ac:dyDescent="0.2">
      <c r="A409" s="12">
        <v>45626.469126192125</v>
      </c>
      <c r="B409" s="13" t="s">
        <v>2255</v>
      </c>
      <c r="C409" s="13"/>
      <c r="D409" s="13"/>
      <c r="E409" s="13" t="s">
        <v>865</v>
      </c>
      <c r="F409" s="13" t="s">
        <v>1180</v>
      </c>
      <c r="G409" s="13" t="s">
        <v>2259</v>
      </c>
      <c r="H409" s="13">
        <v>43080692</v>
      </c>
      <c r="I409" s="13">
        <v>3245749643</v>
      </c>
      <c r="J409" s="13"/>
      <c r="K409" s="13"/>
      <c r="L409" s="13">
        <v>7</v>
      </c>
      <c r="M409" s="13"/>
      <c r="N409" s="13" t="s">
        <v>132</v>
      </c>
      <c r="O409" s="13" t="s">
        <v>2257</v>
      </c>
      <c r="P409" s="13"/>
      <c r="Q409" s="13"/>
      <c r="R409" s="13"/>
      <c r="S409" s="13"/>
      <c r="T409" s="13"/>
      <c r="U409" s="13" t="s">
        <v>132</v>
      </c>
      <c r="V409" s="13" t="s">
        <v>564</v>
      </c>
      <c r="W409" s="13" t="s">
        <v>2107</v>
      </c>
      <c r="X409" s="13" t="s">
        <v>564</v>
      </c>
      <c r="Y409" s="13" t="s">
        <v>132</v>
      </c>
      <c r="Z409" s="13" t="s">
        <v>564</v>
      </c>
      <c r="AA409" s="13" t="s">
        <v>132</v>
      </c>
      <c r="AB409" s="13"/>
      <c r="AC409" s="13"/>
      <c r="AD409" s="13"/>
      <c r="AE409" s="13"/>
      <c r="AF409" s="1"/>
      <c r="AG409" s="1"/>
      <c r="AH409" s="1"/>
      <c r="AI409" s="1"/>
      <c r="AJ409" s="1"/>
    </row>
    <row r="410" spans="1:36" x14ac:dyDescent="0.2">
      <c r="A410" s="12">
        <v>45626.471140219903</v>
      </c>
      <c r="B410" s="13" t="s">
        <v>2255</v>
      </c>
      <c r="C410" s="13"/>
      <c r="D410" s="13"/>
      <c r="E410" s="13" t="s">
        <v>865</v>
      </c>
      <c r="F410" s="13" t="s">
        <v>1911</v>
      </c>
      <c r="G410" s="13" t="s">
        <v>2260</v>
      </c>
      <c r="H410" s="13">
        <v>43140973</v>
      </c>
      <c r="I410" s="13">
        <v>3128269336</v>
      </c>
      <c r="J410" s="13"/>
      <c r="K410" s="13"/>
      <c r="L410" s="13">
        <v>3</v>
      </c>
      <c r="M410" s="13"/>
      <c r="N410" s="13" t="s">
        <v>35</v>
      </c>
      <c r="O410" s="13" t="s">
        <v>2257</v>
      </c>
      <c r="P410" s="13"/>
      <c r="Q410" s="13"/>
      <c r="R410" s="13"/>
      <c r="S410" s="13"/>
      <c r="T410" s="13"/>
      <c r="U410" s="13" t="s">
        <v>132</v>
      </c>
      <c r="V410" s="13" t="s">
        <v>564</v>
      </c>
      <c r="W410" s="13" t="s">
        <v>2086</v>
      </c>
      <c r="X410" s="13" t="s">
        <v>564</v>
      </c>
      <c r="Y410" s="13" t="s">
        <v>132</v>
      </c>
      <c r="Z410" s="13" t="s">
        <v>564</v>
      </c>
      <c r="AA410" s="13" t="s">
        <v>132</v>
      </c>
      <c r="AB410" s="13"/>
      <c r="AC410" s="13"/>
      <c r="AD410" s="13"/>
      <c r="AE410" s="13"/>
      <c r="AF410" s="1"/>
      <c r="AG410" s="1"/>
      <c r="AH410" s="1"/>
      <c r="AI410" s="1"/>
      <c r="AJ410" s="1"/>
    </row>
    <row r="411" spans="1:36" x14ac:dyDescent="0.2">
      <c r="A411" s="12">
        <v>45626.473548321759</v>
      </c>
      <c r="B411" s="13" t="s">
        <v>2255</v>
      </c>
      <c r="C411" s="13"/>
      <c r="D411" s="13"/>
      <c r="E411" s="13" t="s">
        <v>865</v>
      </c>
      <c r="F411" s="13" t="s">
        <v>1937</v>
      </c>
      <c r="G411" s="13" t="s">
        <v>2261</v>
      </c>
      <c r="H411" s="13">
        <v>43640747</v>
      </c>
      <c r="I411" s="13">
        <v>3155383884</v>
      </c>
      <c r="J411" s="13"/>
      <c r="K411" s="13"/>
      <c r="L411" s="13">
        <v>13</v>
      </c>
      <c r="M411" s="13"/>
      <c r="N411" s="13" t="s">
        <v>35</v>
      </c>
      <c r="O411" s="13" t="s">
        <v>2257</v>
      </c>
      <c r="P411" s="13"/>
      <c r="Q411" s="13"/>
      <c r="R411" s="13"/>
      <c r="S411" s="13"/>
      <c r="T411" s="13"/>
      <c r="U411" s="13" t="s">
        <v>132</v>
      </c>
      <c r="V411" s="13" t="s">
        <v>564</v>
      </c>
      <c r="W411" s="13" t="s">
        <v>2107</v>
      </c>
      <c r="X411" s="13" t="s">
        <v>564</v>
      </c>
      <c r="Y411" s="13" t="s">
        <v>132</v>
      </c>
      <c r="Z411" s="13" t="s">
        <v>564</v>
      </c>
      <c r="AA411" s="13" t="s">
        <v>132</v>
      </c>
      <c r="AB411" s="13"/>
      <c r="AC411" s="13"/>
      <c r="AD411" s="13"/>
      <c r="AE411" s="13"/>
      <c r="AF411" s="1"/>
      <c r="AG411" s="1"/>
      <c r="AH411" s="1"/>
      <c r="AI411" s="1"/>
      <c r="AJ411" s="1"/>
    </row>
    <row r="412" spans="1:36" x14ac:dyDescent="0.2">
      <c r="A412" s="12">
        <v>45626.514636180553</v>
      </c>
      <c r="B412" s="13" t="s">
        <v>1852</v>
      </c>
      <c r="C412" s="13"/>
      <c r="D412" s="13"/>
      <c r="E412" s="13" t="s">
        <v>865</v>
      </c>
      <c r="F412" s="13" t="s">
        <v>2262</v>
      </c>
      <c r="G412" s="13" t="s">
        <v>619</v>
      </c>
      <c r="H412" s="13">
        <v>1013456443</v>
      </c>
      <c r="I412" s="13">
        <v>3195352525</v>
      </c>
      <c r="J412" s="13" t="s">
        <v>2263</v>
      </c>
      <c r="K412" s="13">
        <v>3008504427</v>
      </c>
      <c r="L412" s="13">
        <v>24</v>
      </c>
      <c r="M412" s="13"/>
      <c r="N412" s="13" t="s">
        <v>35</v>
      </c>
      <c r="O412" s="13" t="s">
        <v>2264</v>
      </c>
      <c r="P412" s="13"/>
      <c r="Q412" s="13"/>
      <c r="R412" s="13"/>
      <c r="S412" s="13"/>
      <c r="T412" s="13"/>
      <c r="U412" s="13" t="s">
        <v>132</v>
      </c>
      <c r="V412" s="13" t="s">
        <v>564</v>
      </c>
      <c r="W412" s="13" t="s">
        <v>2086</v>
      </c>
      <c r="X412" s="13" t="s">
        <v>564</v>
      </c>
      <c r="Y412" s="13" t="s">
        <v>132</v>
      </c>
      <c r="Z412" s="13" t="s">
        <v>564</v>
      </c>
      <c r="AA412" s="13" t="s">
        <v>564</v>
      </c>
      <c r="AB412" s="13"/>
      <c r="AC412" s="13" t="s">
        <v>2265</v>
      </c>
      <c r="AD412" s="13"/>
      <c r="AE412" s="13"/>
      <c r="AF412" s="1"/>
      <c r="AG412" s="1"/>
      <c r="AH412" s="1"/>
      <c r="AI412" s="1"/>
      <c r="AJ412" s="1"/>
    </row>
    <row r="413" spans="1:36" x14ac:dyDescent="0.2">
      <c r="A413" s="12">
        <v>45626.5167156713</v>
      </c>
      <c r="B413" s="13" t="s">
        <v>1864</v>
      </c>
      <c r="C413" s="13"/>
      <c r="D413" s="13"/>
      <c r="E413" s="13" t="s">
        <v>865</v>
      </c>
      <c r="F413" s="13" t="s">
        <v>2266</v>
      </c>
      <c r="G413" s="13" t="s">
        <v>2263</v>
      </c>
      <c r="H413" s="13">
        <v>1017209120</v>
      </c>
      <c r="I413" s="13">
        <v>3008504427</v>
      </c>
      <c r="J413" s="13" t="s">
        <v>2267</v>
      </c>
      <c r="K413" s="13">
        <v>3195352525</v>
      </c>
      <c r="L413" s="13" t="s">
        <v>286</v>
      </c>
      <c r="M413" s="13"/>
      <c r="N413" s="13" t="s">
        <v>35</v>
      </c>
      <c r="O413" s="13" t="s">
        <v>2268</v>
      </c>
      <c r="P413" s="13"/>
      <c r="Q413" s="13"/>
      <c r="R413" s="13"/>
      <c r="S413" s="13"/>
      <c r="T413" s="13"/>
      <c r="U413" s="13" t="s">
        <v>132</v>
      </c>
      <c r="V413" s="13" t="s">
        <v>564</v>
      </c>
      <c r="W413" s="13" t="s">
        <v>2086</v>
      </c>
      <c r="X413" s="13" t="s">
        <v>564</v>
      </c>
      <c r="Y413" s="13" t="s">
        <v>132</v>
      </c>
      <c r="Z413" s="13" t="s">
        <v>564</v>
      </c>
      <c r="AA413" s="13" t="s">
        <v>564</v>
      </c>
      <c r="AB413" s="13"/>
      <c r="AC413" s="13" t="s">
        <v>2269</v>
      </c>
      <c r="AD413" s="13"/>
      <c r="AE413" s="13"/>
      <c r="AF413" s="1"/>
      <c r="AG413" s="1"/>
      <c r="AH413" s="1"/>
      <c r="AI413" s="1"/>
      <c r="AJ413" s="1"/>
    </row>
    <row r="414" spans="1:36" x14ac:dyDescent="0.2">
      <c r="A414" s="5">
        <v>45627.431260219906</v>
      </c>
      <c r="B414" s="1" t="s">
        <v>1602</v>
      </c>
      <c r="C414" s="1"/>
      <c r="D414" s="1"/>
      <c r="E414" s="1" t="s">
        <v>493</v>
      </c>
      <c r="F414" s="1" t="s">
        <v>633</v>
      </c>
      <c r="G414" s="1" t="s">
        <v>2270</v>
      </c>
      <c r="H414" s="1">
        <v>21475549</v>
      </c>
      <c r="I414" s="1">
        <v>3245576702</v>
      </c>
      <c r="J414" s="1"/>
      <c r="K414" s="1"/>
      <c r="L414" s="1" t="s">
        <v>335</v>
      </c>
      <c r="M414" s="1"/>
      <c r="N414" s="1" t="s">
        <v>35</v>
      </c>
      <c r="O414" s="1" t="s">
        <v>2271</v>
      </c>
      <c r="P414" s="1"/>
      <c r="Q414" s="1"/>
      <c r="R414" s="1"/>
      <c r="S414" s="1"/>
      <c r="T414" s="1"/>
      <c r="U414" s="1" t="s">
        <v>132</v>
      </c>
      <c r="V414" s="1" t="s">
        <v>564</v>
      </c>
      <c r="W414" s="1" t="s">
        <v>2086</v>
      </c>
      <c r="X414" s="1" t="s">
        <v>564</v>
      </c>
      <c r="Y414" s="1" t="s">
        <v>132</v>
      </c>
      <c r="Z414" s="1" t="s">
        <v>564</v>
      </c>
      <c r="AA414" s="1" t="s">
        <v>564</v>
      </c>
      <c r="AB414" s="1"/>
      <c r="AC414" s="1" t="s">
        <v>2272</v>
      </c>
      <c r="AD414" s="1"/>
      <c r="AE414" s="1"/>
      <c r="AF414" s="1"/>
      <c r="AG414" s="1"/>
      <c r="AH414" s="1"/>
      <c r="AI414" s="1"/>
      <c r="AJ414" s="1"/>
    </row>
    <row r="415" spans="1:36" x14ac:dyDescent="0.2">
      <c r="A415" s="12">
        <v>45627.435035960647</v>
      </c>
      <c r="B415" s="13" t="s">
        <v>2273</v>
      </c>
      <c r="C415" s="13"/>
      <c r="D415" s="13"/>
      <c r="E415" s="13" t="s">
        <v>865</v>
      </c>
      <c r="F415" s="13" t="s">
        <v>2274</v>
      </c>
      <c r="G415" s="13" t="s">
        <v>2275</v>
      </c>
      <c r="H415" s="13">
        <v>70430061</v>
      </c>
      <c r="I415" s="13">
        <v>3205651992</v>
      </c>
      <c r="J415" s="13" t="s">
        <v>2276</v>
      </c>
      <c r="K415" s="13">
        <v>3113873726</v>
      </c>
      <c r="L415" s="13" t="s">
        <v>2059</v>
      </c>
      <c r="M415" s="13"/>
      <c r="N415" s="13" t="s">
        <v>35</v>
      </c>
      <c r="O415" s="13" t="s">
        <v>2277</v>
      </c>
      <c r="P415" s="13"/>
      <c r="Q415" s="13"/>
      <c r="R415" s="13"/>
      <c r="S415" s="13"/>
      <c r="T415" s="13"/>
      <c r="U415" s="13" t="s">
        <v>132</v>
      </c>
      <c r="V415" s="13" t="s">
        <v>564</v>
      </c>
      <c r="W415" s="13" t="s">
        <v>132</v>
      </c>
      <c r="X415" s="13" t="s">
        <v>564</v>
      </c>
      <c r="Y415" s="13" t="s">
        <v>132</v>
      </c>
      <c r="Z415" s="13" t="s">
        <v>564</v>
      </c>
      <c r="AA415" s="13" t="s">
        <v>564</v>
      </c>
      <c r="AB415" s="13"/>
      <c r="AC415" s="13"/>
      <c r="AD415" s="13"/>
      <c r="AE415" s="13"/>
      <c r="AF415" s="1"/>
      <c r="AG415" s="1"/>
      <c r="AH415" s="1"/>
      <c r="AI415" s="1"/>
      <c r="AJ415" s="1"/>
    </row>
    <row r="416" spans="1:36" x14ac:dyDescent="0.2">
      <c r="A416" s="5">
        <v>45627.438323958333</v>
      </c>
      <c r="B416" s="1" t="s">
        <v>1124</v>
      </c>
      <c r="C416" s="1"/>
      <c r="D416" s="1"/>
      <c r="E416" s="1" t="s">
        <v>493</v>
      </c>
      <c r="F416" s="1" t="s">
        <v>445</v>
      </c>
      <c r="G416" s="1" t="s">
        <v>2278</v>
      </c>
      <c r="H416" s="1">
        <v>1040509272</v>
      </c>
      <c r="I416" s="1">
        <v>3104682302</v>
      </c>
      <c r="J416" s="1" t="s">
        <v>2279</v>
      </c>
      <c r="K416" s="1">
        <v>3226622988</v>
      </c>
      <c r="L416" s="1" t="s">
        <v>2280</v>
      </c>
      <c r="M416" s="1"/>
      <c r="N416" s="1" t="s">
        <v>35</v>
      </c>
      <c r="O416" s="1" t="s">
        <v>2281</v>
      </c>
      <c r="P416" s="1"/>
      <c r="Q416" s="1"/>
      <c r="R416" s="1"/>
      <c r="S416" s="1"/>
      <c r="T416" s="1"/>
      <c r="U416" s="1" t="s">
        <v>132</v>
      </c>
      <c r="V416" s="1" t="s">
        <v>564</v>
      </c>
      <c r="W416" s="1" t="s">
        <v>132</v>
      </c>
      <c r="X416" s="1" t="s">
        <v>564</v>
      </c>
      <c r="Y416" s="1" t="s">
        <v>132</v>
      </c>
      <c r="Z416" s="1" t="s">
        <v>564</v>
      </c>
      <c r="AA416" s="1" t="s">
        <v>564</v>
      </c>
      <c r="AB416" s="1"/>
      <c r="AC416" s="1"/>
      <c r="AD416" s="1"/>
      <c r="AE416" s="1"/>
      <c r="AF416" s="1"/>
      <c r="AG416" s="1"/>
      <c r="AH416" s="1"/>
      <c r="AI416" s="1"/>
      <c r="AJ416" s="1"/>
    </row>
    <row r="417" spans="1:36" x14ac:dyDescent="0.2">
      <c r="A417" s="12">
        <v>45633.559918865736</v>
      </c>
      <c r="B417" s="13" t="s">
        <v>2282</v>
      </c>
      <c r="C417" s="13"/>
      <c r="D417" s="13"/>
      <c r="E417" s="13" t="s">
        <v>865</v>
      </c>
      <c r="F417" s="13" t="s">
        <v>1180</v>
      </c>
      <c r="G417" s="13" t="s">
        <v>2283</v>
      </c>
      <c r="H417" s="13" t="s">
        <v>2284</v>
      </c>
      <c r="I417" s="13">
        <v>3017828892</v>
      </c>
      <c r="J417" s="13"/>
      <c r="K417" s="13"/>
      <c r="L417" s="13" t="s">
        <v>2285</v>
      </c>
      <c r="M417" s="13"/>
      <c r="N417" s="13" t="s">
        <v>132</v>
      </c>
      <c r="O417" s="13" t="s">
        <v>422</v>
      </c>
      <c r="P417" s="13"/>
      <c r="Q417" s="13"/>
      <c r="R417" s="13"/>
      <c r="S417" s="13"/>
      <c r="T417" s="13"/>
      <c r="U417" s="13" t="s">
        <v>132</v>
      </c>
      <c r="V417" s="13" t="s">
        <v>564</v>
      </c>
      <c r="W417" s="13" t="s">
        <v>132</v>
      </c>
      <c r="X417" s="13" t="s">
        <v>132</v>
      </c>
      <c r="Y417" s="13" t="s">
        <v>132</v>
      </c>
      <c r="Z417" s="13" t="s">
        <v>132</v>
      </c>
      <c r="AA417" s="13" t="s">
        <v>132</v>
      </c>
      <c r="AB417" s="13"/>
      <c r="AC417" s="13"/>
      <c r="AD417" s="13"/>
      <c r="AE417" s="13"/>
      <c r="AF417" s="1"/>
      <c r="AG417" s="1"/>
      <c r="AH417" s="1"/>
      <c r="AI417" s="1"/>
      <c r="AJ417" s="1"/>
    </row>
    <row r="418" spans="1:36" x14ac:dyDescent="0.2">
      <c r="A418" s="12">
        <v>45633.582619374996</v>
      </c>
      <c r="B418" s="13" t="s">
        <v>2286</v>
      </c>
      <c r="C418" s="13"/>
      <c r="D418" s="13"/>
      <c r="E418" s="13" t="s">
        <v>865</v>
      </c>
      <c r="F418" s="13" t="s">
        <v>2287</v>
      </c>
      <c r="G418" s="13" t="s">
        <v>2288</v>
      </c>
      <c r="H418" s="13">
        <v>15371108</v>
      </c>
      <c r="I418" s="13">
        <v>3135211836</v>
      </c>
      <c r="J418" s="13" t="s">
        <v>2289</v>
      </c>
      <c r="K418" s="13">
        <v>3136610228</v>
      </c>
      <c r="L418" s="13" t="s">
        <v>2290</v>
      </c>
      <c r="M418" s="13"/>
      <c r="N418" s="13" t="s">
        <v>35</v>
      </c>
      <c r="O418" s="13" t="s">
        <v>2291</v>
      </c>
      <c r="P418" s="13"/>
      <c r="Q418" s="13"/>
      <c r="R418" s="13"/>
      <c r="S418" s="13"/>
      <c r="T418" s="13"/>
      <c r="U418" s="13" t="s">
        <v>132</v>
      </c>
      <c r="V418" s="13" t="s">
        <v>564</v>
      </c>
      <c r="W418" s="13" t="s">
        <v>2107</v>
      </c>
      <c r="X418" s="13" t="s">
        <v>564</v>
      </c>
      <c r="Y418" s="13" t="s">
        <v>132</v>
      </c>
      <c r="Z418" s="13" t="s">
        <v>564</v>
      </c>
      <c r="AA418" s="13" t="s">
        <v>564</v>
      </c>
      <c r="AB418" s="13"/>
      <c r="AC418" s="13" t="s">
        <v>2292</v>
      </c>
      <c r="AD418" s="13"/>
      <c r="AE418" s="13"/>
      <c r="AF418" s="1"/>
      <c r="AG418" s="1"/>
      <c r="AH418" s="1"/>
      <c r="AI418" s="1"/>
      <c r="AJ418" s="1"/>
    </row>
    <row r="419" spans="1:36" x14ac:dyDescent="0.2">
      <c r="A419" s="12">
        <v>45664.582496481482</v>
      </c>
      <c r="B419" s="13" t="s">
        <v>2293</v>
      </c>
      <c r="C419" s="13"/>
      <c r="D419" s="13"/>
      <c r="E419" s="13" t="s">
        <v>865</v>
      </c>
      <c r="F419" s="13" t="s">
        <v>1911</v>
      </c>
      <c r="G419" s="13" t="s">
        <v>2294</v>
      </c>
      <c r="H419" s="13">
        <v>43573612</v>
      </c>
      <c r="I419" s="13">
        <v>3175348513</v>
      </c>
      <c r="J419" s="13" t="s">
        <v>2295</v>
      </c>
      <c r="K419" s="13">
        <v>3225392895</v>
      </c>
      <c r="L419" s="13">
        <v>20</v>
      </c>
      <c r="M419" s="13"/>
      <c r="N419" s="13" t="s">
        <v>35</v>
      </c>
      <c r="O419" s="13" t="s">
        <v>2296</v>
      </c>
      <c r="P419" s="13"/>
      <c r="Q419" s="13"/>
      <c r="R419" s="13"/>
      <c r="S419" s="13"/>
      <c r="T419" s="13"/>
      <c r="U419" s="13" t="s">
        <v>132</v>
      </c>
      <c r="V419" s="13" t="s">
        <v>564</v>
      </c>
      <c r="W419" s="13" t="s">
        <v>2086</v>
      </c>
      <c r="X419" s="13" t="s">
        <v>564</v>
      </c>
      <c r="Y419" s="13" t="s">
        <v>132</v>
      </c>
      <c r="Z419" s="13" t="s">
        <v>564</v>
      </c>
      <c r="AA419" s="13" t="s">
        <v>132</v>
      </c>
      <c r="AB419" s="13"/>
      <c r="AC419" s="13"/>
      <c r="AD419" s="13"/>
      <c r="AE419" s="13"/>
      <c r="AF419" s="1"/>
      <c r="AG419" s="1"/>
      <c r="AH419" s="1"/>
      <c r="AI419" s="1"/>
      <c r="AJ419" s="1"/>
    </row>
    <row r="420" spans="1:36" x14ac:dyDescent="0.2">
      <c r="A420" s="5">
        <v>45682.380712222221</v>
      </c>
      <c r="B420" s="1" t="s">
        <v>2282</v>
      </c>
      <c r="C420" s="1"/>
      <c r="D420" s="1"/>
      <c r="E420" s="1" t="s">
        <v>493</v>
      </c>
      <c r="F420" s="1" t="s">
        <v>2297</v>
      </c>
      <c r="G420" s="1" t="s">
        <v>2298</v>
      </c>
      <c r="H420" s="1">
        <v>1037473479</v>
      </c>
      <c r="I420" s="1">
        <v>3215149335</v>
      </c>
      <c r="J420" s="1">
        <v>3127173657</v>
      </c>
      <c r="K420" s="1"/>
      <c r="L420" s="1">
        <v>10</v>
      </c>
      <c r="M420" s="1"/>
      <c r="N420" s="1" t="s">
        <v>35</v>
      </c>
      <c r="O420" s="1" t="s">
        <v>2299</v>
      </c>
      <c r="P420" s="1"/>
      <c r="Q420" s="1"/>
      <c r="R420" s="1"/>
      <c r="S420" s="1"/>
      <c r="T420" s="1"/>
      <c r="U420" s="1" t="s">
        <v>132</v>
      </c>
      <c r="V420" s="1" t="s">
        <v>564</v>
      </c>
      <c r="W420" s="1" t="s">
        <v>2086</v>
      </c>
      <c r="X420" s="1" t="s">
        <v>564</v>
      </c>
      <c r="Y420" s="1" t="s">
        <v>564</v>
      </c>
      <c r="Z420" s="1" t="s">
        <v>132</v>
      </c>
      <c r="AA420" s="1" t="s">
        <v>132</v>
      </c>
      <c r="AB420" s="1"/>
      <c r="AC420" s="1"/>
      <c r="AD420" s="1"/>
      <c r="AE420" s="1"/>
      <c r="AF420" s="1"/>
      <c r="AG420" s="1"/>
      <c r="AH420" s="1"/>
      <c r="AI420" s="1"/>
      <c r="AJ420" s="1"/>
    </row>
    <row r="421" spans="1:36" x14ac:dyDescent="0.2">
      <c r="A421" s="5">
        <v>45682.38073164352</v>
      </c>
      <c r="B421" s="1" t="s">
        <v>1507</v>
      </c>
      <c r="C421" s="1"/>
      <c r="D421" s="1"/>
      <c r="E421" s="1" t="s">
        <v>493</v>
      </c>
      <c r="F421" s="1" t="s">
        <v>2300</v>
      </c>
      <c r="G421" s="1" t="s">
        <v>2301</v>
      </c>
      <c r="H421" s="1">
        <v>43323675</v>
      </c>
      <c r="I421" s="1">
        <v>3218782049</v>
      </c>
      <c r="J421" s="1" t="s">
        <v>2302</v>
      </c>
      <c r="K421" s="1">
        <v>3106343071</v>
      </c>
      <c r="L421" s="1" t="s">
        <v>696</v>
      </c>
      <c r="M421" s="1"/>
      <c r="N421" s="1" t="s">
        <v>35</v>
      </c>
      <c r="O421" s="1" t="s">
        <v>2091</v>
      </c>
      <c r="P421" s="1"/>
      <c r="Q421" s="1"/>
      <c r="R421" s="1"/>
      <c r="S421" s="1"/>
      <c r="T421" s="1"/>
      <c r="U421" s="1" t="s">
        <v>132</v>
      </c>
      <c r="V421" s="1" t="s">
        <v>564</v>
      </c>
      <c r="W421" s="1" t="s">
        <v>2107</v>
      </c>
      <c r="X421" s="1" t="s">
        <v>564</v>
      </c>
      <c r="Y421" s="1" t="s">
        <v>564</v>
      </c>
      <c r="Z421" s="1" t="s">
        <v>132</v>
      </c>
      <c r="AA421" s="1" t="s">
        <v>564</v>
      </c>
      <c r="AB421" s="1"/>
      <c r="AC421" s="1" t="s">
        <v>2303</v>
      </c>
      <c r="AD421" s="1"/>
      <c r="AE421" s="1"/>
      <c r="AF421" s="1"/>
      <c r="AG421" s="1"/>
      <c r="AH421" s="1"/>
      <c r="AI421" s="1"/>
      <c r="AJ421" s="1"/>
    </row>
    <row r="422" spans="1:36" x14ac:dyDescent="0.2">
      <c r="A422" s="5">
        <v>45682.39325228009</v>
      </c>
      <c r="B422" s="1" t="s">
        <v>226</v>
      </c>
      <c r="C422" s="1"/>
      <c r="D422" s="1"/>
      <c r="E422" s="1" t="s">
        <v>493</v>
      </c>
      <c r="F422" s="1" t="s">
        <v>2304</v>
      </c>
      <c r="G422" s="1" t="s">
        <v>2305</v>
      </c>
      <c r="H422" s="1">
        <v>43261600</v>
      </c>
      <c r="I422" s="1">
        <v>3166581613</v>
      </c>
      <c r="J422" s="1" t="s">
        <v>2306</v>
      </c>
      <c r="K422" s="1">
        <v>3007155750</v>
      </c>
      <c r="L422" s="1" t="s">
        <v>84</v>
      </c>
      <c r="M422" s="1"/>
      <c r="N422" s="1" t="s">
        <v>35</v>
      </c>
      <c r="O422" s="1" t="s">
        <v>2148</v>
      </c>
      <c r="P422" s="1"/>
      <c r="Q422" s="1"/>
      <c r="R422" s="1"/>
      <c r="S422" s="1"/>
      <c r="T422" s="1"/>
      <c r="U422" s="1" t="s">
        <v>132</v>
      </c>
      <c r="V422" s="1" t="s">
        <v>564</v>
      </c>
      <c r="W422" s="1" t="s">
        <v>132</v>
      </c>
      <c r="X422" s="1" t="s">
        <v>564</v>
      </c>
      <c r="Y422" s="1" t="s">
        <v>564</v>
      </c>
      <c r="Z422" s="1" t="s">
        <v>132</v>
      </c>
      <c r="AA422" s="1" t="s">
        <v>132</v>
      </c>
      <c r="AB422" s="1"/>
      <c r="AC422" s="1" t="s">
        <v>2307</v>
      </c>
      <c r="AD422" s="1"/>
      <c r="AE422" s="1"/>
      <c r="AF422" s="1"/>
      <c r="AG422" s="1"/>
      <c r="AH422" s="1"/>
      <c r="AI422" s="1"/>
      <c r="AJ422" s="1"/>
    </row>
    <row r="423" spans="1:36" x14ac:dyDescent="0.2">
      <c r="A423" s="5">
        <v>45682.39929523148</v>
      </c>
      <c r="B423" s="1" t="s">
        <v>226</v>
      </c>
      <c r="C423" s="1"/>
      <c r="D423" s="1"/>
      <c r="E423" s="1" t="s">
        <v>493</v>
      </c>
      <c r="F423" s="1" t="s">
        <v>2308</v>
      </c>
      <c r="G423" s="1" t="s">
        <v>2309</v>
      </c>
      <c r="H423" s="1">
        <v>1028016427</v>
      </c>
      <c r="I423" s="1">
        <v>3105335674</v>
      </c>
      <c r="J423" s="1" t="s">
        <v>2310</v>
      </c>
      <c r="K423" s="1">
        <v>3135755088</v>
      </c>
      <c r="L423" s="1" t="s">
        <v>299</v>
      </c>
      <c r="M423" s="1"/>
      <c r="N423" s="1" t="s">
        <v>35</v>
      </c>
      <c r="O423" s="1" t="s">
        <v>2271</v>
      </c>
      <c r="P423" s="1"/>
      <c r="Q423" s="1"/>
      <c r="R423" s="1"/>
      <c r="S423" s="1"/>
      <c r="T423" s="1"/>
      <c r="U423" s="1" t="s">
        <v>132</v>
      </c>
      <c r="V423" s="1" t="s">
        <v>564</v>
      </c>
      <c r="W423" s="1" t="s">
        <v>132</v>
      </c>
      <c r="X423" s="1" t="s">
        <v>564</v>
      </c>
      <c r="Y423" s="1" t="s">
        <v>564</v>
      </c>
      <c r="Z423" s="1" t="s">
        <v>132</v>
      </c>
      <c r="AA423" s="1" t="s">
        <v>132</v>
      </c>
      <c r="AB423" s="1"/>
      <c r="AC423" s="1" t="s">
        <v>2311</v>
      </c>
      <c r="AD423" s="1"/>
      <c r="AE423" s="1"/>
      <c r="AF423" s="1"/>
      <c r="AG423" s="1"/>
      <c r="AH423" s="1"/>
      <c r="AI423" s="1"/>
      <c r="AJ423" s="1"/>
    </row>
    <row r="424" spans="1:36" x14ac:dyDescent="0.2">
      <c r="A424" s="5">
        <v>45682.399487592593</v>
      </c>
      <c r="B424" s="1" t="s">
        <v>1597</v>
      </c>
      <c r="C424" s="1"/>
      <c r="D424" s="1"/>
      <c r="E424" s="1" t="s">
        <v>493</v>
      </c>
      <c r="F424" s="1" t="s">
        <v>2312</v>
      </c>
      <c r="G424" s="1" t="s">
        <v>2313</v>
      </c>
      <c r="H424" s="1">
        <v>1063284124</v>
      </c>
      <c r="I424" s="1">
        <v>3026046083</v>
      </c>
      <c r="J424" s="1" t="s">
        <v>2314</v>
      </c>
      <c r="K424" s="1">
        <v>3166667987</v>
      </c>
      <c r="L424" s="1" t="s">
        <v>784</v>
      </c>
      <c r="M424" s="1"/>
      <c r="N424" s="1" t="s">
        <v>35</v>
      </c>
      <c r="O424" s="1" t="s">
        <v>2315</v>
      </c>
      <c r="P424" s="1"/>
      <c r="Q424" s="1"/>
      <c r="R424" s="1"/>
      <c r="S424" s="1"/>
      <c r="T424" s="1"/>
      <c r="U424" s="1" t="s">
        <v>564</v>
      </c>
      <c r="V424" s="1" t="s">
        <v>564</v>
      </c>
      <c r="W424" s="1" t="s">
        <v>2107</v>
      </c>
      <c r="X424" s="1" t="s">
        <v>564</v>
      </c>
      <c r="Y424" s="1" t="s">
        <v>132</v>
      </c>
      <c r="Z424" s="1" t="s">
        <v>564</v>
      </c>
      <c r="AA424" s="1" t="s">
        <v>564</v>
      </c>
      <c r="AB424" s="1"/>
      <c r="AC424" s="1" t="s">
        <v>2316</v>
      </c>
      <c r="AD424" s="1"/>
      <c r="AE424" s="1"/>
      <c r="AF424" s="1"/>
      <c r="AG424" s="1"/>
      <c r="AH424" s="1"/>
      <c r="AI424" s="1"/>
      <c r="AJ424" s="1"/>
    </row>
    <row r="425" spans="1:36" x14ac:dyDescent="0.2">
      <c r="A425" s="5">
        <v>45682.407382349542</v>
      </c>
      <c r="B425" s="1" t="s">
        <v>226</v>
      </c>
      <c r="C425" s="1"/>
      <c r="D425" s="1"/>
      <c r="E425" s="1" t="s">
        <v>493</v>
      </c>
      <c r="F425" s="1" t="s">
        <v>2308</v>
      </c>
      <c r="G425" s="1" t="s">
        <v>2317</v>
      </c>
      <c r="H425" s="1">
        <v>20196344</v>
      </c>
      <c r="I425" s="1">
        <v>3146774285</v>
      </c>
      <c r="J425" s="1" t="s">
        <v>2318</v>
      </c>
      <c r="K425" s="1">
        <v>3233781212</v>
      </c>
      <c r="L425" s="1" t="s">
        <v>659</v>
      </c>
      <c r="M425" s="1"/>
      <c r="N425" s="1" t="s">
        <v>132</v>
      </c>
      <c r="O425" s="10" t="s">
        <v>600</v>
      </c>
      <c r="P425" s="1"/>
      <c r="Q425" s="1"/>
      <c r="R425" s="1"/>
      <c r="S425" s="1"/>
      <c r="T425" s="1"/>
      <c r="U425" s="1" t="s">
        <v>132</v>
      </c>
      <c r="V425" s="1" t="s">
        <v>564</v>
      </c>
      <c r="W425" s="1" t="s">
        <v>2086</v>
      </c>
      <c r="X425" s="1" t="s">
        <v>132</v>
      </c>
      <c r="Y425" s="1" t="s">
        <v>564</v>
      </c>
      <c r="Z425" s="1" t="s">
        <v>132</v>
      </c>
      <c r="AA425" s="1" t="s">
        <v>132</v>
      </c>
      <c r="AB425" s="1"/>
      <c r="AC425" s="1" t="s">
        <v>2319</v>
      </c>
      <c r="AD425" s="1"/>
      <c r="AE425" s="1"/>
      <c r="AF425" s="1"/>
      <c r="AG425" s="1"/>
      <c r="AH425" s="1"/>
      <c r="AI425" s="1"/>
      <c r="AJ425" s="1"/>
    </row>
    <row r="426" spans="1:36" x14ac:dyDescent="0.2">
      <c r="A426" s="5">
        <v>45682.410837210649</v>
      </c>
      <c r="B426" s="1" t="s">
        <v>1597</v>
      </c>
      <c r="C426" s="1"/>
      <c r="D426" s="1"/>
      <c r="E426" s="1" t="s">
        <v>493</v>
      </c>
      <c r="F426" s="1" t="s">
        <v>2320</v>
      </c>
      <c r="G426" s="1" t="s">
        <v>2321</v>
      </c>
      <c r="H426" s="1">
        <v>39280868</v>
      </c>
      <c r="I426" s="1">
        <v>3001220157</v>
      </c>
      <c r="J426" s="1" t="s">
        <v>2322</v>
      </c>
      <c r="K426" s="1">
        <v>3053337348</v>
      </c>
      <c r="L426" s="1" t="s">
        <v>696</v>
      </c>
      <c r="M426" s="1"/>
      <c r="N426" s="1" t="s">
        <v>35</v>
      </c>
      <c r="O426" s="1" t="s">
        <v>2323</v>
      </c>
      <c r="P426" s="1"/>
      <c r="Q426" s="1"/>
      <c r="R426" s="1"/>
      <c r="S426" s="1"/>
      <c r="T426" s="1"/>
      <c r="U426" s="1" t="s">
        <v>564</v>
      </c>
      <c r="V426" s="1" t="s">
        <v>564</v>
      </c>
      <c r="W426" s="1" t="s">
        <v>2107</v>
      </c>
      <c r="X426" s="1" t="s">
        <v>132</v>
      </c>
      <c r="Y426" s="1" t="s">
        <v>564</v>
      </c>
      <c r="Z426" s="1" t="s">
        <v>564</v>
      </c>
      <c r="AA426" s="1" t="s">
        <v>564</v>
      </c>
      <c r="AB426" s="1"/>
      <c r="AC426" s="1" t="s">
        <v>2324</v>
      </c>
      <c r="AD426" s="1"/>
      <c r="AE426" s="1"/>
      <c r="AF426" s="1"/>
      <c r="AG426" s="1"/>
      <c r="AH426" s="1"/>
      <c r="AI426" s="1"/>
      <c r="AJ426" s="1"/>
    </row>
    <row r="427" spans="1:36" x14ac:dyDescent="0.2">
      <c r="A427" s="12">
        <v>45710.48664018519</v>
      </c>
      <c r="B427" s="13" t="s">
        <v>1602</v>
      </c>
      <c r="C427" s="13"/>
      <c r="D427" s="13"/>
      <c r="E427" s="13" t="s">
        <v>865</v>
      </c>
      <c r="F427" s="13" t="s">
        <v>1495</v>
      </c>
      <c r="G427" s="13" t="s">
        <v>2325</v>
      </c>
      <c r="H427" s="13">
        <v>35603671</v>
      </c>
      <c r="I427" s="13">
        <v>3102209488</v>
      </c>
      <c r="J427" s="13" t="s">
        <v>2326</v>
      </c>
      <c r="K427" s="13">
        <v>3135688612</v>
      </c>
      <c r="L427" s="13" t="s">
        <v>194</v>
      </c>
      <c r="M427" s="13"/>
      <c r="N427" s="13" t="s">
        <v>35</v>
      </c>
      <c r="O427" s="13" t="s">
        <v>2271</v>
      </c>
      <c r="P427" s="13"/>
      <c r="Q427" s="13"/>
      <c r="R427" s="13"/>
      <c r="S427" s="13"/>
      <c r="T427" s="13"/>
      <c r="U427" s="13" t="s">
        <v>132</v>
      </c>
      <c r="V427" s="13" t="s">
        <v>564</v>
      </c>
      <c r="W427" s="13" t="s">
        <v>2107</v>
      </c>
      <c r="X427" s="13" t="s">
        <v>564</v>
      </c>
      <c r="Y427" s="13" t="s">
        <v>564</v>
      </c>
      <c r="Z427" s="13" t="s">
        <v>564</v>
      </c>
      <c r="AA427" s="13" t="s">
        <v>564</v>
      </c>
      <c r="AB427" s="13"/>
      <c r="AC427" s="13" t="s">
        <v>2327</v>
      </c>
      <c r="AD427" s="13"/>
      <c r="AE427" s="13"/>
      <c r="AF427" s="1"/>
      <c r="AG427" s="1"/>
      <c r="AH427" s="1"/>
      <c r="AI427" s="1"/>
      <c r="AJ427" s="1"/>
    </row>
    <row r="428" spans="1:36" x14ac:dyDescent="0.2">
      <c r="A428" s="12">
        <v>45710.487190115746</v>
      </c>
      <c r="B428" s="13" t="s">
        <v>1852</v>
      </c>
      <c r="C428" s="13"/>
      <c r="D428" s="13"/>
      <c r="E428" s="13" t="s">
        <v>865</v>
      </c>
      <c r="F428" s="13" t="s">
        <v>1911</v>
      </c>
      <c r="G428" s="13" t="s">
        <v>2328</v>
      </c>
      <c r="H428" s="13">
        <v>42765402</v>
      </c>
      <c r="I428" s="13">
        <v>3044342547</v>
      </c>
      <c r="J428" s="13" t="s">
        <v>2329</v>
      </c>
      <c r="K428" s="13">
        <v>3233418250</v>
      </c>
      <c r="L428" s="13" t="s">
        <v>315</v>
      </c>
      <c r="M428" s="13"/>
      <c r="N428" s="13" t="s">
        <v>35</v>
      </c>
      <c r="O428" s="13" t="s">
        <v>2330</v>
      </c>
      <c r="P428" s="13"/>
      <c r="Q428" s="13"/>
      <c r="R428" s="13"/>
      <c r="S428" s="13"/>
      <c r="T428" s="13"/>
      <c r="U428" s="13" t="s">
        <v>132</v>
      </c>
      <c r="V428" s="13" t="s">
        <v>564</v>
      </c>
      <c r="W428" s="13" t="s">
        <v>132</v>
      </c>
      <c r="X428" s="13" t="s">
        <v>564</v>
      </c>
      <c r="Y428" s="13" t="s">
        <v>132</v>
      </c>
      <c r="Z428" s="13" t="s">
        <v>564</v>
      </c>
      <c r="AA428" s="13" t="s">
        <v>564</v>
      </c>
      <c r="AB428" s="13"/>
      <c r="AC428" s="13" t="s">
        <v>2331</v>
      </c>
      <c r="AD428" s="13"/>
      <c r="AE428" s="13"/>
      <c r="AF428" s="1"/>
      <c r="AG428" s="1"/>
      <c r="AH428" s="1"/>
      <c r="AI428" s="1"/>
      <c r="AJ428" s="1"/>
    </row>
    <row r="429" spans="1:36" x14ac:dyDescent="0.2">
      <c r="A429" s="12">
        <v>45710.489041828703</v>
      </c>
      <c r="B429" s="13" t="s">
        <v>1602</v>
      </c>
      <c r="C429" s="13"/>
      <c r="D429" s="13"/>
      <c r="E429" s="13" t="s">
        <v>865</v>
      </c>
      <c r="F429" s="13" t="s">
        <v>1911</v>
      </c>
      <c r="G429" s="13" t="s">
        <v>2332</v>
      </c>
      <c r="H429" s="13">
        <v>1000884033</v>
      </c>
      <c r="I429" s="13">
        <v>3126700385</v>
      </c>
      <c r="J429" s="13" t="s">
        <v>2333</v>
      </c>
      <c r="K429" s="13">
        <v>3148150173</v>
      </c>
      <c r="L429" s="13" t="s">
        <v>2334</v>
      </c>
      <c r="M429" s="13"/>
      <c r="N429" s="13" t="s">
        <v>35</v>
      </c>
      <c r="O429" s="13" t="s">
        <v>2271</v>
      </c>
      <c r="P429" s="13"/>
      <c r="Q429" s="13"/>
      <c r="R429" s="13"/>
      <c r="S429" s="13"/>
      <c r="T429" s="13"/>
      <c r="U429" s="13" t="s">
        <v>132</v>
      </c>
      <c r="V429" s="13" t="s">
        <v>564</v>
      </c>
      <c r="W429" s="13" t="s">
        <v>2086</v>
      </c>
      <c r="X429" s="13" t="s">
        <v>564</v>
      </c>
      <c r="Y429" s="13" t="s">
        <v>564</v>
      </c>
      <c r="Z429" s="13" t="s">
        <v>564</v>
      </c>
      <c r="AA429" s="13" t="s">
        <v>564</v>
      </c>
      <c r="AB429" s="13"/>
      <c r="AC429" s="13" t="s">
        <v>2335</v>
      </c>
      <c r="AD429" s="13"/>
      <c r="AE429" s="13"/>
      <c r="AF429" s="1"/>
      <c r="AG429" s="1"/>
      <c r="AH429" s="1"/>
      <c r="AI429" s="1"/>
      <c r="AJ429" s="1"/>
    </row>
    <row r="430" spans="1:36" x14ac:dyDescent="0.2">
      <c r="A430" s="12">
        <v>45710.490598530094</v>
      </c>
      <c r="B430" s="13" t="s">
        <v>1864</v>
      </c>
      <c r="C430" s="13"/>
      <c r="D430" s="13"/>
      <c r="E430" s="13" t="s">
        <v>865</v>
      </c>
      <c r="F430" s="13" t="s">
        <v>1180</v>
      </c>
      <c r="G430" s="13" t="s">
        <v>2336</v>
      </c>
      <c r="H430" s="13">
        <v>43075791</v>
      </c>
      <c r="I430" s="13">
        <v>3136610228</v>
      </c>
      <c r="J430" s="13" t="s">
        <v>2337</v>
      </c>
      <c r="K430" s="13">
        <v>3155383884</v>
      </c>
      <c r="L430" s="13" t="s">
        <v>180</v>
      </c>
      <c r="M430" s="13"/>
      <c r="N430" s="13" t="s">
        <v>35</v>
      </c>
      <c r="O430" s="13" t="s">
        <v>2338</v>
      </c>
      <c r="P430" s="13"/>
      <c r="Q430" s="13"/>
      <c r="R430" s="13"/>
      <c r="S430" s="13"/>
      <c r="T430" s="13"/>
      <c r="U430" s="13" t="s">
        <v>132</v>
      </c>
      <c r="V430" s="13" t="s">
        <v>564</v>
      </c>
      <c r="W430" s="13" t="s">
        <v>2107</v>
      </c>
      <c r="X430" s="13" t="s">
        <v>132</v>
      </c>
      <c r="Y430" s="13" t="s">
        <v>132</v>
      </c>
      <c r="Z430" s="13" t="s">
        <v>564</v>
      </c>
      <c r="AA430" s="13" t="s">
        <v>564</v>
      </c>
      <c r="AB430" s="13"/>
      <c r="AC430" s="13" t="s">
        <v>2331</v>
      </c>
      <c r="AD430" s="13"/>
      <c r="AE430" s="13"/>
      <c r="AF430" s="1"/>
      <c r="AG430" s="1"/>
      <c r="AH430" s="1"/>
      <c r="AI430" s="1"/>
      <c r="AJ430" s="1"/>
    </row>
    <row r="431" spans="1:36" x14ac:dyDescent="0.2">
      <c r="A431" s="12">
        <v>45710.491942824076</v>
      </c>
      <c r="B431" s="13" t="s">
        <v>1602</v>
      </c>
      <c r="C431" s="13"/>
      <c r="D431" s="13"/>
      <c r="E431" s="13" t="s">
        <v>865</v>
      </c>
      <c r="F431" s="13" t="s">
        <v>1180</v>
      </c>
      <c r="G431" s="13" t="s">
        <v>2339</v>
      </c>
      <c r="H431" s="13">
        <v>1013456752</v>
      </c>
      <c r="I431" s="13">
        <v>3145751382</v>
      </c>
      <c r="J431" s="13" t="s">
        <v>2340</v>
      </c>
      <c r="K431" s="13">
        <v>3246626617</v>
      </c>
      <c r="L431" s="13" t="s">
        <v>180</v>
      </c>
      <c r="M431" s="13"/>
      <c r="N431" s="13" t="s">
        <v>35</v>
      </c>
      <c r="O431" s="13" t="s">
        <v>2341</v>
      </c>
      <c r="P431" s="13"/>
      <c r="Q431" s="13"/>
      <c r="R431" s="13"/>
      <c r="S431" s="13"/>
      <c r="T431" s="13"/>
      <c r="U431" s="13" t="s">
        <v>564</v>
      </c>
      <c r="V431" s="13" t="s">
        <v>564</v>
      </c>
      <c r="W431" s="13" t="s">
        <v>2086</v>
      </c>
      <c r="X431" s="13" t="s">
        <v>564</v>
      </c>
      <c r="Y431" s="13" t="s">
        <v>564</v>
      </c>
      <c r="Z431" s="13" t="s">
        <v>564</v>
      </c>
      <c r="AA431" s="13" t="s">
        <v>564</v>
      </c>
      <c r="AB431" s="13"/>
      <c r="AC431" s="13" t="s">
        <v>2342</v>
      </c>
      <c r="AD431" s="13"/>
      <c r="AE431" s="13"/>
      <c r="AF431" s="1"/>
      <c r="AG431" s="1"/>
      <c r="AH431" s="1"/>
      <c r="AI431" s="1"/>
      <c r="AJ431" s="1"/>
    </row>
    <row r="432" spans="1:36" x14ac:dyDescent="0.2">
      <c r="A432" s="12">
        <v>45710.493127604168</v>
      </c>
      <c r="B432" s="13" t="s">
        <v>2144</v>
      </c>
      <c r="C432" s="13"/>
      <c r="D432" s="13"/>
      <c r="E432" s="13" t="s">
        <v>865</v>
      </c>
      <c r="F432" s="13" t="s">
        <v>1911</v>
      </c>
      <c r="G432" s="13" t="s">
        <v>2343</v>
      </c>
      <c r="H432" s="13">
        <v>43920604</v>
      </c>
      <c r="I432" s="13">
        <v>3246493244</v>
      </c>
      <c r="J432" s="13" t="s">
        <v>2344</v>
      </c>
      <c r="K432" s="13">
        <v>3117329704</v>
      </c>
      <c r="L432" s="13" t="s">
        <v>214</v>
      </c>
      <c r="M432" s="13"/>
      <c r="N432" s="13" t="s">
        <v>35</v>
      </c>
      <c r="O432" s="13" t="s">
        <v>2345</v>
      </c>
      <c r="P432" s="13"/>
      <c r="Q432" s="13"/>
      <c r="R432" s="13"/>
      <c r="S432" s="13"/>
      <c r="T432" s="13"/>
      <c r="U432" s="13" t="s">
        <v>132</v>
      </c>
      <c r="V432" s="13" t="s">
        <v>564</v>
      </c>
      <c r="W432" s="13" t="s">
        <v>132</v>
      </c>
      <c r="X432" s="13" t="s">
        <v>564</v>
      </c>
      <c r="Y432" s="13" t="s">
        <v>132</v>
      </c>
      <c r="Z432" s="13" t="s">
        <v>564</v>
      </c>
      <c r="AA432" s="13" t="s">
        <v>564</v>
      </c>
      <c r="AB432" s="13"/>
      <c r="AC432" s="13" t="s">
        <v>2346</v>
      </c>
      <c r="AD432" s="13"/>
      <c r="AE432" s="13"/>
      <c r="AF432" s="1"/>
      <c r="AG432" s="1"/>
      <c r="AH432" s="1"/>
      <c r="AI432" s="1"/>
      <c r="AJ432" s="1"/>
    </row>
    <row r="433" spans="1:36" x14ac:dyDescent="0.2">
      <c r="A433" s="12">
        <v>45710.493209907407</v>
      </c>
      <c r="B433" s="13" t="s">
        <v>2347</v>
      </c>
      <c r="C433" s="13"/>
      <c r="D433" s="13"/>
      <c r="E433" s="13" t="s">
        <v>865</v>
      </c>
      <c r="F433" s="13" t="s">
        <v>1911</v>
      </c>
      <c r="G433" s="13" t="s">
        <v>2348</v>
      </c>
      <c r="H433" s="13">
        <v>1073320944</v>
      </c>
      <c r="I433" s="13">
        <v>3244772618</v>
      </c>
      <c r="J433" s="13"/>
      <c r="K433" s="13"/>
      <c r="L433" s="13">
        <v>7</v>
      </c>
      <c r="M433" s="13"/>
      <c r="N433" s="13" t="s">
        <v>35</v>
      </c>
      <c r="O433" s="13" t="s">
        <v>2349</v>
      </c>
      <c r="P433" s="13"/>
      <c r="Q433" s="13"/>
      <c r="R433" s="13"/>
      <c r="S433" s="13"/>
      <c r="T433" s="13"/>
      <c r="U433" s="13" t="s">
        <v>132</v>
      </c>
      <c r="V433" s="13" t="s">
        <v>564</v>
      </c>
      <c r="W433" s="13" t="s">
        <v>132</v>
      </c>
      <c r="X433" s="13" t="s">
        <v>564</v>
      </c>
      <c r="Y433" s="13" t="s">
        <v>132</v>
      </c>
      <c r="Z433" s="13" t="s">
        <v>564</v>
      </c>
      <c r="AA433" s="13" t="s">
        <v>564</v>
      </c>
      <c r="AB433" s="13"/>
      <c r="AC433" s="13"/>
      <c r="AD433" s="13"/>
      <c r="AE433" s="13"/>
      <c r="AF433" s="1"/>
      <c r="AG433" s="1"/>
      <c r="AH433" s="1"/>
      <c r="AI433" s="1"/>
      <c r="AJ433" s="1"/>
    </row>
    <row r="434" spans="1:36" x14ac:dyDescent="0.2">
      <c r="A434" s="12">
        <v>45710.494733692132</v>
      </c>
      <c r="B434" s="13" t="s">
        <v>2347</v>
      </c>
      <c r="C434" s="13"/>
      <c r="D434" s="13"/>
      <c r="E434" s="13" t="s">
        <v>865</v>
      </c>
      <c r="F434" s="13" t="s">
        <v>1911</v>
      </c>
      <c r="G434" s="13" t="s">
        <v>2350</v>
      </c>
      <c r="H434" s="13">
        <v>43140973</v>
      </c>
      <c r="I434" s="13">
        <v>3128269336</v>
      </c>
      <c r="J434" s="13"/>
      <c r="K434" s="13"/>
      <c r="L434" s="13">
        <v>7</v>
      </c>
      <c r="M434" s="13"/>
      <c r="N434" s="13" t="s">
        <v>35</v>
      </c>
      <c r="O434" s="13" t="s">
        <v>2351</v>
      </c>
      <c r="P434" s="13"/>
      <c r="Q434" s="13"/>
      <c r="R434" s="13"/>
      <c r="S434" s="13"/>
      <c r="T434" s="13"/>
      <c r="U434" s="13" t="s">
        <v>564</v>
      </c>
      <c r="V434" s="13" t="s">
        <v>564</v>
      </c>
      <c r="W434" s="13" t="s">
        <v>2086</v>
      </c>
      <c r="X434" s="13" t="s">
        <v>564</v>
      </c>
      <c r="Y434" s="13" t="s">
        <v>132</v>
      </c>
      <c r="Z434" s="13" t="s">
        <v>564</v>
      </c>
      <c r="AA434" s="13" t="s">
        <v>564</v>
      </c>
      <c r="AB434" s="13"/>
      <c r="AC434" s="13" t="s">
        <v>2352</v>
      </c>
      <c r="AD434" s="13"/>
      <c r="AE434" s="13"/>
      <c r="AF434" s="1"/>
      <c r="AG434" s="1"/>
      <c r="AH434" s="1"/>
      <c r="AI434" s="1"/>
      <c r="AJ434" s="1"/>
    </row>
    <row r="435" spans="1:36" x14ac:dyDescent="0.2">
      <c r="A435" s="12">
        <v>45710.494961666671</v>
      </c>
      <c r="B435" s="13" t="s">
        <v>1602</v>
      </c>
      <c r="C435" s="13"/>
      <c r="D435" s="13"/>
      <c r="E435" s="13" t="s">
        <v>865</v>
      </c>
      <c r="F435" s="13" t="s">
        <v>2353</v>
      </c>
      <c r="G435" s="13" t="s">
        <v>2354</v>
      </c>
      <c r="H435" s="13">
        <v>1022946581</v>
      </c>
      <c r="I435" s="13">
        <v>3246626617</v>
      </c>
      <c r="J435" s="13" t="s">
        <v>2355</v>
      </c>
      <c r="K435" s="13">
        <v>3145751382</v>
      </c>
      <c r="L435" s="13">
        <v>12</v>
      </c>
      <c r="M435" s="13"/>
      <c r="N435" s="13" t="s">
        <v>35</v>
      </c>
      <c r="O435" s="13" t="s">
        <v>2356</v>
      </c>
      <c r="P435" s="13"/>
      <c r="Q435" s="13"/>
      <c r="R435" s="13"/>
      <c r="S435" s="13"/>
      <c r="T435" s="13"/>
      <c r="U435" s="13" t="s">
        <v>132</v>
      </c>
      <c r="V435" s="13" t="s">
        <v>564</v>
      </c>
      <c r="W435" s="13" t="s">
        <v>2107</v>
      </c>
      <c r="X435" s="13" t="s">
        <v>564</v>
      </c>
      <c r="Y435" s="13" t="s">
        <v>132</v>
      </c>
      <c r="Z435" s="13" t="s">
        <v>564</v>
      </c>
      <c r="AA435" s="13" t="s">
        <v>564</v>
      </c>
      <c r="AB435" s="13"/>
      <c r="AC435" s="13"/>
      <c r="AD435" s="13"/>
      <c r="AE435" s="13"/>
      <c r="AF435" s="1"/>
      <c r="AG435" s="1"/>
      <c r="AH435" s="1"/>
      <c r="AI435" s="1"/>
      <c r="AJ435" s="1"/>
    </row>
    <row r="436" spans="1:36" x14ac:dyDescent="0.2">
      <c r="A436" s="12">
        <v>45710.49575736111</v>
      </c>
      <c r="B436" s="13" t="s">
        <v>2144</v>
      </c>
      <c r="C436" s="13"/>
      <c r="D436" s="13"/>
      <c r="E436" s="13" t="s">
        <v>865</v>
      </c>
      <c r="F436" s="13" t="s">
        <v>1911</v>
      </c>
      <c r="G436" s="13" t="s">
        <v>2357</v>
      </c>
      <c r="H436" s="13">
        <v>22174103</v>
      </c>
      <c r="I436" s="13">
        <v>3042136865</v>
      </c>
      <c r="J436" s="13" t="s">
        <v>2358</v>
      </c>
      <c r="K436" s="13"/>
      <c r="L436" s="13" t="s">
        <v>1288</v>
      </c>
      <c r="M436" s="13"/>
      <c r="N436" s="13" t="s">
        <v>35</v>
      </c>
      <c r="O436" s="13" t="s">
        <v>2359</v>
      </c>
      <c r="P436" s="13"/>
      <c r="Q436" s="13"/>
      <c r="R436" s="13"/>
      <c r="S436" s="13"/>
      <c r="T436" s="13"/>
      <c r="U436" s="13" t="s">
        <v>132</v>
      </c>
      <c r="V436" s="13" t="s">
        <v>564</v>
      </c>
      <c r="W436" s="13" t="s">
        <v>2086</v>
      </c>
      <c r="X436" s="13" t="s">
        <v>564</v>
      </c>
      <c r="Y436" s="13" t="s">
        <v>132</v>
      </c>
      <c r="Z436" s="13" t="s">
        <v>564</v>
      </c>
      <c r="AA436" s="13" t="s">
        <v>564</v>
      </c>
      <c r="AB436" s="13"/>
      <c r="AC436" s="13" t="s">
        <v>2360</v>
      </c>
      <c r="AD436" s="13"/>
      <c r="AE436" s="13"/>
      <c r="AF436" s="1"/>
      <c r="AG436" s="1"/>
      <c r="AH436" s="1"/>
      <c r="AI436" s="1"/>
      <c r="AJ436" s="1"/>
    </row>
    <row r="437" spans="1:36" x14ac:dyDescent="0.2">
      <c r="A437" s="12">
        <v>45710.49825773148</v>
      </c>
      <c r="B437" s="13" t="s">
        <v>2347</v>
      </c>
      <c r="C437" s="13"/>
      <c r="D437" s="13"/>
      <c r="E437" s="13" t="s">
        <v>865</v>
      </c>
      <c r="F437" s="13" t="s">
        <v>1180</v>
      </c>
      <c r="G437" s="13" t="s">
        <v>2361</v>
      </c>
      <c r="H437" s="13">
        <v>35602127</v>
      </c>
      <c r="I437" s="13">
        <v>3107153012</v>
      </c>
      <c r="J437" s="13"/>
      <c r="K437" s="13"/>
      <c r="L437" s="13">
        <v>21</v>
      </c>
      <c r="M437" s="13"/>
      <c r="N437" s="13" t="s">
        <v>35</v>
      </c>
      <c r="O437" s="13" t="s">
        <v>2362</v>
      </c>
      <c r="P437" s="13"/>
      <c r="Q437" s="13"/>
      <c r="R437" s="13"/>
      <c r="S437" s="13"/>
      <c r="T437" s="13"/>
      <c r="U437" s="13" t="s">
        <v>132</v>
      </c>
      <c r="V437" s="13" t="s">
        <v>564</v>
      </c>
      <c r="W437" s="13" t="s">
        <v>2086</v>
      </c>
      <c r="X437" s="13" t="s">
        <v>564</v>
      </c>
      <c r="Y437" s="13" t="s">
        <v>132</v>
      </c>
      <c r="Z437" s="13" t="s">
        <v>564</v>
      </c>
      <c r="AA437" s="13" t="s">
        <v>564</v>
      </c>
      <c r="AB437" s="13"/>
      <c r="AC437" s="13"/>
      <c r="AD437" s="13"/>
      <c r="AE437" s="13"/>
      <c r="AF437" s="1"/>
      <c r="AG437" s="1"/>
      <c r="AH437" s="1"/>
      <c r="AI437" s="1"/>
      <c r="AJ437" s="1"/>
    </row>
    <row r="438" spans="1:36" x14ac:dyDescent="0.2">
      <c r="A438" s="12">
        <v>45710.499036180554</v>
      </c>
      <c r="B438" s="13" t="s">
        <v>1602</v>
      </c>
      <c r="C438" s="13"/>
      <c r="D438" s="13"/>
      <c r="E438" s="13" t="s">
        <v>865</v>
      </c>
      <c r="F438" s="13" t="s">
        <v>1995</v>
      </c>
      <c r="G438" s="13" t="s">
        <v>2363</v>
      </c>
      <c r="H438" s="13">
        <v>1128390684</v>
      </c>
      <c r="I438" s="13">
        <v>3103320927</v>
      </c>
      <c r="J438" s="13" t="s">
        <v>2364</v>
      </c>
      <c r="K438" s="13">
        <v>3127489921</v>
      </c>
      <c r="L438" s="13">
        <v>18</v>
      </c>
      <c r="M438" s="13"/>
      <c r="N438" s="13" t="s">
        <v>35</v>
      </c>
      <c r="O438" s="13" t="s">
        <v>2365</v>
      </c>
      <c r="P438" s="13"/>
      <c r="Q438" s="13"/>
      <c r="R438" s="13"/>
      <c r="S438" s="13"/>
      <c r="T438" s="13"/>
      <c r="U438" s="13" t="s">
        <v>132</v>
      </c>
      <c r="V438" s="13" t="s">
        <v>564</v>
      </c>
      <c r="W438" s="13" t="s">
        <v>2107</v>
      </c>
      <c r="X438" s="13" t="s">
        <v>564</v>
      </c>
      <c r="Y438" s="13" t="s">
        <v>132</v>
      </c>
      <c r="Z438" s="13" t="s">
        <v>564</v>
      </c>
      <c r="AA438" s="13" t="s">
        <v>564</v>
      </c>
      <c r="AB438" s="13"/>
      <c r="AC438" s="13" t="s">
        <v>2366</v>
      </c>
      <c r="AD438" s="13"/>
      <c r="AE438" s="13"/>
      <c r="AF438" s="1"/>
      <c r="AG438" s="1"/>
      <c r="AH438" s="1"/>
      <c r="AI438" s="1"/>
      <c r="AJ438" s="1"/>
    </row>
    <row r="439" spans="1:36" x14ac:dyDescent="0.2">
      <c r="A439" s="12">
        <v>45710.499919074078</v>
      </c>
      <c r="B439" s="13" t="s">
        <v>2347</v>
      </c>
      <c r="C439" s="13"/>
      <c r="D439" s="13"/>
      <c r="E439" s="13" t="s">
        <v>865</v>
      </c>
      <c r="F439" s="13" t="s">
        <v>1911</v>
      </c>
      <c r="G439" s="13" t="s">
        <v>2367</v>
      </c>
      <c r="H439" s="13">
        <v>20876219</v>
      </c>
      <c r="I439" s="13">
        <v>3107007572</v>
      </c>
      <c r="J439" s="13"/>
      <c r="K439" s="13"/>
      <c r="L439" s="13">
        <v>8</v>
      </c>
      <c r="M439" s="13"/>
      <c r="N439" s="13" t="s">
        <v>35</v>
      </c>
      <c r="O439" s="13" t="s">
        <v>2368</v>
      </c>
      <c r="P439" s="13"/>
      <c r="Q439" s="13"/>
      <c r="R439" s="13"/>
      <c r="S439" s="13"/>
      <c r="T439" s="13"/>
      <c r="U439" s="13" t="s">
        <v>132</v>
      </c>
      <c r="V439" s="13" t="s">
        <v>564</v>
      </c>
      <c r="W439" s="13" t="s">
        <v>2107</v>
      </c>
      <c r="X439" s="13" t="s">
        <v>564</v>
      </c>
      <c r="Y439" s="13" t="s">
        <v>132</v>
      </c>
      <c r="Z439" s="13" t="s">
        <v>564</v>
      </c>
      <c r="AA439" s="13" t="s">
        <v>564</v>
      </c>
      <c r="AB439" s="13"/>
      <c r="AC439" s="13"/>
      <c r="AD439" s="13"/>
      <c r="AE439" s="13"/>
      <c r="AF439" s="1"/>
      <c r="AG439" s="1"/>
      <c r="AH439" s="1"/>
      <c r="AI439" s="1"/>
      <c r="AJ439" s="1"/>
    </row>
    <row r="440" spans="1:36" x14ac:dyDescent="0.2">
      <c r="A440" s="12">
        <v>45710.500800543981</v>
      </c>
      <c r="B440" s="13" t="s">
        <v>1602</v>
      </c>
      <c r="C440" s="13"/>
      <c r="D440" s="13"/>
      <c r="E440" s="13" t="s">
        <v>865</v>
      </c>
      <c r="F440" s="13" t="s">
        <v>1911</v>
      </c>
      <c r="G440" s="13" t="s">
        <v>2369</v>
      </c>
      <c r="H440" s="13">
        <v>1036645009</v>
      </c>
      <c r="I440" s="13">
        <v>3127489921</v>
      </c>
      <c r="J440" s="13" t="s">
        <v>2370</v>
      </c>
      <c r="K440" s="13">
        <v>3103320927</v>
      </c>
      <c r="L440" s="13" t="s">
        <v>696</v>
      </c>
      <c r="M440" s="13"/>
      <c r="N440" s="13" t="s">
        <v>35</v>
      </c>
      <c r="O440" s="13" t="s">
        <v>2365</v>
      </c>
      <c r="P440" s="13"/>
      <c r="Q440" s="13"/>
      <c r="R440" s="13"/>
      <c r="S440" s="13"/>
      <c r="T440" s="13"/>
      <c r="U440" s="13" t="s">
        <v>132</v>
      </c>
      <c r="V440" s="13" t="s">
        <v>564</v>
      </c>
      <c r="W440" s="13" t="s">
        <v>2086</v>
      </c>
      <c r="X440" s="13" t="s">
        <v>564</v>
      </c>
      <c r="Y440" s="13" t="s">
        <v>132</v>
      </c>
      <c r="Z440" s="13" t="s">
        <v>564</v>
      </c>
      <c r="AA440" s="13" t="s">
        <v>564</v>
      </c>
      <c r="AB440" s="13"/>
      <c r="AC440" s="13" t="s">
        <v>2366</v>
      </c>
      <c r="AD440" s="13"/>
      <c r="AE440" s="13"/>
      <c r="AF440" s="1"/>
      <c r="AG440" s="1"/>
      <c r="AH440" s="1"/>
      <c r="AI440" s="1"/>
      <c r="AJ440" s="1"/>
    </row>
    <row r="441" spans="1:36" x14ac:dyDescent="0.2">
      <c r="A441" s="12">
        <v>45710.504405185187</v>
      </c>
      <c r="B441" s="13" t="s">
        <v>1602</v>
      </c>
      <c r="C441" s="13"/>
      <c r="D441" s="13"/>
      <c r="E441" s="13" t="s">
        <v>865</v>
      </c>
      <c r="F441" s="13" t="s">
        <v>2371</v>
      </c>
      <c r="G441" s="13" t="s">
        <v>2372</v>
      </c>
      <c r="H441" s="13">
        <v>52227037</v>
      </c>
      <c r="I441" s="13">
        <v>3241146548</v>
      </c>
      <c r="J441" s="13" t="s">
        <v>2373</v>
      </c>
      <c r="K441" s="13">
        <v>3043324479</v>
      </c>
      <c r="L441" s="13" t="s">
        <v>911</v>
      </c>
      <c r="M441" s="13"/>
      <c r="N441" s="13" t="s">
        <v>35</v>
      </c>
      <c r="O441" s="13" t="s">
        <v>2374</v>
      </c>
      <c r="P441" s="13"/>
      <c r="Q441" s="13"/>
      <c r="R441" s="13"/>
      <c r="S441" s="13"/>
      <c r="T441" s="13"/>
      <c r="U441" s="13" t="s">
        <v>132</v>
      </c>
      <c r="V441" s="13" t="s">
        <v>564</v>
      </c>
      <c r="W441" s="13" t="s">
        <v>2086</v>
      </c>
      <c r="X441" s="13" t="s">
        <v>564</v>
      </c>
      <c r="Y441" s="13" t="s">
        <v>132</v>
      </c>
      <c r="Z441" s="13" t="s">
        <v>564</v>
      </c>
      <c r="AA441" s="13" t="s">
        <v>564</v>
      </c>
      <c r="AB441" s="13"/>
      <c r="AC441" s="13" t="s">
        <v>2375</v>
      </c>
      <c r="AD441" s="13"/>
      <c r="AE441" s="13"/>
      <c r="AF441" s="1"/>
      <c r="AG441" s="1"/>
      <c r="AH441" s="1"/>
      <c r="AI441" s="1"/>
      <c r="AJ441" s="1"/>
    </row>
    <row r="442" spans="1:36" x14ac:dyDescent="0.2">
      <c r="A442" s="12">
        <v>45710.505519837963</v>
      </c>
      <c r="B442" s="13" t="s">
        <v>2347</v>
      </c>
      <c r="C442" s="13"/>
      <c r="D442" s="13"/>
      <c r="E442" s="13" t="s">
        <v>865</v>
      </c>
      <c r="F442" s="13" t="s">
        <v>1911</v>
      </c>
      <c r="G442" s="13" t="s">
        <v>2376</v>
      </c>
      <c r="H442" s="13">
        <v>43382220</v>
      </c>
      <c r="I442" s="13">
        <v>3006011024</v>
      </c>
      <c r="J442" s="13"/>
      <c r="K442" s="13"/>
      <c r="L442" s="13" t="s">
        <v>2377</v>
      </c>
      <c r="M442" s="13"/>
      <c r="N442" s="13" t="s">
        <v>35</v>
      </c>
      <c r="O442" s="13" t="s">
        <v>2271</v>
      </c>
      <c r="P442" s="13"/>
      <c r="Q442" s="13"/>
      <c r="R442" s="13"/>
      <c r="S442" s="13"/>
      <c r="T442" s="13"/>
      <c r="U442" s="13" t="s">
        <v>564</v>
      </c>
      <c r="V442" s="13" t="s">
        <v>564</v>
      </c>
      <c r="W442" s="13" t="s">
        <v>2107</v>
      </c>
      <c r="X442" s="13" t="s">
        <v>564</v>
      </c>
      <c r="Y442" s="13" t="s">
        <v>132</v>
      </c>
      <c r="Z442" s="13" t="s">
        <v>564</v>
      </c>
      <c r="AA442" s="13" t="s">
        <v>564</v>
      </c>
      <c r="AB442" s="13"/>
      <c r="AC442" s="13"/>
      <c r="AD442" s="13"/>
      <c r="AE442" s="13"/>
      <c r="AF442" s="1"/>
      <c r="AG442" s="1"/>
      <c r="AH442" s="1"/>
      <c r="AI442" s="1"/>
      <c r="AJ442" s="1"/>
    </row>
    <row r="443" spans="1:36" x14ac:dyDescent="0.2">
      <c r="A443" s="12">
        <v>45710.507956574074</v>
      </c>
      <c r="B443" s="13" t="s">
        <v>2347</v>
      </c>
      <c r="C443" s="13"/>
      <c r="D443" s="13"/>
      <c r="E443" s="13" t="s">
        <v>865</v>
      </c>
      <c r="F443" s="13" t="s">
        <v>1911</v>
      </c>
      <c r="G443" s="13" t="s">
        <v>2378</v>
      </c>
      <c r="H443" s="13">
        <v>1193553876</v>
      </c>
      <c r="I443" s="13">
        <v>3024395267</v>
      </c>
      <c r="J443" s="13"/>
      <c r="K443" s="13"/>
      <c r="L443" s="13" t="s">
        <v>2379</v>
      </c>
      <c r="M443" s="13"/>
      <c r="N443" s="13" t="s">
        <v>35</v>
      </c>
      <c r="O443" s="13" t="s">
        <v>2271</v>
      </c>
      <c r="P443" s="13"/>
      <c r="Q443" s="13"/>
      <c r="R443" s="13"/>
      <c r="S443" s="13"/>
      <c r="T443" s="13"/>
      <c r="U443" s="13" t="s">
        <v>132</v>
      </c>
      <c r="V443" s="13" t="s">
        <v>564</v>
      </c>
      <c r="W443" s="13" t="s">
        <v>2107</v>
      </c>
      <c r="X443" s="13" t="s">
        <v>132</v>
      </c>
      <c r="Y443" s="13" t="s">
        <v>132</v>
      </c>
      <c r="Z443" s="13" t="s">
        <v>564</v>
      </c>
      <c r="AA443" s="13" t="s">
        <v>564</v>
      </c>
      <c r="AB443" s="13"/>
      <c r="AC443" s="13"/>
      <c r="AD443" s="13"/>
      <c r="AE443" s="13"/>
      <c r="AF443" s="1"/>
      <c r="AG443" s="1"/>
      <c r="AH443" s="1"/>
      <c r="AI443" s="1"/>
      <c r="AJ443" s="1"/>
    </row>
    <row r="444" spans="1:36" x14ac:dyDescent="0.2">
      <c r="A444" s="12">
        <v>45710.508925937502</v>
      </c>
      <c r="B444" s="13" t="s">
        <v>2347</v>
      </c>
      <c r="C444" s="13"/>
      <c r="D444" s="13"/>
      <c r="E444" s="13" t="s">
        <v>865</v>
      </c>
      <c r="F444" s="13" t="s">
        <v>1911</v>
      </c>
      <c r="G444" s="13" t="s">
        <v>2380</v>
      </c>
      <c r="H444" s="13">
        <v>1552708804</v>
      </c>
      <c r="I444" s="13">
        <v>3046847302</v>
      </c>
      <c r="J444" s="13"/>
      <c r="K444" s="13"/>
      <c r="L444" s="13" t="s">
        <v>2381</v>
      </c>
      <c r="M444" s="13"/>
      <c r="N444" s="13" t="s">
        <v>35</v>
      </c>
      <c r="O444" s="13" t="s">
        <v>2271</v>
      </c>
      <c r="P444" s="13"/>
      <c r="Q444" s="13"/>
      <c r="R444" s="13"/>
      <c r="S444" s="13"/>
      <c r="T444" s="13"/>
      <c r="U444" s="13" t="s">
        <v>132</v>
      </c>
      <c r="V444" s="13" t="s">
        <v>564</v>
      </c>
      <c r="W444" s="13" t="s">
        <v>2107</v>
      </c>
      <c r="X444" s="13" t="s">
        <v>564</v>
      </c>
      <c r="Y444" s="13" t="s">
        <v>132</v>
      </c>
      <c r="Z444" s="13" t="s">
        <v>564</v>
      </c>
      <c r="AA444" s="13" t="s">
        <v>564</v>
      </c>
      <c r="AB444" s="13"/>
      <c r="AC444" s="13"/>
      <c r="AD444" s="13"/>
      <c r="AE444" s="13"/>
      <c r="AF444" s="1"/>
      <c r="AG444" s="1"/>
      <c r="AH444" s="1"/>
      <c r="AI444" s="1"/>
      <c r="AJ444" s="1"/>
    </row>
    <row r="445" spans="1:36" x14ac:dyDescent="0.2">
      <c r="A445" s="12">
        <v>45710.510063541667</v>
      </c>
      <c r="B445" s="13" t="s">
        <v>2347</v>
      </c>
      <c r="C445" s="13"/>
      <c r="D445" s="13"/>
      <c r="E445" s="13" t="s">
        <v>865</v>
      </c>
      <c r="F445" s="13" t="s">
        <v>1911</v>
      </c>
      <c r="G445" s="13" t="s">
        <v>2382</v>
      </c>
      <c r="H445" s="13">
        <v>71940651</v>
      </c>
      <c r="I445" s="13">
        <v>3007424848</v>
      </c>
      <c r="J445" s="13"/>
      <c r="K445" s="13"/>
      <c r="L445" s="13" t="s">
        <v>2383</v>
      </c>
      <c r="M445" s="13"/>
      <c r="N445" s="13" t="s">
        <v>35</v>
      </c>
      <c r="O445" s="13" t="s">
        <v>2271</v>
      </c>
      <c r="P445" s="13"/>
      <c r="Q445" s="13"/>
      <c r="R445" s="13"/>
      <c r="S445" s="13"/>
      <c r="T445" s="13"/>
      <c r="U445" s="13" t="s">
        <v>132</v>
      </c>
      <c r="V445" s="13" t="s">
        <v>564</v>
      </c>
      <c r="W445" s="13" t="s">
        <v>132</v>
      </c>
      <c r="X445" s="13" t="s">
        <v>564</v>
      </c>
      <c r="Y445" s="13" t="s">
        <v>132</v>
      </c>
      <c r="Z445" s="13" t="s">
        <v>564</v>
      </c>
      <c r="AA445" s="13" t="s">
        <v>564</v>
      </c>
      <c r="AB445" s="13"/>
      <c r="AC445" s="13"/>
      <c r="AD445" s="13"/>
      <c r="AE445" s="13"/>
      <c r="AF445" s="1"/>
      <c r="AG445" s="1"/>
      <c r="AH445" s="1"/>
      <c r="AI445" s="1"/>
      <c r="AJ445" s="1"/>
    </row>
    <row r="446" spans="1:36" x14ac:dyDescent="0.2">
      <c r="A446" s="12">
        <v>45710.510196539355</v>
      </c>
      <c r="B446" s="13" t="s">
        <v>1602</v>
      </c>
      <c r="C446" s="13"/>
      <c r="D446" s="13"/>
      <c r="E446" s="13" t="s">
        <v>865</v>
      </c>
      <c r="F446" s="13" t="s">
        <v>2384</v>
      </c>
      <c r="G446" s="13" t="s">
        <v>2385</v>
      </c>
      <c r="H446" s="13">
        <v>15433836</v>
      </c>
      <c r="I446" s="13">
        <v>3218733195</v>
      </c>
      <c r="J446" s="13" t="s">
        <v>2386</v>
      </c>
      <c r="K446" s="13">
        <v>3207645884</v>
      </c>
      <c r="L446" s="13" t="s">
        <v>292</v>
      </c>
      <c r="M446" s="13"/>
      <c r="N446" s="13" t="s">
        <v>35</v>
      </c>
      <c r="O446" s="13" t="s">
        <v>2387</v>
      </c>
      <c r="P446" s="13"/>
      <c r="Q446" s="13"/>
      <c r="R446" s="13"/>
      <c r="S446" s="13"/>
      <c r="T446" s="13"/>
      <c r="U446" s="13" t="s">
        <v>564</v>
      </c>
      <c r="V446" s="13" t="s">
        <v>564</v>
      </c>
      <c r="W446" s="13" t="s">
        <v>2086</v>
      </c>
      <c r="X446" s="13" t="s">
        <v>564</v>
      </c>
      <c r="Y446" s="13" t="s">
        <v>132</v>
      </c>
      <c r="Z446" s="13" t="s">
        <v>564</v>
      </c>
      <c r="AA446" s="13" t="s">
        <v>564</v>
      </c>
      <c r="AB446" s="13"/>
      <c r="AC446" s="13" t="s">
        <v>2388</v>
      </c>
      <c r="AD446" s="13"/>
      <c r="AE446" s="13"/>
      <c r="AF446" s="1"/>
      <c r="AG446" s="1"/>
      <c r="AH446" s="1"/>
      <c r="AI446" s="1"/>
      <c r="AJ446" s="1"/>
    </row>
    <row r="447" spans="1:36" x14ac:dyDescent="0.2">
      <c r="A447" s="12">
        <v>45710.512286990735</v>
      </c>
      <c r="B447" s="13" t="s">
        <v>1602</v>
      </c>
      <c r="C447" s="13"/>
      <c r="D447" s="13"/>
      <c r="E447" s="13" t="s">
        <v>865</v>
      </c>
      <c r="F447" s="13" t="s">
        <v>2389</v>
      </c>
      <c r="G447" s="13" t="s">
        <v>2390</v>
      </c>
      <c r="H447" s="13">
        <v>70131334</v>
      </c>
      <c r="I447" s="13">
        <v>3127950501</v>
      </c>
      <c r="J447" s="13" t="s">
        <v>2391</v>
      </c>
      <c r="K447" s="13">
        <v>604481842</v>
      </c>
      <c r="L447" s="13" t="s">
        <v>92</v>
      </c>
      <c r="M447" s="13"/>
      <c r="N447" s="13" t="s">
        <v>35</v>
      </c>
      <c r="O447" s="13" t="s">
        <v>2392</v>
      </c>
      <c r="P447" s="13"/>
      <c r="Q447" s="13"/>
      <c r="R447" s="13"/>
      <c r="S447" s="13"/>
      <c r="T447" s="13"/>
      <c r="U447" s="13" t="s">
        <v>132</v>
      </c>
      <c r="V447" s="13" t="s">
        <v>564</v>
      </c>
      <c r="W447" s="13" t="s">
        <v>2107</v>
      </c>
      <c r="X447" s="13" t="s">
        <v>564</v>
      </c>
      <c r="Y447" s="13" t="s">
        <v>132</v>
      </c>
      <c r="Z447" s="13" t="s">
        <v>564</v>
      </c>
      <c r="AA447" s="13" t="s">
        <v>564</v>
      </c>
      <c r="AB447" s="13"/>
      <c r="AC447" s="13" t="s">
        <v>2393</v>
      </c>
      <c r="AD447" s="13"/>
      <c r="AE447" s="13"/>
      <c r="AF447" s="1"/>
      <c r="AG447" s="1"/>
      <c r="AH447" s="1"/>
      <c r="AI447" s="1"/>
      <c r="AJ447" s="1"/>
    </row>
    <row r="448" spans="1:36" x14ac:dyDescent="0.2">
      <c r="A448" s="12">
        <v>45710.513154467597</v>
      </c>
      <c r="B448" s="13" t="s">
        <v>2347</v>
      </c>
      <c r="C448" s="13"/>
      <c r="D448" s="13"/>
      <c r="E448" s="13" t="s">
        <v>865</v>
      </c>
      <c r="F448" s="13" t="s">
        <v>1911</v>
      </c>
      <c r="G448" s="13" t="s">
        <v>2394</v>
      </c>
      <c r="H448" s="13">
        <v>21895860</v>
      </c>
      <c r="I448" s="13">
        <v>3127954825</v>
      </c>
      <c r="J448" s="13"/>
      <c r="K448" s="13"/>
      <c r="L448" s="13">
        <v>12</v>
      </c>
      <c r="M448" s="13"/>
      <c r="N448" s="13" t="s">
        <v>35</v>
      </c>
      <c r="O448" s="13" t="s">
        <v>2395</v>
      </c>
      <c r="P448" s="13"/>
      <c r="Q448" s="13"/>
      <c r="R448" s="13"/>
      <c r="S448" s="13"/>
      <c r="T448" s="13"/>
      <c r="U448" s="13" t="s">
        <v>132</v>
      </c>
      <c r="V448" s="13" t="s">
        <v>564</v>
      </c>
      <c r="W448" s="13" t="s">
        <v>132</v>
      </c>
      <c r="X448" s="13" t="s">
        <v>564</v>
      </c>
      <c r="Y448" s="13" t="s">
        <v>132</v>
      </c>
      <c r="Z448" s="13" t="s">
        <v>564</v>
      </c>
      <c r="AA448" s="13" t="s">
        <v>564</v>
      </c>
      <c r="AB448" s="13"/>
      <c r="AC448" s="13"/>
      <c r="AD448" s="13"/>
      <c r="AE448" s="13"/>
      <c r="AF448" s="1"/>
      <c r="AG448" s="1"/>
      <c r="AH448" s="1"/>
      <c r="AI448" s="1"/>
      <c r="AJ448" s="1"/>
    </row>
    <row r="449" spans="1:36" x14ac:dyDescent="0.2">
      <c r="A449" s="12">
        <v>45710.513938055556</v>
      </c>
      <c r="B449" s="13" t="s">
        <v>2144</v>
      </c>
      <c r="C449" s="13"/>
      <c r="D449" s="13"/>
      <c r="E449" s="13" t="s">
        <v>865</v>
      </c>
      <c r="F449" s="13" t="s">
        <v>1911</v>
      </c>
      <c r="G449" s="13" t="s">
        <v>2396</v>
      </c>
      <c r="H449" s="13">
        <v>39313932</v>
      </c>
      <c r="I449" s="13">
        <v>3105072246</v>
      </c>
      <c r="J449" s="13" t="s">
        <v>2397</v>
      </c>
      <c r="K449" s="13">
        <v>3242903468</v>
      </c>
      <c r="L449" s="13" t="s">
        <v>159</v>
      </c>
      <c r="M449" s="13"/>
      <c r="N449" s="13" t="s">
        <v>35</v>
      </c>
      <c r="O449" s="13" t="s">
        <v>2398</v>
      </c>
      <c r="P449" s="13"/>
      <c r="Q449" s="13"/>
      <c r="R449" s="13"/>
      <c r="S449" s="13"/>
      <c r="T449" s="13"/>
      <c r="U449" s="13" t="s">
        <v>132</v>
      </c>
      <c r="V449" s="13" t="s">
        <v>564</v>
      </c>
      <c r="W449" s="13" t="s">
        <v>2086</v>
      </c>
      <c r="X449" s="13" t="s">
        <v>564</v>
      </c>
      <c r="Y449" s="13" t="s">
        <v>564</v>
      </c>
      <c r="Z449" s="13" t="s">
        <v>564</v>
      </c>
      <c r="AA449" s="13" t="s">
        <v>564</v>
      </c>
      <c r="AB449" s="13"/>
      <c r="AC449" s="13" t="s">
        <v>2331</v>
      </c>
      <c r="AD449" s="13"/>
      <c r="AE449" s="13"/>
      <c r="AF449" s="1"/>
      <c r="AG449" s="1"/>
      <c r="AH449" s="1"/>
      <c r="AI449" s="1"/>
      <c r="AJ449" s="1"/>
    </row>
    <row r="450" spans="1:36" x14ac:dyDescent="0.2">
      <c r="A450" s="12">
        <v>45710.517596030091</v>
      </c>
      <c r="B450" s="13" t="s">
        <v>2347</v>
      </c>
      <c r="C450" s="13"/>
      <c r="D450" s="13"/>
      <c r="E450" s="13" t="s">
        <v>865</v>
      </c>
      <c r="F450" s="13" t="s">
        <v>1180</v>
      </c>
      <c r="G450" s="13" t="s">
        <v>2399</v>
      </c>
      <c r="H450" s="13">
        <v>8015675</v>
      </c>
      <c r="I450" s="13">
        <v>3135443390</v>
      </c>
      <c r="J450" s="13"/>
      <c r="K450" s="13"/>
      <c r="L450" s="13">
        <v>7</v>
      </c>
      <c r="M450" s="13"/>
      <c r="N450" s="13" t="s">
        <v>35</v>
      </c>
      <c r="O450" s="13" t="s">
        <v>2400</v>
      </c>
      <c r="P450" s="13"/>
      <c r="Q450" s="13"/>
      <c r="R450" s="13"/>
      <c r="S450" s="13"/>
      <c r="T450" s="13"/>
      <c r="U450" s="13" t="s">
        <v>132</v>
      </c>
      <c r="V450" s="13" t="s">
        <v>564</v>
      </c>
      <c r="W450" s="13" t="s">
        <v>2107</v>
      </c>
      <c r="X450" s="13" t="s">
        <v>564</v>
      </c>
      <c r="Y450" s="13" t="s">
        <v>564</v>
      </c>
      <c r="Z450" s="13" t="s">
        <v>564</v>
      </c>
      <c r="AA450" s="13" t="s">
        <v>564</v>
      </c>
      <c r="AB450" s="13"/>
      <c r="AC450" s="13"/>
      <c r="AD450" s="13"/>
      <c r="AE450" s="13"/>
      <c r="AF450" s="1"/>
      <c r="AG450" s="1"/>
      <c r="AH450" s="1"/>
      <c r="AI450" s="1"/>
      <c r="AJ450" s="1"/>
    </row>
    <row r="451" spans="1:36" x14ac:dyDescent="0.2">
      <c r="A451" s="12">
        <v>45710.520354120366</v>
      </c>
      <c r="B451" s="13" t="s">
        <v>2144</v>
      </c>
      <c r="C451" s="13"/>
      <c r="D451" s="13"/>
      <c r="E451" s="13" t="s">
        <v>865</v>
      </c>
      <c r="F451" s="13" t="s">
        <v>1911</v>
      </c>
      <c r="G451" s="13" t="s">
        <v>2401</v>
      </c>
      <c r="H451" s="13">
        <v>71663390</v>
      </c>
      <c r="I451" s="13">
        <v>3053625754</v>
      </c>
      <c r="J451" s="13" t="s">
        <v>2402</v>
      </c>
      <c r="K451" s="13">
        <v>3107007572</v>
      </c>
      <c r="L451" s="13" t="s">
        <v>167</v>
      </c>
      <c r="M451" s="13"/>
      <c r="N451" s="13" t="s">
        <v>35</v>
      </c>
      <c r="O451" s="13" t="s">
        <v>2403</v>
      </c>
      <c r="P451" s="13"/>
      <c r="Q451" s="13"/>
      <c r="R451" s="13"/>
      <c r="S451" s="13"/>
      <c r="T451" s="13"/>
      <c r="U451" s="13" t="s">
        <v>132</v>
      </c>
      <c r="V451" s="13" t="s">
        <v>564</v>
      </c>
      <c r="W451" s="13" t="s">
        <v>2107</v>
      </c>
      <c r="X451" s="13" t="s">
        <v>132</v>
      </c>
      <c r="Y451" s="13" t="s">
        <v>132</v>
      </c>
      <c r="Z451" s="13" t="s">
        <v>564</v>
      </c>
      <c r="AA451" s="13" t="s">
        <v>564</v>
      </c>
      <c r="AB451" s="13"/>
      <c r="AC451" s="13" t="s">
        <v>2404</v>
      </c>
      <c r="AD451" s="13"/>
      <c r="AE451" s="13"/>
      <c r="AF451" s="1"/>
      <c r="AG451" s="1"/>
      <c r="AH451" s="1"/>
      <c r="AI451" s="1"/>
      <c r="AJ451" s="1"/>
    </row>
    <row r="452" spans="1:36" x14ac:dyDescent="0.2">
      <c r="A452" s="12">
        <v>45710.525133981486</v>
      </c>
      <c r="B452" s="13" t="s">
        <v>2144</v>
      </c>
      <c r="C452" s="13"/>
      <c r="D452" s="13"/>
      <c r="E452" s="13" t="s">
        <v>865</v>
      </c>
      <c r="F452" s="13" t="s">
        <v>1911</v>
      </c>
      <c r="G452" s="13" t="s">
        <v>2405</v>
      </c>
      <c r="H452" s="13">
        <v>113164027</v>
      </c>
      <c r="I452" s="13">
        <v>3116264944</v>
      </c>
      <c r="J452" s="13" t="s">
        <v>2406</v>
      </c>
      <c r="K452" s="13">
        <v>3132616767</v>
      </c>
      <c r="L452" s="13" t="s">
        <v>1186</v>
      </c>
      <c r="M452" s="13"/>
      <c r="N452" s="13" t="s">
        <v>35</v>
      </c>
      <c r="O452" s="13" t="s">
        <v>2338</v>
      </c>
      <c r="P452" s="13"/>
      <c r="Q452" s="13"/>
      <c r="R452" s="13"/>
      <c r="S452" s="13"/>
      <c r="T452" s="13"/>
      <c r="U452" s="13" t="s">
        <v>132</v>
      </c>
      <c r="V452" s="13" t="s">
        <v>132</v>
      </c>
      <c r="W452" s="13" t="s">
        <v>2107</v>
      </c>
      <c r="X452" s="13" t="s">
        <v>132</v>
      </c>
      <c r="Y452" s="13" t="s">
        <v>132</v>
      </c>
      <c r="Z452" s="13" t="s">
        <v>564</v>
      </c>
      <c r="AA452" s="13" t="s">
        <v>564</v>
      </c>
      <c r="AB452" s="13"/>
      <c r="AC452" s="13" t="s">
        <v>2407</v>
      </c>
      <c r="AD452" s="13"/>
      <c r="AE452" s="13"/>
      <c r="AF452" s="1"/>
      <c r="AG452" s="1"/>
      <c r="AH452" s="1"/>
      <c r="AI452" s="1"/>
      <c r="AJ452" s="1"/>
    </row>
    <row r="453" spans="1:36" x14ac:dyDescent="0.2">
      <c r="A453" s="12">
        <v>45710.525612349535</v>
      </c>
      <c r="B453" s="13" t="s">
        <v>1602</v>
      </c>
      <c r="C453" s="13"/>
      <c r="D453" s="13"/>
      <c r="E453" s="13" t="s">
        <v>865</v>
      </c>
      <c r="F453" s="13" t="s">
        <v>2408</v>
      </c>
      <c r="G453" s="13" t="s">
        <v>2409</v>
      </c>
      <c r="H453" s="13">
        <v>11031272</v>
      </c>
      <c r="I453" s="13">
        <v>3226252638</v>
      </c>
      <c r="J453" s="13" t="s">
        <v>2410</v>
      </c>
      <c r="K453" s="13">
        <v>3144200036</v>
      </c>
      <c r="L453" s="13" t="s">
        <v>1455</v>
      </c>
      <c r="M453" s="13"/>
      <c r="N453" s="13" t="s">
        <v>35</v>
      </c>
      <c r="O453" s="13" t="s">
        <v>2411</v>
      </c>
      <c r="P453" s="13"/>
      <c r="Q453" s="13"/>
      <c r="R453" s="13"/>
      <c r="S453" s="13"/>
      <c r="T453" s="13"/>
      <c r="U453" s="13" t="s">
        <v>132</v>
      </c>
      <c r="V453" s="13" t="s">
        <v>564</v>
      </c>
      <c r="W453" s="13" t="s">
        <v>2107</v>
      </c>
      <c r="X453" s="13" t="s">
        <v>132</v>
      </c>
      <c r="Y453" s="13" t="s">
        <v>564</v>
      </c>
      <c r="Z453" s="13" t="s">
        <v>132</v>
      </c>
      <c r="AA453" s="13" t="s">
        <v>132</v>
      </c>
      <c r="AB453" s="13"/>
      <c r="AC453" s="13" t="s">
        <v>2412</v>
      </c>
      <c r="AD453" s="13"/>
      <c r="AE453" s="13"/>
      <c r="AF453" s="1"/>
      <c r="AG453" s="1"/>
      <c r="AH453" s="1"/>
      <c r="AI453" s="1"/>
      <c r="AJ453" s="1"/>
    </row>
    <row r="454" spans="1:36" x14ac:dyDescent="0.2">
      <c r="A454" s="12">
        <v>45710.52899663194</v>
      </c>
      <c r="B454" s="13" t="s">
        <v>2347</v>
      </c>
      <c r="C454" s="13"/>
      <c r="D454" s="13"/>
      <c r="E454" s="13" t="s">
        <v>865</v>
      </c>
      <c r="F454" s="13" t="s">
        <v>1180</v>
      </c>
      <c r="G454" s="13" t="s">
        <v>2413</v>
      </c>
      <c r="H454" s="13">
        <v>71760635</v>
      </c>
      <c r="I454" s="13">
        <v>3117050572</v>
      </c>
      <c r="J454" s="13"/>
      <c r="K454" s="13"/>
      <c r="L454" s="13">
        <v>1</v>
      </c>
      <c r="M454" s="13"/>
      <c r="N454" s="13" t="s">
        <v>35</v>
      </c>
      <c r="O454" s="13" t="s">
        <v>2414</v>
      </c>
      <c r="P454" s="13"/>
      <c r="Q454" s="13"/>
      <c r="R454" s="13"/>
      <c r="S454" s="13"/>
      <c r="T454" s="13"/>
      <c r="U454" s="13" t="s">
        <v>564</v>
      </c>
      <c r="V454" s="13" t="s">
        <v>132</v>
      </c>
      <c r="W454" s="13" t="s">
        <v>2107</v>
      </c>
      <c r="X454" s="13" t="s">
        <v>132</v>
      </c>
      <c r="Y454" s="13" t="s">
        <v>564</v>
      </c>
      <c r="Z454" s="13" t="s">
        <v>564</v>
      </c>
      <c r="AA454" s="13" t="s">
        <v>564</v>
      </c>
      <c r="AB454" s="13"/>
      <c r="AC454" s="13"/>
      <c r="AD454" s="13"/>
      <c r="AE454" s="13"/>
      <c r="AF454" s="1"/>
      <c r="AG454" s="1"/>
      <c r="AH454" s="1"/>
      <c r="AI454" s="1"/>
      <c r="AJ454" s="1"/>
    </row>
    <row r="455" spans="1:36" x14ac:dyDescent="0.2">
      <c r="A455" s="12">
        <v>45710.531671620367</v>
      </c>
      <c r="B455" s="13" t="s">
        <v>2347</v>
      </c>
      <c r="C455" s="13"/>
      <c r="D455" s="13"/>
      <c r="E455" s="13" t="s">
        <v>865</v>
      </c>
      <c r="F455" s="13" t="s">
        <v>1911</v>
      </c>
      <c r="G455" s="13" t="s">
        <v>2415</v>
      </c>
      <c r="H455" s="13">
        <v>1027947339</v>
      </c>
      <c r="I455" s="13">
        <v>3006863306</v>
      </c>
      <c r="J455" s="13"/>
      <c r="K455" s="13"/>
      <c r="L455" s="13" t="s">
        <v>2379</v>
      </c>
      <c r="M455" s="13"/>
      <c r="N455" s="13" t="s">
        <v>35</v>
      </c>
      <c r="O455" s="13" t="s">
        <v>2416</v>
      </c>
      <c r="P455" s="13"/>
      <c r="Q455" s="13"/>
      <c r="R455" s="13"/>
      <c r="S455" s="13"/>
      <c r="T455" s="13"/>
      <c r="U455" s="13" t="s">
        <v>132</v>
      </c>
      <c r="V455" s="13" t="s">
        <v>564</v>
      </c>
      <c r="W455" s="13" t="s">
        <v>2107</v>
      </c>
      <c r="X455" s="13" t="s">
        <v>564</v>
      </c>
      <c r="Y455" s="13" t="s">
        <v>564</v>
      </c>
      <c r="Z455" s="13" t="s">
        <v>564</v>
      </c>
      <c r="AA455" s="13" t="s">
        <v>564</v>
      </c>
      <c r="AB455" s="13"/>
      <c r="AC455" s="13"/>
      <c r="AD455" s="13"/>
      <c r="AE455" s="13"/>
      <c r="AF455" s="1"/>
      <c r="AG455" s="1"/>
      <c r="AH455" s="1"/>
      <c r="AI455" s="1"/>
      <c r="AJ455" s="1"/>
    </row>
    <row r="456" spans="1:36" x14ac:dyDescent="0.2">
      <c r="A456" s="12">
        <v>45710.533344722222</v>
      </c>
      <c r="B456" s="13" t="s">
        <v>1602</v>
      </c>
      <c r="C456" s="13"/>
      <c r="D456" s="13"/>
      <c r="E456" s="13" t="s">
        <v>865</v>
      </c>
      <c r="F456" s="13" t="s">
        <v>2417</v>
      </c>
      <c r="G456" s="13" t="s">
        <v>2418</v>
      </c>
      <c r="H456" s="13">
        <v>1046953546</v>
      </c>
      <c r="I456" s="13">
        <v>0</v>
      </c>
      <c r="J456" s="13" t="s">
        <v>2419</v>
      </c>
      <c r="K456" s="13">
        <v>3138702032</v>
      </c>
      <c r="L456" s="13" t="s">
        <v>2280</v>
      </c>
      <c r="M456" s="13"/>
      <c r="N456" s="13" t="s">
        <v>35</v>
      </c>
      <c r="O456" s="13" t="s">
        <v>2271</v>
      </c>
      <c r="P456" s="13"/>
      <c r="Q456" s="13"/>
      <c r="R456" s="13"/>
      <c r="S456" s="13"/>
      <c r="T456" s="13"/>
      <c r="U456" s="13" t="s">
        <v>132</v>
      </c>
      <c r="V456" s="13" t="s">
        <v>564</v>
      </c>
      <c r="W456" s="13" t="s">
        <v>2086</v>
      </c>
      <c r="X456" s="13" t="s">
        <v>564</v>
      </c>
      <c r="Y456" s="13" t="s">
        <v>132</v>
      </c>
      <c r="Z456" s="13" t="s">
        <v>564</v>
      </c>
      <c r="AA456" s="13" t="s">
        <v>564</v>
      </c>
      <c r="AB456" s="13"/>
      <c r="AC456" s="13"/>
      <c r="AD456" s="13"/>
      <c r="AE456" s="13"/>
      <c r="AF456" s="1"/>
      <c r="AG456" s="1"/>
      <c r="AH456" s="1"/>
      <c r="AI456" s="1"/>
      <c r="AJ456" s="1"/>
    </row>
    <row r="457" spans="1:36" x14ac:dyDescent="0.2">
      <c r="A457" s="12">
        <v>45710.541392349536</v>
      </c>
      <c r="B457" s="13" t="s">
        <v>2347</v>
      </c>
      <c r="C457" s="13"/>
      <c r="D457" s="13"/>
      <c r="E457" s="13" t="s">
        <v>865</v>
      </c>
      <c r="F457" s="13" t="s">
        <v>1911</v>
      </c>
      <c r="G457" s="13" t="s">
        <v>2420</v>
      </c>
      <c r="H457" s="13">
        <v>70303644</v>
      </c>
      <c r="I457" s="13">
        <v>3107244906</v>
      </c>
      <c r="J457" s="13"/>
      <c r="K457" s="13"/>
      <c r="L457" s="13">
        <v>20</v>
      </c>
      <c r="M457" s="13"/>
      <c r="N457" s="13" t="s">
        <v>35</v>
      </c>
      <c r="O457" s="13" t="s">
        <v>2271</v>
      </c>
      <c r="P457" s="13"/>
      <c r="Q457" s="13"/>
      <c r="R457" s="13"/>
      <c r="S457" s="13"/>
      <c r="T457" s="13"/>
      <c r="U457" s="13" t="s">
        <v>132</v>
      </c>
      <c r="V457" s="13" t="s">
        <v>564</v>
      </c>
      <c r="W457" s="13" t="s">
        <v>132</v>
      </c>
      <c r="X457" s="13" t="s">
        <v>564</v>
      </c>
      <c r="Y457" s="13" t="s">
        <v>564</v>
      </c>
      <c r="Z457" s="13" t="s">
        <v>564</v>
      </c>
      <c r="AA457" s="13" t="s">
        <v>564</v>
      </c>
      <c r="AB457" s="13"/>
      <c r="AC457" s="13"/>
      <c r="AD457" s="13"/>
      <c r="AE457" s="13"/>
      <c r="AF457" s="1"/>
      <c r="AG457" s="1"/>
      <c r="AH457" s="1"/>
      <c r="AI457" s="1"/>
      <c r="AJ457" s="1"/>
    </row>
    <row r="458" spans="1:36" x14ac:dyDescent="0.2">
      <c r="A458" s="12">
        <v>45710.5517759375</v>
      </c>
      <c r="B458" s="13" t="s">
        <v>2144</v>
      </c>
      <c r="C458" s="13"/>
      <c r="D458" s="13"/>
      <c r="E458" s="13" t="s">
        <v>865</v>
      </c>
      <c r="F458" s="13" t="s">
        <v>1911</v>
      </c>
      <c r="G458" s="13" t="s">
        <v>2421</v>
      </c>
      <c r="H458" s="13">
        <v>1128434049</v>
      </c>
      <c r="I458" s="13">
        <v>3205151458</v>
      </c>
      <c r="J458" s="13" t="s">
        <v>2422</v>
      </c>
      <c r="K458" s="13">
        <v>3116264944</v>
      </c>
      <c r="L458" s="13" t="s">
        <v>372</v>
      </c>
      <c r="M458" s="13"/>
      <c r="N458" s="13" t="s">
        <v>35</v>
      </c>
      <c r="O458" s="13" t="s">
        <v>2338</v>
      </c>
      <c r="P458" s="13"/>
      <c r="Q458" s="13"/>
      <c r="R458" s="13"/>
      <c r="S458" s="13"/>
      <c r="T458" s="13"/>
      <c r="U458" s="13" t="s">
        <v>132</v>
      </c>
      <c r="V458" s="13" t="s">
        <v>564</v>
      </c>
      <c r="W458" s="13" t="s">
        <v>132</v>
      </c>
      <c r="X458" s="13" t="s">
        <v>564</v>
      </c>
      <c r="Y458" s="13" t="s">
        <v>564</v>
      </c>
      <c r="Z458" s="13" t="s">
        <v>564</v>
      </c>
      <c r="AA458" s="13" t="s">
        <v>564</v>
      </c>
      <c r="AB458" s="13"/>
      <c r="AC458" s="13"/>
      <c r="AD458" s="13"/>
      <c r="AE458" s="13"/>
      <c r="AF458" s="1"/>
      <c r="AG458" s="1"/>
      <c r="AH458" s="1"/>
      <c r="AI458" s="1"/>
      <c r="AJ458" s="1"/>
    </row>
    <row r="459" spans="1:36" x14ac:dyDescent="0.2">
      <c r="A459" s="12">
        <v>45715.813613912032</v>
      </c>
      <c r="B459" s="13" t="s">
        <v>893</v>
      </c>
      <c r="C459" s="13"/>
      <c r="D459" s="13"/>
      <c r="E459" s="13" t="s">
        <v>865</v>
      </c>
      <c r="F459" s="13" t="s">
        <v>1911</v>
      </c>
      <c r="G459" s="13" t="s">
        <v>2423</v>
      </c>
      <c r="H459" s="13">
        <v>22024687</v>
      </c>
      <c r="I459" s="13">
        <v>3007893172</v>
      </c>
      <c r="J459" s="13" t="s">
        <v>2424</v>
      </c>
      <c r="K459" s="13">
        <v>3116264944</v>
      </c>
      <c r="L459" s="13" t="s">
        <v>1288</v>
      </c>
      <c r="M459" s="13"/>
      <c r="N459" s="13" t="s">
        <v>35</v>
      </c>
      <c r="O459" s="13" t="s">
        <v>2338</v>
      </c>
      <c r="P459" s="13"/>
      <c r="Q459" s="13"/>
      <c r="R459" s="13"/>
      <c r="S459" s="13"/>
      <c r="T459" s="13"/>
      <c r="U459" s="13" t="s">
        <v>564</v>
      </c>
      <c r="V459" s="13" t="s">
        <v>564</v>
      </c>
      <c r="W459" s="13" t="s">
        <v>2086</v>
      </c>
      <c r="X459" s="13" t="s">
        <v>564</v>
      </c>
      <c r="Y459" s="13" t="s">
        <v>132</v>
      </c>
      <c r="Z459" s="13" t="s">
        <v>564</v>
      </c>
      <c r="AA459" s="13" t="s">
        <v>564</v>
      </c>
      <c r="AB459" s="13"/>
      <c r="AC459" s="13" t="s">
        <v>2425</v>
      </c>
      <c r="AD459" s="13"/>
      <c r="AE459" s="13"/>
      <c r="AF459" s="1"/>
      <c r="AG459" s="1"/>
      <c r="AH459" s="1"/>
      <c r="AI459" s="1"/>
      <c r="AJ459" s="1"/>
    </row>
    <row r="460" spans="1:36" x14ac:dyDescent="0.2">
      <c r="A460" s="12">
        <v>45715.815918773151</v>
      </c>
      <c r="B460" s="13" t="s">
        <v>893</v>
      </c>
      <c r="C460" s="13"/>
      <c r="D460" s="13"/>
      <c r="E460" s="13" t="s">
        <v>865</v>
      </c>
      <c r="F460" s="13" t="s">
        <v>1911</v>
      </c>
      <c r="G460" s="13" t="s">
        <v>2426</v>
      </c>
      <c r="H460" s="13">
        <v>1037449311</v>
      </c>
      <c r="I460" s="13">
        <v>3216440006</v>
      </c>
      <c r="J460" s="13" t="s">
        <v>2427</v>
      </c>
      <c r="K460" s="13">
        <v>3183464231</v>
      </c>
      <c r="L460" s="13" t="s">
        <v>92</v>
      </c>
      <c r="M460" s="13"/>
      <c r="N460" s="13" t="s">
        <v>35</v>
      </c>
      <c r="O460" s="13" t="s">
        <v>2428</v>
      </c>
      <c r="P460" s="13"/>
      <c r="Q460" s="13"/>
      <c r="R460" s="13"/>
      <c r="S460" s="13"/>
      <c r="T460" s="13"/>
      <c r="U460" s="13" t="s">
        <v>132</v>
      </c>
      <c r="V460" s="13" t="s">
        <v>564</v>
      </c>
      <c r="W460" s="13" t="s">
        <v>2086</v>
      </c>
      <c r="X460" s="13" t="s">
        <v>564</v>
      </c>
      <c r="Y460" s="13" t="s">
        <v>132</v>
      </c>
      <c r="Z460" s="13" t="s">
        <v>564</v>
      </c>
      <c r="AA460" s="13" t="s">
        <v>564</v>
      </c>
      <c r="AB460" s="13"/>
      <c r="AC460" s="13" t="s">
        <v>2429</v>
      </c>
      <c r="AD460" s="13"/>
      <c r="AE460" s="13"/>
      <c r="AF460" s="1"/>
      <c r="AG460" s="1"/>
      <c r="AH460" s="1"/>
      <c r="AI460" s="1"/>
      <c r="AJ460" s="1"/>
    </row>
    <row r="461" spans="1:36" x14ac:dyDescent="0.2">
      <c r="A461" s="12">
        <v>45715.817929224533</v>
      </c>
      <c r="B461" s="13" t="s">
        <v>893</v>
      </c>
      <c r="C461" s="13"/>
      <c r="D461" s="13"/>
      <c r="E461" s="13" t="s">
        <v>865</v>
      </c>
      <c r="F461" s="13" t="s">
        <v>1180</v>
      </c>
      <c r="G461" s="13" t="s">
        <v>2430</v>
      </c>
      <c r="H461" s="13">
        <v>43526362</v>
      </c>
      <c r="I461" s="13">
        <v>3015409691</v>
      </c>
      <c r="J461" s="13" t="s">
        <v>2431</v>
      </c>
      <c r="K461" s="13">
        <v>3205713553</v>
      </c>
      <c r="L461" s="13" t="s">
        <v>158</v>
      </c>
      <c r="M461" s="13"/>
      <c r="N461" s="13" t="s">
        <v>35</v>
      </c>
      <c r="O461" s="13" t="s">
        <v>2432</v>
      </c>
      <c r="P461" s="13"/>
      <c r="Q461" s="13"/>
      <c r="R461" s="13"/>
      <c r="S461" s="13"/>
      <c r="T461" s="13"/>
      <c r="U461" s="13" t="s">
        <v>132</v>
      </c>
      <c r="V461" s="13" t="s">
        <v>564</v>
      </c>
      <c r="W461" s="13" t="s">
        <v>132</v>
      </c>
      <c r="X461" s="13" t="s">
        <v>564</v>
      </c>
      <c r="Y461" s="13" t="s">
        <v>132</v>
      </c>
      <c r="Z461" s="13" t="s">
        <v>564</v>
      </c>
      <c r="AA461" s="13" t="s">
        <v>564</v>
      </c>
      <c r="AB461" s="13"/>
      <c r="AC461" s="13"/>
      <c r="AD461" s="13"/>
      <c r="AE461" s="13"/>
      <c r="AF461" s="1"/>
      <c r="AG461" s="1"/>
      <c r="AH461" s="1"/>
      <c r="AI461" s="1"/>
      <c r="AJ461" s="1"/>
    </row>
    <row r="462" spans="1:36" x14ac:dyDescent="0.2">
      <c r="A462" s="12">
        <v>45715.819347997684</v>
      </c>
      <c r="B462" s="13" t="s">
        <v>1917</v>
      </c>
      <c r="C462" s="13"/>
      <c r="D462" s="13"/>
      <c r="E462" s="13" t="s">
        <v>865</v>
      </c>
      <c r="F462" s="13" t="s">
        <v>1911</v>
      </c>
      <c r="G462" s="13" t="s">
        <v>2433</v>
      </c>
      <c r="H462" s="13">
        <v>21698280</v>
      </c>
      <c r="I462" s="13">
        <v>3136285168</v>
      </c>
      <c r="J462" s="13" t="s">
        <v>2434</v>
      </c>
      <c r="K462" s="13">
        <v>3206106275</v>
      </c>
      <c r="L462" s="13" t="s">
        <v>267</v>
      </c>
      <c r="M462" s="13"/>
      <c r="N462" s="13" t="s">
        <v>35</v>
      </c>
      <c r="O462" s="13" t="s">
        <v>2271</v>
      </c>
      <c r="P462" s="13"/>
      <c r="Q462" s="13"/>
      <c r="R462" s="13"/>
      <c r="S462" s="13"/>
      <c r="T462" s="13"/>
      <c r="U462" s="13" t="s">
        <v>132</v>
      </c>
      <c r="V462" s="13" t="s">
        <v>132</v>
      </c>
      <c r="W462" s="13" t="s">
        <v>2086</v>
      </c>
      <c r="X462" s="13" t="s">
        <v>564</v>
      </c>
      <c r="Y462" s="13" t="s">
        <v>132</v>
      </c>
      <c r="Z462" s="13" t="s">
        <v>564</v>
      </c>
      <c r="AA462" s="13" t="s">
        <v>564</v>
      </c>
      <c r="AB462" s="13"/>
      <c r="AC462" s="13"/>
      <c r="AD462" s="13"/>
      <c r="AE462" s="13"/>
      <c r="AF462" s="1"/>
      <c r="AG462" s="1"/>
      <c r="AH462" s="1"/>
      <c r="AI462" s="1"/>
      <c r="AJ462" s="1"/>
    </row>
    <row r="463" spans="1:36" x14ac:dyDescent="0.2">
      <c r="A463" s="5">
        <v>45725.489512164349</v>
      </c>
      <c r="B463" s="1" t="s">
        <v>354</v>
      </c>
      <c r="C463" s="1"/>
      <c r="D463" s="1"/>
      <c r="E463" s="1" t="s">
        <v>31</v>
      </c>
      <c r="F463" s="1">
        <v>3</v>
      </c>
      <c r="G463" s="1" t="s">
        <v>2435</v>
      </c>
      <c r="H463" s="1">
        <v>1025640192</v>
      </c>
      <c r="I463" s="1">
        <v>3024262119</v>
      </c>
      <c r="J463" s="1"/>
      <c r="K463" s="1"/>
      <c r="L463" s="1" t="s">
        <v>379</v>
      </c>
      <c r="M463" s="1"/>
      <c r="N463" s="1" t="s">
        <v>35</v>
      </c>
      <c r="O463" s="1" t="s">
        <v>2341</v>
      </c>
      <c r="P463" s="1"/>
      <c r="Q463" s="1"/>
      <c r="R463" s="1"/>
      <c r="S463" s="1"/>
      <c r="T463" s="1"/>
      <c r="U463" s="1" t="s">
        <v>132</v>
      </c>
      <c r="V463" s="1" t="s">
        <v>564</v>
      </c>
      <c r="W463" s="1" t="s">
        <v>132</v>
      </c>
      <c r="X463" s="1" t="s">
        <v>564</v>
      </c>
      <c r="Y463" s="1" t="s">
        <v>564</v>
      </c>
      <c r="Z463" s="1" t="s">
        <v>132</v>
      </c>
      <c r="AA463" s="1" t="s">
        <v>132</v>
      </c>
      <c r="AB463" s="1"/>
      <c r="AC463" s="1"/>
      <c r="AD463" s="1"/>
      <c r="AE463" s="1"/>
      <c r="AF463" s="1"/>
      <c r="AG463" s="1"/>
      <c r="AH463" s="1"/>
      <c r="AI463" s="1"/>
      <c r="AJ463" s="1"/>
    </row>
    <row r="464" spans="1:36" x14ac:dyDescent="0.2">
      <c r="A464" s="5">
        <v>45725.489899930559</v>
      </c>
      <c r="B464" s="1" t="s">
        <v>2436</v>
      </c>
      <c r="C464" s="1"/>
      <c r="D464" s="1"/>
      <c r="E464" s="1" t="s">
        <v>31</v>
      </c>
      <c r="F464" s="1">
        <v>2</v>
      </c>
      <c r="G464" s="1" t="s">
        <v>2437</v>
      </c>
      <c r="H464" s="1">
        <v>43751027</v>
      </c>
      <c r="I464" s="1">
        <v>3117167421</v>
      </c>
      <c r="J464" s="1" t="s">
        <v>2438</v>
      </c>
      <c r="K464" s="1">
        <v>3226696494</v>
      </c>
      <c r="L464" s="1" t="s">
        <v>83</v>
      </c>
      <c r="M464" s="1"/>
      <c r="N464" s="1" t="s">
        <v>35</v>
      </c>
      <c r="O464" s="1" t="s">
        <v>2439</v>
      </c>
      <c r="P464" s="1"/>
      <c r="Q464" s="1"/>
      <c r="R464" s="1"/>
      <c r="S464" s="1"/>
      <c r="T464" s="1"/>
      <c r="U464" s="1" t="s">
        <v>132</v>
      </c>
      <c r="V464" s="1" t="s">
        <v>564</v>
      </c>
      <c r="W464" s="1" t="s">
        <v>2086</v>
      </c>
      <c r="X464" s="1" t="s">
        <v>564</v>
      </c>
      <c r="Y464" s="1" t="s">
        <v>564</v>
      </c>
      <c r="Z464" s="1" t="s">
        <v>564</v>
      </c>
      <c r="AA464" s="1" t="s">
        <v>564</v>
      </c>
      <c r="AB464" s="1"/>
      <c r="AC464" s="1" t="s">
        <v>2440</v>
      </c>
      <c r="AD464" s="1"/>
      <c r="AE464" s="1"/>
      <c r="AF464" s="1"/>
      <c r="AG464" s="1"/>
      <c r="AH464" s="1"/>
      <c r="AI464" s="1"/>
      <c r="AJ464" s="1"/>
    </row>
    <row r="465" spans="1:36" x14ac:dyDescent="0.2">
      <c r="A465" s="5">
        <v>45725.490526597219</v>
      </c>
      <c r="B465" s="1" t="s">
        <v>2441</v>
      </c>
      <c r="C465" s="1"/>
      <c r="D465" s="1"/>
      <c r="E465" s="1" t="s">
        <v>31</v>
      </c>
      <c r="F465" s="1" t="s">
        <v>32</v>
      </c>
      <c r="G465" s="1" t="s">
        <v>2442</v>
      </c>
      <c r="H465" s="1">
        <v>71316381</v>
      </c>
      <c r="I465" s="1">
        <v>3225206522</v>
      </c>
      <c r="J465" s="1"/>
      <c r="K465" s="1"/>
      <c r="L465" s="1" t="s">
        <v>180</v>
      </c>
      <c r="M465" s="1"/>
      <c r="N465" s="1" t="s">
        <v>35</v>
      </c>
      <c r="O465" s="1" t="s">
        <v>2443</v>
      </c>
      <c r="P465" s="1"/>
      <c r="Q465" s="1"/>
      <c r="R465" s="1"/>
      <c r="S465" s="1"/>
      <c r="T465" s="1"/>
      <c r="U465" s="1" t="s">
        <v>132</v>
      </c>
      <c r="V465" s="1" t="s">
        <v>564</v>
      </c>
      <c r="W465" s="1" t="s">
        <v>2086</v>
      </c>
      <c r="X465" s="1" t="s">
        <v>564</v>
      </c>
      <c r="Y465" s="1" t="s">
        <v>564</v>
      </c>
      <c r="Z465" s="1" t="s">
        <v>564</v>
      </c>
      <c r="AA465" s="1" t="s">
        <v>132</v>
      </c>
      <c r="AB465" s="1"/>
      <c r="AC465" s="1"/>
      <c r="AD465" s="1"/>
      <c r="AE465" s="1"/>
      <c r="AF465" s="1"/>
      <c r="AG465" s="1"/>
      <c r="AH465" s="1"/>
      <c r="AI465" s="1"/>
      <c r="AJ465" s="1"/>
    </row>
    <row r="466" spans="1:36" x14ac:dyDescent="0.2">
      <c r="A466" s="5">
        <v>45725.491104143519</v>
      </c>
      <c r="B466" s="1" t="s">
        <v>805</v>
      </c>
      <c r="C466" s="1"/>
      <c r="D466" s="1"/>
      <c r="E466" s="1" t="s">
        <v>31</v>
      </c>
      <c r="F466" s="1">
        <v>3</v>
      </c>
      <c r="G466" s="1" t="s">
        <v>2444</v>
      </c>
      <c r="H466" s="1">
        <v>1077420619</v>
      </c>
      <c r="I466" s="1">
        <v>3243007732</v>
      </c>
      <c r="J466" s="1"/>
      <c r="K466" s="1"/>
      <c r="L466" s="1" t="s">
        <v>299</v>
      </c>
      <c r="M466" s="1"/>
      <c r="N466" s="1" t="s">
        <v>35</v>
      </c>
      <c r="O466" s="1" t="s">
        <v>2445</v>
      </c>
      <c r="P466" s="1"/>
      <c r="Q466" s="1"/>
      <c r="R466" s="1"/>
      <c r="S466" s="1"/>
      <c r="T466" s="1"/>
      <c r="U466" s="1" t="s">
        <v>132</v>
      </c>
      <c r="V466" s="1" t="s">
        <v>564</v>
      </c>
      <c r="W466" s="1" t="s">
        <v>132</v>
      </c>
      <c r="X466" s="1" t="s">
        <v>564</v>
      </c>
      <c r="Y466" s="1" t="s">
        <v>564</v>
      </c>
      <c r="Z466" s="1" t="s">
        <v>132</v>
      </c>
      <c r="AA466" s="1" t="s">
        <v>132</v>
      </c>
      <c r="AB466" s="1"/>
      <c r="AC466" s="1"/>
      <c r="AD466" s="1"/>
      <c r="AE466" s="1"/>
      <c r="AF466" s="1"/>
      <c r="AG466" s="1"/>
      <c r="AH466" s="1"/>
      <c r="AI466" s="1"/>
      <c r="AJ466" s="1"/>
    </row>
    <row r="467" spans="1:36" x14ac:dyDescent="0.2">
      <c r="A467" s="5">
        <v>45725.491399664352</v>
      </c>
      <c r="B467" s="1" t="s">
        <v>2446</v>
      </c>
      <c r="C467" s="1"/>
      <c r="D467" s="1"/>
      <c r="E467" s="1" t="s">
        <v>31</v>
      </c>
      <c r="F467" s="1" t="s">
        <v>32</v>
      </c>
      <c r="G467" s="1" t="s">
        <v>2447</v>
      </c>
      <c r="H467" s="1">
        <v>21611069</v>
      </c>
      <c r="I467" s="1">
        <v>3144442654</v>
      </c>
      <c r="J467" s="1"/>
      <c r="K467" s="1"/>
      <c r="L467" s="1">
        <v>4</v>
      </c>
      <c r="M467" s="1"/>
      <c r="N467" s="1" t="s">
        <v>35</v>
      </c>
      <c r="O467" s="1" t="s">
        <v>2448</v>
      </c>
      <c r="P467" s="1"/>
      <c r="Q467" s="1"/>
      <c r="R467" s="1"/>
      <c r="S467" s="1"/>
      <c r="T467" s="1"/>
      <c r="U467" s="1" t="s">
        <v>132</v>
      </c>
      <c r="V467" s="1" t="s">
        <v>564</v>
      </c>
      <c r="W467" s="1" t="s">
        <v>2086</v>
      </c>
      <c r="X467" s="1" t="s">
        <v>564</v>
      </c>
      <c r="Y467" s="1" t="s">
        <v>132</v>
      </c>
      <c r="Z467" s="1" t="s">
        <v>564</v>
      </c>
      <c r="AA467" s="1" t="s">
        <v>564</v>
      </c>
      <c r="AB467" s="1"/>
      <c r="AC467" s="1" t="s">
        <v>2449</v>
      </c>
      <c r="AD467" s="1"/>
      <c r="AE467" s="1"/>
      <c r="AF467" s="1"/>
      <c r="AG467" s="1"/>
      <c r="AH467" s="1"/>
      <c r="AI467" s="1"/>
      <c r="AJ467" s="1"/>
    </row>
    <row r="468" spans="1:36" x14ac:dyDescent="0.2">
      <c r="A468" s="5">
        <v>45725.493841145828</v>
      </c>
      <c r="B468" s="1" t="s">
        <v>1994</v>
      </c>
      <c r="C468" s="1"/>
      <c r="D468" s="1"/>
      <c r="E468" s="1" t="s">
        <v>31</v>
      </c>
      <c r="F468" s="1" t="s">
        <v>56</v>
      </c>
      <c r="G468" s="1" t="s">
        <v>2450</v>
      </c>
      <c r="H468" s="1">
        <v>21812704</v>
      </c>
      <c r="I468" s="1">
        <v>3122590352</v>
      </c>
      <c r="J468" s="1" t="s">
        <v>2451</v>
      </c>
      <c r="K468" s="1" t="s">
        <v>2452</v>
      </c>
      <c r="L468" s="1" t="s">
        <v>83</v>
      </c>
      <c r="M468" s="1"/>
      <c r="N468" s="1" t="s">
        <v>35</v>
      </c>
      <c r="O468" s="1" t="s">
        <v>2453</v>
      </c>
      <c r="P468" s="1"/>
      <c r="Q468" s="1"/>
      <c r="R468" s="1"/>
      <c r="S468" s="1"/>
      <c r="T468" s="1"/>
      <c r="U468" s="1" t="s">
        <v>132</v>
      </c>
      <c r="V468" s="1" t="s">
        <v>564</v>
      </c>
      <c r="W468" s="1" t="s">
        <v>132</v>
      </c>
      <c r="X468" s="1" t="s">
        <v>564</v>
      </c>
      <c r="Y468" s="1" t="s">
        <v>564</v>
      </c>
      <c r="Z468" s="1" t="s">
        <v>564</v>
      </c>
      <c r="AA468" s="1" t="s">
        <v>564</v>
      </c>
      <c r="AB468" s="1"/>
      <c r="AC468" s="1"/>
      <c r="AD468" s="1"/>
      <c r="AE468" s="1"/>
      <c r="AF468" s="1"/>
      <c r="AG468" s="1"/>
      <c r="AH468" s="1"/>
      <c r="AI468" s="1"/>
      <c r="AJ468" s="1"/>
    </row>
    <row r="469" spans="1:36" x14ac:dyDescent="0.2">
      <c r="A469" s="5">
        <v>45725.494905173611</v>
      </c>
      <c r="B469" s="1" t="s">
        <v>2454</v>
      </c>
      <c r="C469" s="1"/>
      <c r="D469" s="1"/>
      <c r="E469" s="1" t="s">
        <v>31</v>
      </c>
      <c r="F469" s="1" t="s">
        <v>56</v>
      </c>
      <c r="G469" s="1" t="s">
        <v>1323</v>
      </c>
      <c r="H469" s="1">
        <v>43102028</v>
      </c>
      <c r="I469" s="1">
        <v>3015710434</v>
      </c>
      <c r="J469" s="1" t="s">
        <v>2455</v>
      </c>
      <c r="K469" s="1">
        <v>3116575682</v>
      </c>
      <c r="L469" s="1" t="s">
        <v>414</v>
      </c>
      <c r="M469" s="1"/>
      <c r="N469" s="1" t="s">
        <v>35</v>
      </c>
      <c r="O469" s="1" t="s">
        <v>2456</v>
      </c>
      <c r="P469" s="1"/>
      <c r="Q469" s="1"/>
      <c r="R469" s="1"/>
      <c r="S469" s="1"/>
      <c r="T469" s="1"/>
      <c r="U469" s="1" t="s">
        <v>132</v>
      </c>
      <c r="V469" s="1" t="s">
        <v>564</v>
      </c>
      <c r="W469" s="1" t="s">
        <v>132</v>
      </c>
      <c r="X469" s="1" t="s">
        <v>564</v>
      </c>
      <c r="Y469" s="1" t="s">
        <v>132</v>
      </c>
      <c r="Z469" s="1" t="s">
        <v>564</v>
      </c>
      <c r="AA469" s="1" t="s">
        <v>564</v>
      </c>
      <c r="AB469" s="1"/>
      <c r="AC469" s="1"/>
      <c r="AD469" s="1"/>
      <c r="AE469" s="1"/>
      <c r="AF469" s="1"/>
      <c r="AG469" s="1"/>
      <c r="AH469" s="1"/>
      <c r="AI469" s="1"/>
      <c r="AJ469" s="1"/>
    </row>
    <row r="470" spans="1:36" x14ac:dyDescent="0.2">
      <c r="A470" s="12">
        <v>45726.818147465281</v>
      </c>
      <c r="B470" s="13" t="s">
        <v>1917</v>
      </c>
      <c r="C470" s="13"/>
      <c r="D470" s="13"/>
      <c r="E470" s="13" t="s">
        <v>865</v>
      </c>
      <c r="F470" s="13" t="s">
        <v>1911</v>
      </c>
      <c r="G470" s="13" t="s">
        <v>2457</v>
      </c>
      <c r="H470" s="13">
        <v>16919112</v>
      </c>
      <c r="I470" s="13">
        <v>3138702032</v>
      </c>
      <c r="J470" s="13"/>
      <c r="K470" s="13"/>
      <c r="L470" s="13" t="s">
        <v>159</v>
      </c>
      <c r="M470" s="13"/>
      <c r="N470" s="13" t="s">
        <v>35</v>
      </c>
      <c r="O470" s="13" t="s">
        <v>2148</v>
      </c>
      <c r="P470" s="13"/>
      <c r="Q470" s="13"/>
      <c r="R470" s="13"/>
      <c r="S470" s="13"/>
      <c r="T470" s="13"/>
      <c r="U470" s="13" t="s">
        <v>132</v>
      </c>
      <c r="V470" s="13" t="s">
        <v>564</v>
      </c>
      <c r="W470" s="13" t="s">
        <v>2086</v>
      </c>
      <c r="X470" s="13" t="s">
        <v>564</v>
      </c>
      <c r="Y470" s="13" t="s">
        <v>132</v>
      </c>
      <c r="Z470" s="13" t="s">
        <v>564</v>
      </c>
      <c r="AA470" s="13" t="s">
        <v>564</v>
      </c>
      <c r="AB470" s="13"/>
      <c r="AC470" s="13"/>
      <c r="AD470" s="13"/>
      <c r="AE470" s="13"/>
      <c r="AF470" s="1"/>
      <c r="AG470" s="1"/>
      <c r="AH470" s="1"/>
      <c r="AI470" s="1"/>
      <c r="AJ470" s="1"/>
    </row>
    <row r="471" spans="1:36" x14ac:dyDescent="0.2">
      <c r="A471" s="5">
        <v>45728.69354393518</v>
      </c>
      <c r="B471" s="1" t="s">
        <v>2458</v>
      </c>
      <c r="C471" s="1"/>
      <c r="D471" s="1"/>
      <c r="E471" s="1" t="s">
        <v>31</v>
      </c>
      <c r="F471" s="1">
        <v>2</v>
      </c>
      <c r="G471" s="1" t="s">
        <v>2459</v>
      </c>
      <c r="H471" s="1">
        <v>21807154</v>
      </c>
      <c r="I471" s="1">
        <v>3144479587</v>
      </c>
      <c r="J471" s="1" t="s">
        <v>2460</v>
      </c>
      <c r="K471" s="1"/>
      <c r="L471" s="1">
        <v>17</v>
      </c>
      <c r="M471" s="1"/>
      <c r="N471" s="1" t="s">
        <v>35</v>
      </c>
      <c r="O471" s="1" t="s">
        <v>2351</v>
      </c>
      <c r="P471" s="1"/>
      <c r="Q471" s="1"/>
      <c r="R471" s="1"/>
      <c r="S471" s="1"/>
      <c r="T471" s="1"/>
      <c r="U471" s="1" t="s">
        <v>132</v>
      </c>
      <c r="V471" s="1" t="s">
        <v>564</v>
      </c>
      <c r="W471" s="1" t="s">
        <v>2086</v>
      </c>
      <c r="X471" s="1" t="s">
        <v>564</v>
      </c>
      <c r="Y471" s="1" t="s">
        <v>564</v>
      </c>
      <c r="Z471" s="1" t="s">
        <v>132</v>
      </c>
      <c r="AA471" s="1" t="s">
        <v>564</v>
      </c>
      <c r="AB471" s="1"/>
      <c r="AC471" s="1"/>
      <c r="AD471" s="1"/>
      <c r="AE471" s="1"/>
      <c r="AF471" s="1"/>
      <c r="AG471" s="1"/>
      <c r="AH471" s="1"/>
      <c r="AI471" s="1"/>
      <c r="AJ471" s="1"/>
    </row>
    <row r="472" spans="1:36" x14ac:dyDescent="0.2">
      <c r="A472" s="12">
        <v>45745.468021956018</v>
      </c>
      <c r="B472" s="13" t="s">
        <v>2347</v>
      </c>
      <c r="C472" s="13"/>
      <c r="D472" s="13"/>
      <c r="E472" s="13" t="s">
        <v>865</v>
      </c>
      <c r="F472" s="13" t="s">
        <v>1911</v>
      </c>
      <c r="G472" s="13" t="s">
        <v>2461</v>
      </c>
      <c r="H472" s="13">
        <v>1036668630</v>
      </c>
      <c r="I472" s="13">
        <v>3001649351</v>
      </c>
      <c r="J472" s="13"/>
      <c r="K472" s="13"/>
      <c r="L472" s="13">
        <v>15</v>
      </c>
      <c r="M472" s="13"/>
      <c r="N472" s="13" t="s">
        <v>35</v>
      </c>
      <c r="O472" s="13" t="s">
        <v>2462</v>
      </c>
      <c r="P472" s="13"/>
      <c r="Q472" s="13"/>
      <c r="R472" s="13"/>
      <c r="S472" s="13"/>
      <c r="T472" s="13"/>
      <c r="U472" s="13" t="s">
        <v>132</v>
      </c>
      <c r="V472" s="13" t="s">
        <v>564</v>
      </c>
      <c r="W472" s="13" t="s">
        <v>2107</v>
      </c>
      <c r="X472" s="13" t="s">
        <v>564</v>
      </c>
      <c r="Y472" s="13" t="s">
        <v>564</v>
      </c>
      <c r="Z472" s="13" t="s">
        <v>564</v>
      </c>
      <c r="AA472" s="13" t="s">
        <v>564</v>
      </c>
      <c r="AB472" s="13"/>
      <c r="AC472" s="13"/>
      <c r="AD472" s="13"/>
      <c r="AE472" s="13"/>
      <c r="AF472" s="1"/>
      <c r="AG472" s="1"/>
      <c r="AH472" s="1"/>
      <c r="AI472" s="1"/>
      <c r="AJ472" s="1"/>
    </row>
    <row r="473" spans="1:36" x14ac:dyDescent="0.2">
      <c r="A473" s="12">
        <v>45745.470121678241</v>
      </c>
      <c r="B473" s="13" t="s">
        <v>2347</v>
      </c>
      <c r="C473" s="13"/>
      <c r="D473" s="13"/>
      <c r="E473" s="13" t="s">
        <v>865</v>
      </c>
      <c r="F473" s="13" t="s">
        <v>1911</v>
      </c>
      <c r="G473" s="13" t="s">
        <v>2463</v>
      </c>
      <c r="H473" s="13">
        <v>1066513138</v>
      </c>
      <c r="I473" s="13">
        <v>3022590560</v>
      </c>
      <c r="J473" s="13"/>
      <c r="K473" s="13"/>
      <c r="L473" s="13">
        <v>17</v>
      </c>
      <c r="M473" s="13"/>
      <c r="N473" s="13" t="s">
        <v>35</v>
      </c>
      <c r="O473" s="13" t="s">
        <v>2464</v>
      </c>
      <c r="P473" s="13"/>
      <c r="Q473" s="13"/>
      <c r="R473" s="13"/>
      <c r="S473" s="13"/>
      <c r="T473" s="13"/>
      <c r="U473" s="13" t="s">
        <v>132</v>
      </c>
      <c r="V473" s="13" t="s">
        <v>564</v>
      </c>
      <c r="W473" s="13" t="s">
        <v>2107</v>
      </c>
      <c r="X473" s="13" t="s">
        <v>564</v>
      </c>
      <c r="Y473" s="13" t="s">
        <v>132</v>
      </c>
      <c r="Z473" s="13" t="s">
        <v>564</v>
      </c>
      <c r="AA473" s="13" t="s">
        <v>564</v>
      </c>
      <c r="AB473" s="13"/>
      <c r="AC473" s="13"/>
      <c r="AD473" s="13"/>
      <c r="AE473" s="13"/>
      <c r="AF473" s="1"/>
      <c r="AG473" s="1"/>
      <c r="AH473" s="1"/>
      <c r="AI473" s="1"/>
      <c r="AJ473" s="1"/>
    </row>
    <row r="474" spans="1:36" x14ac:dyDescent="0.2">
      <c r="A474" s="12">
        <v>45745.472597766202</v>
      </c>
      <c r="B474" s="13" t="s">
        <v>2347</v>
      </c>
      <c r="C474" s="13"/>
      <c r="D474" s="13"/>
      <c r="E474" s="13" t="s">
        <v>865</v>
      </c>
      <c r="F474" s="13" t="s">
        <v>2465</v>
      </c>
      <c r="G474" s="13" t="s">
        <v>2466</v>
      </c>
      <c r="H474" s="13">
        <v>1000394111</v>
      </c>
      <c r="I474" s="13">
        <v>3147234356</v>
      </c>
      <c r="J474" s="13"/>
      <c r="K474" s="13"/>
      <c r="L474" s="13">
        <v>14</v>
      </c>
      <c r="M474" s="13"/>
      <c r="N474" s="13" t="s">
        <v>35</v>
      </c>
      <c r="O474" s="13" t="s">
        <v>2467</v>
      </c>
      <c r="P474" s="13"/>
      <c r="Q474" s="13"/>
      <c r="R474" s="13"/>
      <c r="S474" s="13"/>
      <c r="T474" s="13"/>
      <c r="U474" s="13" t="s">
        <v>132</v>
      </c>
      <c r="V474" s="13" t="s">
        <v>564</v>
      </c>
      <c r="W474" s="13" t="s">
        <v>132</v>
      </c>
      <c r="X474" s="13" t="s">
        <v>564</v>
      </c>
      <c r="Y474" s="13" t="s">
        <v>132</v>
      </c>
      <c r="Z474" s="13" t="s">
        <v>564</v>
      </c>
      <c r="AA474" s="13" t="s">
        <v>564</v>
      </c>
      <c r="AB474" s="13"/>
      <c r="AC474" s="13"/>
      <c r="AD474" s="13"/>
      <c r="AE474" s="13"/>
      <c r="AF474" s="1"/>
      <c r="AG474" s="1"/>
      <c r="AH474" s="1"/>
      <c r="AI474" s="1"/>
      <c r="AJ474" s="1"/>
    </row>
    <row r="475" spans="1:36" x14ac:dyDescent="0.2">
      <c r="A475" s="12">
        <v>45745.474295752312</v>
      </c>
      <c r="B475" s="13" t="s">
        <v>2347</v>
      </c>
      <c r="C475" s="13"/>
      <c r="D475" s="13"/>
      <c r="E475" s="13" t="s">
        <v>865</v>
      </c>
      <c r="F475" s="13" t="s">
        <v>1911</v>
      </c>
      <c r="G475" s="13" t="s">
        <v>2468</v>
      </c>
      <c r="H475" s="13">
        <v>1036786063</v>
      </c>
      <c r="I475" s="13">
        <v>3012852023</v>
      </c>
      <c r="J475" s="13"/>
      <c r="K475" s="13"/>
      <c r="L475" s="13" t="s">
        <v>769</v>
      </c>
      <c r="M475" s="13"/>
      <c r="N475" s="13" t="s">
        <v>35</v>
      </c>
      <c r="O475" s="13" t="s">
        <v>2469</v>
      </c>
      <c r="P475" s="13"/>
      <c r="Q475" s="13"/>
      <c r="R475" s="13"/>
      <c r="S475" s="13"/>
      <c r="T475" s="13"/>
      <c r="U475" s="13" t="s">
        <v>564</v>
      </c>
      <c r="V475" s="13" t="s">
        <v>564</v>
      </c>
      <c r="W475" s="13" t="s">
        <v>2086</v>
      </c>
      <c r="X475" s="13" t="s">
        <v>564</v>
      </c>
      <c r="Y475" s="13" t="s">
        <v>132</v>
      </c>
      <c r="Z475" s="13" t="s">
        <v>564</v>
      </c>
      <c r="AA475" s="13" t="s">
        <v>564</v>
      </c>
      <c r="AB475" s="13"/>
      <c r="AC475" s="13"/>
      <c r="AD475" s="13"/>
      <c r="AE475" s="13"/>
      <c r="AF475" s="1"/>
      <c r="AG475" s="1"/>
      <c r="AH475" s="1"/>
      <c r="AI475" s="1"/>
      <c r="AJ475" s="1"/>
    </row>
    <row r="476" spans="1:36" x14ac:dyDescent="0.2">
      <c r="A476" s="12">
        <v>45745.475006597218</v>
      </c>
      <c r="B476" s="13" t="s">
        <v>2470</v>
      </c>
      <c r="C476" s="13"/>
      <c r="D476" s="13"/>
      <c r="E476" s="13" t="s">
        <v>865</v>
      </c>
      <c r="F476" s="13" t="s">
        <v>2471</v>
      </c>
      <c r="G476" s="13" t="s">
        <v>2472</v>
      </c>
      <c r="H476" s="13">
        <v>1214713908</v>
      </c>
      <c r="I476" s="13">
        <v>3233553258</v>
      </c>
      <c r="J476" s="13" t="s">
        <v>2473</v>
      </c>
      <c r="K476" s="13">
        <v>3104227726</v>
      </c>
      <c r="L476" s="13">
        <v>8</v>
      </c>
      <c r="M476" s="13"/>
      <c r="N476" s="13" t="s">
        <v>35</v>
      </c>
      <c r="O476" s="13" t="s">
        <v>2474</v>
      </c>
      <c r="P476" s="13"/>
      <c r="Q476" s="13"/>
      <c r="R476" s="13"/>
      <c r="S476" s="13"/>
      <c r="T476" s="13"/>
      <c r="U476" s="13" t="s">
        <v>132</v>
      </c>
      <c r="V476" s="13" t="s">
        <v>564</v>
      </c>
      <c r="W476" s="13" t="s">
        <v>2086</v>
      </c>
      <c r="X476" s="13" t="s">
        <v>564</v>
      </c>
      <c r="Y476" s="13" t="s">
        <v>132</v>
      </c>
      <c r="Z476" s="13" t="s">
        <v>564</v>
      </c>
      <c r="AA476" s="13" t="s">
        <v>564</v>
      </c>
      <c r="AB476" s="13"/>
      <c r="AC476" s="13" t="s">
        <v>2475</v>
      </c>
      <c r="AD476" s="13"/>
      <c r="AE476" s="13"/>
      <c r="AF476" s="1"/>
      <c r="AG476" s="1"/>
      <c r="AH476" s="1"/>
      <c r="AI476" s="1"/>
      <c r="AJ476" s="1"/>
    </row>
    <row r="477" spans="1:36" x14ac:dyDescent="0.2">
      <c r="A477" s="12">
        <v>45745.475933530091</v>
      </c>
      <c r="B477" s="13" t="s">
        <v>2347</v>
      </c>
      <c r="C477" s="13"/>
      <c r="D477" s="13"/>
      <c r="E477" s="13" t="s">
        <v>865</v>
      </c>
      <c r="F477" s="13" t="s">
        <v>2476</v>
      </c>
      <c r="G477" s="13" t="s">
        <v>2477</v>
      </c>
      <c r="H477" s="13">
        <v>32109641</v>
      </c>
      <c r="I477" s="13">
        <v>3243164400</v>
      </c>
      <c r="J477" s="13"/>
      <c r="K477" s="13"/>
      <c r="L477" s="13">
        <v>7</v>
      </c>
      <c r="M477" s="13"/>
      <c r="N477" s="13" t="s">
        <v>132</v>
      </c>
      <c r="O477" s="13" t="s">
        <v>2478</v>
      </c>
      <c r="P477" s="13"/>
      <c r="Q477" s="13"/>
      <c r="R477" s="13"/>
      <c r="S477" s="13"/>
      <c r="T477" s="13"/>
      <c r="U477" s="13" t="s">
        <v>132</v>
      </c>
      <c r="V477" s="13" t="s">
        <v>564</v>
      </c>
      <c r="W477" s="13" t="s">
        <v>2107</v>
      </c>
      <c r="X477" s="13" t="s">
        <v>564</v>
      </c>
      <c r="Y477" s="13" t="s">
        <v>132</v>
      </c>
      <c r="Z477" s="13" t="s">
        <v>564</v>
      </c>
      <c r="AA477" s="13" t="s">
        <v>564</v>
      </c>
      <c r="AB477" s="13"/>
      <c r="AC477" s="13"/>
      <c r="AD477" s="13"/>
      <c r="AE477" s="13"/>
      <c r="AF477" s="1"/>
      <c r="AG477" s="1"/>
      <c r="AH477" s="1"/>
      <c r="AI477" s="1"/>
      <c r="AJ477" s="1"/>
    </row>
    <row r="478" spans="1:36" x14ac:dyDescent="0.2">
      <c r="A478" s="12">
        <v>45745.478545277772</v>
      </c>
      <c r="B478" s="13" t="s">
        <v>2470</v>
      </c>
      <c r="C478" s="13"/>
      <c r="D478" s="13"/>
      <c r="E478" s="13" t="s">
        <v>865</v>
      </c>
      <c r="F478" s="13" t="s">
        <v>1180</v>
      </c>
      <c r="G478" s="13" t="s">
        <v>2479</v>
      </c>
      <c r="H478" s="13">
        <v>32108394</v>
      </c>
      <c r="I478" s="13">
        <v>3019325165</v>
      </c>
      <c r="J478" s="13" t="s">
        <v>2480</v>
      </c>
      <c r="K478" s="13">
        <v>3042991339</v>
      </c>
      <c r="L478" s="13">
        <v>23</v>
      </c>
      <c r="M478" s="13"/>
      <c r="N478" s="13" t="s">
        <v>35</v>
      </c>
      <c r="O478" s="13" t="s">
        <v>2481</v>
      </c>
      <c r="P478" s="13"/>
      <c r="Q478" s="13"/>
      <c r="R478" s="13"/>
      <c r="S478" s="13"/>
      <c r="T478" s="13"/>
      <c r="U478" s="13" t="s">
        <v>564</v>
      </c>
      <c r="V478" s="13" t="s">
        <v>564</v>
      </c>
      <c r="W478" s="13" t="s">
        <v>2107</v>
      </c>
      <c r="X478" s="13" t="s">
        <v>564</v>
      </c>
      <c r="Y478" s="13" t="s">
        <v>132</v>
      </c>
      <c r="Z478" s="13" t="s">
        <v>564</v>
      </c>
      <c r="AA478" s="13" t="s">
        <v>564</v>
      </c>
      <c r="AB478" s="13"/>
      <c r="AC478" s="13"/>
      <c r="AD478" s="13"/>
      <c r="AE478" s="13"/>
      <c r="AF478" s="1"/>
      <c r="AG478" s="1"/>
      <c r="AH478" s="1"/>
      <c r="AI478" s="1"/>
      <c r="AJ478" s="1"/>
    </row>
    <row r="479" spans="1:36" x14ac:dyDescent="0.2">
      <c r="A479" s="12">
        <v>45745.479824768518</v>
      </c>
      <c r="B479" s="13" t="s">
        <v>2482</v>
      </c>
      <c r="C479" s="13"/>
      <c r="D479" s="13"/>
      <c r="E479" s="13" t="s">
        <v>865</v>
      </c>
      <c r="F479" s="13" t="s">
        <v>1873</v>
      </c>
      <c r="G479" s="13" t="s">
        <v>2483</v>
      </c>
      <c r="H479" s="13">
        <v>22102131</v>
      </c>
      <c r="I479" s="13">
        <v>3128056747</v>
      </c>
      <c r="J479" s="13" t="s">
        <v>2484</v>
      </c>
      <c r="K479" s="13">
        <v>3137341044</v>
      </c>
      <c r="L479" s="13">
        <v>16</v>
      </c>
      <c r="M479" s="13"/>
      <c r="N479" s="13" t="s">
        <v>35</v>
      </c>
      <c r="O479" s="13" t="s">
        <v>2485</v>
      </c>
      <c r="P479" s="13"/>
      <c r="Q479" s="13"/>
      <c r="R479" s="13"/>
      <c r="S479" s="13"/>
      <c r="T479" s="13"/>
      <c r="U479" s="13" t="s">
        <v>132</v>
      </c>
      <c r="V479" s="13" t="s">
        <v>564</v>
      </c>
      <c r="W479" s="13" t="s">
        <v>2107</v>
      </c>
      <c r="X479" s="13" t="s">
        <v>564</v>
      </c>
      <c r="Y479" s="13" t="s">
        <v>132</v>
      </c>
      <c r="Z479" s="13" t="s">
        <v>564</v>
      </c>
      <c r="AA479" s="13" t="s">
        <v>564</v>
      </c>
      <c r="AB479" s="13"/>
      <c r="AC479" s="13"/>
      <c r="AD479" s="13"/>
      <c r="AE479" s="13"/>
      <c r="AF479" s="1"/>
      <c r="AG479" s="1"/>
      <c r="AH479" s="1"/>
      <c r="AI479" s="1"/>
      <c r="AJ479" s="1"/>
    </row>
    <row r="480" spans="1:36" x14ac:dyDescent="0.2">
      <c r="A480" s="12">
        <v>45745.479832083336</v>
      </c>
      <c r="B480" s="13" t="s">
        <v>2347</v>
      </c>
      <c r="C480" s="13"/>
      <c r="D480" s="13"/>
      <c r="E480" s="13" t="s">
        <v>865</v>
      </c>
      <c r="F480" s="13" t="s">
        <v>2486</v>
      </c>
      <c r="G480" s="13" t="s">
        <v>2487</v>
      </c>
      <c r="H480" s="13">
        <v>1010021758</v>
      </c>
      <c r="I480" s="13">
        <v>3122949211</v>
      </c>
      <c r="J480" s="13"/>
      <c r="K480" s="13"/>
      <c r="L480" s="13">
        <v>4</v>
      </c>
      <c r="M480" s="13"/>
      <c r="N480" s="13" t="s">
        <v>35</v>
      </c>
      <c r="O480" s="13" t="s">
        <v>2264</v>
      </c>
      <c r="P480" s="13"/>
      <c r="Q480" s="13"/>
      <c r="R480" s="13"/>
      <c r="S480" s="13"/>
      <c r="T480" s="13"/>
      <c r="U480" s="13" t="s">
        <v>132</v>
      </c>
      <c r="V480" s="13" t="s">
        <v>564</v>
      </c>
      <c r="W480" s="13" t="s">
        <v>132</v>
      </c>
      <c r="X480" s="13" t="s">
        <v>564</v>
      </c>
      <c r="Y480" s="13" t="s">
        <v>564</v>
      </c>
      <c r="Z480" s="13" t="s">
        <v>564</v>
      </c>
      <c r="AA480" s="13" t="s">
        <v>564</v>
      </c>
      <c r="AB480" s="13"/>
      <c r="AC480" s="13"/>
      <c r="AD480" s="13"/>
      <c r="AE480" s="13"/>
      <c r="AF480" s="1"/>
      <c r="AG480" s="1"/>
      <c r="AH480" s="1"/>
      <c r="AI480" s="1"/>
      <c r="AJ480" s="1"/>
    </row>
    <row r="481" spans="1:36" x14ac:dyDescent="0.2">
      <c r="A481" s="12">
        <v>45745.480914733795</v>
      </c>
      <c r="B481" s="13" t="s">
        <v>2488</v>
      </c>
      <c r="C481" s="13"/>
      <c r="D481" s="13"/>
      <c r="E481" s="13" t="s">
        <v>865</v>
      </c>
      <c r="F481" s="13" t="s">
        <v>2489</v>
      </c>
      <c r="G481" s="13" t="s">
        <v>2490</v>
      </c>
      <c r="H481" s="13" t="s">
        <v>2491</v>
      </c>
      <c r="I481" s="13">
        <v>3116390475</v>
      </c>
      <c r="J481" s="13" t="s">
        <v>2492</v>
      </c>
      <c r="K481" s="13">
        <v>3042032791</v>
      </c>
      <c r="L481" s="13" t="s">
        <v>676</v>
      </c>
      <c r="M481" s="13"/>
      <c r="N481" s="13" t="s">
        <v>35</v>
      </c>
      <c r="O481" s="13" t="s">
        <v>2205</v>
      </c>
      <c r="P481" s="13"/>
      <c r="Q481" s="13"/>
      <c r="R481" s="13"/>
      <c r="S481" s="13"/>
      <c r="T481" s="13"/>
      <c r="U481" s="13" t="s">
        <v>132</v>
      </c>
      <c r="V481" s="13" t="s">
        <v>564</v>
      </c>
      <c r="W481" s="13" t="s">
        <v>2086</v>
      </c>
      <c r="X481" s="13" t="s">
        <v>564</v>
      </c>
      <c r="Y481" s="13" t="s">
        <v>132</v>
      </c>
      <c r="Z481" s="13" t="s">
        <v>564</v>
      </c>
      <c r="AA481" s="13" t="s">
        <v>564</v>
      </c>
      <c r="AB481" s="13"/>
      <c r="AC481" s="13" t="s">
        <v>2493</v>
      </c>
      <c r="AD481" s="13"/>
      <c r="AE481" s="13"/>
      <c r="AF481" s="1"/>
      <c r="AG481" s="1"/>
      <c r="AH481" s="1"/>
      <c r="AI481" s="1"/>
      <c r="AJ481" s="1"/>
    </row>
    <row r="482" spans="1:36" x14ac:dyDescent="0.2">
      <c r="A482" s="12">
        <v>45745.480923437499</v>
      </c>
      <c r="B482" s="13" t="s">
        <v>2494</v>
      </c>
      <c r="C482" s="13"/>
      <c r="D482" s="13"/>
      <c r="E482" s="13" t="s">
        <v>865</v>
      </c>
      <c r="F482" s="13" t="s">
        <v>2495</v>
      </c>
      <c r="G482" s="13" t="s">
        <v>2496</v>
      </c>
      <c r="H482" s="13">
        <v>1027940557</v>
      </c>
      <c r="I482" s="13">
        <v>3107178203</v>
      </c>
      <c r="J482" s="13" t="s">
        <v>2497</v>
      </c>
      <c r="K482" s="13">
        <v>3128432549</v>
      </c>
      <c r="L482" s="13" t="s">
        <v>676</v>
      </c>
      <c r="M482" s="13"/>
      <c r="N482" s="13" t="s">
        <v>35</v>
      </c>
      <c r="O482" s="13" t="s">
        <v>2498</v>
      </c>
      <c r="P482" s="13"/>
      <c r="Q482" s="13"/>
      <c r="R482" s="13"/>
      <c r="S482" s="13"/>
      <c r="T482" s="13"/>
      <c r="U482" s="13" t="s">
        <v>564</v>
      </c>
      <c r="V482" s="13" t="s">
        <v>564</v>
      </c>
      <c r="W482" s="13" t="s">
        <v>2086</v>
      </c>
      <c r="X482" s="13" t="s">
        <v>564</v>
      </c>
      <c r="Y482" s="13" t="s">
        <v>132</v>
      </c>
      <c r="Z482" s="13" t="s">
        <v>564</v>
      </c>
      <c r="AA482" s="13" t="s">
        <v>564</v>
      </c>
      <c r="AB482" s="13"/>
      <c r="AC482" s="13" t="s">
        <v>2499</v>
      </c>
      <c r="AD482" s="13"/>
      <c r="AE482" s="13"/>
      <c r="AF482" s="1"/>
      <c r="AG482" s="1"/>
      <c r="AH482" s="1"/>
      <c r="AI482" s="1"/>
      <c r="AJ482" s="1"/>
    </row>
    <row r="483" spans="1:36" x14ac:dyDescent="0.2">
      <c r="A483" s="12">
        <v>45745.481020439816</v>
      </c>
      <c r="B483" s="13" t="s">
        <v>1974</v>
      </c>
      <c r="C483" s="13"/>
      <c r="D483" s="13"/>
      <c r="E483" s="13" t="s">
        <v>865</v>
      </c>
      <c r="F483" s="13" t="s">
        <v>2500</v>
      </c>
      <c r="G483" s="13" t="s">
        <v>1679</v>
      </c>
      <c r="H483" s="13">
        <v>70725959</v>
      </c>
      <c r="I483" s="13">
        <v>3194498224</v>
      </c>
      <c r="J483" s="13" t="s">
        <v>1680</v>
      </c>
      <c r="K483" s="13">
        <v>3137035755</v>
      </c>
      <c r="L483" s="13">
        <v>23</v>
      </c>
      <c r="M483" s="13"/>
      <c r="N483" s="13" t="s">
        <v>35</v>
      </c>
      <c r="O483" s="13" t="s">
        <v>2501</v>
      </c>
      <c r="P483" s="13"/>
      <c r="Q483" s="13"/>
      <c r="R483" s="13"/>
      <c r="S483" s="13"/>
      <c r="T483" s="13"/>
      <c r="U483" s="13" t="s">
        <v>132</v>
      </c>
      <c r="V483" s="13" t="s">
        <v>564</v>
      </c>
      <c r="W483" s="13" t="s">
        <v>2086</v>
      </c>
      <c r="X483" s="13" t="s">
        <v>564</v>
      </c>
      <c r="Y483" s="13" t="s">
        <v>564</v>
      </c>
      <c r="Z483" s="13" t="s">
        <v>564</v>
      </c>
      <c r="AA483" s="13" t="s">
        <v>564</v>
      </c>
      <c r="AB483" s="13"/>
      <c r="AC483" s="13" t="s">
        <v>2502</v>
      </c>
      <c r="AD483" s="13"/>
      <c r="AE483" s="13"/>
      <c r="AF483" s="1"/>
      <c r="AG483" s="1"/>
      <c r="AH483" s="1"/>
      <c r="AI483" s="1"/>
      <c r="AJ483" s="1"/>
    </row>
    <row r="484" spans="1:36" x14ac:dyDescent="0.2">
      <c r="A484" s="12">
        <v>45745.48138607639</v>
      </c>
      <c r="B484" s="13" t="s">
        <v>2482</v>
      </c>
      <c r="C484" s="13"/>
      <c r="D484" s="13"/>
      <c r="E484" s="13" t="s">
        <v>865</v>
      </c>
      <c r="F484" s="13" t="s">
        <v>2503</v>
      </c>
      <c r="G484" s="13" t="s">
        <v>2504</v>
      </c>
      <c r="H484" s="13">
        <v>43141932</v>
      </c>
      <c r="I484" s="13">
        <v>3122027539</v>
      </c>
      <c r="J484" s="13" t="s">
        <v>2505</v>
      </c>
      <c r="K484" s="13">
        <v>3113298246</v>
      </c>
      <c r="L484" s="13">
        <v>23</v>
      </c>
      <c r="M484" s="13"/>
      <c r="N484" s="13" t="s">
        <v>35</v>
      </c>
      <c r="O484" s="13" t="s">
        <v>2172</v>
      </c>
      <c r="P484" s="13"/>
      <c r="Q484" s="13"/>
      <c r="R484" s="13"/>
      <c r="S484" s="13"/>
      <c r="T484" s="13"/>
      <c r="U484" s="13" t="s">
        <v>132</v>
      </c>
      <c r="V484" s="13" t="s">
        <v>564</v>
      </c>
      <c r="W484" s="13" t="s">
        <v>2086</v>
      </c>
      <c r="X484" s="13" t="s">
        <v>564</v>
      </c>
      <c r="Y484" s="13" t="s">
        <v>132</v>
      </c>
      <c r="Z484" s="13" t="s">
        <v>564</v>
      </c>
      <c r="AA484" s="13" t="s">
        <v>564</v>
      </c>
      <c r="AB484" s="13"/>
      <c r="AC484" s="13"/>
      <c r="AD484" s="13"/>
      <c r="AE484" s="13"/>
      <c r="AF484" s="1"/>
      <c r="AG484" s="1"/>
      <c r="AH484" s="1"/>
      <c r="AI484" s="1"/>
      <c r="AJ484" s="1"/>
    </row>
    <row r="485" spans="1:36" x14ac:dyDescent="0.2">
      <c r="A485" s="12">
        <v>45745.481741481482</v>
      </c>
      <c r="B485" s="13" t="s">
        <v>2470</v>
      </c>
      <c r="C485" s="13"/>
      <c r="D485" s="13"/>
      <c r="E485" s="13" t="s">
        <v>865</v>
      </c>
      <c r="F485" s="13" t="s">
        <v>1911</v>
      </c>
      <c r="G485" s="13" t="s">
        <v>2506</v>
      </c>
      <c r="H485" s="13">
        <v>1020105479</v>
      </c>
      <c r="I485" s="13">
        <v>3195802816</v>
      </c>
      <c r="J485" s="13" t="s">
        <v>2507</v>
      </c>
      <c r="K485" s="13">
        <v>3122949211</v>
      </c>
      <c r="L485" s="13">
        <v>2</v>
      </c>
      <c r="M485" s="13"/>
      <c r="N485" s="13" t="s">
        <v>35</v>
      </c>
      <c r="O485" s="13" t="s">
        <v>2508</v>
      </c>
      <c r="P485" s="13"/>
      <c r="Q485" s="13"/>
      <c r="R485" s="13"/>
      <c r="S485" s="13"/>
      <c r="T485" s="13"/>
      <c r="U485" s="13" t="s">
        <v>564</v>
      </c>
      <c r="V485" s="13" t="s">
        <v>564</v>
      </c>
      <c r="W485" s="13" t="s">
        <v>132</v>
      </c>
      <c r="X485" s="13" t="s">
        <v>564</v>
      </c>
      <c r="Y485" s="13" t="s">
        <v>132</v>
      </c>
      <c r="Z485" s="13" t="s">
        <v>564</v>
      </c>
      <c r="AA485" s="13" t="s">
        <v>564</v>
      </c>
      <c r="AB485" s="13"/>
      <c r="AC485" s="13" t="s">
        <v>2509</v>
      </c>
      <c r="AD485" s="13"/>
      <c r="AE485" s="13"/>
      <c r="AF485" s="1"/>
      <c r="AG485" s="1"/>
      <c r="AH485" s="1"/>
      <c r="AI485" s="1"/>
      <c r="AJ485" s="1"/>
    </row>
    <row r="486" spans="1:36" x14ac:dyDescent="0.2">
      <c r="A486" s="12">
        <v>45745.482985312497</v>
      </c>
      <c r="B486" s="13" t="s">
        <v>2347</v>
      </c>
      <c r="C486" s="13"/>
      <c r="D486" s="13"/>
      <c r="E486" s="13" t="s">
        <v>865</v>
      </c>
      <c r="F486" s="13" t="s">
        <v>1911</v>
      </c>
      <c r="G486" s="13" t="s">
        <v>2510</v>
      </c>
      <c r="H486" s="13">
        <v>16919112</v>
      </c>
      <c r="I486" s="13">
        <v>3138702032</v>
      </c>
      <c r="J486" s="13"/>
      <c r="K486" s="13"/>
      <c r="L486" s="13" t="s">
        <v>2511</v>
      </c>
      <c r="M486" s="13"/>
      <c r="N486" s="13" t="s">
        <v>35</v>
      </c>
      <c r="O486" s="13" t="s">
        <v>2299</v>
      </c>
      <c r="P486" s="13"/>
      <c r="Q486" s="13"/>
      <c r="R486" s="13"/>
      <c r="S486" s="13"/>
      <c r="T486" s="13"/>
      <c r="U486" s="13" t="s">
        <v>132</v>
      </c>
      <c r="V486" s="13" t="s">
        <v>564</v>
      </c>
      <c r="W486" s="13" t="s">
        <v>2086</v>
      </c>
      <c r="X486" s="13" t="s">
        <v>564</v>
      </c>
      <c r="Y486" s="13" t="s">
        <v>132</v>
      </c>
      <c r="Z486" s="13" t="s">
        <v>564</v>
      </c>
      <c r="AA486" s="13" t="s">
        <v>564</v>
      </c>
      <c r="AB486" s="13"/>
      <c r="AC486" s="13"/>
      <c r="AD486" s="13"/>
      <c r="AE486" s="13"/>
      <c r="AF486" s="1"/>
      <c r="AG486" s="1"/>
      <c r="AH486" s="1"/>
      <c r="AI486" s="1"/>
      <c r="AJ486" s="1"/>
    </row>
    <row r="487" spans="1:36" x14ac:dyDescent="0.2">
      <c r="A487" s="12">
        <v>45745.483540173613</v>
      </c>
      <c r="B487" s="13" t="s">
        <v>2470</v>
      </c>
      <c r="C487" s="13"/>
      <c r="D487" s="13"/>
      <c r="E487" s="13" t="s">
        <v>865</v>
      </c>
      <c r="F487" s="13" t="s">
        <v>1911</v>
      </c>
      <c r="G487" s="13" t="s">
        <v>2512</v>
      </c>
      <c r="H487" s="13">
        <v>1020105479</v>
      </c>
      <c r="I487" s="13">
        <v>3195802816</v>
      </c>
      <c r="J487" s="13" t="s">
        <v>2507</v>
      </c>
      <c r="K487" s="13">
        <v>3122949211</v>
      </c>
      <c r="L487" s="13">
        <v>2</v>
      </c>
      <c r="M487" s="13"/>
      <c r="N487" s="13" t="s">
        <v>35</v>
      </c>
      <c r="O487" s="13" t="s">
        <v>2508</v>
      </c>
      <c r="P487" s="13"/>
      <c r="Q487" s="13"/>
      <c r="R487" s="13"/>
      <c r="S487" s="13"/>
      <c r="T487" s="13"/>
      <c r="U487" s="13" t="s">
        <v>564</v>
      </c>
      <c r="V487" s="13" t="s">
        <v>564</v>
      </c>
      <c r="W487" s="13" t="s">
        <v>132</v>
      </c>
      <c r="X487" s="13" t="s">
        <v>564</v>
      </c>
      <c r="Y487" s="13" t="s">
        <v>132</v>
      </c>
      <c r="Z487" s="13" t="s">
        <v>564</v>
      </c>
      <c r="AA487" s="13" t="s">
        <v>564</v>
      </c>
      <c r="AB487" s="13"/>
      <c r="AC487" s="13" t="s">
        <v>2513</v>
      </c>
      <c r="AD487" s="13"/>
      <c r="AE487" s="13"/>
      <c r="AF487" s="1"/>
      <c r="AG487" s="1"/>
      <c r="AH487" s="1"/>
      <c r="AI487" s="1"/>
      <c r="AJ487" s="1"/>
    </row>
    <row r="488" spans="1:36" x14ac:dyDescent="0.2">
      <c r="A488" s="12">
        <v>45745.484178981482</v>
      </c>
      <c r="B488" s="13" t="s">
        <v>2488</v>
      </c>
      <c r="C488" s="13"/>
      <c r="D488" s="13"/>
      <c r="E488" s="13" t="s">
        <v>865</v>
      </c>
      <c r="F488" s="13" t="s">
        <v>2514</v>
      </c>
      <c r="G488" s="13" t="s">
        <v>2515</v>
      </c>
      <c r="H488" s="13" t="s">
        <v>2516</v>
      </c>
      <c r="I488" s="13">
        <v>3135306502</v>
      </c>
      <c r="J488" s="13"/>
      <c r="K488" s="13"/>
      <c r="L488" s="13" t="s">
        <v>167</v>
      </c>
      <c r="M488" s="13"/>
      <c r="N488" s="13" t="s">
        <v>35</v>
      </c>
      <c r="O488" s="13" t="s">
        <v>2517</v>
      </c>
      <c r="P488" s="13"/>
      <c r="Q488" s="13"/>
      <c r="R488" s="13"/>
      <c r="S488" s="13"/>
      <c r="T488" s="13"/>
      <c r="U488" s="13" t="s">
        <v>132</v>
      </c>
      <c r="V488" s="13" t="s">
        <v>564</v>
      </c>
      <c r="W488" s="13" t="s">
        <v>2086</v>
      </c>
      <c r="X488" s="13" t="s">
        <v>132</v>
      </c>
      <c r="Y488" s="13" t="s">
        <v>132</v>
      </c>
      <c r="Z488" s="13" t="s">
        <v>564</v>
      </c>
      <c r="AA488" s="13" t="s">
        <v>132</v>
      </c>
      <c r="AB488" s="13"/>
      <c r="AC488" s="13" t="s">
        <v>2518</v>
      </c>
      <c r="AD488" s="13"/>
      <c r="AE488" s="13"/>
      <c r="AF488" s="1"/>
      <c r="AG488" s="1"/>
      <c r="AH488" s="1"/>
      <c r="AI488" s="1"/>
      <c r="AJ488" s="1"/>
    </row>
    <row r="489" spans="1:36" x14ac:dyDescent="0.2">
      <c r="A489" s="12">
        <v>45745.485244884258</v>
      </c>
      <c r="B489" s="13" t="s">
        <v>1974</v>
      </c>
      <c r="C489" s="13"/>
      <c r="D489" s="13"/>
      <c r="E489" s="13" t="s">
        <v>865</v>
      </c>
      <c r="F489" s="13" t="s">
        <v>2519</v>
      </c>
      <c r="G489" s="13" t="s">
        <v>2520</v>
      </c>
      <c r="H489" s="13">
        <v>30568413</v>
      </c>
      <c r="I489" s="13">
        <v>3135811992</v>
      </c>
      <c r="J489" s="13" t="s">
        <v>2521</v>
      </c>
      <c r="K489" s="13">
        <v>3106620908</v>
      </c>
      <c r="L489" s="13" t="s">
        <v>181</v>
      </c>
      <c r="M489" s="13"/>
      <c r="N489" s="13" t="s">
        <v>35</v>
      </c>
      <c r="O489" s="13" t="s">
        <v>2299</v>
      </c>
      <c r="P489" s="13"/>
      <c r="Q489" s="13"/>
      <c r="R489" s="13"/>
      <c r="S489" s="13"/>
      <c r="T489" s="13"/>
      <c r="U489" s="13" t="s">
        <v>132</v>
      </c>
      <c r="V489" s="13" t="s">
        <v>564</v>
      </c>
      <c r="W489" s="13" t="s">
        <v>132</v>
      </c>
      <c r="X489" s="13" t="s">
        <v>564</v>
      </c>
      <c r="Y489" s="13" t="s">
        <v>132</v>
      </c>
      <c r="Z489" s="13" t="s">
        <v>564</v>
      </c>
      <c r="AA489" s="13" t="s">
        <v>564</v>
      </c>
      <c r="AB489" s="13"/>
      <c r="AC489" s="13" t="s">
        <v>2007</v>
      </c>
      <c r="AD489" s="13"/>
      <c r="AE489" s="13"/>
      <c r="AF489" s="1"/>
      <c r="AG489" s="1"/>
      <c r="AH489" s="1"/>
      <c r="AI489" s="1"/>
      <c r="AJ489" s="1"/>
    </row>
    <row r="490" spans="1:36" x14ac:dyDescent="0.2">
      <c r="A490" s="12">
        <v>45745.485560833331</v>
      </c>
      <c r="B490" s="13" t="s">
        <v>2482</v>
      </c>
      <c r="C490" s="13"/>
      <c r="D490" s="13"/>
      <c r="E490" s="13" t="s">
        <v>865</v>
      </c>
      <c r="F490" s="13" t="s">
        <v>1020</v>
      </c>
      <c r="G490" s="13" t="s">
        <v>2522</v>
      </c>
      <c r="H490" s="13">
        <v>43200109</v>
      </c>
      <c r="I490" s="13">
        <v>3043438020</v>
      </c>
      <c r="J490" s="13" t="s">
        <v>2523</v>
      </c>
      <c r="K490" s="13">
        <v>3148738335</v>
      </c>
      <c r="L490" s="13">
        <v>22</v>
      </c>
      <c r="M490" s="13"/>
      <c r="N490" s="13" t="s">
        <v>35</v>
      </c>
      <c r="O490" s="13" t="s">
        <v>2524</v>
      </c>
      <c r="P490" s="13"/>
      <c r="Q490" s="13"/>
      <c r="R490" s="13"/>
      <c r="S490" s="13"/>
      <c r="T490" s="13"/>
      <c r="U490" s="13" t="s">
        <v>132</v>
      </c>
      <c r="V490" s="13" t="s">
        <v>564</v>
      </c>
      <c r="W490" s="13" t="s">
        <v>2107</v>
      </c>
      <c r="X490" s="13" t="s">
        <v>564</v>
      </c>
      <c r="Y490" s="13" t="s">
        <v>132</v>
      </c>
      <c r="Z490" s="13" t="s">
        <v>564</v>
      </c>
      <c r="AA490" s="13" t="s">
        <v>564</v>
      </c>
      <c r="AB490" s="13"/>
      <c r="AC490" s="13"/>
      <c r="AD490" s="13"/>
      <c r="AE490" s="13"/>
      <c r="AF490" s="1"/>
      <c r="AG490" s="1"/>
      <c r="AH490" s="1"/>
      <c r="AI490" s="1"/>
      <c r="AJ490" s="1"/>
    </row>
    <row r="491" spans="1:36" x14ac:dyDescent="0.2">
      <c r="A491" s="12">
        <v>45745.488712488426</v>
      </c>
      <c r="B491" s="13" t="s">
        <v>2482</v>
      </c>
      <c r="C491" s="13"/>
      <c r="D491" s="13"/>
      <c r="E491" s="13" t="s">
        <v>865</v>
      </c>
      <c r="F491" s="13" t="s">
        <v>2503</v>
      </c>
      <c r="G491" s="13" t="s">
        <v>2525</v>
      </c>
      <c r="H491" s="13">
        <v>22086489</v>
      </c>
      <c r="I491" s="13">
        <v>3122613735</v>
      </c>
      <c r="J491" s="13" t="s">
        <v>2526</v>
      </c>
      <c r="K491" s="13">
        <v>3127911742</v>
      </c>
      <c r="L491" s="13">
        <v>7</v>
      </c>
      <c r="M491" s="13"/>
      <c r="N491" s="13" t="s">
        <v>35</v>
      </c>
      <c r="O491" s="13" t="s">
        <v>2527</v>
      </c>
      <c r="P491" s="13"/>
      <c r="Q491" s="13"/>
      <c r="R491" s="13"/>
      <c r="S491" s="13"/>
      <c r="T491" s="13"/>
      <c r="U491" s="13" t="s">
        <v>132</v>
      </c>
      <c r="V491" s="13" t="s">
        <v>132</v>
      </c>
      <c r="W491" s="13" t="s">
        <v>132</v>
      </c>
      <c r="X491" s="13" t="s">
        <v>564</v>
      </c>
      <c r="Y491" s="13" t="s">
        <v>132</v>
      </c>
      <c r="Z491" s="13" t="s">
        <v>564</v>
      </c>
      <c r="AA491" s="13" t="s">
        <v>564</v>
      </c>
      <c r="AB491" s="13"/>
      <c r="AC491" s="13"/>
      <c r="AD491" s="13"/>
      <c r="AE491" s="13"/>
      <c r="AF491" s="1"/>
      <c r="AG491" s="1"/>
      <c r="AH491" s="1"/>
      <c r="AI491" s="1"/>
      <c r="AJ491" s="1"/>
    </row>
    <row r="492" spans="1:36" x14ac:dyDescent="0.2">
      <c r="A492" s="5">
        <v>45745.489786192134</v>
      </c>
      <c r="B492" s="1" t="s">
        <v>1124</v>
      </c>
      <c r="C492" s="1"/>
      <c r="D492" s="1"/>
      <c r="E492" s="1" t="s">
        <v>493</v>
      </c>
      <c r="F492" s="1" t="s">
        <v>2528</v>
      </c>
      <c r="G492" s="1" t="s">
        <v>2529</v>
      </c>
      <c r="H492" s="1">
        <v>1052075166</v>
      </c>
      <c r="I492" s="1">
        <v>31038446</v>
      </c>
      <c r="J492" s="1" t="s">
        <v>2530</v>
      </c>
      <c r="K492" s="1">
        <v>3235380772</v>
      </c>
      <c r="L492" s="1">
        <v>2</v>
      </c>
      <c r="M492" s="1"/>
      <c r="N492" s="1" t="s">
        <v>35</v>
      </c>
      <c r="O492" s="1" t="s">
        <v>2531</v>
      </c>
      <c r="P492" s="1"/>
      <c r="Q492" s="1"/>
      <c r="R492" s="1"/>
      <c r="S492" s="1"/>
      <c r="T492" s="1"/>
      <c r="U492" s="1" t="s">
        <v>132</v>
      </c>
      <c r="V492" s="1" t="s">
        <v>132</v>
      </c>
      <c r="W492" s="1" t="s">
        <v>2086</v>
      </c>
      <c r="X492" s="1" t="s">
        <v>564</v>
      </c>
      <c r="Y492" s="1" t="s">
        <v>564</v>
      </c>
      <c r="Z492" s="1" t="s">
        <v>564</v>
      </c>
      <c r="AA492" s="1" t="s">
        <v>564</v>
      </c>
      <c r="AB492" s="1"/>
      <c r="AC492" s="1"/>
      <c r="AD492" s="1"/>
      <c r="AE492" s="1"/>
      <c r="AF492" s="1"/>
      <c r="AG492" s="1"/>
      <c r="AH492" s="1"/>
      <c r="AI492" s="1"/>
      <c r="AJ492" s="1"/>
    </row>
    <row r="493" spans="1:36" x14ac:dyDescent="0.2">
      <c r="A493" s="12">
        <v>45745.4968859375</v>
      </c>
      <c r="B493" s="13" t="s">
        <v>2488</v>
      </c>
      <c r="C493" s="13"/>
      <c r="D493" s="13"/>
      <c r="E493" s="13" t="s">
        <v>865</v>
      </c>
      <c r="F493" s="13" t="s">
        <v>2532</v>
      </c>
      <c r="G493" s="13" t="s">
        <v>2533</v>
      </c>
      <c r="H493" s="13">
        <v>43538474</v>
      </c>
      <c r="I493" s="13">
        <v>3044491343</v>
      </c>
      <c r="J493" s="13" t="s">
        <v>2534</v>
      </c>
      <c r="K493" s="13">
        <v>3243038320</v>
      </c>
      <c r="L493" s="13" t="s">
        <v>2535</v>
      </c>
      <c r="M493" s="13"/>
      <c r="N493" s="13" t="s">
        <v>35</v>
      </c>
      <c r="O493" s="13" t="s">
        <v>2271</v>
      </c>
      <c r="P493" s="13"/>
      <c r="Q493" s="13"/>
      <c r="R493" s="13"/>
      <c r="S493" s="13"/>
      <c r="T493" s="13"/>
      <c r="U493" s="13" t="s">
        <v>132</v>
      </c>
      <c r="V493" s="13" t="s">
        <v>564</v>
      </c>
      <c r="W493" s="13" t="s">
        <v>2086</v>
      </c>
      <c r="X493" s="13" t="s">
        <v>564</v>
      </c>
      <c r="Y493" s="13" t="s">
        <v>132</v>
      </c>
      <c r="Z493" s="13" t="s">
        <v>564</v>
      </c>
      <c r="AA493" s="13" t="s">
        <v>564</v>
      </c>
      <c r="AB493" s="13"/>
      <c r="AC493" s="13"/>
      <c r="AD493" s="13"/>
      <c r="AE493" s="13"/>
      <c r="AF493" s="1"/>
      <c r="AG493" s="1"/>
      <c r="AH493" s="1"/>
      <c r="AI493" s="1"/>
      <c r="AJ493" s="1"/>
    </row>
    <row r="494" spans="1:36" x14ac:dyDescent="0.2">
      <c r="A494" s="5">
        <v>45745.49933363426</v>
      </c>
      <c r="B494" s="1" t="s">
        <v>2273</v>
      </c>
      <c r="C494" s="1"/>
      <c r="D494" s="1"/>
      <c r="E494" s="1" t="s">
        <v>493</v>
      </c>
      <c r="F494" s="1" t="s">
        <v>2536</v>
      </c>
      <c r="G494" s="1" t="s">
        <v>2537</v>
      </c>
      <c r="H494" s="1">
        <v>21849245</v>
      </c>
      <c r="I494" s="1">
        <v>3136801557</v>
      </c>
      <c r="J494" s="1" t="s">
        <v>2538</v>
      </c>
      <c r="K494" s="1">
        <v>3013081690</v>
      </c>
      <c r="L494" s="1" t="s">
        <v>2539</v>
      </c>
      <c r="M494" s="1"/>
      <c r="N494" s="1" t="s">
        <v>35</v>
      </c>
      <c r="O494" s="1" t="s">
        <v>2540</v>
      </c>
      <c r="P494" s="1"/>
      <c r="Q494" s="1"/>
      <c r="R494" s="1"/>
      <c r="S494" s="1"/>
      <c r="T494" s="1"/>
      <c r="U494" s="1" t="s">
        <v>132</v>
      </c>
      <c r="V494" s="1" t="s">
        <v>564</v>
      </c>
      <c r="W494" s="1" t="s">
        <v>132</v>
      </c>
      <c r="X494" s="1" t="s">
        <v>564</v>
      </c>
      <c r="Y494" s="1" t="s">
        <v>564</v>
      </c>
      <c r="Z494" s="1" t="s">
        <v>564</v>
      </c>
      <c r="AA494" s="1" t="s">
        <v>564</v>
      </c>
      <c r="AB494" s="1"/>
      <c r="AC494" s="1"/>
      <c r="AD494" s="1"/>
      <c r="AE494" s="1"/>
      <c r="AF494" s="1"/>
      <c r="AG494" s="1"/>
      <c r="AH494" s="1"/>
      <c r="AI494" s="1"/>
      <c r="AJ494" s="1"/>
    </row>
    <row r="495" spans="1:36" x14ac:dyDescent="0.2">
      <c r="A495" s="5">
        <v>45774.463773888885</v>
      </c>
      <c r="B495" s="1" t="s">
        <v>2541</v>
      </c>
      <c r="C495" s="1"/>
      <c r="D495" s="1"/>
      <c r="E495" s="1" t="s">
        <v>865</v>
      </c>
      <c r="F495" s="1" t="s">
        <v>2542</v>
      </c>
      <c r="G495" s="1" t="s">
        <v>2543</v>
      </c>
      <c r="H495" s="1">
        <v>43023884</v>
      </c>
      <c r="I495" s="1">
        <v>3202412586</v>
      </c>
      <c r="J495" s="1"/>
      <c r="K495" s="1"/>
      <c r="L495" s="1">
        <v>5</v>
      </c>
      <c r="M495" s="1"/>
      <c r="N495" s="1" t="s">
        <v>35</v>
      </c>
      <c r="O495" s="1" t="s">
        <v>2544</v>
      </c>
      <c r="P495" s="1"/>
      <c r="Q495" s="1"/>
      <c r="R495" s="1"/>
      <c r="S495" s="1"/>
      <c r="T495" s="1"/>
      <c r="U495" s="1" t="s">
        <v>132</v>
      </c>
      <c r="V495" s="1" t="s">
        <v>564</v>
      </c>
      <c r="W495" s="1" t="s">
        <v>132</v>
      </c>
      <c r="X495" s="1" t="s">
        <v>564</v>
      </c>
      <c r="Y495" s="1" t="s">
        <v>132</v>
      </c>
      <c r="Z495" s="1" t="s">
        <v>564</v>
      </c>
      <c r="AA495" s="1" t="s">
        <v>564</v>
      </c>
      <c r="AB495" s="1"/>
      <c r="AC495" s="1" t="s">
        <v>2545</v>
      </c>
      <c r="AD495" s="1"/>
      <c r="AE495" s="1"/>
      <c r="AF495" s="1"/>
      <c r="AG495" s="1"/>
      <c r="AH495" s="1"/>
      <c r="AI495" s="1"/>
      <c r="AJ495" s="1"/>
    </row>
    <row r="496" spans="1:36" x14ac:dyDescent="0.2">
      <c r="A496" s="5">
        <v>45774.555673518524</v>
      </c>
      <c r="B496" s="1" t="s">
        <v>1602</v>
      </c>
      <c r="C496" s="1"/>
      <c r="D496" s="1"/>
      <c r="E496" s="1" t="s">
        <v>865</v>
      </c>
      <c r="F496" s="1" t="s">
        <v>2546</v>
      </c>
      <c r="G496" s="1" t="s">
        <v>2547</v>
      </c>
      <c r="H496" s="1" t="s">
        <v>2548</v>
      </c>
      <c r="I496" s="1">
        <v>78645198</v>
      </c>
      <c r="J496" s="1" t="s">
        <v>2549</v>
      </c>
      <c r="K496" s="1">
        <v>3148662798</v>
      </c>
      <c r="L496" s="1" t="s">
        <v>181</v>
      </c>
      <c r="M496" s="1"/>
      <c r="N496" s="1" t="s">
        <v>35</v>
      </c>
      <c r="O496" s="1" t="s">
        <v>2550</v>
      </c>
      <c r="P496" s="1"/>
      <c r="Q496" s="1"/>
      <c r="R496" s="1"/>
      <c r="S496" s="1"/>
      <c r="T496" s="1"/>
      <c r="U496" s="1" t="s">
        <v>132</v>
      </c>
      <c r="V496" s="1" t="s">
        <v>564</v>
      </c>
      <c r="W496" s="1" t="s">
        <v>2107</v>
      </c>
      <c r="X496" s="1" t="s">
        <v>132</v>
      </c>
      <c r="Y496" s="1" t="s">
        <v>132</v>
      </c>
      <c r="Z496" s="1" t="s">
        <v>564</v>
      </c>
      <c r="AA496" s="1" t="s">
        <v>564</v>
      </c>
      <c r="AB496" s="1"/>
      <c r="AC496" s="1" t="s">
        <v>2551</v>
      </c>
      <c r="AD496" s="1"/>
      <c r="AE496" s="1"/>
      <c r="AF496" s="1"/>
      <c r="AG496" s="1"/>
      <c r="AH496" s="1"/>
      <c r="AI496" s="1"/>
      <c r="AJ496" s="1"/>
    </row>
    <row r="497" spans="1:36" x14ac:dyDescent="0.2">
      <c r="A497" s="20">
        <v>45808.455510277781</v>
      </c>
      <c r="B497" s="21" t="s">
        <v>2132</v>
      </c>
      <c r="E497" s="21" t="s">
        <v>865</v>
      </c>
      <c r="F497" s="21" t="s">
        <v>2552</v>
      </c>
      <c r="G497" s="21" t="s">
        <v>2553</v>
      </c>
      <c r="H497" s="21">
        <v>43656152</v>
      </c>
      <c r="I497" s="21">
        <v>3218830004</v>
      </c>
      <c r="L497" s="21" t="s">
        <v>2280</v>
      </c>
      <c r="N497" s="21" t="s">
        <v>132</v>
      </c>
      <c r="O497" s="21" t="s">
        <v>2271</v>
      </c>
      <c r="U497" s="21" t="s">
        <v>132</v>
      </c>
      <c r="V497" s="21" t="s">
        <v>564</v>
      </c>
      <c r="W497" s="21" t="s">
        <v>132</v>
      </c>
      <c r="X497" s="21" t="s">
        <v>564</v>
      </c>
      <c r="Y497" s="21" t="s">
        <v>564</v>
      </c>
      <c r="Z497" s="21" t="s">
        <v>564</v>
      </c>
      <c r="AA497" s="21" t="s">
        <v>564</v>
      </c>
      <c r="AC497" s="21" t="s">
        <v>2554</v>
      </c>
    </row>
    <row r="498" spans="1:36" x14ac:dyDescent="0.2">
      <c r="A498" s="20">
        <v>45808.462685243052</v>
      </c>
      <c r="B498" s="21" t="s">
        <v>2555</v>
      </c>
      <c r="E498" s="21" t="s">
        <v>865</v>
      </c>
      <c r="F498" s="21" t="s">
        <v>2556</v>
      </c>
      <c r="G498" s="21" t="s">
        <v>2557</v>
      </c>
      <c r="H498" s="21">
        <v>32108394</v>
      </c>
      <c r="I498" s="21">
        <v>3019325165</v>
      </c>
      <c r="J498" s="21" t="s">
        <v>2558</v>
      </c>
      <c r="K498" s="21">
        <v>3114385668</v>
      </c>
      <c r="L498" s="21" t="s">
        <v>2559</v>
      </c>
      <c r="N498" s="21" t="s">
        <v>35</v>
      </c>
      <c r="O498" s="21" t="s">
        <v>2560</v>
      </c>
      <c r="U498" s="21" t="s">
        <v>132</v>
      </c>
      <c r="V498" s="21" t="s">
        <v>564</v>
      </c>
      <c r="W498" s="21" t="s">
        <v>2107</v>
      </c>
      <c r="X498" s="21" t="s">
        <v>564</v>
      </c>
      <c r="Y498" s="21" t="s">
        <v>564</v>
      </c>
      <c r="Z498" s="21" t="s">
        <v>564</v>
      </c>
      <c r="AA498" s="21" t="s">
        <v>564</v>
      </c>
      <c r="AC498" s="21" t="s">
        <v>2561</v>
      </c>
    </row>
    <row r="499" spans="1:36" x14ac:dyDescent="0.2">
      <c r="A499" s="20">
        <v>45808.478837627314</v>
      </c>
      <c r="B499" s="21" t="s">
        <v>2562</v>
      </c>
      <c r="E499" s="21" t="s">
        <v>493</v>
      </c>
      <c r="F499" s="21" t="s">
        <v>2563</v>
      </c>
      <c r="G499" s="21" t="s">
        <v>2564</v>
      </c>
      <c r="H499" s="21">
        <v>1045080926</v>
      </c>
      <c r="I499" s="21">
        <v>3004382694</v>
      </c>
      <c r="J499" s="21" t="s">
        <v>2565</v>
      </c>
      <c r="K499" s="21">
        <v>3104891367</v>
      </c>
      <c r="L499" s="21" t="s">
        <v>2566</v>
      </c>
      <c r="N499" s="21" t="s">
        <v>35</v>
      </c>
      <c r="O499" s="21" t="s">
        <v>2567</v>
      </c>
      <c r="U499" s="21" t="s">
        <v>132</v>
      </c>
      <c r="V499" s="21" t="s">
        <v>564</v>
      </c>
      <c r="W499" s="21" t="s">
        <v>2086</v>
      </c>
      <c r="X499" s="21" t="s">
        <v>564</v>
      </c>
      <c r="Y499" s="21" t="s">
        <v>564</v>
      </c>
      <c r="Z499" s="21" t="s">
        <v>564</v>
      </c>
      <c r="AA499" s="21" t="s">
        <v>564</v>
      </c>
      <c r="AC499" s="21" t="s">
        <v>2568</v>
      </c>
    </row>
    <row r="500" spans="1:36" x14ac:dyDescent="0.2">
      <c r="A500" s="20">
        <v>45808.481551817131</v>
      </c>
      <c r="B500" s="21" t="s">
        <v>2569</v>
      </c>
      <c r="E500" s="21" t="s">
        <v>493</v>
      </c>
      <c r="F500" s="21" t="s">
        <v>2570</v>
      </c>
      <c r="G500" s="21" t="s">
        <v>2571</v>
      </c>
      <c r="H500" s="21">
        <v>21933589</v>
      </c>
      <c r="I500" s="21">
        <v>3158469635</v>
      </c>
      <c r="J500" s="21" t="s">
        <v>132</v>
      </c>
      <c r="K500" s="21" t="s">
        <v>132</v>
      </c>
      <c r="L500" s="21" t="s">
        <v>292</v>
      </c>
      <c r="N500" s="21" t="s">
        <v>35</v>
      </c>
      <c r="O500" s="21" t="s">
        <v>2572</v>
      </c>
      <c r="U500" s="21" t="s">
        <v>132</v>
      </c>
      <c r="V500" s="21" t="s">
        <v>564</v>
      </c>
      <c r="W500" s="21" t="s">
        <v>2107</v>
      </c>
      <c r="X500" s="21" t="s">
        <v>132</v>
      </c>
      <c r="Y500" s="21" t="s">
        <v>564</v>
      </c>
      <c r="Z500" s="21" t="s">
        <v>564</v>
      </c>
      <c r="AA500" s="21" t="s">
        <v>564</v>
      </c>
      <c r="AC500" s="21" t="s">
        <v>216</v>
      </c>
    </row>
    <row r="501" spans="1:36" x14ac:dyDescent="0.2">
      <c r="A501" s="20">
        <v>45808.482700833338</v>
      </c>
      <c r="B501" s="21" t="s">
        <v>2541</v>
      </c>
      <c r="E501" s="21" t="s">
        <v>493</v>
      </c>
      <c r="F501" s="21" t="s">
        <v>2573</v>
      </c>
      <c r="G501" s="21" t="s">
        <v>2574</v>
      </c>
      <c r="H501" s="21">
        <v>32786921</v>
      </c>
      <c r="I501" s="21">
        <v>3008514572</v>
      </c>
      <c r="J501" s="21" t="s">
        <v>2575</v>
      </c>
      <c r="K501" s="21">
        <v>3135387365</v>
      </c>
      <c r="L501" s="21" t="s">
        <v>1887</v>
      </c>
      <c r="N501" s="21" t="s">
        <v>35</v>
      </c>
      <c r="O501" s="21" t="s">
        <v>2190</v>
      </c>
      <c r="U501" s="21" t="s">
        <v>132</v>
      </c>
      <c r="V501" s="21" t="s">
        <v>564</v>
      </c>
      <c r="W501" s="21" t="s">
        <v>2086</v>
      </c>
      <c r="X501" s="21" t="s">
        <v>564</v>
      </c>
      <c r="Y501" s="21" t="s">
        <v>564</v>
      </c>
      <c r="Z501" s="21" t="s">
        <v>564</v>
      </c>
      <c r="AA501" s="21" t="s">
        <v>564</v>
      </c>
      <c r="AC501" s="21" t="s">
        <v>2576</v>
      </c>
    </row>
    <row r="502" spans="1:36" x14ac:dyDescent="0.2">
      <c r="A502" s="20">
        <v>45808.486291724534</v>
      </c>
      <c r="B502" s="21" t="s">
        <v>2569</v>
      </c>
      <c r="E502" s="21" t="s">
        <v>493</v>
      </c>
      <c r="F502" s="21" t="s">
        <v>2577</v>
      </c>
      <c r="G502" s="21" t="s">
        <v>2578</v>
      </c>
      <c r="H502" s="21">
        <v>24604648</v>
      </c>
      <c r="I502" s="21">
        <v>3117113120</v>
      </c>
      <c r="J502" s="21" t="s">
        <v>132</v>
      </c>
      <c r="K502" s="21" t="s">
        <v>132</v>
      </c>
      <c r="L502" s="21" t="s">
        <v>335</v>
      </c>
      <c r="N502" s="21" t="s">
        <v>35</v>
      </c>
      <c r="O502" s="21" t="s">
        <v>2579</v>
      </c>
      <c r="U502" s="21" t="s">
        <v>132</v>
      </c>
      <c r="V502" s="21" t="s">
        <v>564</v>
      </c>
      <c r="W502" s="21" t="s">
        <v>2086</v>
      </c>
      <c r="X502" s="21" t="s">
        <v>564</v>
      </c>
      <c r="Y502" s="21" t="s">
        <v>564</v>
      </c>
      <c r="Z502" s="21" t="s">
        <v>564</v>
      </c>
      <c r="AA502" s="21" t="s">
        <v>564</v>
      </c>
      <c r="AC502" s="21" t="s">
        <v>2580</v>
      </c>
    </row>
    <row r="503" spans="1:3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1:3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1:3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1:3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1:3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1:3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1:3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1:3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1:3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1:3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1:3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1:3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1:3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1:3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1:3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1:3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1:3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1:3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1:3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1:3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1:3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1:3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1:3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1:3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1:3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1:3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1:3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1:3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1:3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1:3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1:3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1:3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1:3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1:3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1:3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1:3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1:3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1:3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1:3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1:3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1:3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1:3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1:3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1:3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1:3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1:3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1:3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1:3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1:3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1:3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1:3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1:3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1:3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1:3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1:3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1:3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1:3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1:3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1:3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1:3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1:3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1:3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1:3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1:3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1:3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1:3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1:3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1:3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1:3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1:3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1:3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1:3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1:3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1:3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1:3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1:3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1:3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1:3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1:3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1:3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1:3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1:3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1:3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1:3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1:3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1:3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1:3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1:3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1:3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1:3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1:3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1:3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1:3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1:3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1:3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1:3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1:3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1:3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1:3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1:3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993"/>
  <sheetViews>
    <sheetView tabSelected="1" workbookViewId="0">
      <pane ySplit="1" topLeftCell="A352" activePane="bottomLeft" state="frozen"/>
      <selection pane="bottomLeft" activeCell="D388" sqref="D388"/>
    </sheetView>
  </sheetViews>
  <sheetFormatPr defaultColWidth="12.5703125" defaultRowHeight="15.75" customHeight="1" x14ac:dyDescent="0.2"/>
  <cols>
    <col min="1" max="1" width="14.140625" customWidth="1"/>
    <col min="2" max="2" width="32.5703125" customWidth="1"/>
    <col min="3" max="3" width="12.140625" customWidth="1"/>
    <col min="4" max="4" width="14" customWidth="1"/>
    <col min="5" max="5" width="14.42578125" customWidth="1"/>
    <col min="6" max="6" width="26.28515625" customWidth="1"/>
    <col min="7" max="7" width="28.7109375" customWidth="1"/>
    <col min="8" max="8" width="32" customWidth="1"/>
    <col min="9" max="9" width="14" customWidth="1"/>
    <col min="10" max="10" width="9.28515625" customWidth="1"/>
    <col min="11" max="11" width="12.85546875" customWidth="1"/>
    <col min="12" max="12" width="24.42578125" customWidth="1"/>
    <col min="13" max="13" width="18.140625" customWidth="1"/>
    <col min="14" max="14" width="19.28515625" customWidth="1"/>
    <col min="15" max="15" width="13.140625" customWidth="1"/>
    <col min="16" max="16" width="16.85546875" customWidth="1"/>
    <col min="17" max="17" width="15.42578125" customWidth="1"/>
    <col min="18" max="18" width="16.85546875" customWidth="1"/>
    <col min="19" max="19" width="14.140625" customWidth="1"/>
    <col min="20" max="21" width="16.85546875" customWidth="1"/>
    <col min="22" max="22" width="15.28515625" customWidth="1"/>
    <col min="23" max="23" width="16.85546875" customWidth="1"/>
    <col min="24" max="24" width="16.5703125" customWidth="1"/>
    <col min="25" max="25" width="17.42578125" customWidth="1"/>
    <col min="26" max="26" width="32.28515625" customWidth="1"/>
    <col min="27" max="27" width="16.85546875" customWidth="1"/>
    <col min="28" max="28" width="13.85546875" customWidth="1"/>
    <col min="29" max="29" width="11.7109375" customWidth="1"/>
    <col min="30" max="30" width="13.5703125" customWidth="1"/>
  </cols>
  <sheetData>
    <row r="1" spans="1:34" ht="47.25" x14ac:dyDescent="0.2">
      <c r="A1" s="22" t="s">
        <v>2581</v>
      </c>
      <c r="B1" s="22" t="s">
        <v>2582</v>
      </c>
      <c r="C1" s="22" t="s">
        <v>2583</v>
      </c>
      <c r="D1" s="22" t="s">
        <v>2584</v>
      </c>
      <c r="E1" s="22" t="s">
        <v>2585</v>
      </c>
      <c r="F1" s="22" t="s">
        <v>2586</v>
      </c>
      <c r="G1" s="22" t="s">
        <v>2587</v>
      </c>
      <c r="H1" s="22" t="s">
        <v>2588</v>
      </c>
      <c r="I1" s="22" t="s">
        <v>2589</v>
      </c>
      <c r="J1" s="22" t="s">
        <v>2590</v>
      </c>
      <c r="K1" s="22" t="s">
        <v>2591</v>
      </c>
      <c r="L1" s="22" t="s">
        <v>2592</v>
      </c>
      <c r="M1" s="22" t="s">
        <v>2593</v>
      </c>
      <c r="N1" s="22" t="s">
        <v>2594</v>
      </c>
      <c r="O1" s="22" t="s">
        <v>2595</v>
      </c>
      <c r="P1" s="22" t="s">
        <v>2596</v>
      </c>
      <c r="Q1" s="22" t="s">
        <v>2597</v>
      </c>
      <c r="R1" s="22" t="s">
        <v>2598</v>
      </c>
      <c r="S1" s="22" t="s">
        <v>2599</v>
      </c>
      <c r="T1" s="22" t="s">
        <v>2600</v>
      </c>
      <c r="U1" s="22" t="s">
        <v>2601</v>
      </c>
      <c r="V1" s="22" t="s">
        <v>2602</v>
      </c>
      <c r="W1" s="22" t="s">
        <v>2603</v>
      </c>
      <c r="X1" s="22" t="s">
        <v>2604</v>
      </c>
      <c r="Y1" s="22" t="s">
        <v>2605</v>
      </c>
      <c r="Z1" s="22" t="s">
        <v>2606</v>
      </c>
      <c r="AA1" s="23" t="s">
        <v>2831</v>
      </c>
      <c r="AB1" s="23" t="s">
        <v>2832</v>
      </c>
      <c r="AC1" s="23" t="s">
        <v>2833</v>
      </c>
      <c r="AD1" s="37" t="s">
        <v>2834</v>
      </c>
      <c r="AE1" s="37" t="s">
        <v>3828</v>
      </c>
      <c r="AF1" s="37" t="s">
        <v>3829</v>
      </c>
      <c r="AG1" s="37" t="s">
        <v>3200</v>
      </c>
      <c r="AH1" s="37" t="s">
        <v>2835</v>
      </c>
    </row>
    <row r="2" spans="1:34" ht="15.75" customHeight="1" x14ac:dyDescent="0.25">
      <c r="A2" s="24">
        <v>45132</v>
      </c>
      <c r="B2" s="25" t="s">
        <v>2607</v>
      </c>
      <c r="C2" s="25">
        <v>8038676</v>
      </c>
      <c r="D2" s="25">
        <v>3012842110</v>
      </c>
      <c r="E2" s="26" t="s">
        <v>865</v>
      </c>
      <c r="F2" s="25" t="s">
        <v>894</v>
      </c>
      <c r="G2" s="25" t="s">
        <v>2608</v>
      </c>
      <c r="H2" s="25" t="s">
        <v>2609</v>
      </c>
      <c r="I2" s="25">
        <v>3166842709</v>
      </c>
      <c r="J2" s="27"/>
      <c r="K2" s="27"/>
      <c r="L2" s="27"/>
      <c r="M2" s="27" t="s">
        <v>2610</v>
      </c>
      <c r="N2" s="28">
        <v>45200</v>
      </c>
      <c r="O2" s="29" t="s">
        <v>2611</v>
      </c>
      <c r="P2" s="29"/>
      <c r="Q2" s="29"/>
      <c r="R2" s="29"/>
      <c r="S2" s="29"/>
      <c r="T2" s="29"/>
      <c r="U2" s="29"/>
      <c r="V2" s="29"/>
      <c r="W2" s="29"/>
      <c r="X2" s="29"/>
      <c r="Y2" s="29"/>
      <c r="Z2" s="29"/>
      <c r="AA2" s="30"/>
      <c r="AB2" s="30"/>
      <c r="AC2" s="30"/>
      <c r="AD2" s="30"/>
    </row>
    <row r="3" spans="1:34" ht="15.75" customHeight="1" x14ac:dyDescent="0.25">
      <c r="A3" s="24">
        <v>45132</v>
      </c>
      <c r="B3" s="25" t="s">
        <v>873</v>
      </c>
      <c r="C3" s="25"/>
      <c r="D3" s="25">
        <v>3023571555</v>
      </c>
      <c r="E3" s="26" t="s">
        <v>865</v>
      </c>
      <c r="F3" s="25" t="s">
        <v>2612</v>
      </c>
      <c r="G3" s="25"/>
      <c r="H3" s="25" t="s">
        <v>874</v>
      </c>
      <c r="I3" s="25">
        <v>3015396496</v>
      </c>
      <c r="J3" s="27"/>
      <c r="K3" s="27"/>
      <c r="L3" s="27"/>
      <c r="M3" s="27" t="s">
        <v>2613</v>
      </c>
      <c r="N3" s="25"/>
      <c r="O3" s="29"/>
      <c r="P3" s="29"/>
      <c r="Q3" s="29"/>
      <c r="R3" s="29"/>
      <c r="S3" s="29"/>
      <c r="T3" s="29"/>
      <c r="U3" s="29"/>
      <c r="V3" s="29"/>
      <c r="W3" s="29"/>
      <c r="X3" s="29"/>
      <c r="Y3" s="29"/>
      <c r="Z3" s="29"/>
      <c r="AA3" s="30"/>
      <c r="AB3" s="30"/>
      <c r="AC3" s="30"/>
      <c r="AD3" s="30"/>
    </row>
    <row r="4" spans="1:34" ht="15.75" customHeight="1" x14ac:dyDescent="0.25">
      <c r="A4" s="24">
        <v>45132</v>
      </c>
      <c r="B4" s="25" t="s">
        <v>2614</v>
      </c>
      <c r="C4" s="25">
        <v>11811738</v>
      </c>
      <c r="D4" s="31">
        <v>3235985378</v>
      </c>
      <c r="E4" s="26" t="s">
        <v>865</v>
      </c>
      <c r="F4" s="25" t="s">
        <v>1440</v>
      </c>
      <c r="G4" s="25" t="s">
        <v>2615</v>
      </c>
      <c r="H4" s="25" t="s">
        <v>2616</v>
      </c>
      <c r="I4" s="25">
        <v>3148057540</v>
      </c>
      <c r="J4" s="27"/>
      <c r="K4" s="27"/>
      <c r="L4" s="27"/>
      <c r="M4" s="27" t="s">
        <v>2613</v>
      </c>
      <c r="N4" s="25"/>
      <c r="O4" s="29"/>
      <c r="P4" s="29"/>
      <c r="Q4" s="29"/>
      <c r="R4" s="29"/>
      <c r="S4" s="29"/>
      <c r="T4" s="29"/>
      <c r="U4" s="29"/>
      <c r="V4" s="29"/>
      <c r="W4" s="29"/>
      <c r="X4" s="29"/>
      <c r="Y4" s="29"/>
      <c r="Z4" s="29"/>
      <c r="AA4" s="30"/>
      <c r="AB4" s="30"/>
      <c r="AC4" s="30"/>
      <c r="AD4" s="30"/>
    </row>
    <row r="5" spans="1:34" ht="15.75" customHeight="1" x14ac:dyDescent="0.25">
      <c r="A5" s="24">
        <v>45132</v>
      </c>
      <c r="B5" s="25" t="s">
        <v>2617</v>
      </c>
      <c r="C5" s="25">
        <v>32556393</v>
      </c>
      <c r="D5" s="25">
        <v>3233435253</v>
      </c>
      <c r="E5" s="26" t="s">
        <v>865</v>
      </c>
      <c r="F5" s="25" t="s">
        <v>2618</v>
      </c>
      <c r="G5" s="25" t="s">
        <v>2619</v>
      </c>
      <c r="H5" s="25" t="s">
        <v>888</v>
      </c>
      <c r="I5" s="25">
        <v>3148661322</v>
      </c>
      <c r="J5" s="27"/>
      <c r="K5" s="27"/>
      <c r="L5" s="27"/>
      <c r="M5" s="27" t="s">
        <v>2613</v>
      </c>
      <c r="N5" s="25"/>
      <c r="O5" s="29"/>
      <c r="P5" s="29"/>
      <c r="Q5" s="29"/>
      <c r="R5" s="29"/>
      <c r="S5" s="29"/>
      <c r="T5" s="29"/>
      <c r="U5" s="29"/>
      <c r="V5" s="29"/>
      <c r="W5" s="29"/>
      <c r="X5" s="29"/>
      <c r="Y5" s="29"/>
      <c r="Z5" s="29"/>
      <c r="AA5" s="30"/>
      <c r="AB5" s="30"/>
      <c r="AC5" s="30"/>
      <c r="AD5" s="30"/>
    </row>
    <row r="6" spans="1:34" ht="15.75" customHeight="1" x14ac:dyDescent="0.25">
      <c r="A6" s="24">
        <v>45133</v>
      </c>
      <c r="B6" s="25" t="s">
        <v>895</v>
      </c>
      <c r="C6" s="25">
        <v>1028006429</v>
      </c>
      <c r="D6" s="25">
        <v>3002424085</v>
      </c>
      <c r="E6" s="26" t="s">
        <v>865</v>
      </c>
      <c r="F6" s="25" t="s">
        <v>894</v>
      </c>
      <c r="G6" s="25" t="s">
        <v>2620</v>
      </c>
      <c r="H6" s="25" t="s">
        <v>2621</v>
      </c>
      <c r="I6" s="25">
        <v>3242913125</v>
      </c>
      <c r="J6" s="27"/>
      <c r="K6" s="27"/>
      <c r="L6" s="27"/>
      <c r="M6" s="27" t="s">
        <v>2610</v>
      </c>
      <c r="N6" s="28">
        <v>45200</v>
      </c>
      <c r="O6" s="29" t="s">
        <v>2622</v>
      </c>
      <c r="P6" s="29"/>
      <c r="Q6" s="29"/>
      <c r="R6" s="29"/>
      <c r="S6" s="29"/>
      <c r="T6" s="29"/>
      <c r="U6" s="29"/>
      <c r="V6" s="29"/>
      <c r="W6" s="29"/>
      <c r="X6" s="29"/>
      <c r="Y6" s="29"/>
      <c r="Z6" s="29" t="s">
        <v>2623</v>
      </c>
      <c r="AA6" s="30"/>
      <c r="AB6" s="30"/>
      <c r="AC6" s="30"/>
      <c r="AD6" s="30"/>
    </row>
    <row r="7" spans="1:34" ht="15.75" customHeight="1" x14ac:dyDescent="0.25">
      <c r="A7" s="24">
        <v>45133</v>
      </c>
      <c r="B7" s="25" t="s">
        <v>2624</v>
      </c>
      <c r="C7" s="25">
        <v>66729382</v>
      </c>
      <c r="D7" s="25">
        <v>3122819174</v>
      </c>
      <c r="E7" s="26" t="s">
        <v>865</v>
      </c>
      <c r="F7" s="25" t="s">
        <v>1440</v>
      </c>
      <c r="G7" s="25" t="s">
        <v>2625</v>
      </c>
      <c r="H7" s="25" t="s">
        <v>2626</v>
      </c>
      <c r="I7" s="25">
        <v>3136341859</v>
      </c>
      <c r="J7" s="27"/>
      <c r="K7" s="27"/>
      <c r="L7" s="27"/>
      <c r="M7" s="27" t="s">
        <v>2610</v>
      </c>
      <c r="N7" s="28">
        <v>45200</v>
      </c>
      <c r="O7" s="29" t="s">
        <v>2611</v>
      </c>
      <c r="P7" s="29"/>
      <c r="Q7" s="29"/>
      <c r="R7" s="29"/>
      <c r="S7" s="29"/>
      <c r="T7" s="29"/>
      <c r="U7" s="29"/>
      <c r="V7" s="29"/>
      <c r="W7" s="29"/>
      <c r="X7" s="29"/>
      <c r="Y7" s="29"/>
      <c r="Z7" s="29"/>
      <c r="AA7" s="30"/>
      <c r="AB7" s="30"/>
      <c r="AC7" s="30"/>
      <c r="AD7" s="30"/>
    </row>
    <row r="8" spans="1:34" ht="15.75" customHeight="1" x14ac:dyDescent="0.25">
      <c r="A8" s="24">
        <v>45133</v>
      </c>
      <c r="B8" s="25" t="s">
        <v>2627</v>
      </c>
      <c r="C8" s="25">
        <v>1017203842</v>
      </c>
      <c r="D8" s="25">
        <v>3145158993</v>
      </c>
      <c r="E8" s="26" t="s">
        <v>865</v>
      </c>
      <c r="F8" s="25" t="s">
        <v>1440</v>
      </c>
      <c r="G8" s="25" t="s">
        <v>2628</v>
      </c>
      <c r="H8" s="25"/>
      <c r="I8" s="25"/>
      <c r="J8" s="27"/>
      <c r="K8" s="27"/>
      <c r="L8" s="27"/>
      <c r="M8" s="27" t="s">
        <v>2613</v>
      </c>
      <c r="N8" s="25"/>
      <c r="O8" s="29"/>
      <c r="P8" s="29"/>
      <c r="Q8" s="29"/>
      <c r="R8" s="29"/>
      <c r="S8" s="29"/>
      <c r="T8" s="29"/>
      <c r="U8" s="29"/>
      <c r="V8" s="29"/>
      <c r="W8" s="29"/>
      <c r="X8" s="29"/>
      <c r="Y8" s="29"/>
      <c r="Z8" s="29"/>
      <c r="AA8" s="30"/>
      <c r="AB8" s="30"/>
      <c r="AC8" s="30"/>
      <c r="AD8" s="30"/>
    </row>
    <row r="9" spans="1:34" ht="15.75" customHeight="1" x14ac:dyDescent="0.25">
      <c r="A9" s="24">
        <v>45133</v>
      </c>
      <c r="B9" s="25" t="s">
        <v>2629</v>
      </c>
      <c r="C9" s="25">
        <v>39280937</v>
      </c>
      <c r="D9" s="25">
        <v>3113261780</v>
      </c>
      <c r="E9" s="26" t="s">
        <v>865</v>
      </c>
      <c r="F9" s="25" t="s">
        <v>1573</v>
      </c>
      <c r="G9" s="25" t="s">
        <v>2630</v>
      </c>
      <c r="H9" s="25" t="s">
        <v>2631</v>
      </c>
      <c r="I9" s="25">
        <v>3134147028</v>
      </c>
      <c r="J9" s="27"/>
      <c r="K9" s="27"/>
      <c r="L9" s="27"/>
      <c r="M9" s="27" t="s">
        <v>2610</v>
      </c>
      <c r="N9" s="28">
        <v>45200</v>
      </c>
      <c r="O9" s="29" t="s">
        <v>2611</v>
      </c>
      <c r="P9" s="29"/>
      <c r="Q9" s="29"/>
      <c r="R9" s="29"/>
      <c r="S9" s="29"/>
      <c r="T9" s="29"/>
      <c r="U9" s="29"/>
      <c r="V9" s="29"/>
      <c r="W9" s="29"/>
      <c r="X9" s="29"/>
      <c r="Y9" s="29"/>
      <c r="Z9" s="29"/>
      <c r="AA9" s="30"/>
      <c r="AB9" s="30"/>
      <c r="AC9" s="30"/>
      <c r="AD9" s="30"/>
    </row>
    <row r="10" spans="1:34" ht="15.75" customHeight="1" x14ac:dyDescent="0.25">
      <c r="A10" s="24">
        <v>45133</v>
      </c>
      <c r="B10" s="25" t="s">
        <v>922</v>
      </c>
      <c r="C10" s="25">
        <v>1017227801</v>
      </c>
      <c r="D10" s="25">
        <v>3105959714</v>
      </c>
      <c r="E10" s="26" t="s">
        <v>865</v>
      </c>
      <c r="F10" s="25" t="s">
        <v>1440</v>
      </c>
      <c r="G10" s="25" t="s">
        <v>2632</v>
      </c>
      <c r="H10" s="25" t="s">
        <v>2621</v>
      </c>
      <c r="I10" s="25">
        <v>3045502608</v>
      </c>
      <c r="J10" s="27"/>
      <c r="K10" s="27"/>
      <c r="L10" s="27"/>
      <c r="M10" s="27" t="s">
        <v>2610</v>
      </c>
      <c r="N10" s="28">
        <v>45214</v>
      </c>
      <c r="O10" s="29" t="s">
        <v>2622</v>
      </c>
      <c r="P10" s="29"/>
      <c r="Q10" s="29"/>
      <c r="R10" s="29"/>
      <c r="S10" s="29"/>
      <c r="T10" s="29"/>
      <c r="U10" s="29"/>
      <c r="V10" s="29"/>
      <c r="W10" s="29"/>
      <c r="X10" s="29"/>
      <c r="Y10" s="29"/>
      <c r="Z10" s="29" t="s">
        <v>2623</v>
      </c>
      <c r="AA10" s="30"/>
      <c r="AB10" s="30"/>
      <c r="AC10" s="30"/>
      <c r="AD10" s="30"/>
    </row>
    <row r="11" spans="1:34" ht="15.75" customHeight="1" x14ac:dyDescent="0.25">
      <c r="A11" s="24">
        <v>45133</v>
      </c>
      <c r="B11" s="25" t="s">
        <v>926</v>
      </c>
      <c r="C11" s="25"/>
      <c r="D11" s="25">
        <v>3017545204</v>
      </c>
      <c r="E11" s="26" t="s">
        <v>865</v>
      </c>
      <c r="F11" s="25" t="s">
        <v>1339</v>
      </c>
      <c r="G11" s="25"/>
      <c r="H11" s="25" t="s">
        <v>2633</v>
      </c>
      <c r="I11" s="25">
        <v>3106522631</v>
      </c>
      <c r="J11" s="27"/>
      <c r="K11" s="27"/>
      <c r="L11" s="27"/>
      <c r="M11" s="27" t="s">
        <v>2613</v>
      </c>
      <c r="N11" s="25"/>
      <c r="O11" s="29"/>
      <c r="P11" s="29"/>
      <c r="Q11" s="29"/>
      <c r="R11" s="29"/>
      <c r="S11" s="29"/>
      <c r="T11" s="29"/>
      <c r="U11" s="29"/>
      <c r="V11" s="29"/>
      <c r="W11" s="29"/>
      <c r="X11" s="29"/>
      <c r="Y11" s="29"/>
      <c r="Z11" s="29"/>
      <c r="AA11" s="30"/>
      <c r="AB11" s="30"/>
      <c r="AC11" s="30"/>
      <c r="AD11" s="30"/>
    </row>
    <row r="12" spans="1:34" ht="15.75" customHeight="1" x14ac:dyDescent="0.25">
      <c r="A12" s="24">
        <v>45133</v>
      </c>
      <c r="B12" s="25" t="s">
        <v>930</v>
      </c>
      <c r="C12" s="25">
        <v>1193429360</v>
      </c>
      <c r="D12" s="25">
        <v>3127773535</v>
      </c>
      <c r="E12" s="26" t="s">
        <v>865</v>
      </c>
      <c r="F12" s="25" t="s">
        <v>1440</v>
      </c>
      <c r="G12" s="25"/>
      <c r="H12" s="25" t="s">
        <v>2634</v>
      </c>
      <c r="I12" s="25">
        <v>3114199698</v>
      </c>
      <c r="J12" s="27"/>
      <c r="K12" s="27"/>
      <c r="L12" s="27"/>
      <c r="M12" s="27" t="s">
        <v>2613</v>
      </c>
      <c r="N12" s="25"/>
      <c r="O12" s="29"/>
      <c r="P12" s="29"/>
      <c r="Q12" s="29"/>
      <c r="R12" s="29"/>
      <c r="S12" s="29"/>
      <c r="T12" s="29"/>
      <c r="U12" s="29"/>
      <c r="V12" s="29"/>
      <c r="W12" s="29"/>
      <c r="X12" s="29"/>
      <c r="Y12" s="29"/>
      <c r="Z12" s="29"/>
      <c r="AA12" s="30"/>
      <c r="AB12" s="30"/>
      <c r="AC12" s="30"/>
      <c r="AD12" s="30"/>
    </row>
    <row r="13" spans="1:34" ht="15.75" customHeight="1" x14ac:dyDescent="0.25">
      <c r="A13" s="24">
        <v>45133</v>
      </c>
      <c r="B13" s="25" t="s">
        <v>934</v>
      </c>
      <c r="C13" s="25"/>
      <c r="D13" s="25">
        <v>3217088582</v>
      </c>
      <c r="E13" s="26" t="s">
        <v>865</v>
      </c>
      <c r="F13" s="25"/>
      <c r="G13" s="25"/>
      <c r="H13" s="25" t="s">
        <v>2635</v>
      </c>
      <c r="I13" s="25">
        <v>3112091144</v>
      </c>
      <c r="J13" s="27"/>
      <c r="K13" s="27"/>
      <c r="L13" s="27"/>
      <c r="M13" s="27" t="s">
        <v>2613</v>
      </c>
      <c r="N13" s="25"/>
      <c r="O13" s="29"/>
      <c r="P13" s="29"/>
      <c r="Q13" s="29"/>
      <c r="R13" s="29"/>
      <c r="S13" s="29"/>
      <c r="T13" s="29"/>
      <c r="U13" s="29"/>
      <c r="V13" s="29"/>
      <c r="W13" s="29"/>
      <c r="X13" s="29"/>
      <c r="Y13" s="29"/>
      <c r="Z13" s="29"/>
      <c r="AA13" s="30"/>
      <c r="AB13" s="30"/>
      <c r="AC13" s="30"/>
      <c r="AD13" s="30"/>
    </row>
    <row r="14" spans="1:34" ht="15.75" customHeight="1" x14ac:dyDescent="0.25">
      <c r="A14" s="24">
        <v>45133</v>
      </c>
      <c r="B14" s="25" t="s">
        <v>2636</v>
      </c>
      <c r="C14" s="25">
        <v>21400180</v>
      </c>
      <c r="D14" s="25">
        <v>3508206943</v>
      </c>
      <c r="E14" s="26" t="s">
        <v>865</v>
      </c>
      <c r="F14" s="25" t="s">
        <v>894</v>
      </c>
      <c r="G14" s="25" t="s">
        <v>2637</v>
      </c>
      <c r="H14" s="25"/>
      <c r="I14" s="25"/>
      <c r="J14" s="27"/>
      <c r="K14" s="27"/>
      <c r="L14" s="27"/>
      <c r="M14" s="27" t="s">
        <v>2613</v>
      </c>
      <c r="N14" s="25"/>
      <c r="O14" s="29"/>
      <c r="P14" s="29"/>
      <c r="Q14" s="29"/>
      <c r="R14" s="29"/>
      <c r="S14" s="29"/>
      <c r="T14" s="29"/>
      <c r="U14" s="29"/>
      <c r="V14" s="29"/>
      <c r="W14" s="29"/>
      <c r="X14" s="29"/>
      <c r="Y14" s="29"/>
      <c r="Z14" s="29"/>
      <c r="AA14" s="30"/>
      <c r="AB14" s="30"/>
      <c r="AC14" s="30"/>
      <c r="AD14" s="30"/>
    </row>
    <row r="15" spans="1:34" ht="15.75" customHeight="1" x14ac:dyDescent="0.25">
      <c r="A15" s="24">
        <v>45133</v>
      </c>
      <c r="B15" s="25" t="s">
        <v>2638</v>
      </c>
      <c r="C15" s="25"/>
      <c r="D15" s="25">
        <v>3225238326</v>
      </c>
      <c r="E15" s="26" t="s">
        <v>865</v>
      </c>
      <c r="F15" s="25" t="s">
        <v>2639</v>
      </c>
      <c r="G15" s="25"/>
      <c r="H15" s="25" t="s">
        <v>2640</v>
      </c>
      <c r="I15" s="25">
        <v>3007282104</v>
      </c>
      <c r="J15" s="27"/>
      <c r="K15" s="27"/>
      <c r="L15" s="27"/>
      <c r="M15" s="27" t="s">
        <v>2613</v>
      </c>
      <c r="N15" s="25"/>
      <c r="O15" s="29"/>
      <c r="P15" s="29"/>
      <c r="Q15" s="29"/>
      <c r="R15" s="29"/>
      <c r="S15" s="29"/>
      <c r="T15" s="29"/>
      <c r="U15" s="29"/>
      <c r="V15" s="29"/>
      <c r="W15" s="29"/>
      <c r="X15" s="29"/>
      <c r="Y15" s="29"/>
      <c r="Z15" s="29"/>
      <c r="AA15" s="30"/>
      <c r="AB15" s="30"/>
      <c r="AC15" s="30"/>
      <c r="AD15" s="30"/>
    </row>
    <row r="16" spans="1:34" ht="15.75" customHeight="1" x14ac:dyDescent="0.25">
      <c r="A16" s="24">
        <v>45133</v>
      </c>
      <c r="B16" s="25" t="s">
        <v>2641</v>
      </c>
      <c r="C16" s="25"/>
      <c r="D16" s="25">
        <v>3005014448</v>
      </c>
      <c r="E16" s="26" t="s">
        <v>865</v>
      </c>
      <c r="F16" s="25" t="s">
        <v>2612</v>
      </c>
      <c r="G16" s="25"/>
      <c r="H16" s="25"/>
      <c r="I16" s="25"/>
      <c r="J16" s="27"/>
      <c r="K16" s="27"/>
      <c r="L16" s="27"/>
      <c r="M16" s="27" t="s">
        <v>2613</v>
      </c>
      <c r="N16" s="25"/>
      <c r="O16" s="29"/>
      <c r="P16" s="29"/>
      <c r="Q16" s="29"/>
      <c r="R16" s="29"/>
      <c r="S16" s="29"/>
      <c r="T16" s="29"/>
      <c r="U16" s="29"/>
      <c r="V16" s="29"/>
      <c r="W16" s="29"/>
      <c r="X16" s="29"/>
      <c r="Y16" s="29"/>
      <c r="Z16" s="29"/>
      <c r="AA16" s="30"/>
      <c r="AB16" s="30"/>
      <c r="AC16" s="30"/>
      <c r="AD16" s="30"/>
    </row>
    <row r="17" spans="1:30" ht="15.75" customHeight="1" x14ac:dyDescent="0.25">
      <c r="A17" s="24">
        <v>45134</v>
      </c>
      <c r="B17" s="25" t="s">
        <v>959</v>
      </c>
      <c r="C17" s="25">
        <v>43073769</v>
      </c>
      <c r="D17" s="25">
        <v>3122703113</v>
      </c>
      <c r="E17" s="26" t="s">
        <v>865</v>
      </c>
      <c r="F17" s="25" t="s">
        <v>1440</v>
      </c>
      <c r="G17" s="25" t="s">
        <v>2642</v>
      </c>
      <c r="H17" s="25" t="s">
        <v>2643</v>
      </c>
      <c r="I17" s="25">
        <v>3114301041</v>
      </c>
      <c r="J17" s="27"/>
      <c r="K17" s="27"/>
      <c r="L17" s="32"/>
      <c r="M17" s="27" t="s">
        <v>2644</v>
      </c>
      <c r="N17" s="28">
        <v>45200</v>
      </c>
      <c r="O17" s="29" t="s">
        <v>2622</v>
      </c>
      <c r="P17" s="29" t="s">
        <v>2645</v>
      </c>
      <c r="Q17" s="29"/>
      <c r="R17" s="29" t="s">
        <v>2646</v>
      </c>
      <c r="S17" s="28">
        <v>45459</v>
      </c>
      <c r="T17" s="29" t="s">
        <v>2645</v>
      </c>
      <c r="U17" s="29"/>
      <c r="V17" s="29" t="s">
        <v>2646</v>
      </c>
      <c r="W17" s="33">
        <v>45613</v>
      </c>
      <c r="X17" s="29"/>
      <c r="Y17" s="29"/>
      <c r="Z17" s="29"/>
      <c r="AA17" s="30"/>
      <c r="AB17" s="30"/>
      <c r="AC17" s="30"/>
      <c r="AD17" s="30"/>
    </row>
    <row r="18" spans="1:30" ht="15.75" customHeight="1" x14ac:dyDescent="0.25">
      <c r="A18" s="24">
        <v>45134</v>
      </c>
      <c r="B18" s="25" t="s">
        <v>965</v>
      </c>
      <c r="C18" s="25"/>
      <c r="D18" s="25">
        <v>3128797659</v>
      </c>
      <c r="E18" s="26" t="s">
        <v>865</v>
      </c>
      <c r="F18" s="25" t="s">
        <v>1440</v>
      </c>
      <c r="G18" s="25"/>
      <c r="H18" s="25" t="s">
        <v>2647</v>
      </c>
      <c r="I18" s="25">
        <v>3016099241</v>
      </c>
      <c r="J18" s="27"/>
      <c r="K18" s="27"/>
      <c r="L18" s="27"/>
      <c r="M18" s="27" t="s">
        <v>2648</v>
      </c>
      <c r="N18" s="25"/>
      <c r="O18" s="29"/>
      <c r="P18" s="29" t="s">
        <v>2645</v>
      </c>
      <c r="Q18" s="29"/>
      <c r="R18" s="29" t="s">
        <v>2645</v>
      </c>
      <c r="S18" s="29"/>
      <c r="T18" s="29" t="s">
        <v>2645</v>
      </c>
      <c r="U18" s="29"/>
      <c r="V18" s="29" t="s">
        <v>2645</v>
      </c>
      <c r="W18" s="29"/>
      <c r="X18" s="29" t="s">
        <v>2645</v>
      </c>
      <c r="Y18" s="29"/>
      <c r="Z18" s="29" t="s">
        <v>2649</v>
      </c>
      <c r="AA18" s="30"/>
      <c r="AB18" s="30"/>
      <c r="AC18" s="30"/>
      <c r="AD18" s="30"/>
    </row>
    <row r="19" spans="1:30" ht="15.75" customHeight="1" x14ac:dyDescent="0.25">
      <c r="A19" s="24">
        <v>45134</v>
      </c>
      <c r="B19" s="25" t="s">
        <v>972</v>
      </c>
      <c r="C19" s="25"/>
      <c r="D19" s="25">
        <v>3014070679</v>
      </c>
      <c r="E19" s="26" t="s">
        <v>865</v>
      </c>
      <c r="F19" s="25" t="s">
        <v>2639</v>
      </c>
      <c r="G19" s="25"/>
      <c r="H19" s="25" t="s">
        <v>2650</v>
      </c>
      <c r="I19" s="25">
        <v>3137772271</v>
      </c>
      <c r="J19" s="27"/>
      <c r="K19" s="27"/>
      <c r="L19" s="27"/>
      <c r="M19" s="27" t="s">
        <v>2613</v>
      </c>
      <c r="N19" s="25"/>
      <c r="O19" s="29"/>
      <c r="P19" s="29"/>
      <c r="Q19" s="29"/>
      <c r="R19" s="29"/>
      <c r="S19" s="29"/>
      <c r="T19" s="29"/>
      <c r="U19" s="29"/>
      <c r="V19" s="29"/>
      <c r="W19" s="29"/>
      <c r="X19" s="29"/>
      <c r="Y19" s="29"/>
      <c r="Z19" s="29"/>
      <c r="AA19" s="30"/>
      <c r="AB19" s="30"/>
      <c r="AC19" s="30"/>
      <c r="AD19" s="30"/>
    </row>
    <row r="20" spans="1:30" ht="15.75" customHeight="1" x14ac:dyDescent="0.25">
      <c r="A20" s="24">
        <v>45134</v>
      </c>
      <c r="B20" s="25" t="s">
        <v>2651</v>
      </c>
      <c r="C20" s="25"/>
      <c r="D20" s="25">
        <v>3017840526</v>
      </c>
      <c r="E20" s="26" t="s">
        <v>865</v>
      </c>
      <c r="F20" s="25" t="s">
        <v>1339</v>
      </c>
      <c r="G20" s="25"/>
      <c r="H20" s="25" t="s">
        <v>2652</v>
      </c>
      <c r="I20" s="25">
        <v>3017644761</v>
      </c>
      <c r="J20" s="27"/>
      <c r="K20" s="27"/>
      <c r="L20" s="27"/>
      <c r="M20" s="27" t="s">
        <v>2613</v>
      </c>
      <c r="N20" s="25"/>
      <c r="O20" s="29"/>
      <c r="P20" s="29"/>
      <c r="Q20" s="29"/>
      <c r="R20" s="29"/>
      <c r="S20" s="29"/>
      <c r="T20" s="29"/>
      <c r="U20" s="29"/>
      <c r="V20" s="29"/>
      <c r="W20" s="29"/>
      <c r="X20" s="29"/>
      <c r="Y20" s="29"/>
      <c r="Z20" s="29"/>
      <c r="AA20" s="30"/>
      <c r="AB20" s="30"/>
      <c r="AC20" s="30"/>
      <c r="AD20" s="30"/>
    </row>
    <row r="21" spans="1:30" ht="15.75" customHeight="1" x14ac:dyDescent="0.25">
      <c r="A21" s="24">
        <v>45134</v>
      </c>
      <c r="B21" s="25" t="s">
        <v>984</v>
      </c>
      <c r="C21" s="25">
        <v>21938045</v>
      </c>
      <c r="D21" s="25">
        <v>3106682240</v>
      </c>
      <c r="E21" s="26" t="s">
        <v>865</v>
      </c>
      <c r="F21" s="25" t="s">
        <v>1339</v>
      </c>
      <c r="G21" s="25"/>
      <c r="H21" s="25"/>
      <c r="I21" s="25"/>
      <c r="J21" s="27"/>
      <c r="K21" s="27"/>
      <c r="L21" s="27"/>
      <c r="M21" s="27" t="s">
        <v>2613</v>
      </c>
      <c r="N21" s="25"/>
      <c r="O21" s="29"/>
      <c r="P21" s="29"/>
      <c r="Q21" s="29"/>
      <c r="R21" s="29"/>
      <c r="S21" s="29"/>
      <c r="T21" s="29"/>
      <c r="U21" s="29"/>
      <c r="V21" s="29"/>
      <c r="W21" s="29"/>
      <c r="X21" s="29"/>
      <c r="Y21" s="29"/>
      <c r="Z21" s="29"/>
      <c r="AA21" s="30"/>
      <c r="AB21" s="30"/>
      <c r="AC21" s="30"/>
      <c r="AD21" s="30"/>
    </row>
    <row r="22" spans="1:30" ht="15.75" customHeight="1" x14ac:dyDescent="0.25">
      <c r="A22" s="24">
        <v>45134</v>
      </c>
      <c r="B22" s="25" t="s">
        <v>2653</v>
      </c>
      <c r="C22" s="25"/>
      <c r="D22" s="25">
        <v>3226807345</v>
      </c>
      <c r="E22" s="26" t="s">
        <v>865</v>
      </c>
      <c r="F22" s="25" t="s">
        <v>1339</v>
      </c>
      <c r="G22" s="25"/>
      <c r="H22" s="25"/>
      <c r="I22" s="25"/>
      <c r="J22" s="27"/>
      <c r="K22" s="27"/>
      <c r="L22" s="27"/>
      <c r="M22" s="27" t="s">
        <v>2613</v>
      </c>
      <c r="N22" s="25"/>
      <c r="O22" s="29"/>
      <c r="P22" s="29"/>
      <c r="Q22" s="29"/>
      <c r="R22" s="29"/>
      <c r="S22" s="29"/>
      <c r="T22" s="29"/>
      <c r="U22" s="29"/>
      <c r="V22" s="29"/>
      <c r="W22" s="29"/>
      <c r="X22" s="29"/>
      <c r="Y22" s="29"/>
      <c r="Z22" s="29"/>
      <c r="AA22" s="30"/>
      <c r="AB22" s="30"/>
      <c r="AC22" s="30"/>
      <c r="AD22" s="30"/>
    </row>
    <row r="23" spans="1:30" ht="15.75" customHeight="1" x14ac:dyDescent="0.25">
      <c r="A23" s="24">
        <v>45135</v>
      </c>
      <c r="B23" s="25" t="s">
        <v>2654</v>
      </c>
      <c r="C23" s="25">
        <v>1017163772</v>
      </c>
      <c r="D23" s="25">
        <v>3002854936</v>
      </c>
      <c r="E23" s="26" t="s">
        <v>865</v>
      </c>
      <c r="F23" s="25" t="s">
        <v>1415</v>
      </c>
      <c r="G23" s="25" t="s">
        <v>2655</v>
      </c>
      <c r="H23" s="25"/>
      <c r="I23" s="25"/>
      <c r="J23" s="27"/>
      <c r="K23" s="27"/>
      <c r="L23" s="27"/>
      <c r="M23" s="27" t="s">
        <v>2610</v>
      </c>
      <c r="N23" s="28">
        <v>45200</v>
      </c>
      <c r="O23" s="29" t="s">
        <v>2656</v>
      </c>
      <c r="P23" s="29"/>
      <c r="Q23" s="29"/>
      <c r="R23" s="29"/>
      <c r="S23" s="29"/>
      <c r="T23" s="29"/>
      <c r="U23" s="29"/>
      <c r="V23" s="29"/>
      <c r="W23" s="29"/>
      <c r="X23" s="29"/>
      <c r="Y23" s="29"/>
      <c r="Z23" s="29"/>
      <c r="AA23" s="30"/>
      <c r="AB23" s="30"/>
      <c r="AC23" s="30"/>
      <c r="AD23" s="30"/>
    </row>
    <row r="24" spans="1:30" x14ac:dyDescent="0.25">
      <c r="A24" s="24">
        <v>45135</v>
      </c>
      <c r="B24" s="25" t="s">
        <v>1006</v>
      </c>
      <c r="C24" s="25"/>
      <c r="D24" s="25">
        <v>3023153561</v>
      </c>
      <c r="E24" s="26" t="s">
        <v>865</v>
      </c>
      <c r="F24" s="25" t="s">
        <v>2612</v>
      </c>
      <c r="G24" s="25"/>
      <c r="H24" s="25" t="s">
        <v>2657</v>
      </c>
      <c r="I24" s="25">
        <v>3136572193</v>
      </c>
      <c r="J24" s="27"/>
      <c r="K24" s="27"/>
      <c r="L24" s="27"/>
      <c r="M24" s="27" t="s">
        <v>2613</v>
      </c>
      <c r="N24" s="25"/>
      <c r="O24" s="29"/>
      <c r="P24" s="29"/>
      <c r="Q24" s="29"/>
      <c r="R24" s="29"/>
      <c r="S24" s="29"/>
      <c r="T24" s="29"/>
      <c r="U24" s="29"/>
      <c r="V24" s="29"/>
      <c r="W24" s="29"/>
      <c r="X24" s="29"/>
      <c r="Y24" s="29"/>
      <c r="Z24" s="29"/>
      <c r="AA24" s="30"/>
      <c r="AB24" s="30"/>
      <c r="AC24" s="30"/>
      <c r="AD24" s="30"/>
    </row>
    <row r="25" spans="1:30" x14ac:dyDescent="0.25">
      <c r="A25" s="24">
        <v>45135</v>
      </c>
      <c r="B25" s="25" t="s">
        <v>1013</v>
      </c>
      <c r="C25" s="25"/>
      <c r="D25" s="25">
        <v>3012837045</v>
      </c>
      <c r="E25" s="26" t="s">
        <v>865</v>
      </c>
      <c r="F25" s="25" t="s">
        <v>894</v>
      </c>
      <c r="G25" s="25"/>
      <c r="H25" s="25" t="s">
        <v>2658</v>
      </c>
      <c r="I25" s="25">
        <v>3012842110</v>
      </c>
      <c r="J25" s="27"/>
      <c r="K25" s="27"/>
      <c r="L25" s="27"/>
      <c r="M25" s="27" t="s">
        <v>2613</v>
      </c>
      <c r="N25" s="25"/>
      <c r="O25" s="29"/>
      <c r="P25" s="29"/>
      <c r="Q25" s="29"/>
      <c r="R25" s="29"/>
      <c r="S25" s="29"/>
      <c r="T25" s="29"/>
      <c r="U25" s="29"/>
      <c r="V25" s="29"/>
      <c r="W25" s="29"/>
      <c r="X25" s="29"/>
      <c r="Y25" s="29"/>
      <c r="Z25" s="29"/>
      <c r="AA25" s="30"/>
      <c r="AB25" s="30"/>
      <c r="AC25" s="30"/>
      <c r="AD25" s="30"/>
    </row>
    <row r="26" spans="1:30" x14ac:dyDescent="0.25">
      <c r="A26" s="24">
        <v>45135</v>
      </c>
      <c r="B26" s="25" t="s">
        <v>1021</v>
      </c>
      <c r="C26" s="25"/>
      <c r="D26" s="25">
        <v>3146721753</v>
      </c>
      <c r="E26" s="26" t="s">
        <v>865</v>
      </c>
      <c r="F26" s="25" t="s">
        <v>1440</v>
      </c>
      <c r="G26" s="25"/>
      <c r="H26" s="25" t="s">
        <v>1361</v>
      </c>
      <c r="I26" s="25">
        <v>3216285029</v>
      </c>
      <c r="J26" s="27"/>
      <c r="K26" s="27"/>
      <c r="L26" s="27"/>
      <c r="M26" s="27" t="s">
        <v>2613</v>
      </c>
      <c r="N26" s="25"/>
      <c r="O26" s="29"/>
      <c r="P26" s="29"/>
      <c r="Q26" s="29"/>
      <c r="R26" s="29"/>
      <c r="S26" s="29"/>
      <c r="T26" s="29"/>
      <c r="U26" s="29"/>
      <c r="V26" s="29"/>
      <c r="W26" s="29"/>
      <c r="X26" s="29"/>
      <c r="Y26" s="29"/>
      <c r="Z26" s="29"/>
      <c r="AA26" s="30"/>
      <c r="AB26" s="30"/>
      <c r="AC26" s="30"/>
      <c r="AD26" s="30"/>
    </row>
    <row r="27" spans="1:30" x14ac:dyDescent="0.25">
      <c r="A27" s="24">
        <v>45154</v>
      </c>
      <c r="B27" s="25" t="s">
        <v>2659</v>
      </c>
      <c r="C27" s="25">
        <v>21743033</v>
      </c>
      <c r="D27" s="25">
        <v>3024559762</v>
      </c>
      <c r="E27" s="26" t="s">
        <v>865</v>
      </c>
      <c r="F27" s="25" t="s">
        <v>1440</v>
      </c>
      <c r="G27" s="25" t="s">
        <v>2660</v>
      </c>
      <c r="H27" s="25" t="s">
        <v>2621</v>
      </c>
      <c r="I27" s="25">
        <v>3015674695</v>
      </c>
      <c r="J27" s="27"/>
      <c r="K27" s="27"/>
      <c r="L27" s="27"/>
      <c r="M27" s="27" t="s">
        <v>2610</v>
      </c>
      <c r="N27" s="28">
        <v>45200</v>
      </c>
      <c r="O27" s="29" t="s">
        <v>2611</v>
      </c>
      <c r="P27" s="29"/>
      <c r="Q27" s="29"/>
      <c r="R27" s="29"/>
      <c r="S27" s="29"/>
      <c r="T27" s="29"/>
      <c r="U27" s="29"/>
      <c r="V27" s="29"/>
      <c r="W27" s="29"/>
      <c r="X27" s="29"/>
      <c r="Y27" s="29"/>
      <c r="Z27" s="29"/>
      <c r="AA27" s="30"/>
      <c r="AB27" s="30"/>
      <c r="AC27" s="30"/>
      <c r="AD27" s="30"/>
    </row>
    <row r="28" spans="1:30" x14ac:dyDescent="0.25">
      <c r="A28" s="24">
        <v>45156</v>
      </c>
      <c r="B28" s="25" t="s">
        <v>2661</v>
      </c>
      <c r="C28" s="25">
        <v>43272214</v>
      </c>
      <c r="D28" s="25">
        <v>3017734352</v>
      </c>
      <c r="E28" s="26" t="s">
        <v>865</v>
      </c>
      <c r="F28" s="25" t="s">
        <v>1573</v>
      </c>
      <c r="G28" s="25" t="s">
        <v>2662</v>
      </c>
      <c r="H28" s="25"/>
      <c r="I28" s="25"/>
      <c r="J28" s="27"/>
      <c r="K28" s="27"/>
      <c r="L28" s="32"/>
      <c r="M28" s="27" t="s">
        <v>2644</v>
      </c>
      <c r="N28" s="28">
        <v>45214</v>
      </c>
      <c r="O28" s="29" t="s">
        <v>2622</v>
      </c>
      <c r="P28" s="29" t="s">
        <v>2645</v>
      </c>
      <c r="Q28" s="29"/>
      <c r="R28" s="29" t="s">
        <v>2646</v>
      </c>
      <c r="S28" s="28">
        <v>45460</v>
      </c>
      <c r="T28" s="29" t="s">
        <v>2645</v>
      </c>
      <c r="U28" s="29"/>
      <c r="V28" s="29" t="s">
        <v>2646</v>
      </c>
      <c r="W28" s="33">
        <v>45613</v>
      </c>
      <c r="X28" s="29"/>
      <c r="Y28" s="29"/>
      <c r="Z28" s="29"/>
      <c r="AA28" s="30"/>
      <c r="AB28" s="30"/>
      <c r="AC28" s="30"/>
      <c r="AD28" s="30"/>
    </row>
    <row r="29" spans="1:30" x14ac:dyDescent="0.25">
      <c r="A29" s="24">
        <v>45156</v>
      </c>
      <c r="B29" s="25" t="s">
        <v>2663</v>
      </c>
      <c r="C29" s="25">
        <v>1066524475</v>
      </c>
      <c r="D29" s="25">
        <v>3228142776</v>
      </c>
      <c r="E29" s="26" t="s">
        <v>865</v>
      </c>
      <c r="F29" s="25" t="s">
        <v>1415</v>
      </c>
      <c r="G29" s="25" t="s">
        <v>2655</v>
      </c>
      <c r="H29" s="25"/>
      <c r="I29" s="25"/>
      <c r="J29" s="27"/>
      <c r="K29" s="27"/>
      <c r="L29" s="27"/>
      <c r="M29" s="27" t="s">
        <v>2610</v>
      </c>
      <c r="N29" s="28">
        <v>45200</v>
      </c>
      <c r="O29" s="29" t="s">
        <v>2656</v>
      </c>
      <c r="P29" s="29"/>
      <c r="Q29" s="29"/>
      <c r="R29" s="29"/>
      <c r="S29" s="29"/>
      <c r="T29" s="29"/>
      <c r="U29" s="29"/>
      <c r="V29" s="29"/>
      <c r="W29" s="29"/>
      <c r="X29" s="29"/>
      <c r="Y29" s="29"/>
      <c r="Z29" s="29"/>
      <c r="AA29" s="30"/>
      <c r="AB29" s="30"/>
      <c r="AC29" s="30"/>
      <c r="AD29" s="30"/>
    </row>
    <row r="30" spans="1:30" x14ac:dyDescent="0.25">
      <c r="A30" s="24">
        <v>45159</v>
      </c>
      <c r="B30" s="25" t="s">
        <v>1129</v>
      </c>
      <c r="C30" s="25">
        <v>1007675548</v>
      </c>
      <c r="D30" s="25">
        <v>3105202907</v>
      </c>
      <c r="E30" s="26" t="s">
        <v>865</v>
      </c>
      <c r="F30" s="25" t="s">
        <v>1440</v>
      </c>
      <c r="G30" s="25" t="s">
        <v>2664</v>
      </c>
      <c r="H30" s="25" t="s">
        <v>1130</v>
      </c>
      <c r="I30" s="25">
        <v>3225132028</v>
      </c>
      <c r="J30" s="27"/>
      <c r="K30" s="27"/>
      <c r="L30" s="27"/>
      <c r="M30" s="27" t="s">
        <v>2610</v>
      </c>
      <c r="N30" s="28">
        <v>45200</v>
      </c>
      <c r="O30" s="29" t="s">
        <v>2611</v>
      </c>
      <c r="P30" s="29"/>
      <c r="Q30" s="29"/>
      <c r="R30" s="29"/>
      <c r="S30" s="29"/>
      <c r="T30" s="29"/>
      <c r="U30" s="29"/>
      <c r="V30" s="29"/>
      <c r="W30" s="29"/>
      <c r="X30" s="29"/>
      <c r="Y30" s="29"/>
      <c r="Z30" s="29"/>
      <c r="AA30" s="30"/>
      <c r="AB30" s="30"/>
      <c r="AC30" s="30"/>
      <c r="AD30" s="30"/>
    </row>
    <row r="31" spans="1:30" x14ac:dyDescent="0.25">
      <c r="A31" s="24">
        <v>45159</v>
      </c>
      <c r="B31" s="25" t="s">
        <v>1136</v>
      </c>
      <c r="C31" s="25">
        <v>1128476927</v>
      </c>
      <c r="D31" s="25">
        <v>3007662631</v>
      </c>
      <c r="E31" s="26" t="s">
        <v>865</v>
      </c>
      <c r="F31" s="25" t="s">
        <v>1415</v>
      </c>
      <c r="G31" s="25" t="s">
        <v>2665</v>
      </c>
      <c r="H31" s="25" t="s">
        <v>2666</v>
      </c>
      <c r="I31" s="25">
        <v>3013606785</v>
      </c>
      <c r="J31" s="27"/>
      <c r="K31" s="27"/>
      <c r="L31" s="27"/>
      <c r="M31" s="27" t="s">
        <v>2610</v>
      </c>
      <c r="N31" s="28">
        <v>45200</v>
      </c>
      <c r="O31" s="29" t="s">
        <v>2656</v>
      </c>
      <c r="P31" s="29"/>
      <c r="Q31" s="29"/>
      <c r="R31" s="29"/>
      <c r="S31" s="29"/>
      <c r="T31" s="29"/>
      <c r="U31" s="29"/>
      <c r="V31" s="29"/>
      <c r="W31" s="29"/>
      <c r="X31" s="29"/>
      <c r="Y31" s="29"/>
      <c r="Z31" s="29"/>
      <c r="AA31" s="30"/>
      <c r="AB31" s="30"/>
      <c r="AC31" s="30"/>
      <c r="AD31" s="30"/>
    </row>
    <row r="32" spans="1:30" x14ac:dyDescent="0.25">
      <c r="A32" s="24">
        <v>45159</v>
      </c>
      <c r="B32" s="25" t="s">
        <v>1143</v>
      </c>
      <c r="C32" s="25">
        <v>32439311</v>
      </c>
      <c r="D32" s="25">
        <v>3013606785</v>
      </c>
      <c r="E32" s="26" t="s">
        <v>865</v>
      </c>
      <c r="F32" s="25" t="s">
        <v>1415</v>
      </c>
      <c r="G32" s="25" t="s">
        <v>2667</v>
      </c>
      <c r="H32" s="25" t="s">
        <v>1212</v>
      </c>
      <c r="I32" s="25">
        <v>3017829572</v>
      </c>
      <c r="J32" s="27"/>
      <c r="K32" s="27"/>
      <c r="L32" s="27"/>
      <c r="M32" s="27" t="s">
        <v>2648</v>
      </c>
      <c r="N32" s="25"/>
      <c r="O32" s="29"/>
      <c r="P32" s="29" t="s">
        <v>2645</v>
      </c>
      <c r="Q32" s="29"/>
      <c r="R32" s="29" t="s">
        <v>2645</v>
      </c>
      <c r="S32" s="29"/>
      <c r="T32" s="29" t="s">
        <v>2645</v>
      </c>
      <c r="U32" s="29"/>
      <c r="V32" s="29" t="s">
        <v>2645</v>
      </c>
      <c r="W32" s="29"/>
      <c r="X32" s="29" t="s">
        <v>2645</v>
      </c>
      <c r="Y32" s="29"/>
      <c r="Z32" s="29" t="s">
        <v>2649</v>
      </c>
      <c r="AA32" s="30"/>
      <c r="AB32" s="30"/>
      <c r="AC32" s="30"/>
      <c r="AD32" s="30"/>
    </row>
    <row r="33" spans="1:30" x14ac:dyDescent="0.25">
      <c r="A33" s="24">
        <v>45160</v>
      </c>
      <c r="B33" s="25" t="s">
        <v>2668</v>
      </c>
      <c r="C33" s="25">
        <v>43415008</v>
      </c>
      <c r="D33" s="25">
        <v>3177999423</v>
      </c>
      <c r="E33" s="26" t="s">
        <v>865</v>
      </c>
      <c r="F33" s="25" t="s">
        <v>1415</v>
      </c>
      <c r="G33" s="25" t="s">
        <v>2669</v>
      </c>
      <c r="H33" s="25"/>
      <c r="I33" s="25"/>
      <c r="J33" s="27"/>
      <c r="K33" s="27"/>
      <c r="L33" s="27"/>
      <c r="M33" s="27" t="s">
        <v>2610</v>
      </c>
      <c r="N33" s="28">
        <v>45200</v>
      </c>
      <c r="O33" s="29" t="s">
        <v>2656</v>
      </c>
      <c r="P33" s="29"/>
      <c r="Q33" s="29"/>
      <c r="R33" s="29"/>
      <c r="S33" s="29"/>
      <c r="T33" s="29"/>
      <c r="U33" s="29"/>
      <c r="V33" s="29"/>
      <c r="W33" s="29"/>
      <c r="X33" s="29"/>
      <c r="Y33" s="29"/>
      <c r="Z33" s="29"/>
      <c r="AA33" s="30"/>
      <c r="AB33" s="30"/>
      <c r="AC33" s="30"/>
      <c r="AD33" s="30"/>
    </row>
    <row r="34" spans="1:30" x14ac:dyDescent="0.25">
      <c r="A34" s="24">
        <v>45160</v>
      </c>
      <c r="B34" s="25" t="s">
        <v>1153</v>
      </c>
      <c r="C34" s="25"/>
      <c r="D34" s="25">
        <v>3136654794</v>
      </c>
      <c r="E34" s="26" t="s">
        <v>865</v>
      </c>
      <c r="F34" s="25" t="s">
        <v>1415</v>
      </c>
      <c r="G34" s="25"/>
      <c r="H34" s="25" t="s">
        <v>2670</v>
      </c>
      <c r="I34" s="25">
        <v>3147419466</v>
      </c>
      <c r="J34" s="27"/>
      <c r="K34" s="27"/>
      <c r="L34" s="27"/>
      <c r="M34" s="27" t="s">
        <v>2613</v>
      </c>
      <c r="N34" s="25"/>
      <c r="O34" s="29"/>
      <c r="P34" s="29"/>
      <c r="Q34" s="29"/>
      <c r="R34" s="29"/>
      <c r="S34" s="29"/>
      <c r="T34" s="29"/>
      <c r="U34" s="29"/>
      <c r="V34" s="29"/>
      <c r="W34" s="29"/>
      <c r="X34" s="29"/>
      <c r="Y34" s="29"/>
      <c r="Z34" s="29"/>
      <c r="AA34" s="30"/>
      <c r="AB34" s="30"/>
      <c r="AC34" s="30"/>
      <c r="AD34" s="30"/>
    </row>
    <row r="35" spans="1:30" x14ac:dyDescent="0.25">
      <c r="A35" s="24">
        <v>45160</v>
      </c>
      <c r="B35" s="25" t="s">
        <v>2671</v>
      </c>
      <c r="C35" s="25"/>
      <c r="D35" s="25">
        <v>3136042224</v>
      </c>
      <c r="E35" s="26" t="s">
        <v>865</v>
      </c>
      <c r="F35" s="25" t="s">
        <v>1339</v>
      </c>
      <c r="G35" s="25"/>
      <c r="H35" s="25" t="s">
        <v>2672</v>
      </c>
      <c r="I35" s="25">
        <v>3004105060</v>
      </c>
      <c r="J35" s="27"/>
      <c r="K35" s="27"/>
      <c r="L35" s="27"/>
      <c r="M35" s="27" t="s">
        <v>2613</v>
      </c>
      <c r="N35" s="25"/>
      <c r="O35" s="29"/>
      <c r="P35" s="29"/>
      <c r="Q35" s="29"/>
      <c r="R35" s="29"/>
      <c r="S35" s="29"/>
      <c r="T35" s="29"/>
      <c r="U35" s="29"/>
      <c r="V35" s="29"/>
      <c r="W35" s="29"/>
      <c r="X35" s="29"/>
      <c r="Y35" s="29"/>
      <c r="Z35" s="29"/>
      <c r="AA35" s="30"/>
      <c r="AB35" s="30"/>
      <c r="AC35" s="30"/>
      <c r="AD35" s="30"/>
    </row>
    <row r="36" spans="1:30" x14ac:dyDescent="0.25">
      <c r="A36" s="24">
        <v>45160</v>
      </c>
      <c r="B36" s="25" t="s">
        <v>2673</v>
      </c>
      <c r="C36" s="25"/>
      <c r="D36" s="25">
        <v>3226807345</v>
      </c>
      <c r="E36" s="26" t="s">
        <v>865</v>
      </c>
      <c r="F36" s="25" t="s">
        <v>1339</v>
      </c>
      <c r="G36" s="25"/>
      <c r="H36" s="25" t="s">
        <v>2674</v>
      </c>
      <c r="I36" s="25"/>
      <c r="J36" s="27"/>
      <c r="K36" s="27"/>
      <c r="L36" s="27"/>
      <c r="M36" s="27" t="s">
        <v>2613</v>
      </c>
      <c r="N36" s="25"/>
      <c r="O36" s="29"/>
      <c r="P36" s="29"/>
      <c r="Q36" s="29"/>
      <c r="R36" s="29"/>
      <c r="S36" s="29"/>
      <c r="T36" s="29"/>
      <c r="U36" s="29"/>
      <c r="V36" s="29"/>
      <c r="W36" s="29"/>
      <c r="X36" s="29"/>
      <c r="Y36" s="29"/>
      <c r="Z36" s="29"/>
      <c r="AA36" s="30"/>
      <c r="AB36" s="30"/>
      <c r="AC36" s="30"/>
      <c r="AD36" s="30"/>
    </row>
    <row r="37" spans="1:30" x14ac:dyDescent="0.25">
      <c r="A37" s="24">
        <v>45160</v>
      </c>
      <c r="B37" s="25" t="s">
        <v>1177</v>
      </c>
      <c r="C37" s="25">
        <v>1003004922</v>
      </c>
      <c r="D37" s="25">
        <v>3135512462</v>
      </c>
      <c r="E37" s="26" t="s">
        <v>865</v>
      </c>
      <c r="F37" s="25" t="s">
        <v>1415</v>
      </c>
      <c r="G37" s="25" t="s">
        <v>2675</v>
      </c>
      <c r="H37" s="25" t="s">
        <v>2676</v>
      </c>
      <c r="I37" s="25">
        <v>3136028490</v>
      </c>
      <c r="J37" s="27"/>
      <c r="K37" s="27"/>
      <c r="L37" s="27"/>
      <c r="M37" s="27" t="s">
        <v>2610</v>
      </c>
      <c r="N37" s="28">
        <v>45214</v>
      </c>
      <c r="O37" s="29" t="s">
        <v>2656</v>
      </c>
      <c r="P37" s="29"/>
      <c r="Q37" s="29"/>
      <c r="R37" s="29"/>
      <c r="S37" s="29"/>
      <c r="T37" s="29"/>
      <c r="U37" s="29"/>
      <c r="V37" s="29"/>
      <c r="W37" s="29"/>
      <c r="X37" s="29"/>
      <c r="Y37" s="29"/>
      <c r="Z37" s="29"/>
      <c r="AA37" s="30"/>
      <c r="AB37" s="30"/>
      <c r="AC37" s="30"/>
      <c r="AD37" s="30"/>
    </row>
    <row r="38" spans="1:30" x14ac:dyDescent="0.25">
      <c r="A38" s="24">
        <v>45160</v>
      </c>
      <c r="B38" s="25" t="s">
        <v>2677</v>
      </c>
      <c r="C38" s="25">
        <v>25809080</v>
      </c>
      <c r="D38" s="25">
        <v>3136028490</v>
      </c>
      <c r="E38" s="26" t="s">
        <v>865</v>
      </c>
      <c r="F38" s="25" t="s">
        <v>1415</v>
      </c>
      <c r="G38" s="25" t="s">
        <v>2678</v>
      </c>
      <c r="H38" s="25"/>
      <c r="I38" s="25"/>
      <c r="J38" s="27"/>
      <c r="K38" s="27"/>
      <c r="L38" s="27"/>
      <c r="M38" s="27" t="s">
        <v>2610</v>
      </c>
      <c r="N38" s="28">
        <v>45200</v>
      </c>
      <c r="O38" s="29" t="s">
        <v>2656</v>
      </c>
      <c r="P38" s="29"/>
      <c r="Q38" s="29"/>
      <c r="R38" s="29"/>
      <c r="S38" s="29"/>
      <c r="T38" s="29"/>
      <c r="U38" s="29"/>
      <c r="V38" s="29"/>
      <c r="W38" s="29"/>
      <c r="X38" s="29"/>
      <c r="Y38" s="29"/>
      <c r="Z38" s="29"/>
      <c r="AA38" s="30"/>
      <c r="AB38" s="30"/>
      <c r="AC38" s="30"/>
      <c r="AD38" s="30"/>
    </row>
    <row r="39" spans="1:30" x14ac:dyDescent="0.25">
      <c r="A39" s="24">
        <v>45161</v>
      </c>
      <c r="B39" s="25" t="s">
        <v>1185</v>
      </c>
      <c r="C39" s="25"/>
      <c r="D39" s="25">
        <v>3154339838</v>
      </c>
      <c r="E39" s="26" t="s">
        <v>865</v>
      </c>
      <c r="F39" s="25" t="s">
        <v>1339</v>
      </c>
      <c r="G39" s="25"/>
      <c r="H39" s="25"/>
      <c r="I39" s="25"/>
      <c r="J39" s="27"/>
      <c r="K39" s="27"/>
      <c r="L39" s="27"/>
      <c r="M39" s="27" t="s">
        <v>2613</v>
      </c>
      <c r="N39" s="25"/>
      <c r="O39" s="29"/>
      <c r="P39" s="29"/>
      <c r="Q39" s="29"/>
      <c r="R39" s="29"/>
      <c r="S39" s="29"/>
      <c r="T39" s="29"/>
      <c r="U39" s="29"/>
      <c r="V39" s="29"/>
      <c r="W39" s="29"/>
      <c r="X39" s="29"/>
      <c r="Y39" s="29"/>
      <c r="Z39" s="29"/>
      <c r="AA39" s="30"/>
      <c r="AB39" s="30"/>
      <c r="AC39" s="30"/>
      <c r="AD39" s="30"/>
    </row>
    <row r="40" spans="1:30" x14ac:dyDescent="0.25">
      <c r="A40" s="24">
        <v>45161</v>
      </c>
      <c r="B40" s="25" t="s">
        <v>2679</v>
      </c>
      <c r="C40" s="31">
        <v>43483448</v>
      </c>
      <c r="D40" s="25">
        <v>3023577714</v>
      </c>
      <c r="E40" s="26" t="s">
        <v>865</v>
      </c>
      <c r="F40" s="25" t="s">
        <v>2612</v>
      </c>
      <c r="G40" s="31" t="s">
        <v>2680</v>
      </c>
      <c r="H40" s="31" t="s">
        <v>2681</v>
      </c>
      <c r="I40" s="25">
        <v>3117416970</v>
      </c>
      <c r="J40" s="27"/>
      <c r="K40" s="27"/>
      <c r="L40" s="27"/>
      <c r="M40" s="27" t="s">
        <v>2610</v>
      </c>
      <c r="N40" s="28">
        <v>45200</v>
      </c>
      <c r="O40" s="29" t="s">
        <v>2656</v>
      </c>
      <c r="P40" s="29"/>
      <c r="Q40" s="29"/>
      <c r="R40" s="29"/>
      <c r="S40" s="29"/>
      <c r="T40" s="29"/>
      <c r="U40" s="29"/>
      <c r="V40" s="29"/>
      <c r="W40" s="29"/>
      <c r="X40" s="29"/>
      <c r="Y40" s="29"/>
      <c r="Z40" s="29"/>
      <c r="AA40" s="30"/>
      <c r="AB40" s="30"/>
      <c r="AC40" s="30"/>
      <c r="AD40" s="30"/>
    </row>
    <row r="41" spans="1:30" x14ac:dyDescent="0.25">
      <c r="A41" s="24">
        <v>45162</v>
      </c>
      <c r="B41" s="25" t="s">
        <v>2682</v>
      </c>
      <c r="C41" s="25"/>
      <c r="D41" s="25">
        <v>3015813039</v>
      </c>
      <c r="E41" s="26" t="s">
        <v>865</v>
      </c>
      <c r="F41" s="25" t="s">
        <v>1440</v>
      </c>
      <c r="G41" s="31" t="s">
        <v>2683</v>
      </c>
      <c r="H41" s="25" t="s">
        <v>1361</v>
      </c>
      <c r="I41" s="25">
        <v>3226460421</v>
      </c>
      <c r="J41" s="27"/>
      <c r="K41" s="27"/>
      <c r="L41" s="27"/>
      <c r="M41" s="27" t="s">
        <v>2648</v>
      </c>
      <c r="N41" s="25"/>
      <c r="O41" s="29"/>
      <c r="P41" s="29" t="s">
        <v>2645</v>
      </c>
      <c r="Q41" s="29"/>
      <c r="R41" s="29" t="s">
        <v>2645</v>
      </c>
      <c r="S41" s="29"/>
      <c r="T41" s="29" t="s">
        <v>2645</v>
      </c>
      <c r="U41" s="29"/>
      <c r="V41" s="29" t="s">
        <v>2645</v>
      </c>
      <c r="W41" s="29"/>
      <c r="X41" s="29" t="s">
        <v>2645</v>
      </c>
      <c r="Y41" s="29"/>
      <c r="Z41" s="29" t="s">
        <v>2649</v>
      </c>
      <c r="AA41" s="30"/>
      <c r="AB41" s="30"/>
      <c r="AC41" s="30"/>
      <c r="AD41" s="30"/>
    </row>
    <row r="42" spans="1:30" x14ac:dyDescent="0.25">
      <c r="A42" s="24">
        <v>45162</v>
      </c>
      <c r="B42" s="25" t="s">
        <v>2684</v>
      </c>
      <c r="C42" s="25"/>
      <c r="D42" s="25">
        <v>3023564051</v>
      </c>
      <c r="E42" s="26" t="s">
        <v>865</v>
      </c>
      <c r="F42" s="25" t="s">
        <v>1440</v>
      </c>
      <c r="G42" s="25"/>
      <c r="H42" s="25"/>
      <c r="I42" s="25"/>
      <c r="J42" s="27"/>
      <c r="K42" s="27"/>
      <c r="L42" s="27"/>
      <c r="M42" s="27" t="s">
        <v>2613</v>
      </c>
      <c r="N42" s="25"/>
      <c r="O42" s="29"/>
      <c r="P42" s="29"/>
      <c r="Q42" s="29"/>
      <c r="R42" s="29"/>
      <c r="S42" s="29"/>
      <c r="T42" s="29"/>
      <c r="U42" s="29"/>
      <c r="V42" s="29"/>
      <c r="W42" s="29"/>
      <c r="X42" s="29"/>
      <c r="Y42" s="29"/>
      <c r="Z42" s="29"/>
      <c r="AA42" s="30"/>
      <c r="AB42" s="30"/>
      <c r="AC42" s="30"/>
      <c r="AD42" s="30"/>
    </row>
    <row r="43" spans="1:30" x14ac:dyDescent="0.25">
      <c r="A43" s="24">
        <v>45170</v>
      </c>
      <c r="B43" s="25" t="s">
        <v>2685</v>
      </c>
      <c r="C43" s="25"/>
      <c r="D43" s="25">
        <v>3122928971</v>
      </c>
      <c r="E43" s="26" t="s">
        <v>865</v>
      </c>
      <c r="F43" s="25" t="s">
        <v>1339</v>
      </c>
      <c r="G43" s="25"/>
      <c r="H43" s="25" t="s">
        <v>2686</v>
      </c>
      <c r="I43" s="25">
        <v>3226807345</v>
      </c>
      <c r="J43" s="27"/>
      <c r="K43" s="27"/>
      <c r="L43" s="27"/>
      <c r="M43" s="27" t="s">
        <v>2613</v>
      </c>
      <c r="N43" s="25"/>
      <c r="O43" s="29"/>
      <c r="P43" s="29"/>
      <c r="Q43" s="29"/>
      <c r="R43" s="29"/>
      <c r="S43" s="29"/>
      <c r="T43" s="29"/>
      <c r="U43" s="29"/>
      <c r="V43" s="29"/>
      <c r="W43" s="29"/>
      <c r="X43" s="29"/>
      <c r="Y43" s="29"/>
      <c r="Z43" s="29"/>
      <c r="AA43" s="30"/>
      <c r="AB43" s="30"/>
      <c r="AC43" s="30"/>
      <c r="AD43" s="30"/>
    </row>
    <row r="44" spans="1:30" x14ac:dyDescent="0.25">
      <c r="A44" s="24">
        <v>45170</v>
      </c>
      <c r="B44" s="25" t="s">
        <v>2687</v>
      </c>
      <c r="C44" s="25"/>
      <c r="D44" s="25">
        <v>3043338061</v>
      </c>
      <c r="E44" s="26" t="s">
        <v>865</v>
      </c>
      <c r="F44" s="25" t="s">
        <v>1220</v>
      </c>
      <c r="G44" s="25"/>
      <c r="H44" s="25" t="s">
        <v>2688</v>
      </c>
      <c r="I44" s="25">
        <v>3043338061</v>
      </c>
      <c r="J44" s="27"/>
      <c r="K44" s="27"/>
      <c r="L44" s="27"/>
      <c r="M44" s="27" t="s">
        <v>2613</v>
      </c>
      <c r="N44" s="25"/>
      <c r="O44" s="29"/>
      <c r="P44" s="29"/>
      <c r="Q44" s="29"/>
      <c r="R44" s="29"/>
      <c r="S44" s="29"/>
      <c r="T44" s="29"/>
      <c r="U44" s="29"/>
      <c r="V44" s="29"/>
      <c r="W44" s="29"/>
      <c r="X44" s="29"/>
      <c r="Y44" s="29"/>
      <c r="Z44" s="29"/>
      <c r="AA44" s="30"/>
      <c r="AB44" s="30"/>
      <c r="AC44" s="30"/>
      <c r="AD44" s="30"/>
    </row>
    <row r="45" spans="1:30" x14ac:dyDescent="0.25">
      <c r="A45" s="24">
        <v>45170</v>
      </c>
      <c r="B45" s="25" t="s">
        <v>2689</v>
      </c>
      <c r="C45" s="25">
        <v>1077423673</v>
      </c>
      <c r="D45" s="25">
        <v>3127952919</v>
      </c>
      <c r="E45" s="26" t="s">
        <v>865</v>
      </c>
      <c r="F45" s="25" t="s">
        <v>1415</v>
      </c>
      <c r="G45" s="31" t="s">
        <v>2690</v>
      </c>
      <c r="H45" s="25" t="s">
        <v>1228</v>
      </c>
      <c r="I45" s="25">
        <v>3148690096</v>
      </c>
      <c r="J45" s="27"/>
      <c r="K45" s="27"/>
      <c r="L45" s="27"/>
      <c r="M45" s="27" t="s">
        <v>2613</v>
      </c>
      <c r="N45" s="25"/>
      <c r="O45" s="29"/>
      <c r="P45" s="29"/>
      <c r="Q45" s="29"/>
      <c r="R45" s="29"/>
      <c r="S45" s="29"/>
      <c r="T45" s="29"/>
      <c r="U45" s="29"/>
      <c r="V45" s="29"/>
      <c r="W45" s="29"/>
      <c r="X45" s="29"/>
      <c r="Y45" s="29"/>
      <c r="Z45" s="29"/>
      <c r="AA45" s="30"/>
      <c r="AB45" s="30"/>
      <c r="AC45" s="30"/>
      <c r="AD45" s="30"/>
    </row>
    <row r="46" spans="1:30" x14ac:dyDescent="0.25">
      <c r="A46" s="24">
        <v>45174</v>
      </c>
      <c r="B46" s="25" t="s">
        <v>1328</v>
      </c>
      <c r="C46" s="25"/>
      <c r="D46" s="25">
        <v>3007282104</v>
      </c>
      <c r="E46" s="26" t="s">
        <v>865</v>
      </c>
      <c r="F46" s="25" t="s">
        <v>2639</v>
      </c>
      <c r="G46" s="25"/>
      <c r="H46" s="25" t="s">
        <v>2691</v>
      </c>
      <c r="I46" s="25">
        <v>3225238326</v>
      </c>
      <c r="J46" s="27"/>
      <c r="K46" s="27"/>
      <c r="L46" s="27"/>
      <c r="M46" s="27" t="s">
        <v>2613</v>
      </c>
      <c r="N46" s="25"/>
      <c r="O46" s="29"/>
      <c r="P46" s="29"/>
      <c r="Q46" s="29"/>
      <c r="R46" s="29"/>
      <c r="S46" s="29"/>
      <c r="T46" s="29"/>
      <c r="U46" s="29"/>
      <c r="V46" s="29"/>
      <c r="W46" s="29"/>
      <c r="X46" s="29"/>
      <c r="Y46" s="29"/>
      <c r="Z46" s="29"/>
      <c r="AA46" s="30"/>
      <c r="AB46" s="30"/>
      <c r="AC46" s="30"/>
      <c r="AD46" s="30"/>
    </row>
    <row r="47" spans="1:30" x14ac:dyDescent="0.25">
      <c r="A47" s="24">
        <v>45174</v>
      </c>
      <c r="B47" s="25" t="s">
        <v>1334</v>
      </c>
      <c r="C47" s="31">
        <v>1033654715</v>
      </c>
      <c r="D47" s="25">
        <v>3103942059</v>
      </c>
      <c r="E47" s="26" t="s">
        <v>865</v>
      </c>
      <c r="F47" s="25" t="s">
        <v>894</v>
      </c>
      <c r="G47" s="25" t="s">
        <v>2692</v>
      </c>
      <c r="H47" s="25" t="s">
        <v>2693</v>
      </c>
      <c r="I47" s="25">
        <v>3103941558</v>
      </c>
      <c r="J47" s="27"/>
      <c r="K47" s="27"/>
      <c r="L47" s="27"/>
      <c r="M47" s="27" t="s">
        <v>2610</v>
      </c>
      <c r="N47" s="28">
        <v>45200</v>
      </c>
      <c r="O47" s="29" t="s">
        <v>2611</v>
      </c>
      <c r="P47" s="29"/>
      <c r="Q47" s="29"/>
      <c r="R47" s="29"/>
      <c r="S47" s="29"/>
      <c r="T47" s="29"/>
      <c r="U47" s="29"/>
      <c r="V47" s="29"/>
      <c r="W47" s="29"/>
      <c r="X47" s="29"/>
      <c r="Y47" s="29"/>
      <c r="Z47" s="29"/>
      <c r="AA47" s="30"/>
      <c r="AB47" s="30"/>
      <c r="AC47" s="30"/>
      <c r="AD47" s="30"/>
    </row>
    <row r="48" spans="1:30" x14ac:dyDescent="0.25">
      <c r="A48" s="24">
        <v>45179</v>
      </c>
      <c r="B48" s="25" t="s">
        <v>1340</v>
      </c>
      <c r="C48" s="25"/>
      <c r="D48" s="25">
        <v>3012814509</v>
      </c>
      <c r="E48" s="26" t="s">
        <v>865</v>
      </c>
      <c r="F48" s="25" t="s">
        <v>1339</v>
      </c>
      <c r="G48" s="25"/>
      <c r="H48" s="25" t="s">
        <v>2694</v>
      </c>
      <c r="I48" s="25">
        <v>3154339838</v>
      </c>
      <c r="J48" s="27"/>
      <c r="K48" s="27"/>
      <c r="L48" s="27"/>
      <c r="M48" s="27" t="s">
        <v>2613</v>
      </c>
      <c r="N48" s="25"/>
      <c r="O48" s="29"/>
      <c r="P48" s="29"/>
      <c r="Q48" s="29"/>
      <c r="R48" s="29"/>
      <c r="S48" s="29"/>
      <c r="T48" s="29"/>
      <c r="U48" s="29"/>
      <c r="V48" s="29"/>
      <c r="W48" s="29"/>
      <c r="X48" s="29"/>
      <c r="Y48" s="29"/>
      <c r="Z48" s="29"/>
      <c r="AA48" s="30"/>
      <c r="AB48" s="30"/>
      <c r="AC48" s="30"/>
      <c r="AD48" s="30"/>
    </row>
    <row r="49" spans="1:30" x14ac:dyDescent="0.25">
      <c r="A49" s="24">
        <v>45180</v>
      </c>
      <c r="B49" s="25" t="s">
        <v>2695</v>
      </c>
      <c r="C49" s="25">
        <v>43506952</v>
      </c>
      <c r="D49" s="25">
        <v>3135202698</v>
      </c>
      <c r="E49" s="26" t="s">
        <v>865</v>
      </c>
      <c r="F49" s="25" t="s">
        <v>1573</v>
      </c>
      <c r="G49" s="25" t="s">
        <v>2696</v>
      </c>
      <c r="H49" s="25" t="s">
        <v>2697</v>
      </c>
      <c r="I49" s="25">
        <v>3136596641</v>
      </c>
      <c r="J49" s="27"/>
      <c r="K49" s="27"/>
      <c r="L49" s="32"/>
      <c r="M49" s="27" t="s">
        <v>2644</v>
      </c>
      <c r="N49" s="28">
        <v>45200</v>
      </c>
      <c r="O49" s="29" t="s">
        <v>2622</v>
      </c>
      <c r="P49" s="29" t="s">
        <v>2645</v>
      </c>
      <c r="Q49" s="29"/>
      <c r="R49" s="29" t="s">
        <v>2646</v>
      </c>
      <c r="S49" s="28">
        <v>45461</v>
      </c>
      <c r="T49" s="29" t="s">
        <v>2645</v>
      </c>
      <c r="U49" s="29"/>
      <c r="V49" s="29" t="s">
        <v>2644</v>
      </c>
      <c r="W49" s="29"/>
      <c r="X49" s="29"/>
      <c r="Y49" s="29"/>
      <c r="Z49" s="29"/>
      <c r="AA49" s="30"/>
      <c r="AB49" s="30"/>
      <c r="AC49" s="30"/>
      <c r="AD49" s="30"/>
    </row>
    <row r="50" spans="1:30" x14ac:dyDescent="0.25">
      <c r="A50" s="24">
        <v>45180</v>
      </c>
      <c r="B50" s="25" t="s">
        <v>2698</v>
      </c>
      <c r="C50" s="25">
        <v>70056973</v>
      </c>
      <c r="D50" s="25">
        <v>3022243929</v>
      </c>
      <c r="E50" s="26" t="s">
        <v>865</v>
      </c>
      <c r="F50" s="25" t="s">
        <v>1339</v>
      </c>
      <c r="G50" s="25"/>
      <c r="H50" s="25" t="s">
        <v>2699</v>
      </c>
      <c r="I50" s="25">
        <v>3235772278</v>
      </c>
      <c r="J50" s="27"/>
      <c r="K50" s="27"/>
      <c r="L50" s="27"/>
      <c r="M50" s="27" t="s">
        <v>2613</v>
      </c>
      <c r="N50" s="25"/>
      <c r="O50" s="29"/>
      <c r="P50" s="29"/>
      <c r="Q50" s="29"/>
      <c r="R50" s="29"/>
      <c r="S50" s="29"/>
      <c r="T50" s="29"/>
      <c r="U50" s="29"/>
      <c r="V50" s="29"/>
      <c r="W50" s="29"/>
      <c r="X50" s="29"/>
      <c r="Y50" s="29"/>
      <c r="Z50" s="29"/>
      <c r="AA50" s="30"/>
      <c r="AB50" s="30"/>
      <c r="AC50" s="30"/>
      <c r="AD50" s="30"/>
    </row>
    <row r="51" spans="1:30" x14ac:dyDescent="0.25">
      <c r="A51" s="24">
        <v>45197</v>
      </c>
      <c r="B51" s="25" t="s">
        <v>1416</v>
      </c>
      <c r="C51" s="25">
        <v>1001159217</v>
      </c>
      <c r="D51" s="25">
        <v>3025089017</v>
      </c>
      <c r="E51" s="26" t="s">
        <v>865</v>
      </c>
      <c r="F51" s="25" t="s">
        <v>1415</v>
      </c>
      <c r="G51" s="25" t="s">
        <v>2700</v>
      </c>
      <c r="H51" s="25"/>
      <c r="I51" s="25"/>
      <c r="J51" s="27"/>
      <c r="K51" s="27"/>
      <c r="L51" s="27"/>
      <c r="M51" s="27" t="s">
        <v>2610</v>
      </c>
      <c r="N51" s="28">
        <v>45200</v>
      </c>
      <c r="O51" s="29" t="s">
        <v>2656</v>
      </c>
      <c r="P51" s="29"/>
      <c r="Q51" s="29"/>
      <c r="R51" s="29"/>
      <c r="S51" s="29"/>
      <c r="T51" s="29"/>
      <c r="U51" s="29"/>
      <c r="V51" s="29"/>
      <c r="W51" s="29"/>
      <c r="X51" s="29"/>
      <c r="Y51" s="29"/>
      <c r="Z51" s="29"/>
      <c r="AA51" s="30"/>
      <c r="AB51" s="30"/>
      <c r="AC51" s="30"/>
      <c r="AD51" s="30"/>
    </row>
    <row r="52" spans="1:30" x14ac:dyDescent="0.25">
      <c r="A52" s="24">
        <v>45197</v>
      </c>
      <c r="B52" s="25" t="s">
        <v>1421</v>
      </c>
      <c r="C52" s="25">
        <v>1102120492</v>
      </c>
      <c r="D52" s="25">
        <v>3136040634</v>
      </c>
      <c r="E52" s="26" t="s">
        <v>865</v>
      </c>
      <c r="F52" s="25" t="s">
        <v>1415</v>
      </c>
      <c r="G52" s="25"/>
      <c r="H52" s="25"/>
      <c r="I52" s="25"/>
      <c r="J52" s="27"/>
      <c r="K52" s="27"/>
      <c r="L52" s="27"/>
      <c r="M52" s="27" t="s">
        <v>2613</v>
      </c>
      <c r="N52" s="25"/>
      <c r="O52" s="29"/>
      <c r="P52" s="29"/>
      <c r="Q52" s="29"/>
      <c r="R52" s="29"/>
      <c r="S52" s="29"/>
      <c r="T52" s="29"/>
      <c r="U52" s="29"/>
      <c r="V52" s="29"/>
      <c r="W52" s="29"/>
      <c r="X52" s="29"/>
      <c r="Y52" s="29"/>
      <c r="Z52" s="29"/>
      <c r="AA52" s="30"/>
      <c r="AB52" s="30"/>
      <c r="AC52" s="30"/>
      <c r="AD52" s="30"/>
    </row>
    <row r="53" spans="1:30" x14ac:dyDescent="0.25">
      <c r="A53" s="24">
        <v>45197</v>
      </c>
      <c r="B53" s="25" t="s">
        <v>1425</v>
      </c>
      <c r="C53" s="25">
        <v>21939213</v>
      </c>
      <c r="D53" s="25">
        <v>3122661661</v>
      </c>
      <c r="E53" s="26" t="s">
        <v>865</v>
      </c>
      <c r="F53" s="25" t="s">
        <v>1573</v>
      </c>
      <c r="G53" s="25" t="s">
        <v>2701</v>
      </c>
      <c r="H53" s="25" t="s">
        <v>2702</v>
      </c>
      <c r="I53" s="25">
        <v>3185874006</v>
      </c>
      <c r="J53" s="27"/>
      <c r="K53" s="27"/>
      <c r="L53" s="27"/>
      <c r="M53" s="27" t="s">
        <v>2610</v>
      </c>
      <c r="N53" s="28">
        <v>45214</v>
      </c>
      <c r="O53" s="29" t="s">
        <v>2611</v>
      </c>
      <c r="P53" s="29"/>
      <c r="Q53" s="29"/>
      <c r="R53" s="29"/>
      <c r="S53" s="29"/>
      <c r="T53" s="29"/>
      <c r="U53" s="29"/>
      <c r="V53" s="29"/>
      <c r="W53" s="29"/>
      <c r="X53" s="29"/>
      <c r="Y53" s="29"/>
      <c r="Z53" s="29"/>
      <c r="AA53" s="30"/>
      <c r="AB53" s="30"/>
      <c r="AC53" s="30"/>
      <c r="AD53" s="30"/>
    </row>
    <row r="54" spans="1:30" x14ac:dyDescent="0.25">
      <c r="A54" s="24">
        <v>45198</v>
      </c>
      <c r="B54" s="25" t="s">
        <v>1433</v>
      </c>
      <c r="C54" s="25">
        <v>15325951</v>
      </c>
      <c r="D54" s="25">
        <v>3166842709</v>
      </c>
      <c r="E54" s="26" t="s">
        <v>865</v>
      </c>
      <c r="F54" s="25" t="s">
        <v>1415</v>
      </c>
      <c r="G54" s="25" t="s">
        <v>2703</v>
      </c>
      <c r="H54" s="25"/>
      <c r="I54" s="25"/>
      <c r="J54" s="27"/>
      <c r="K54" s="27"/>
      <c r="L54" s="27"/>
      <c r="M54" s="27" t="s">
        <v>2610</v>
      </c>
      <c r="N54" s="28">
        <v>45200</v>
      </c>
      <c r="O54" s="29" t="s">
        <v>2611</v>
      </c>
      <c r="P54" s="29"/>
      <c r="Q54" s="29"/>
      <c r="R54" s="29"/>
      <c r="S54" s="29"/>
      <c r="T54" s="29"/>
      <c r="U54" s="29"/>
      <c r="V54" s="29"/>
      <c r="W54" s="29"/>
      <c r="X54" s="29"/>
      <c r="Y54" s="29"/>
      <c r="Z54" s="29"/>
      <c r="AA54" s="30"/>
      <c r="AB54" s="30"/>
      <c r="AC54" s="30"/>
      <c r="AD54" s="30"/>
    </row>
    <row r="55" spans="1:30" x14ac:dyDescent="0.25">
      <c r="A55" s="24">
        <v>45198</v>
      </c>
      <c r="B55" s="25" t="s">
        <v>1436</v>
      </c>
      <c r="C55" s="25">
        <v>43540567</v>
      </c>
      <c r="D55" s="25">
        <v>3215892313</v>
      </c>
      <c r="E55" s="26" t="s">
        <v>865</v>
      </c>
      <c r="F55" s="25" t="s">
        <v>1415</v>
      </c>
      <c r="G55" s="25" t="s">
        <v>2665</v>
      </c>
      <c r="H55" s="25"/>
      <c r="I55" s="25"/>
      <c r="J55" s="27"/>
      <c r="K55" s="27"/>
      <c r="L55" s="27"/>
      <c r="M55" s="27" t="s">
        <v>2610</v>
      </c>
      <c r="N55" s="28">
        <v>45200</v>
      </c>
      <c r="O55" s="29" t="s">
        <v>2656</v>
      </c>
      <c r="P55" s="29"/>
      <c r="Q55" s="29"/>
      <c r="R55" s="29"/>
      <c r="S55" s="29"/>
      <c r="T55" s="29"/>
      <c r="U55" s="29"/>
      <c r="V55" s="29"/>
      <c r="W55" s="29"/>
      <c r="X55" s="29"/>
      <c r="Y55" s="29"/>
      <c r="Z55" s="29"/>
      <c r="AA55" s="30"/>
      <c r="AB55" s="30"/>
      <c r="AC55" s="30"/>
      <c r="AD55" s="30"/>
    </row>
    <row r="56" spans="1:30" x14ac:dyDescent="0.25">
      <c r="A56" s="24">
        <v>45198</v>
      </c>
      <c r="B56" s="25" t="s">
        <v>1441</v>
      </c>
      <c r="C56" s="25">
        <v>71387340</v>
      </c>
      <c r="D56" s="25">
        <v>3228450535</v>
      </c>
      <c r="E56" s="26" t="s">
        <v>865</v>
      </c>
      <c r="F56" s="25" t="s">
        <v>1440</v>
      </c>
      <c r="G56" s="25" t="s">
        <v>2704</v>
      </c>
      <c r="H56" s="25" t="s">
        <v>2705</v>
      </c>
      <c r="I56" s="25" t="s">
        <v>2706</v>
      </c>
      <c r="J56" s="27"/>
      <c r="K56" s="27"/>
      <c r="L56" s="32"/>
      <c r="M56" s="27" t="s">
        <v>2644</v>
      </c>
      <c r="N56" s="28">
        <v>45200</v>
      </c>
      <c r="O56" s="29" t="s">
        <v>2622</v>
      </c>
      <c r="P56" s="29" t="s">
        <v>2646</v>
      </c>
      <c r="Q56" s="34">
        <v>45433</v>
      </c>
      <c r="R56" s="29" t="s">
        <v>2645</v>
      </c>
      <c r="S56" s="29"/>
      <c r="T56" s="29" t="s">
        <v>2645</v>
      </c>
      <c r="U56" s="29"/>
      <c r="V56" s="29" t="s">
        <v>2645</v>
      </c>
      <c r="W56" s="29"/>
      <c r="X56" s="29"/>
      <c r="Y56" s="29"/>
      <c r="Z56" s="29" t="s">
        <v>2707</v>
      </c>
      <c r="AA56" s="30"/>
      <c r="AB56" s="30"/>
      <c r="AC56" s="30"/>
      <c r="AD56" s="30"/>
    </row>
    <row r="57" spans="1:30" x14ac:dyDescent="0.25">
      <c r="A57" s="28">
        <v>45200</v>
      </c>
      <c r="B57" s="25" t="s">
        <v>2708</v>
      </c>
      <c r="C57" s="25">
        <v>21651882</v>
      </c>
      <c r="D57" s="25">
        <v>3155609665</v>
      </c>
      <c r="E57" s="26" t="s">
        <v>865</v>
      </c>
      <c r="F57" s="25" t="s">
        <v>894</v>
      </c>
      <c r="G57" s="25" t="s">
        <v>2709</v>
      </c>
      <c r="H57" s="25" t="s">
        <v>2710</v>
      </c>
      <c r="I57" s="25">
        <v>3016229262</v>
      </c>
      <c r="J57" s="27"/>
      <c r="K57" s="27"/>
      <c r="L57" s="27"/>
      <c r="M57" s="27" t="s">
        <v>2613</v>
      </c>
      <c r="N57" s="25"/>
      <c r="O57" s="29"/>
      <c r="P57" s="29"/>
      <c r="Q57" s="29"/>
      <c r="R57" s="29"/>
      <c r="S57" s="29"/>
      <c r="T57" s="29"/>
      <c r="U57" s="29"/>
      <c r="V57" s="29"/>
      <c r="W57" s="29"/>
      <c r="X57" s="29"/>
      <c r="Y57" s="29"/>
      <c r="Z57" s="29"/>
      <c r="AA57" s="30"/>
      <c r="AB57" s="30"/>
      <c r="AC57" s="30"/>
      <c r="AD57" s="30"/>
    </row>
    <row r="58" spans="1:30" x14ac:dyDescent="0.25">
      <c r="A58" s="28">
        <v>45200</v>
      </c>
      <c r="B58" s="25" t="s">
        <v>2711</v>
      </c>
      <c r="C58" s="25">
        <v>1020472396</v>
      </c>
      <c r="D58" s="25">
        <v>3147627976</v>
      </c>
      <c r="E58" s="26" t="s">
        <v>865</v>
      </c>
      <c r="F58" s="25" t="s">
        <v>1415</v>
      </c>
      <c r="G58" s="25" t="s">
        <v>2712</v>
      </c>
      <c r="H58" s="25" t="s">
        <v>2713</v>
      </c>
      <c r="I58" s="25">
        <v>3225272859</v>
      </c>
      <c r="J58" s="27"/>
      <c r="K58" s="27"/>
      <c r="L58" s="27"/>
      <c r="M58" s="27" t="s">
        <v>2610</v>
      </c>
      <c r="N58" s="28">
        <v>45214</v>
      </c>
      <c r="O58" s="29" t="s">
        <v>2611</v>
      </c>
      <c r="P58" s="29"/>
      <c r="Q58" s="29"/>
      <c r="R58" s="29"/>
      <c r="S58" s="29"/>
      <c r="T58" s="29"/>
      <c r="U58" s="29"/>
      <c r="V58" s="29"/>
      <c r="W58" s="29"/>
      <c r="X58" s="29"/>
      <c r="Y58" s="29"/>
      <c r="Z58" s="29"/>
      <c r="AA58" s="30"/>
      <c r="AB58" s="30"/>
      <c r="AC58" s="30"/>
      <c r="AD58" s="30"/>
    </row>
    <row r="59" spans="1:30" x14ac:dyDescent="0.25">
      <c r="A59" s="28">
        <v>45200</v>
      </c>
      <c r="B59" s="25" t="s">
        <v>1460</v>
      </c>
      <c r="C59" s="25">
        <v>21911279</v>
      </c>
      <c r="D59" s="25">
        <v>3246423233</v>
      </c>
      <c r="E59" s="26" t="s">
        <v>865</v>
      </c>
      <c r="F59" s="25" t="s">
        <v>1415</v>
      </c>
      <c r="G59" s="25" t="s">
        <v>2655</v>
      </c>
      <c r="H59" s="25" t="s">
        <v>2714</v>
      </c>
      <c r="I59" s="25">
        <v>3108407211</v>
      </c>
      <c r="J59" s="27"/>
      <c r="K59" s="27"/>
      <c r="L59" s="27"/>
      <c r="M59" s="27" t="s">
        <v>2613</v>
      </c>
      <c r="N59" s="25"/>
      <c r="O59" s="29"/>
      <c r="P59" s="29"/>
      <c r="Q59" s="29"/>
      <c r="R59" s="29"/>
      <c r="S59" s="29"/>
      <c r="T59" s="29"/>
      <c r="U59" s="29"/>
      <c r="V59" s="29"/>
      <c r="W59" s="29"/>
      <c r="X59" s="29"/>
      <c r="Y59" s="29"/>
      <c r="Z59" s="29"/>
      <c r="AA59" s="30"/>
      <c r="AB59" s="30"/>
      <c r="AC59" s="30"/>
      <c r="AD59" s="30"/>
    </row>
    <row r="60" spans="1:30" x14ac:dyDescent="0.25">
      <c r="A60" s="28">
        <v>45200</v>
      </c>
      <c r="B60" s="25" t="s">
        <v>2715</v>
      </c>
      <c r="C60" s="25">
        <v>54254236</v>
      </c>
      <c r="D60" s="25">
        <v>3226245191</v>
      </c>
      <c r="E60" s="26" t="s">
        <v>865</v>
      </c>
      <c r="F60" s="25" t="s">
        <v>1415</v>
      </c>
      <c r="G60" s="25" t="s">
        <v>2716</v>
      </c>
      <c r="H60" s="25" t="s">
        <v>2717</v>
      </c>
      <c r="I60" s="25">
        <v>3104997578</v>
      </c>
      <c r="J60" s="27"/>
      <c r="K60" s="27"/>
      <c r="L60" s="32"/>
      <c r="M60" s="27" t="s">
        <v>2644</v>
      </c>
      <c r="N60" s="28">
        <v>45214</v>
      </c>
      <c r="O60" s="29" t="s">
        <v>2622</v>
      </c>
      <c r="P60" s="29" t="s">
        <v>2645</v>
      </c>
      <c r="Q60" s="29"/>
      <c r="R60" s="29" t="s">
        <v>2646</v>
      </c>
      <c r="S60" s="28">
        <v>45462</v>
      </c>
      <c r="T60" s="29" t="s">
        <v>2645</v>
      </c>
      <c r="U60" s="29"/>
      <c r="V60" s="29" t="s">
        <v>2645</v>
      </c>
      <c r="W60" s="29"/>
      <c r="X60" s="29"/>
      <c r="Y60" s="29"/>
      <c r="Z60" s="29" t="s">
        <v>2718</v>
      </c>
      <c r="AA60" s="30"/>
      <c r="AB60" s="30"/>
      <c r="AC60" s="30"/>
      <c r="AD60" s="30"/>
    </row>
    <row r="61" spans="1:30" x14ac:dyDescent="0.25">
      <c r="A61" s="28">
        <v>45200</v>
      </c>
      <c r="B61" s="25" t="s">
        <v>2719</v>
      </c>
      <c r="C61" s="25">
        <v>3085592</v>
      </c>
      <c r="D61" s="25">
        <v>3216045787</v>
      </c>
      <c r="E61" s="26" t="s">
        <v>865</v>
      </c>
      <c r="F61" s="25" t="s">
        <v>894</v>
      </c>
      <c r="G61" s="25"/>
      <c r="H61" s="25" t="s">
        <v>2720</v>
      </c>
      <c r="I61" s="25">
        <v>3177991182</v>
      </c>
      <c r="J61" s="27"/>
      <c r="K61" s="27"/>
      <c r="L61" s="27"/>
      <c r="M61" s="27" t="s">
        <v>2613</v>
      </c>
      <c r="N61" s="25"/>
      <c r="O61" s="29"/>
      <c r="P61" s="29"/>
      <c r="Q61" s="29"/>
      <c r="R61" s="29"/>
      <c r="S61" s="29"/>
      <c r="T61" s="29"/>
      <c r="U61" s="29"/>
      <c r="V61" s="29"/>
      <c r="W61" s="29"/>
      <c r="X61" s="29"/>
      <c r="Y61" s="29"/>
      <c r="Z61" s="29"/>
      <c r="AA61" s="30"/>
      <c r="AB61" s="30"/>
      <c r="AC61" s="30"/>
      <c r="AD61" s="30"/>
    </row>
    <row r="62" spans="1:30" x14ac:dyDescent="0.25">
      <c r="A62" s="28">
        <v>45200</v>
      </c>
      <c r="B62" s="25" t="s">
        <v>1477</v>
      </c>
      <c r="C62" s="25">
        <v>1192892595</v>
      </c>
      <c r="D62" s="25">
        <v>3008347779</v>
      </c>
      <c r="E62" s="26" t="s">
        <v>865</v>
      </c>
      <c r="F62" s="25" t="s">
        <v>1415</v>
      </c>
      <c r="G62" s="25" t="s">
        <v>2721</v>
      </c>
      <c r="H62" s="25">
        <v>3125363796</v>
      </c>
      <c r="I62" s="25">
        <v>3116189356</v>
      </c>
      <c r="J62" s="27"/>
      <c r="K62" s="27"/>
      <c r="L62" s="27"/>
      <c r="M62" s="27" t="s">
        <v>2610</v>
      </c>
      <c r="N62" s="28">
        <v>45214</v>
      </c>
      <c r="O62" s="29" t="s">
        <v>2611</v>
      </c>
      <c r="P62" s="29"/>
      <c r="Q62" s="29"/>
      <c r="R62" s="29"/>
      <c r="S62" s="29"/>
      <c r="T62" s="29"/>
      <c r="U62" s="29"/>
      <c r="V62" s="29"/>
      <c r="W62" s="29"/>
      <c r="X62" s="29"/>
      <c r="Y62" s="29"/>
      <c r="Z62" s="29"/>
      <c r="AA62" s="30"/>
      <c r="AB62" s="30"/>
      <c r="AC62" s="30"/>
      <c r="AD62" s="30"/>
    </row>
    <row r="63" spans="1:30" x14ac:dyDescent="0.25">
      <c r="A63" s="28">
        <v>45200</v>
      </c>
      <c r="B63" s="25" t="s">
        <v>1484</v>
      </c>
      <c r="C63" s="25">
        <v>1017176188</v>
      </c>
      <c r="D63" s="25">
        <v>3232890606</v>
      </c>
      <c r="E63" s="26" t="s">
        <v>865</v>
      </c>
      <c r="F63" s="25"/>
      <c r="G63" s="25"/>
      <c r="H63" s="25" t="s">
        <v>2722</v>
      </c>
      <c r="I63" s="25">
        <v>3114268085</v>
      </c>
      <c r="J63" s="27"/>
      <c r="K63" s="27"/>
      <c r="L63" s="27"/>
      <c r="M63" s="27" t="s">
        <v>2610</v>
      </c>
      <c r="N63" s="28">
        <v>45200</v>
      </c>
      <c r="O63" s="29" t="s">
        <v>2656</v>
      </c>
      <c r="P63" s="29"/>
      <c r="Q63" s="29"/>
      <c r="R63" s="29"/>
      <c r="S63" s="29"/>
      <c r="T63" s="29"/>
      <c r="U63" s="29"/>
      <c r="V63" s="29"/>
      <c r="W63" s="29"/>
      <c r="X63" s="29"/>
      <c r="Y63" s="29"/>
      <c r="Z63" s="29"/>
      <c r="AA63" s="30"/>
      <c r="AB63" s="30"/>
      <c r="AC63" s="30"/>
      <c r="AD63" s="30"/>
    </row>
    <row r="64" spans="1:30" x14ac:dyDescent="0.25">
      <c r="A64" s="28">
        <v>45200</v>
      </c>
      <c r="B64" s="25" t="s">
        <v>2723</v>
      </c>
      <c r="C64" s="25">
        <v>17453919</v>
      </c>
      <c r="D64" s="25">
        <v>3175983155</v>
      </c>
      <c r="E64" s="26" t="s">
        <v>865</v>
      </c>
      <c r="F64" s="25" t="s">
        <v>1440</v>
      </c>
      <c r="G64" s="25" t="s">
        <v>2724</v>
      </c>
      <c r="H64" s="25" t="s">
        <v>2725</v>
      </c>
      <c r="I64" s="25">
        <v>3114867534</v>
      </c>
      <c r="J64" s="27"/>
      <c r="K64" s="27"/>
      <c r="L64" s="27"/>
      <c r="M64" s="27" t="s">
        <v>2613</v>
      </c>
      <c r="N64" s="25"/>
      <c r="O64" s="29"/>
      <c r="P64" s="29"/>
      <c r="Q64" s="29"/>
      <c r="R64" s="29"/>
      <c r="S64" s="29"/>
      <c r="T64" s="29"/>
      <c r="U64" s="29"/>
      <c r="V64" s="29"/>
      <c r="W64" s="29"/>
      <c r="X64" s="29"/>
      <c r="Y64" s="29"/>
      <c r="Z64" s="29"/>
      <c r="AA64" s="30"/>
      <c r="AB64" s="30"/>
      <c r="AC64" s="30"/>
      <c r="AD64" s="30"/>
    </row>
    <row r="65" spans="1:30" x14ac:dyDescent="0.25">
      <c r="A65" s="28">
        <v>45200</v>
      </c>
      <c r="B65" s="25" t="s">
        <v>1496</v>
      </c>
      <c r="C65" s="25">
        <v>71640076</v>
      </c>
      <c r="D65" s="25">
        <v>3225148789</v>
      </c>
      <c r="E65" s="26" t="s">
        <v>865</v>
      </c>
      <c r="F65" s="25" t="s">
        <v>1415</v>
      </c>
      <c r="G65" s="25" t="s">
        <v>2665</v>
      </c>
      <c r="H65" s="25"/>
      <c r="I65" s="25"/>
      <c r="J65" s="27"/>
      <c r="K65" s="27"/>
      <c r="L65" s="27"/>
      <c r="M65" s="27" t="s">
        <v>2613</v>
      </c>
      <c r="N65" s="25"/>
      <c r="O65" s="29"/>
      <c r="P65" s="29"/>
      <c r="Q65" s="29"/>
      <c r="R65" s="29"/>
      <c r="S65" s="29"/>
      <c r="T65" s="29"/>
      <c r="U65" s="29"/>
      <c r="V65" s="29"/>
      <c r="W65" s="29"/>
      <c r="X65" s="29"/>
      <c r="Y65" s="29"/>
      <c r="Z65" s="29"/>
      <c r="AA65" s="30"/>
      <c r="AB65" s="30"/>
      <c r="AC65" s="30"/>
      <c r="AD65" s="30"/>
    </row>
    <row r="66" spans="1:30" x14ac:dyDescent="0.25">
      <c r="A66" s="28">
        <v>45200</v>
      </c>
      <c r="B66" s="25" t="s">
        <v>1508</v>
      </c>
      <c r="C66" s="25">
        <v>32985958</v>
      </c>
      <c r="D66" s="25">
        <v>3113077807</v>
      </c>
      <c r="E66" s="26" t="s">
        <v>865</v>
      </c>
      <c r="F66" s="25" t="s">
        <v>1440</v>
      </c>
      <c r="G66" s="25"/>
      <c r="H66" s="25"/>
      <c r="I66" s="25"/>
      <c r="J66" s="27"/>
      <c r="K66" s="27"/>
      <c r="L66" s="27"/>
      <c r="M66" s="27" t="s">
        <v>2613</v>
      </c>
      <c r="N66" s="25"/>
      <c r="O66" s="29"/>
      <c r="P66" s="29"/>
      <c r="Q66" s="29"/>
      <c r="R66" s="29"/>
      <c r="S66" s="29"/>
      <c r="T66" s="29"/>
      <c r="U66" s="29"/>
      <c r="V66" s="29"/>
      <c r="W66" s="29"/>
      <c r="X66" s="29"/>
      <c r="Y66" s="29"/>
      <c r="Z66" s="29"/>
      <c r="AA66" s="30"/>
      <c r="AB66" s="30"/>
      <c r="AC66" s="30"/>
      <c r="AD66" s="30"/>
    </row>
    <row r="67" spans="1:30" x14ac:dyDescent="0.25">
      <c r="A67" s="28">
        <v>45200</v>
      </c>
      <c r="B67" s="25" t="s">
        <v>1511</v>
      </c>
      <c r="C67" s="25">
        <v>1193519139</v>
      </c>
      <c r="D67" s="25">
        <v>3508760570</v>
      </c>
      <c r="E67" s="26" t="s">
        <v>865</v>
      </c>
      <c r="F67" s="25" t="s">
        <v>1415</v>
      </c>
      <c r="G67" s="25" t="s">
        <v>2665</v>
      </c>
      <c r="H67" s="25">
        <v>3235762260</v>
      </c>
      <c r="I67" s="25">
        <v>3103857058</v>
      </c>
      <c r="J67" s="27"/>
      <c r="K67" s="27"/>
      <c r="L67" s="27"/>
      <c r="M67" s="27" t="s">
        <v>2613</v>
      </c>
      <c r="N67" s="25"/>
      <c r="O67" s="29"/>
      <c r="P67" s="29"/>
      <c r="Q67" s="29"/>
      <c r="R67" s="29"/>
      <c r="S67" s="29"/>
      <c r="T67" s="29"/>
      <c r="U67" s="29"/>
      <c r="V67" s="29"/>
      <c r="W67" s="29"/>
      <c r="X67" s="29"/>
      <c r="Y67" s="29"/>
      <c r="Z67" s="29"/>
      <c r="AA67" s="30"/>
      <c r="AB67" s="30"/>
      <c r="AC67" s="30"/>
      <c r="AD67" s="30"/>
    </row>
    <row r="68" spans="1:30" x14ac:dyDescent="0.25">
      <c r="A68" s="28">
        <v>45200</v>
      </c>
      <c r="B68" s="25" t="s">
        <v>1515</v>
      </c>
      <c r="C68" s="25">
        <v>43743022</v>
      </c>
      <c r="D68" s="25">
        <v>3001901095</v>
      </c>
      <c r="E68" s="26" t="s">
        <v>865</v>
      </c>
      <c r="F68" s="25" t="s">
        <v>1415</v>
      </c>
      <c r="G68" s="25" t="s">
        <v>2665</v>
      </c>
      <c r="H68" s="25" t="s">
        <v>2714</v>
      </c>
      <c r="I68" s="25">
        <v>3103551897</v>
      </c>
      <c r="J68" s="27"/>
      <c r="K68" s="27"/>
      <c r="L68" s="27"/>
      <c r="M68" s="27" t="s">
        <v>2610</v>
      </c>
      <c r="N68" s="28">
        <v>45214</v>
      </c>
      <c r="O68" s="29" t="s">
        <v>2656</v>
      </c>
      <c r="P68" s="29"/>
      <c r="Q68" s="29"/>
      <c r="R68" s="29"/>
      <c r="S68" s="29"/>
      <c r="T68" s="29"/>
      <c r="U68" s="29"/>
      <c r="V68" s="29"/>
      <c r="W68" s="29"/>
      <c r="X68" s="29"/>
      <c r="Y68" s="29"/>
      <c r="Z68" s="29"/>
      <c r="AA68" s="30"/>
      <c r="AB68" s="30"/>
      <c r="AC68" s="30"/>
      <c r="AD68" s="30"/>
    </row>
    <row r="69" spans="1:30" x14ac:dyDescent="0.25">
      <c r="A69" s="28">
        <v>45200</v>
      </c>
      <c r="B69" s="25" t="s">
        <v>2726</v>
      </c>
      <c r="C69" s="25">
        <v>39326182</v>
      </c>
      <c r="D69" s="25">
        <v>3186812280</v>
      </c>
      <c r="E69" s="26" t="s">
        <v>865</v>
      </c>
      <c r="F69" s="25" t="s">
        <v>1220</v>
      </c>
      <c r="G69" s="25"/>
      <c r="H69" s="25" t="s">
        <v>1519</v>
      </c>
      <c r="I69" s="25">
        <v>3242585143</v>
      </c>
      <c r="J69" s="27"/>
      <c r="K69" s="27"/>
      <c r="L69" s="27"/>
      <c r="M69" s="27" t="s">
        <v>2613</v>
      </c>
      <c r="N69" s="25"/>
      <c r="O69" s="29"/>
      <c r="P69" s="29"/>
      <c r="Q69" s="29"/>
      <c r="R69" s="29"/>
      <c r="S69" s="29"/>
      <c r="T69" s="29"/>
      <c r="U69" s="29"/>
      <c r="V69" s="29"/>
      <c r="W69" s="29"/>
      <c r="X69" s="29"/>
      <c r="Y69" s="29"/>
      <c r="Z69" s="29"/>
      <c r="AA69" s="30"/>
      <c r="AB69" s="30"/>
      <c r="AC69" s="30"/>
      <c r="AD69" s="30"/>
    </row>
    <row r="70" spans="1:30" x14ac:dyDescent="0.25">
      <c r="A70" s="28">
        <v>45204</v>
      </c>
      <c r="B70" s="25" t="s">
        <v>1526</v>
      </c>
      <c r="C70" s="25">
        <v>1037648580</v>
      </c>
      <c r="D70" s="25">
        <v>3024614999</v>
      </c>
      <c r="E70" s="26" t="s">
        <v>865</v>
      </c>
      <c r="F70" s="25" t="s">
        <v>1415</v>
      </c>
      <c r="G70" s="25"/>
      <c r="H70" s="25" t="s">
        <v>2727</v>
      </c>
      <c r="I70" s="25">
        <v>3126733240</v>
      </c>
      <c r="J70" s="27"/>
      <c r="K70" s="27"/>
      <c r="L70" s="27"/>
      <c r="M70" s="27" t="s">
        <v>2613</v>
      </c>
      <c r="N70" s="25"/>
      <c r="O70" s="29"/>
      <c r="P70" s="29"/>
      <c r="Q70" s="29"/>
      <c r="R70" s="29"/>
      <c r="S70" s="29"/>
      <c r="T70" s="29"/>
      <c r="U70" s="29"/>
      <c r="V70" s="29"/>
      <c r="W70" s="29"/>
      <c r="X70" s="29"/>
      <c r="Y70" s="29"/>
      <c r="Z70" s="29"/>
      <c r="AA70" s="30"/>
      <c r="AB70" s="30"/>
      <c r="AC70" s="30"/>
      <c r="AD70" s="30"/>
    </row>
    <row r="71" spans="1:30" x14ac:dyDescent="0.25">
      <c r="A71" s="28">
        <v>45207</v>
      </c>
      <c r="B71" s="25" t="s">
        <v>1532</v>
      </c>
      <c r="C71" s="25">
        <v>10171128505</v>
      </c>
      <c r="D71" s="25">
        <v>3114293850</v>
      </c>
      <c r="E71" s="26" t="s">
        <v>865</v>
      </c>
      <c r="F71" s="25" t="s">
        <v>2618</v>
      </c>
      <c r="G71" s="25"/>
      <c r="H71" s="25"/>
      <c r="I71" s="25"/>
      <c r="J71" s="27"/>
      <c r="K71" s="27"/>
      <c r="L71" s="27"/>
      <c r="M71" s="27" t="s">
        <v>2613</v>
      </c>
      <c r="N71" s="25"/>
      <c r="O71" s="29"/>
      <c r="P71" s="29"/>
      <c r="Q71" s="29"/>
      <c r="R71" s="29"/>
      <c r="S71" s="29"/>
      <c r="T71" s="29"/>
      <c r="U71" s="29"/>
      <c r="V71" s="29"/>
      <c r="W71" s="29"/>
      <c r="X71" s="29"/>
      <c r="Y71" s="29"/>
      <c r="Z71" s="29"/>
      <c r="AA71" s="30"/>
      <c r="AB71" s="30"/>
      <c r="AC71" s="30"/>
      <c r="AD71" s="30"/>
    </row>
    <row r="72" spans="1:30" x14ac:dyDescent="0.25">
      <c r="A72" s="28">
        <v>45207</v>
      </c>
      <c r="B72" s="25" t="s">
        <v>2728</v>
      </c>
      <c r="C72" s="25">
        <v>70328197</v>
      </c>
      <c r="D72" s="25">
        <v>3012742436</v>
      </c>
      <c r="E72" s="26" t="s">
        <v>865</v>
      </c>
      <c r="F72" s="25" t="s">
        <v>1415</v>
      </c>
      <c r="G72" s="25" t="s">
        <v>2716</v>
      </c>
      <c r="H72" s="25"/>
      <c r="I72" s="25"/>
      <c r="J72" s="27"/>
      <c r="K72" s="27"/>
      <c r="L72" s="32"/>
      <c r="M72" s="27" t="s">
        <v>2644</v>
      </c>
      <c r="N72" s="28">
        <v>45200</v>
      </c>
      <c r="O72" s="29" t="s">
        <v>2622</v>
      </c>
      <c r="P72" s="29" t="s">
        <v>2645</v>
      </c>
      <c r="Q72" s="29"/>
      <c r="R72" s="29" t="s">
        <v>2646</v>
      </c>
      <c r="S72" s="28">
        <v>45463</v>
      </c>
      <c r="T72" s="29" t="s">
        <v>2645</v>
      </c>
      <c r="U72" s="29"/>
      <c r="V72" s="29" t="s">
        <v>2645</v>
      </c>
      <c r="W72" s="29"/>
      <c r="X72" s="29"/>
      <c r="Y72" s="29"/>
      <c r="Z72" s="29" t="s">
        <v>2729</v>
      </c>
      <c r="AA72" s="30"/>
      <c r="AB72" s="30"/>
      <c r="AC72" s="30"/>
      <c r="AD72" s="30"/>
    </row>
    <row r="73" spans="1:30" x14ac:dyDescent="0.25">
      <c r="A73" s="28">
        <v>45207</v>
      </c>
      <c r="B73" s="25" t="s">
        <v>2730</v>
      </c>
      <c r="C73" s="25">
        <v>1066527071</v>
      </c>
      <c r="D73" s="25">
        <v>3146325149</v>
      </c>
      <c r="E73" s="26" t="s">
        <v>865</v>
      </c>
      <c r="F73" s="25" t="s">
        <v>1415</v>
      </c>
      <c r="G73" s="25"/>
      <c r="H73" s="25"/>
      <c r="I73" s="25"/>
      <c r="J73" s="27"/>
      <c r="K73" s="27"/>
      <c r="L73" s="27"/>
      <c r="M73" s="27" t="s">
        <v>2610</v>
      </c>
      <c r="N73" s="28">
        <v>45200</v>
      </c>
      <c r="O73" s="29" t="s">
        <v>2611</v>
      </c>
      <c r="P73" s="29"/>
      <c r="Q73" s="29"/>
      <c r="R73" s="29"/>
      <c r="S73" s="29"/>
      <c r="T73" s="29"/>
      <c r="U73" s="29"/>
      <c r="V73" s="29"/>
      <c r="W73" s="29"/>
      <c r="X73" s="29"/>
      <c r="Y73" s="29"/>
      <c r="Z73" s="29"/>
      <c r="AA73" s="30"/>
      <c r="AB73" s="30"/>
      <c r="AC73" s="30"/>
      <c r="AD73" s="30"/>
    </row>
    <row r="74" spans="1:30" x14ac:dyDescent="0.25">
      <c r="A74" s="28">
        <v>45213</v>
      </c>
      <c r="B74" s="25" t="s">
        <v>1549</v>
      </c>
      <c r="C74" s="25">
        <v>39409264</v>
      </c>
      <c r="D74" s="25">
        <v>3146918283</v>
      </c>
      <c r="E74" s="26" t="s">
        <v>865</v>
      </c>
      <c r="F74" s="25" t="s">
        <v>1440</v>
      </c>
      <c r="G74" s="25"/>
      <c r="H74" s="25" t="s">
        <v>1550</v>
      </c>
      <c r="I74" s="25">
        <v>3128615074</v>
      </c>
      <c r="J74" s="27"/>
      <c r="K74" s="27"/>
      <c r="L74" s="27"/>
      <c r="M74" s="27" t="s">
        <v>2613</v>
      </c>
      <c r="N74" s="25"/>
      <c r="O74" s="29"/>
      <c r="P74" s="29"/>
      <c r="Q74" s="29"/>
      <c r="R74" s="29"/>
      <c r="S74" s="29"/>
      <c r="T74" s="29"/>
      <c r="U74" s="29"/>
      <c r="V74" s="29"/>
      <c r="W74" s="29"/>
      <c r="X74" s="29"/>
      <c r="Y74" s="29"/>
      <c r="Z74" s="29"/>
      <c r="AA74" s="30"/>
      <c r="AB74" s="30"/>
      <c r="AC74" s="30"/>
      <c r="AD74" s="30"/>
    </row>
    <row r="75" spans="1:30" x14ac:dyDescent="0.25">
      <c r="A75" s="28">
        <v>45213</v>
      </c>
      <c r="B75" s="25" t="s">
        <v>1556</v>
      </c>
      <c r="C75" s="25">
        <v>19586349</v>
      </c>
      <c r="D75" s="25">
        <v>3217727921</v>
      </c>
      <c r="E75" s="26" t="s">
        <v>865</v>
      </c>
      <c r="F75" s="25" t="s">
        <v>1415</v>
      </c>
      <c r="G75" s="25" t="s">
        <v>1559</v>
      </c>
      <c r="H75" s="25" t="s">
        <v>1557</v>
      </c>
      <c r="I75" s="25">
        <v>3007823212</v>
      </c>
      <c r="J75" s="27"/>
      <c r="K75" s="27"/>
      <c r="L75" s="27"/>
      <c r="M75" s="27" t="s">
        <v>2610</v>
      </c>
      <c r="N75" s="28">
        <v>45214</v>
      </c>
      <c r="O75" s="29" t="s">
        <v>2611</v>
      </c>
      <c r="P75" s="29"/>
      <c r="Q75" s="29"/>
      <c r="R75" s="29"/>
      <c r="S75" s="29"/>
      <c r="T75" s="29"/>
      <c r="U75" s="29"/>
      <c r="V75" s="29"/>
      <c r="W75" s="29"/>
      <c r="X75" s="29"/>
      <c r="Y75" s="29"/>
      <c r="Z75" s="29"/>
      <c r="AA75" s="30"/>
      <c r="AB75" s="30"/>
      <c r="AC75" s="30"/>
      <c r="AD75" s="30"/>
    </row>
    <row r="76" spans="1:30" x14ac:dyDescent="0.25">
      <c r="A76" s="28">
        <v>45213</v>
      </c>
      <c r="B76" s="25" t="s">
        <v>1561</v>
      </c>
      <c r="C76" s="25">
        <v>43844285</v>
      </c>
      <c r="D76" s="25">
        <v>3146222931</v>
      </c>
      <c r="E76" s="26" t="s">
        <v>865</v>
      </c>
      <c r="F76" s="25" t="s">
        <v>2618</v>
      </c>
      <c r="G76" s="25"/>
      <c r="H76" s="25"/>
      <c r="I76" s="25"/>
      <c r="J76" s="27"/>
      <c r="K76" s="27"/>
      <c r="L76" s="27"/>
      <c r="M76" s="27" t="s">
        <v>2613</v>
      </c>
      <c r="N76" s="25"/>
      <c r="O76" s="29"/>
      <c r="P76" s="29"/>
      <c r="Q76" s="29"/>
      <c r="R76" s="29"/>
      <c r="S76" s="29"/>
      <c r="T76" s="29"/>
      <c r="U76" s="29"/>
      <c r="V76" s="29"/>
      <c r="W76" s="29"/>
      <c r="X76" s="29"/>
      <c r="Y76" s="29"/>
      <c r="Z76" s="29"/>
      <c r="AA76" s="30"/>
      <c r="AB76" s="30"/>
      <c r="AC76" s="30"/>
      <c r="AD76" s="30"/>
    </row>
    <row r="77" spans="1:30" x14ac:dyDescent="0.25">
      <c r="A77" s="28">
        <v>45213</v>
      </c>
      <c r="B77" s="25" t="s">
        <v>1567</v>
      </c>
      <c r="C77" s="25">
        <v>30752054</v>
      </c>
      <c r="D77" s="25">
        <v>3023571555</v>
      </c>
      <c r="E77" s="26" t="s">
        <v>865</v>
      </c>
      <c r="F77" s="25" t="s">
        <v>2618</v>
      </c>
      <c r="G77" s="25" t="s">
        <v>2660</v>
      </c>
      <c r="H77" s="25"/>
      <c r="I77" s="25"/>
      <c r="J77" s="27"/>
      <c r="K77" s="27"/>
      <c r="L77" s="27"/>
      <c r="M77" s="27" t="s">
        <v>2613</v>
      </c>
      <c r="N77" s="25"/>
      <c r="O77" s="29"/>
      <c r="P77" s="29"/>
      <c r="Q77" s="29"/>
      <c r="R77" s="29"/>
      <c r="S77" s="29"/>
      <c r="T77" s="29"/>
      <c r="U77" s="29"/>
      <c r="V77" s="29"/>
      <c r="W77" s="29"/>
      <c r="X77" s="29"/>
      <c r="Y77" s="29"/>
      <c r="Z77" s="29"/>
      <c r="AA77" s="30"/>
      <c r="AB77" s="30"/>
      <c r="AC77" s="30"/>
      <c r="AD77" s="30"/>
    </row>
    <row r="78" spans="1:30" x14ac:dyDescent="0.25">
      <c r="A78" s="28">
        <v>45213</v>
      </c>
      <c r="B78" s="25" t="s">
        <v>1574</v>
      </c>
      <c r="C78" s="25">
        <v>1152683030</v>
      </c>
      <c r="D78" s="25">
        <v>3128832290</v>
      </c>
      <c r="E78" s="26" t="s">
        <v>865</v>
      </c>
      <c r="F78" s="25" t="s">
        <v>1573</v>
      </c>
      <c r="G78" s="25" t="s">
        <v>2731</v>
      </c>
      <c r="H78" s="25" t="s">
        <v>1575</v>
      </c>
      <c r="I78" s="25">
        <v>3044795421</v>
      </c>
      <c r="J78" s="27"/>
      <c r="K78" s="27"/>
      <c r="L78" s="27"/>
      <c r="M78" s="27" t="s">
        <v>2610</v>
      </c>
      <c r="N78" s="28">
        <v>45214</v>
      </c>
      <c r="O78" s="29" t="s">
        <v>2611</v>
      </c>
      <c r="P78" s="29"/>
      <c r="Q78" s="29"/>
      <c r="R78" s="29"/>
      <c r="S78" s="29"/>
      <c r="T78" s="29"/>
      <c r="U78" s="29"/>
      <c r="V78" s="29"/>
      <c r="W78" s="29"/>
      <c r="X78" s="29"/>
      <c r="Y78" s="29"/>
      <c r="Z78" s="29"/>
      <c r="AA78" s="30"/>
      <c r="AB78" s="30"/>
      <c r="AC78" s="30"/>
      <c r="AD78" s="30"/>
    </row>
    <row r="79" spans="1:30" x14ac:dyDescent="0.25">
      <c r="A79" s="28">
        <v>45214</v>
      </c>
      <c r="B79" s="25" t="s">
        <v>2732</v>
      </c>
      <c r="C79" s="25">
        <v>1036673274</v>
      </c>
      <c r="D79" s="25">
        <v>3242953173</v>
      </c>
      <c r="E79" s="26" t="s">
        <v>865</v>
      </c>
      <c r="F79" s="25" t="s">
        <v>1415</v>
      </c>
      <c r="G79" s="25"/>
      <c r="H79" s="25" t="s">
        <v>2733</v>
      </c>
      <c r="I79" s="25">
        <v>3205962345</v>
      </c>
      <c r="J79" s="27"/>
      <c r="K79" s="27"/>
      <c r="L79" s="27"/>
      <c r="M79" s="27" t="s">
        <v>2613</v>
      </c>
      <c r="N79" s="25"/>
      <c r="O79" s="29"/>
      <c r="P79" s="29"/>
      <c r="Q79" s="29"/>
      <c r="R79" s="29"/>
      <c r="S79" s="29"/>
      <c r="T79" s="29"/>
      <c r="U79" s="29"/>
      <c r="V79" s="29"/>
      <c r="W79" s="29"/>
      <c r="X79" s="29"/>
      <c r="Y79" s="29"/>
      <c r="Z79" s="29"/>
      <c r="AA79" s="30"/>
      <c r="AB79" s="30"/>
      <c r="AC79" s="30"/>
      <c r="AD79" s="30"/>
    </row>
    <row r="80" spans="1:30" x14ac:dyDescent="0.25">
      <c r="A80" s="28">
        <v>45214</v>
      </c>
      <c r="B80" s="25" t="s">
        <v>2734</v>
      </c>
      <c r="C80" s="25">
        <v>43155467</v>
      </c>
      <c r="D80" s="25">
        <v>3137851407</v>
      </c>
      <c r="E80" s="26" t="s">
        <v>865</v>
      </c>
      <c r="F80" s="25" t="s">
        <v>1415</v>
      </c>
      <c r="G80" s="25" t="s">
        <v>2655</v>
      </c>
      <c r="H80" s="25" t="s">
        <v>2735</v>
      </c>
      <c r="I80" s="25">
        <v>3108049353</v>
      </c>
      <c r="J80" s="27"/>
      <c r="K80" s="27"/>
      <c r="L80" s="27"/>
      <c r="M80" s="27" t="s">
        <v>2613</v>
      </c>
      <c r="N80" s="25"/>
      <c r="O80" s="29"/>
      <c r="P80" s="29"/>
      <c r="Q80" s="29"/>
      <c r="R80" s="29"/>
      <c r="S80" s="29"/>
      <c r="T80" s="29"/>
      <c r="U80" s="29"/>
      <c r="V80" s="29"/>
      <c r="W80" s="29"/>
      <c r="X80" s="29"/>
      <c r="Y80" s="29"/>
      <c r="Z80" s="29"/>
      <c r="AA80" s="30"/>
      <c r="AB80" s="30"/>
      <c r="AC80" s="30"/>
      <c r="AD80" s="30"/>
    </row>
    <row r="81" spans="1:30" x14ac:dyDescent="0.25">
      <c r="A81" s="28">
        <v>45214</v>
      </c>
      <c r="B81" s="25" t="s">
        <v>2736</v>
      </c>
      <c r="C81" s="25">
        <v>1020493516</v>
      </c>
      <c r="D81" s="25">
        <v>3106266278</v>
      </c>
      <c r="E81" s="26" t="s">
        <v>865</v>
      </c>
      <c r="F81" s="25"/>
      <c r="G81" s="25"/>
      <c r="H81" s="25">
        <v>3147802598</v>
      </c>
      <c r="I81" s="25">
        <v>3106266278</v>
      </c>
      <c r="J81" s="27"/>
      <c r="K81" s="27"/>
      <c r="L81" s="27"/>
      <c r="M81" s="27" t="s">
        <v>2613</v>
      </c>
      <c r="N81" s="25"/>
      <c r="O81" s="29"/>
      <c r="P81" s="29"/>
      <c r="Q81" s="29"/>
      <c r="R81" s="29"/>
      <c r="S81" s="29"/>
      <c r="T81" s="29"/>
      <c r="U81" s="29"/>
      <c r="V81" s="29"/>
      <c r="W81" s="29"/>
      <c r="X81" s="29"/>
      <c r="Y81" s="29"/>
      <c r="Z81" s="29"/>
      <c r="AA81" s="30"/>
      <c r="AB81" s="30"/>
      <c r="AC81" s="30"/>
      <c r="AD81" s="30"/>
    </row>
    <row r="82" spans="1:30" x14ac:dyDescent="0.25">
      <c r="A82" s="28">
        <v>45214</v>
      </c>
      <c r="B82" s="25" t="s">
        <v>2737</v>
      </c>
      <c r="C82" s="25">
        <v>1038766483</v>
      </c>
      <c r="D82" s="25">
        <v>3236292939</v>
      </c>
      <c r="E82" s="26" t="s">
        <v>865</v>
      </c>
      <c r="F82" s="25" t="s">
        <v>1573</v>
      </c>
      <c r="G82" s="25"/>
      <c r="H82" s="25">
        <v>3006854087</v>
      </c>
      <c r="I82" s="25"/>
      <c r="J82" s="27"/>
      <c r="K82" s="27"/>
      <c r="L82" s="27"/>
      <c r="M82" s="27" t="s">
        <v>2610</v>
      </c>
      <c r="N82" s="28">
        <v>45633.495833333334</v>
      </c>
      <c r="O82" s="29" t="s">
        <v>2622</v>
      </c>
      <c r="P82" s="29"/>
      <c r="Q82" s="29"/>
      <c r="R82" s="29"/>
      <c r="S82" s="29"/>
      <c r="T82" s="29"/>
      <c r="U82" s="29"/>
      <c r="V82" s="29"/>
      <c r="W82" s="29"/>
      <c r="X82" s="29"/>
      <c r="Y82" s="29"/>
      <c r="Z82" s="29"/>
      <c r="AA82" s="30"/>
      <c r="AB82" s="30"/>
      <c r="AC82" s="30"/>
      <c r="AD82" s="30"/>
    </row>
    <row r="83" spans="1:30" x14ac:dyDescent="0.25">
      <c r="A83" s="28">
        <v>45244</v>
      </c>
      <c r="B83" s="25" t="s">
        <v>1640</v>
      </c>
      <c r="C83" s="25">
        <v>35897369</v>
      </c>
      <c r="D83" s="25">
        <v>3102707351</v>
      </c>
      <c r="E83" s="26" t="s">
        <v>865</v>
      </c>
      <c r="F83" s="25" t="s">
        <v>1440</v>
      </c>
      <c r="G83" s="25"/>
      <c r="H83" s="25"/>
      <c r="I83" s="25"/>
      <c r="J83" s="27"/>
      <c r="K83" s="27"/>
      <c r="L83" s="32"/>
      <c r="M83" s="27" t="s">
        <v>2644</v>
      </c>
      <c r="N83" s="33">
        <v>45276</v>
      </c>
      <c r="O83" s="29" t="s">
        <v>2622</v>
      </c>
      <c r="P83" s="29" t="s">
        <v>2646</v>
      </c>
      <c r="Q83" s="33">
        <v>45276</v>
      </c>
      <c r="R83" s="29" t="s">
        <v>2645</v>
      </c>
      <c r="S83" s="29"/>
      <c r="T83" s="29" t="s">
        <v>2646</v>
      </c>
      <c r="U83" s="34">
        <v>45696</v>
      </c>
      <c r="V83" s="29" t="s">
        <v>2646</v>
      </c>
      <c r="W83" s="34">
        <v>45696</v>
      </c>
      <c r="X83" s="29"/>
      <c r="Y83" s="29"/>
      <c r="Z83" s="29"/>
      <c r="AA83" s="30"/>
      <c r="AB83" s="30"/>
      <c r="AC83" s="30"/>
      <c r="AD83" s="30"/>
    </row>
    <row r="84" spans="1:30" x14ac:dyDescent="0.25">
      <c r="A84" s="28">
        <v>45248</v>
      </c>
      <c r="B84" s="25" t="s">
        <v>2738</v>
      </c>
      <c r="C84" s="25">
        <v>21603847</v>
      </c>
      <c r="D84" s="25">
        <v>3146660639</v>
      </c>
      <c r="E84" s="26" t="s">
        <v>865</v>
      </c>
      <c r="F84" s="25" t="s">
        <v>894</v>
      </c>
      <c r="G84" s="25"/>
      <c r="H84" s="25"/>
      <c r="I84" s="25"/>
      <c r="J84" s="27"/>
      <c r="K84" s="27"/>
      <c r="L84" s="27"/>
      <c r="M84" s="27" t="s">
        <v>2613</v>
      </c>
      <c r="N84" s="25"/>
      <c r="O84" s="29"/>
      <c r="P84" s="29"/>
      <c r="Q84" s="29"/>
      <c r="R84" s="29"/>
      <c r="S84" s="29"/>
      <c r="T84" s="29"/>
      <c r="U84" s="29"/>
      <c r="V84" s="29"/>
      <c r="W84" s="29"/>
      <c r="X84" s="29"/>
      <c r="Y84" s="29"/>
      <c r="Z84" s="29"/>
      <c r="AA84" s="30"/>
      <c r="AB84" s="30"/>
      <c r="AC84" s="30"/>
      <c r="AD84" s="30"/>
    </row>
    <row r="85" spans="1:30" x14ac:dyDescent="0.25">
      <c r="A85" s="28">
        <v>45248</v>
      </c>
      <c r="B85" s="25" t="s">
        <v>1650</v>
      </c>
      <c r="C85" s="25">
        <v>32272319</v>
      </c>
      <c r="D85" s="25">
        <v>3216378954</v>
      </c>
      <c r="E85" s="26" t="s">
        <v>865</v>
      </c>
      <c r="F85" s="25" t="s">
        <v>1440</v>
      </c>
      <c r="G85" s="25"/>
      <c r="H85" s="25" t="s">
        <v>2739</v>
      </c>
      <c r="I85" s="25">
        <v>3218611886</v>
      </c>
      <c r="J85" s="27"/>
      <c r="K85" s="27"/>
      <c r="L85" s="27"/>
      <c r="M85" s="27" t="s">
        <v>2613</v>
      </c>
      <c r="N85" s="25"/>
      <c r="O85" s="29"/>
      <c r="P85" s="29"/>
      <c r="Q85" s="29"/>
      <c r="R85" s="29"/>
      <c r="S85" s="29"/>
      <c r="T85" s="29"/>
      <c r="U85" s="29"/>
      <c r="V85" s="29"/>
      <c r="W85" s="29"/>
      <c r="X85" s="29"/>
      <c r="Y85" s="29"/>
      <c r="Z85" s="29"/>
      <c r="AA85" s="30"/>
      <c r="AB85" s="30"/>
      <c r="AC85" s="30"/>
      <c r="AD85" s="30"/>
    </row>
    <row r="86" spans="1:30" x14ac:dyDescent="0.25">
      <c r="A86" s="28">
        <v>45248</v>
      </c>
      <c r="B86" s="25" t="s">
        <v>2740</v>
      </c>
      <c r="C86" s="25">
        <v>3446967</v>
      </c>
      <c r="D86" s="25">
        <v>3157187516</v>
      </c>
      <c r="E86" s="26" t="s">
        <v>865</v>
      </c>
      <c r="F86" s="25" t="s">
        <v>1339</v>
      </c>
      <c r="G86" s="25" t="s">
        <v>2741</v>
      </c>
      <c r="H86" s="25" t="s">
        <v>2742</v>
      </c>
      <c r="I86" s="25">
        <v>3106682240</v>
      </c>
      <c r="J86" s="27"/>
      <c r="K86" s="27"/>
      <c r="L86" s="27"/>
      <c r="M86" s="27" t="s">
        <v>2613</v>
      </c>
      <c r="N86" s="25"/>
      <c r="O86" s="29"/>
      <c r="P86" s="29"/>
      <c r="Q86" s="29"/>
      <c r="R86" s="29"/>
      <c r="S86" s="29"/>
      <c r="T86" s="29"/>
      <c r="U86" s="29"/>
      <c r="V86" s="29"/>
      <c r="W86" s="29"/>
      <c r="X86" s="29"/>
      <c r="Y86" s="29"/>
      <c r="Z86" s="29"/>
      <c r="AA86" s="30"/>
      <c r="AB86" s="30"/>
      <c r="AC86" s="30"/>
      <c r="AD86" s="30"/>
    </row>
    <row r="87" spans="1:30" x14ac:dyDescent="0.25">
      <c r="A87" s="28">
        <v>45248</v>
      </c>
      <c r="B87" s="25" t="s">
        <v>1667</v>
      </c>
      <c r="C87" s="25">
        <v>31962913</v>
      </c>
      <c r="D87" s="25">
        <v>3053691845</v>
      </c>
      <c r="E87" s="26" t="s">
        <v>865</v>
      </c>
      <c r="F87" s="25" t="s">
        <v>1339</v>
      </c>
      <c r="G87" s="25"/>
      <c r="H87" s="25" t="s">
        <v>2743</v>
      </c>
      <c r="I87" s="25">
        <v>3106682240</v>
      </c>
      <c r="J87" s="27"/>
      <c r="K87" s="27"/>
      <c r="L87" s="27"/>
      <c r="M87" s="27" t="s">
        <v>2613</v>
      </c>
      <c r="N87" s="25"/>
      <c r="O87" s="29"/>
      <c r="P87" s="29"/>
      <c r="Q87" s="29"/>
      <c r="R87" s="29"/>
      <c r="S87" s="29"/>
      <c r="T87" s="29"/>
      <c r="U87" s="29"/>
      <c r="V87" s="29"/>
      <c r="W87" s="29"/>
      <c r="X87" s="29"/>
      <c r="Y87" s="29"/>
      <c r="Z87" s="29"/>
      <c r="AA87" s="30"/>
      <c r="AB87" s="30"/>
      <c r="AC87" s="30"/>
      <c r="AD87" s="30"/>
    </row>
    <row r="88" spans="1:30" x14ac:dyDescent="0.25">
      <c r="A88" s="28">
        <v>45248</v>
      </c>
      <c r="B88" s="25" t="s">
        <v>1672</v>
      </c>
      <c r="C88" s="25">
        <v>21863494</v>
      </c>
      <c r="D88" s="25">
        <v>3116987899</v>
      </c>
      <c r="E88" s="26" t="s">
        <v>865</v>
      </c>
      <c r="F88" s="25" t="s">
        <v>1573</v>
      </c>
      <c r="G88" s="25"/>
      <c r="H88" s="25" t="s">
        <v>2744</v>
      </c>
      <c r="I88" s="25">
        <v>3147825137</v>
      </c>
      <c r="J88" s="27"/>
      <c r="K88" s="27"/>
      <c r="L88" s="27"/>
      <c r="M88" s="27" t="s">
        <v>2613</v>
      </c>
      <c r="N88" s="25"/>
      <c r="O88" s="29"/>
      <c r="P88" s="29"/>
      <c r="Q88" s="29"/>
      <c r="R88" s="29"/>
      <c r="S88" s="29"/>
      <c r="T88" s="29"/>
      <c r="U88" s="29"/>
      <c r="V88" s="29"/>
      <c r="W88" s="29"/>
      <c r="X88" s="29"/>
      <c r="Y88" s="29"/>
      <c r="Z88" s="29"/>
      <c r="AA88" s="30"/>
      <c r="AB88" s="30"/>
      <c r="AC88" s="30"/>
      <c r="AD88" s="30"/>
    </row>
    <row r="89" spans="1:30" x14ac:dyDescent="0.25">
      <c r="A89" s="28">
        <v>45248</v>
      </c>
      <c r="B89" s="25" t="s">
        <v>1679</v>
      </c>
      <c r="C89" s="25">
        <v>707225959</v>
      </c>
      <c r="D89" s="25">
        <v>3194498224</v>
      </c>
      <c r="E89" s="26" t="s">
        <v>865</v>
      </c>
      <c r="F89" s="25" t="s">
        <v>2618</v>
      </c>
      <c r="G89" s="25"/>
      <c r="H89" s="25" t="s">
        <v>1680</v>
      </c>
      <c r="I89" s="25">
        <v>3137035755</v>
      </c>
      <c r="J89" s="27"/>
      <c r="K89" s="27"/>
      <c r="L89" s="27"/>
      <c r="M89" s="27" t="s">
        <v>2613</v>
      </c>
      <c r="N89" s="25"/>
      <c r="O89" s="29"/>
      <c r="P89" s="29"/>
      <c r="Q89" s="29"/>
      <c r="R89" s="29"/>
      <c r="S89" s="29"/>
      <c r="T89" s="29"/>
      <c r="U89" s="29"/>
      <c r="V89" s="29"/>
      <c r="W89" s="29"/>
      <c r="X89" s="29"/>
      <c r="Y89" s="29"/>
      <c r="Z89" s="29"/>
      <c r="AA89" s="30"/>
      <c r="AB89" s="30"/>
      <c r="AC89" s="30"/>
      <c r="AD89" s="30"/>
    </row>
    <row r="90" spans="1:30" x14ac:dyDescent="0.25">
      <c r="A90" s="28">
        <v>45248</v>
      </c>
      <c r="B90" s="25" t="s">
        <v>1684</v>
      </c>
      <c r="C90" s="25">
        <v>43640747</v>
      </c>
      <c r="D90" s="25">
        <v>3155383884</v>
      </c>
      <c r="E90" s="26" t="s">
        <v>865</v>
      </c>
      <c r="F90" s="25" t="s">
        <v>1440</v>
      </c>
      <c r="G90" s="25"/>
      <c r="H90" s="25" t="s">
        <v>2745</v>
      </c>
      <c r="I90" s="25">
        <v>3014290387</v>
      </c>
      <c r="J90" s="27"/>
      <c r="K90" s="27"/>
      <c r="L90" s="27"/>
      <c r="M90" s="27" t="s">
        <v>2613</v>
      </c>
      <c r="N90" s="28"/>
      <c r="O90" s="29"/>
      <c r="P90" s="29"/>
      <c r="Q90" s="29"/>
      <c r="R90" s="29"/>
      <c r="S90" s="29"/>
      <c r="T90" s="29"/>
      <c r="U90" s="29"/>
      <c r="V90" s="29"/>
      <c r="W90" s="29"/>
      <c r="X90" s="29"/>
      <c r="Y90" s="29"/>
      <c r="Z90" s="29"/>
      <c r="AA90" s="30"/>
      <c r="AB90" s="30"/>
      <c r="AC90" s="30"/>
      <c r="AD90" s="30"/>
    </row>
    <row r="91" spans="1:30" x14ac:dyDescent="0.25">
      <c r="A91" s="28">
        <v>45248</v>
      </c>
      <c r="B91" s="25" t="s">
        <v>2746</v>
      </c>
      <c r="C91" s="25">
        <v>43978579</v>
      </c>
      <c r="D91" s="25">
        <v>3122775947</v>
      </c>
      <c r="E91" s="26" t="s">
        <v>865</v>
      </c>
      <c r="F91" s="25" t="s">
        <v>1573</v>
      </c>
      <c r="G91" s="25"/>
      <c r="H91" s="25"/>
      <c r="I91" s="25"/>
      <c r="J91" s="27"/>
      <c r="K91" s="27"/>
      <c r="L91" s="27"/>
      <c r="M91" s="27" t="s">
        <v>2613</v>
      </c>
      <c r="N91" s="25"/>
      <c r="O91" s="29"/>
      <c r="P91" s="29"/>
      <c r="Q91" s="29"/>
      <c r="R91" s="29"/>
      <c r="S91" s="29"/>
      <c r="T91" s="29"/>
      <c r="U91" s="29"/>
      <c r="V91" s="29"/>
      <c r="W91" s="29"/>
      <c r="X91" s="29"/>
      <c r="Y91" s="29"/>
      <c r="Z91" s="29"/>
      <c r="AA91" s="30"/>
      <c r="AB91" s="30"/>
      <c r="AC91" s="30"/>
      <c r="AD91" s="30"/>
    </row>
    <row r="92" spans="1:30" x14ac:dyDescent="0.25">
      <c r="A92" s="28">
        <v>45248</v>
      </c>
      <c r="B92" s="25" t="s">
        <v>2747</v>
      </c>
      <c r="C92" s="25">
        <v>1128468125</v>
      </c>
      <c r="D92" s="25">
        <v>3044764329</v>
      </c>
      <c r="E92" s="26" t="s">
        <v>865</v>
      </c>
      <c r="F92" s="25" t="s">
        <v>1573</v>
      </c>
      <c r="G92" s="25"/>
      <c r="H92" s="25" t="s">
        <v>2748</v>
      </c>
      <c r="I92" s="25">
        <v>3053060072</v>
      </c>
      <c r="J92" s="27"/>
      <c r="K92" s="27"/>
      <c r="L92" s="27"/>
      <c r="M92" s="27" t="s">
        <v>2613</v>
      </c>
      <c r="N92" s="25"/>
      <c r="O92" s="29"/>
      <c r="P92" s="29"/>
      <c r="Q92" s="29"/>
      <c r="R92" s="29"/>
      <c r="S92" s="29"/>
      <c r="T92" s="29"/>
      <c r="U92" s="29"/>
      <c r="V92" s="29"/>
      <c r="W92" s="29"/>
      <c r="X92" s="29"/>
      <c r="Y92" s="29"/>
      <c r="Z92" s="29"/>
      <c r="AA92" s="30"/>
      <c r="AB92" s="30"/>
      <c r="AC92" s="30"/>
      <c r="AD92" s="30"/>
    </row>
    <row r="93" spans="1:30" x14ac:dyDescent="0.25">
      <c r="A93" s="28">
        <v>45250</v>
      </c>
      <c r="B93" s="25" t="s">
        <v>1695</v>
      </c>
      <c r="C93" s="25">
        <v>1077446474</v>
      </c>
      <c r="D93" s="25">
        <v>3108940811</v>
      </c>
      <c r="E93" s="26" t="s">
        <v>865</v>
      </c>
      <c r="F93" s="25" t="s">
        <v>1573</v>
      </c>
      <c r="G93" s="25" t="s">
        <v>2700</v>
      </c>
      <c r="H93" s="25" t="s">
        <v>2749</v>
      </c>
      <c r="I93" s="25">
        <v>3106394643</v>
      </c>
      <c r="J93" s="27"/>
      <c r="K93" s="27"/>
      <c r="L93" s="27"/>
      <c r="M93" s="27" t="s">
        <v>2613</v>
      </c>
      <c r="N93" s="25"/>
      <c r="O93" s="29"/>
      <c r="P93" s="29"/>
      <c r="Q93" s="29"/>
      <c r="R93" s="29"/>
      <c r="S93" s="29"/>
      <c r="T93" s="29"/>
      <c r="U93" s="29"/>
      <c r="V93" s="29"/>
      <c r="W93" s="29"/>
      <c r="X93" s="29"/>
      <c r="Y93" s="29"/>
      <c r="Z93" s="29"/>
      <c r="AA93" s="30"/>
      <c r="AB93" s="30"/>
      <c r="AC93" s="30"/>
      <c r="AD93" s="30"/>
    </row>
    <row r="94" spans="1:30" x14ac:dyDescent="0.25">
      <c r="A94" s="28">
        <v>45250</v>
      </c>
      <c r="B94" s="25" t="s">
        <v>2750</v>
      </c>
      <c r="C94" s="25">
        <v>1001229470</v>
      </c>
      <c r="D94" s="25">
        <v>3228546896</v>
      </c>
      <c r="E94" s="26" t="s">
        <v>865</v>
      </c>
      <c r="F94" s="25" t="s">
        <v>1415</v>
      </c>
      <c r="G94" s="25"/>
      <c r="H94" s="25" t="s">
        <v>2751</v>
      </c>
      <c r="I94" s="25">
        <v>3243948530</v>
      </c>
      <c r="J94" s="27"/>
      <c r="K94" s="27"/>
      <c r="L94" s="27"/>
      <c r="M94" s="27" t="s">
        <v>2613</v>
      </c>
      <c r="N94" s="25"/>
      <c r="O94" s="29"/>
      <c r="P94" s="29"/>
      <c r="Q94" s="29"/>
      <c r="R94" s="29"/>
      <c r="S94" s="29"/>
      <c r="T94" s="29"/>
      <c r="U94" s="29"/>
      <c r="V94" s="29"/>
      <c r="W94" s="29"/>
      <c r="X94" s="29"/>
      <c r="Y94" s="29"/>
      <c r="Z94" s="29"/>
      <c r="AA94" s="30"/>
      <c r="AB94" s="30"/>
      <c r="AC94" s="30"/>
      <c r="AD94" s="30"/>
    </row>
    <row r="95" spans="1:30" x14ac:dyDescent="0.25">
      <c r="A95" s="24">
        <v>45346</v>
      </c>
      <c r="B95" s="25" t="s">
        <v>1832</v>
      </c>
      <c r="C95" s="25">
        <v>1104419170</v>
      </c>
      <c r="D95" s="25">
        <v>3128776208</v>
      </c>
      <c r="E95" s="26" t="s">
        <v>865</v>
      </c>
      <c r="F95" s="25" t="s">
        <v>1440</v>
      </c>
      <c r="G95" s="25"/>
      <c r="H95" s="25" t="s">
        <v>1833</v>
      </c>
      <c r="I95" s="25">
        <v>3003132680</v>
      </c>
      <c r="J95" s="27"/>
      <c r="K95" s="27"/>
      <c r="L95" s="27"/>
      <c r="M95" s="27" t="s">
        <v>2613</v>
      </c>
      <c r="N95" s="25"/>
      <c r="O95" s="29"/>
      <c r="P95" s="29"/>
      <c r="Q95" s="29"/>
      <c r="R95" s="29"/>
      <c r="S95" s="29"/>
      <c r="T95" s="29"/>
      <c r="U95" s="29"/>
      <c r="V95" s="29"/>
      <c r="W95" s="29"/>
      <c r="X95" s="29"/>
      <c r="Y95" s="29"/>
      <c r="Z95" s="29"/>
      <c r="AA95" s="30"/>
      <c r="AB95" s="30"/>
      <c r="AC95" s="30"/>
      <c r="AD95" s="30"/>
    </row>
    <row r="96" spans="1:30" x14ac:dyDescent="0.25">
      <c r="A96" s="24">
        <v>45346</v>
      </c>
      <c r="B96" s="25" t="s">
        <v>2752</v>
      </c>
      <c r="C96" s="25">
        <v>1001510090</v>
      </c>
      <c r="D96" s="25">
        <v>3145248029</v>
      </c>
      <c r="E96" s="26" t="s">
        <v>865</v>
      </c>
      <c r="F96" s="25" t="s">
        <v>1440</v>
      </c>
      <c r="G96" s="25"/>
      <c r="H96" s="25" t="s">
        <v>1840</v>
      </c>
      <c r="I96" s="25">
        <v>3028607391</v>
      </c>
      <c r="J96" s="27"/>
      <c r="K96" s="27"/>
      <c r="L96" s="27"/>
      <c r="M96" s="27" t="s">
        <v>2613</v>
      </c>
      <c r="N96" s="25"/>
      <c r="O96" s="29"/>
      <c r="P96" s="29"/>
      <c r="Q96" s="29"/>
      <c r="R96" s="29"/>
      <c r="S96" s="29"/>
      <c r="T96" s="29"/>
      <c r="U96" s="29"/>
      <c r="V96" s="29"/>
      <c r="W96" s="29"/>
      <c r="X96" s="29"/>
      <c r="Y96" s="29"/>
      <c r="Z96" s="29"/>
      <c r="AA96" s="30"/>
      <c r="AB96" s="30"/>
      <c r="AC96" s="30"/>
      <c r="AD96" s="30"/>
    </row>
    <row r="97" spans="1:30" x14ac:dyDescent="0.25">
      <c r="A97" s="24">
        <v>45346</v>
      </c>
      <c r="B97" s="25" t="s">
        <v>2753</v>
      </c>
      <c r="C97" s="25">
        <v>1146440823</v>
      </c>
      <c r="D97" s="25">
        <v>3011896693</v>
      </c>
      <c r="E97" s="26" t="s">
        <v>865</v>
      </c>
      <c r="F97" s="25" t="s">
        <v>1440</v>
      </c>
      <c r="G97" s="25"/>
      <c r="H97" s="25" t="s">
        <v>2754</v>
      </c>
      <c r="I97" s="25">
        <v>3106682240</v>
      </c>
      <c r="J97" s="27"/>
      <c r="K97" s="27"/>
      <c r="L97" s="27"/>
      <c r="M97" s="27" t="s">
        <v>2613</v>
      </c>
      <c r="N97" s="25"/>
      <c r="O97" s="29"/>
      <c r="P97" s="29"/>
      <c r="Q97" s="29"/>
      <c r="R97" s="29"/>
      <c r="S97" s="29"/>
      <c r="T97" s="29"/>
      <c r="U97" s="29"/>
      <c r="V97" s="29"/>
      <c r="W97" s="29"/>
      <c r="X97" s="29"/>
      <c r="Y97" s="29"/>
      <c r="Z97" s="29"/>
      <c r="AA97" s="30"/>
      <c r="AB97" s="30"/>
      <c r="AC97" s="30"/>
      <c r="AD97" s="30"/>
    </row>
    <row r="98" spans="1:30" x14ac:dyDescent="0.25">
      <c r="A98" s="24">
        <v>45346</v>
      </c>
      <c r="B98" s="25" t="s">
        <v>2755</v>
      </c>
      <c r="C98" s="25">
        <v>43141932</v>
      </c>
      <c r="D98" s="25">
        <v>3218322928</v>
      </c>
      <c r="E98" s="26" t="s">
        <v>865</v>
      </c>
      <c r="F98" s="25" t="s">
        <v>1440</v>
      </c>
      <c r="G98" s="25"/>
      <c r="H98" s="25"/>
      <c r="I98" s="25"/>
      <c r="J98" s="27"/>
      <c r="K98" s="27"/>
      <c r="L98" s="27"/>
      <c r="M98" s="27" t="s">
        <v>2613</v>
      </c>
      <c r="N98" s="25"/>
      <c r="O98" s="29"/>
      <c r="P98" s="29"/>
      <c r="Q98" s="29"/>
      <c r="R98" s="29"/>
      <c r="S98" s="29"/>
      <c r="T98" s="29"/>
      <c r="U98" s="29"/>
      <c r="V98" s="29"/>
      <c r="W98" s="29"/>
      <c r="X98" s="29"/>
      <c r="Y98" s="29"/>
      <c r="Z98" s="29"/>
      <c r="AA98" s="30"/>
      <c r="AB98" s="30"/>
      <c r="AC98" s="30"/>
      <c r="AD98" s="30"/>
    </row>
    <row r="99" spans="1:30" x14ac:dyDescent="0.25">
      <c r="A99" s="24">
        <v>45346</v>
      </c>
      <c r="B99" s="25" t="s">
        <v>1859</v>
      </c>
      <c r="C99" s="25">
        <v>1067840974</v>
      </c>
      <c r="D99" s="25">
        <v>3003132680</v>
      </c>
      <c r="E99" s="26" t="s">
        <v>865</v>
      </c>
      <c r="F99" s="25" t="s">
        <v>1440</v>
      </c>
      <c r="G99" s="25"/>
      <c r="H99" s="25" t="s">
        <v>2756</v>
      </c>
      <c r="I99" s="25">
        <v>3133993454</v>
      </c>
      <c r="J99" s="27"/>
      <c r="K99" s="27"/>
      <c r="L99" s="27"/>
      <c r="M99" s="27" t="s">
        <v>2613</v>
      </c>
      <c r="N99" s="25"/>
      <c r="O99" s="29"/>
      <c r="P99" s="29"/>
      <c r="Q99" s="29"/>
      <c r="R99" s="29"/>
      <c r="S99" s="29"/>
      <c r="T99" s="29"/>
      <c r="U99" s="29"/>
      <c r="V99" s="29"/>
      <c r="W99" s="29"/>
      <c r="X99" s="29"/>
      <c r="Y99" s="29"/>
      <c r="Z99" s="29"/>
      <c r="AA99" s="30"/>
      <c r="AB99" s="30"/>
      <c r="AC99" s="30"/>
      <c r="AD99" s="30"/>
    </row>
    <row r="100" spans="1:30" x14ac:dyDescent="0.25">
      <c r="A100" s="24">
        <v>45346</v>
      </c>
      <c r="B100" s="25" t="s">
        <v>2757</v>
      </c>
      <c r="C100" s="25">
        <v>1001507555</v>
      </c>
      <c r="D100" s="25">
        <v>3107344468</v>
      </c>
      <c r="E100" s="26" t="s">
        <v>865</v>
      </c>
      <c r="F100" s="25" t="s">
        <v>1440</v>
      </c>
      <c r="G100" s="25"/>
      <c r="H100" s="25" t="s">
        <v>2631</v>
      </c>
      <c r="I100" s="25">
        <v>3214402986</v>
      </c>
      <c r="J100" s="27"/>
      <c r="K100" s="27"/>
      <c r="L100" s="27"/>
      <c r="M100" s="27" t="s">
        <v>2613</v>
      </c>
      <c r="N100" s="25"/>
      <c r="O100" s="29"/>
      <c r="P100" s="29"/>
      <c r="Q100" s="29"/>
      <c r="R100" s="29"/>
      <c r="S100" s="29"/>
      <c r="T100" s="29"/>
      <c r="U100" s="29"/>
      <c r="V100" s="29"/>
      <c r="W100" s="29"/>
      <c r="X100" s="29"/>
      <c r="Y100" s="29"/>
      <c r="Z100" s="29"/>
      <c r="AA100" s="30"/>
      <c r="AB100" s="30"/>
      <c r="AC100" s="30"/>
      <c r="AD100" s="30"/>
    </row>
    <row r="101" spans="1:30" x14ac:dyDescent="0.25">
      <c r="A101" s="24">
        <v>45346</v>
      </c>
      <c r="B101" s="25" t="s">
        <v>1869</v>
      </c>
      <c r="C101" s="25">
        <v>3506567</v>
      </c>
      <c r="D101" s="25">
        <v>3225323952</v>
      </c>
      <c r="E101" s="26" t="s">
        <v>865</v>
      </c>
      <c r="F101" s="25" t="s">
        <v>1440</v>
      </c>
      <c r="G101" s="25"/>
      <c r="H101" s="25" t="s">
        <v>2758</v>
      </c>
      <c r="I101" s="25">
        <v>3504543816</v>
      </c>
      <c r="J101" s="27"/>
      <c r="K101" s="27"/>
      <c r="L101" s="27"/>
      <c r="M101" s="27" t="s">
        <v>2613</v>
      </c>
      <c r="N101" s="25"/>
      <c r="O101" s="29"/>
      <c r="P101" s="29"/>
      <c r="Q101" s="29"/>
      <c r="R101" s="29"/>
      <c r="S101" s="29"/>
      <c r="T101" s="29"/>
      <c r="U101" s="29"/>
      <c r="V101" s="29"/>
      <c r="W101" s="29"/>
      <c r="X101" s="29"/>
      <c r="Y101" s="29"/>
      <c r="Z101" s="29"/>
      <c r="AA101" s="30"/>
      <c r="AB101" s="30"/>
      <c r="AC101" s="30"/>
      <c r="AD101" s="30"/>
    </row>
    <row r="102" spans="1:30" x14ac:dyDescent="0.25">
      <c r="A102" s="24">
        <v>45346</v>
      </c>
      <c r="B102" s="25" t="s">
        <v>1874</v>
      </c>
      <c r="C102" s="25">
        <v>1017219955</v>
      </c>
      <c r="D102" s="25">
        <v>3114268085</v>
      </c>
      <c r="E102" s="26" t="s">
        <v>865</v>
      </c>
      <c r="F102" s="25" t="s">
        <v>1440</v>
      </c>
      <c r="G102" s="25"/>
      <c r="H102" s="25" t="s">
        <v>2759</v>
      </c>
      <c r="I102" s="25">
        <v>3128056747</v>
      </c>
      <c r="J102" s="27"/>
      <c r="K102" s="27"/>
      <c r="L102" s="27"/>
      <c r="M102" s="27" t="s">
        <v>2613</v>
      </c>
      <c r="N102" s="25"/>
      <c r="O102" s="29"/>
      <c r="P102" s="29"/>
      <c r="Q102" s="29"/>
      <c r="R102" s="29"/>
      <c r="S102" s="29"/>
      <c r="T102" s="29"/>
      <c r="U102" s="29"/>
      <c r="V102" s="29"/>
      <c r="W102" s="29"/>
      <c r="X102" s="29"/>
      <c r="Y102" s="29"/>
      <c r="Z102" s="29"/>
      <c r="AA102" s="30"/>
      <c r="AB102" s="30"/>
      <c r="AC102" s="30"/>
      <c r="AD102" s="30"/>
    </row>
    <row r="103" spans="1:30" x14ac:dyDescent="0.25">
      <c r="A103" s="24">
        <v>45388</v>
      </c>
      <c r="B103" s="25" t="s">
        <v>1912</v>
      </c>
      <c r="C103" s="25">
        <v>70142953</v>
      </c>
      <c r="D103" s="25">
        <v>3218389477</v>
      </c>
      <c r="E103" s="26" t="s">
        <v>865</v>
      </c>
      <c r="F103" s="25" t="s">
        <v>1573</v>
      </c>
      <c r="G103" s="25"/>
      <c r="H103" s="25" t="s">
        <v>2760</v>
      </c>
      <c r="I103" s="25">
        <v>3194991652</v>
      </c>
      <c r="J103" s="27"/>
      <c r="K103" s="27"/>
      <c r="L103" s="27"/>
      <c r="M103" s="27" t="s">
        <v>2613</v>
      </c>
      <c r="N103" s="25"/>
      <c r="O103" s="29"/>
      <c r="P103" s="29"/>
      <c r="Q103" s="29"/>
      <c r="R103" s="29"/>
      <c r="S103" s="29"/>
      <c r="T103" s="29"/>
      <c r="U103" s="29"/>
      <c r="V103" s="29"/>
      <c r="W103" s="29"/>
      <c r="X103" s="29"/>
      <c r="Y103" s="29"/>
      <c r="Z103" s="29"/>
      <c r="AA103" s="30"/>
      <c r="AB103" s="30"/>
      <c r="AC103" s="30"/>
      <c r="AD103" s="30"/>
    </row>
    <row r="104" spans="1:30" x14ac:dyDescent="0.25">
      <c r="A104" s="28">
        <v>45214</v>
      </c>
      <c r="B104" s="25" t="s">
        <v>2761</v>
      </c>
      <c r="C104" s="25">
        <v>1007911</v>
      </c>
      <c r="D104" s="25"/>
      <c r="E104" s="26" t="s">
        <v>865</v>
      </c>
      <c r="F104" s="29"/>
      <c r="G104" s="25"/>
      <c r="H104" s="25"/>
      <c r="I104" s="25"/>
      <c r="J104" s="27"/>
      <c r="K104" s="27"/>
      <c r="L104" s="27"/>
      <c r="M104" s="27" t="s">
        <v>2610</v>
      </c>
      <c r="N104" s="28">
        <v>45214</v>
      </c>
      <c r="O104" s="29" t="s">
        <v>2611</v>
      </c>
      <c r="P104" s="29"/>
      <c r="Q104" s="29"/>
      <c r="R104" s="29"/>
      <c r="S104" s="29"/>
      <c r="T104" s="29"/>
      <c r="U104" s="29"/>
      <c r="V104" s="29"/>
      <c r="W104" s="29"/>
      <c r="X104" s="29"/>
      <c r="Y104" s="29"/>
      <c r="Z104" s="29"/>
      <c r="AA104" s="30"/>
      <c r="AB104" s="30"/>
      <c r="AC104" s="30"/>
      <c r="AD104" s="30"/>
    </row>
    <row r="105" spans="1:30" x14ac:dyDescent="0.25">
      <c r="A105" s="28">
        <v>45214</v>
      </c>
      <c r="B105" s="25" t="s">
        <v>2762</v>
      </c>
      <c r="C105" s="25">
        <v>98673748</v>
      </c>
      <c r="D105" s="29"/>
      <c r="E105" s="26" t="s">
        <v>865</v>
      </c>
      <c r="F105" s="29"/>
      <c r="G105" s="29"/>
      <c r="H105" s="25"/>
      <c r="I105" s="25"/>
      <c r="J105" s="27"/>
      <c r="K105" s="27"/>
      <c r="L105" s="27"/>
      <c r="M105" s="27" t="s">
        <v>2610</v>
      </c>
      <c r="N105" s="28">
        <v>45214</v>
      </c>
      <c r="O105" s="29" t="s">
        <v>2611</v>
      </c>
      <c r="P105" s="29"/>
      <c r="Q105" s="29"/>
      <c r="R105" s="29"/>
      <c r="S105" s="29"/>
      <c r="T105" s="29"/>
      <c r="U105" s="29"/>
      <c r="V105" s="29"/>
      <c r="W105" s="29"/>
      <c r="X105" s="29"/>
      <c r="Y105" s="29"/>
      <c r="Z105" s="29"/>
      <c r="AA105" s="30"/>
      <c r="AB105" s="30"/>
      <c r="AC105" s="30"/>
      <c r="AD105" s="30"/>
    </row>
    <row r="106" spans="1:30" x14ac:dyDescent="0.25">
      <c r="A106" s="28">
        <v>45423.477777777778</v>
      </c>
      <c r="B106" s="25" t="s">
        <v>1938</v>
      </c>
      <c r="C106" s="25">
        <v>4797270</v>
      </c>
      <c r="D106" s="29">
        <v>3045614888</v>
      </c>
      <c r="E106" s="26" t="s">
        <v>865</v>
      </c>
      <c r="F106" s="25" t="s">
        <v>1440</v>
      </c>
      <c r="G106" s="29"/>
      <c r="H106" s="25"/>
      <c r="I106" s="25"/>
      <c r="J106" s="27"/>
      <c r="K106" s="27"/>
      <c r="L106" s="27"/>
      <c r="M106" s="27" t="s">
        <v>2613</v>
      </c>
      <c r="N106" s="28"/>
      <c r="O106" s="29"/>
      <c r="P106" s="29"/>
      <c r="Q106" s="29"/>
      <c r="R106" s="29"/>
      <c r="S106" s="29"/>
      <c r="T106" s="29"/>
      <c r="U106" s="29"/>
      <c r="V106" s="29"/>
      <c r="W106" s="29"/>
      <c r="X106" s="29"/>
      <c r="Y106" s="29"/>
      <c r="Z106" s="29"/>
      <c r="AA106" s="30"/>
      <c r="AB106" s="30"/>
      <c r="AC106" s="30"/>
      <c r="AD106" s="30"/>
    </row>
    <row r="107" spans="1:30" x14ac:dyDescent="0.25">
      <c r="A107" s="28">
        <v>45423.481944444444</v>
      </c>
      <c r="B107" s="25" t="s">
        <v>1944</v>
      </c>
      <c r="C107" s="25">
        <v>6847970</v>
      </c>
      <c r="D107" s="29">
        <v>3114887729</v>
      </c>
      <c r="E107" s="26" t="s">
        <v>865</v>
      </c>
      <c r="F107" s="25" t="s">
        <v>1440</v>
      </c>
      <c r="G107" s="29"/>
      <c r="H107" s="25" t="s">
        <v>1945</v>
      </c>
      <c r="I107" s="25">
        <v>3135306502</v>
      </c>
      <c r="J107" s="27"/>
      <c r="K107" s="27"/>
      <c r="L107" s="27"/>
      <c r="M107" s="27" t="s">
        <v>2613</v>
      </c>
      <c r="N107" s="28"/>
      <c r="O107" s="29"/>
      <c r="P107" s="29"/>
      <c r="Q107" s="29"/>
      <c r="R107" s="29"/>
      <c r="S107" s="29"/>
      <c r="T107" s="29"/>
      <c r="U107" s="29"/>
      <c r="V107" s="29"/>
      <c r="W107" s="29"/>
      <c r="X107" s="29"/>
      <c r="Y107" s="29"/>
      <c r="Z107" s="29"/>
      <c r="AA107" s="30"/>
      <c r="AB107" s="30"/>
      <c r="AC107" s="30"/>
      <c r="AD107" s="30"/>
    </row>
    <row r="108" spans="1:30" x14ac:dyDescent="0.25">
      <c r="A108" s="28">
        <v>45423.495833333334</v>
      </c>
      <c r="B108" s="25" t="s">
        <v>1951</v>
      </c>
      <c r="C108" s="25">
        <v>2084116</v>
      </c>
      <c r="D108" s="29">
        <v>3014749680</v>
      </c>
      <c r="E108" s="26" t="s">
        <v>865</v>
      </c>
      <c r="F108" s="25" t="s">
        <v>894</v>
      </c>
      <c r="G108" s="29"/>
      <c r="H108" s="25"/>
      <c r="I108" s="25"/>
      <c r="J108" s="27"/>
      <c r="K108" s="27"/>
      <c r="L108" s="27"/>
      <c r="M108" s="27" t="s">
        <v>2613</v>
      </c>
      <c r="N108" s="28"/>
      <c r="O108" s="29"/>
      <c r="P108" s="29"/>
      <c r="Q108" s="29"/>
      <c r="R108" s="29"/>
      <c r="S108" s="29"/>
      <c r="T108" s="29"/>
      <c r="U108" s="29"/>
      <c r="V108" s="29"/>
      <c r="W108" s="29"/>
      <c r="X108" s="29"/>
      <c r="Y108" s="29"/>
      <c r="Z108" s="29"/>
      <c r="AA108" s="30"/>
      <c r="AB108" s="30"/>
      <c r="AC108" s="30"/>
      <c r="AD108" s="30"/>
    </row>
    <row r="109" spans="1:30" x14ac:dyDescent="0.25">
      <c r="A109" s="28">
        <v>45493.488194444442</v>
      </c>
      <c r="B109" s="25" t="s">
        <v>1988</v>
      </c>
      <c r="C109" s="25">
        <v>52131106</v>
      </c>
      <c r="D109" s="29">
        <v>3178167165</v>
      </c>
      <c r="E109" s="26" t="s">
        <v>865</v>
      </c>
      <c r="F109" s="25" t="s">
        <v>1573</v>
      </c>
      <c r="G109" s="29"/>
      <c r="H109" s="25"/>
      <c r="I109" s="25"/>
      <c r="J109" s="27"/>
      <c r="K109" s="27"/>
      <c r="L109" s="27"/>
      <c r="M109" s="27" t="s">
        <v>2613</v>
      </c>
      <c r="N109" s="28"/>
      <c r="O109" s="29"/>
      <c r="P109" s="29"/>
      <c r="Q109" s="29"/>
      <c r="R109" s="29"/>
      <c r="S109" s="29"/>
      <c r="T109" s="29"/>
      <c r="U109" s="29"/>
      <c r="V109" s="29"/>
      <c r="W109" s="29"/>
      <c r="X109" s="29"/>
      <c r="Y109" s="29"/>
      <c r="Z109" s="29"/>
      <c r="AA109" s="30"/>
      <c r="AB109" s="30"/>
      <c r="AC109" s="30"/>
      <c r="AD109" s="30"/>
    </row>
    <row r="110" spans="1:30" x14ac:dyDescent="0.25">
      <c r="A110" s="28">
        <v>45493.490277777775</v>
      </c>
      <c r="B110" s="25" t="s">
        <v>1991</v>
      </c>
      <c r="C110" s="25">
        <v>1000193138</v>
      </c>
      <c r="D110" s="29">
        <v>3164586627</v>
      </c>
      <c r="E110" s="26" t="s">
        <v>865</v>
      </c>
      <c r="F110" s="25" t="s">
        <v>1573</v>
      </c>
      <c r="G110" s="29"/>
      <c r="H110" s="25" t="s">
        <v>1992</v>
      </c>
      <c r="I110" s="25">
        <v>3225706466</v>
      </c>
      <c r="J110" s="27"/>
      <c r="K110" s="27"/>
      <c r="L110" s="27"/>
      <c r="M110" s="27" t="s">
        <v>2613</v>
      </c>
      <c r="N110" s="28"/>
      <c r="O110" s="29"/>
      <c r="P110" s="29"/>
      <c r="Q110" s="29"/>
      <c r="R110" s="29"/>
      <c r="S110" s="29"/>
      <c r="T110" s="29"/>
      <c r="U110" s="29"/>
      <c r="V110" s="29"/>
      <c r="W110" s="29"/>
      <c r="X110" s="29"/>
      <c r="Y110" s="29"/>
      <c r="Z110" s="29"/>
      <c r="AA110" s="30"/>
      <c r="AB110" s="30"/>
      <c r="AC110" s="30"/>
      <c r="AD110" s="30"/>
    </row>
    <row r="111" spans="1:30" x14ac:dyDescent="0.25">
      <c r="A111" s="28">
        <v>45493.490277777775</v>
      </c>
      <c r="B111" s="25" t="s">
        <v>2763</v>
      </c>
      <c r="C111" s="25">
        <v>43380488</v>
      </c>
      <c r="D111" s="29">
        <v>3184242970</v>
      </c>
      <c r="E111" s="26" t="s">
        <v>865</v>
      </c>
      <c r="F111" s="25" t="s">
        <v>1573</v>
      </c>
      <c r="G111" s="29"/>
      <c r="H111" s="25">
        <v>3104535763</v>
      </c>
      <c r="I111" s="25">
        <v>3184242970</v>
      </c>
      <c r="J111" s="27"/>
      <c r="K111" s="27"/>
      <c r="L111" s="27"/>
      <c r="M111" s="27" t="s">
        <v>2613</v>
      </c>
      <c r="N111" s="28"/>
      <c r="O111" s="29"/>
      <c r="P111" s="29"/>
      <c r="Q111" s="29"/>
      <c r="R111" s="29"/>
      <c r="S111" s="29"/>
      <c r="T111" s="29"/>
      <c r="U111" s="29"/>
      <c r="V111" s="29"/>
      <c r="W111" s="29"/>
      <c r="X111" s="29"/>
      <c r="Y111" s="29"/>
      <c r="Z111" s="29"/>
      <c r="AA111" s="30"/>
      <c r="AB111" s="30"/>
      <c r="AC111" s="30"/>
      <c r="AD111" s="30"/>
    </row>
    <row r="112" spans="1:30" x14ac:dyDescent="0.25">
      <c r="A112" s="28">
        <v>45493.491666666669</v>
      </c>
      <c r="B112" s="25" t="s">
        <v>1998</v>
      </c>
      <c r="C112" s="25">
        <v>22023495</v>
      </c>
      <c r="D112" s="29">
        <v>3146143358</v>
      </c>
      <c r="E112" s="26" t="s">
        <v>865</v>
      </c>
      <c r="F112" s="25" t="s">
        <v>1573</v>
      </c>
      <c r="G112" s="29"/>
      <c r="H112" s="25" t="s">
        <v>1999</v>
      </c>
      <c r="I112" s="25">
        <v>3107258255</v>
      </c>
      <c r="J112" s="27"/>
      <c r="K112" s="27"/>
      <c r="L112" s="27"/>
      <c r="M112" s="27" t="s">
        <v>2613</v>
      </c>
      <c r="N112" s="28"/>
      <c r="O112" s="29"/>
      <c r="P112" s="29"/>
      <c r="Q112" s="29"/>
      <c r="R112" s="29"/>
      <c r="S112" s="29"/>
      <c r="T112" s="29"/>
      <c r="U112" s="29"/>
      <c r="V112" s="29"/>
      <c r="W112" s="29"/>
      <c r="X112" s="29"/>
      <c r="Y112" s="29"/>
      <c r="Z112" s="29"/>
      <c r="AA112" s="30"/>
      <c r="AB112" s="30"/>
      <c r="AC112" s="30"/>
      <c r="AD112" s="30"/>
    </row>
    <row r="113" spans="1:30" x14ac:dyDescent="0.25">
      <c r="A113" s="28">
        <v>45493.494444444441</v>
      </c>
      <c r="B113" s="25" t="s">
        <v>2764</v>
      </c>
      <c r="C113" s="25">
        <v>1151448293</v>
      </c>
      <c r="D113" s="29">
        <v>3022763900</v>
      </c>
      <c r="E113" s="26" t="s">
        <v>865</v>
      </c>
      <c r="F113" s="25" t="s">
        <v>1573</v>
      </c>
      <c r="G113" s="25" t="s">
        <v>2662</v>
      </c>
      <c r="H113" s="25" t="s">
        <v>2661</v>
      </c>
      <c r="I113" s="25">
        <v>3217664595</v>
      </c>
      <c r="J113" s="27"/>
      <c r="K113" s="27"/>
      <c r="L113" s="32"/>
      <c r="M113" s="27" t="s">
        <v>2644</v>
      </c>
      <c r="N113" s="28">
        <v>45633</v>
      </c>
      <c r="O113" s="29" t="s">
        <v>2622</v>
      </c>
      <c r="P113" s="29" t="s">
        <v>2646</v>
      </c>
      <c r="Q113" s="34">
        <v>45696</v>
      </c>
      <c r="R113" s="29" t="s">
        <v>2645</v>
      </c>
      <c r="S113" s="29"/>
      <c r="T113" s="29"/>
      <c r="U113" s="29"/>
      <c r="V113" s="29"/>
      <c r="W113" s="29"/>
      <c r="X113" s="29" t="s">
        <v>2646</v>
      </c>
      <c r="Y113" s="34">
        <v>45696</v>
      </c>
      <c r="Z113" s="29" t="s">
        <v>2765</v>
      </c>
      <c r="AA113" s="30"/>
      <c r="AB113" s="30"/>
      <c r="AC113" s="30"/>
      <c r="AD113" s="30"/>
    </row>
    <row r="114" spans="1:30" x14ac:dyDescent="0.25">
      <c r="A114" s="28">
        <v>45493.494444444441</v>
      </c>
      <c r="B114" s="25" t="s">
        <v>2004</v>
      </c>
      <c r="C114" s="25">
        <v>22034684</v>
      </c>
      <c r="D114" s="29">
        <v>3107258255</v>
      </c>
      <c r="E114" s="26" t="s">
        <v>865</v>
      </c>
      <c r="F114" s="25" t="s">
        <v>1573</v>
      </c>
      <c r="G114" s="29"/>
      <c r="H114" s="25" t="s">
        <v>2005</v>
      </c>
      <c r="I114" s="25">
        <v>3117296007</v>
      </c>
      <c r="J114" s="27"/>
      <c r="K114" s="27"/>
      <c r="L114" s="27"/>
      <c r="M114" s="27" t="s">
        <v>2613</v>
      </c>
      <c r="N114" s="28"/>
      <c r="O114" s="29"/>
      <c r="P114" s="29"/>
      <c r="Q114" s="29"/>
      <c r="R114" s="29"/>
      <c r="S114" s="29"/>
      <c r="T114" s="29"/>
      <c r="U114" s="29"/>
      <c r="V114" s="29"/>
      <c r="W114" s="29"/>
      <c r="X114" s="29"/>
      <c r="Y114" s="29"/>
      <c r="Z114" s="29"/>
      <c r="AA114" s="30"/>
      <c r="AB114" s="30"/>
      <c r="AC114" s="30"/>
      <c r="AD114" s="30"/>
    </row>
    <row r="115" spans="1:30" x14ac:dyDescent="0.25">
      <c r="A115" s="28">
        <v>45493.495833333334</v>
      </c>
      <c r="B115" s="25" t="s">
        <v>2766</v>
      </c>
      <c r="C115" s="25">
        <v>1148145041</v>
      </c>
      <c r="D115" s="29">
        <v>3027665898</v>
      </c>
      <c r="E115" s="26" t="s">
        <v>865</v>
      </c>
      <c r="F115" s="25" t="s">
        <v>1415</v>
      </c>
      <c r="G115" s="25" t="s">
        <v>2716</v>
      </c>
      <c r="H115" s="25">
        <v>3224225428</v>
      </c>
      <c r="I115" s="25"/>
      <c r="J115" s="27"/>
      <c r="K115" s="27"/>
      <c r="L115" s="32"/>
      <c r="M115" s="27" t="s">
        <v>2644</v>
      </c>
      <c r="N115" s="28">
        <v>45633.495833333334</v>
      </c>
      <c r="O115" s="29" t="s">
        <v>2622</v>
      </c>
      <c r="P115" s="29" t="s">
        <v>2646</v>
      </c>
      <c r="Q115" s="34">
        <v>45696</v>
      </c>
      <c r="R115" s="29" t="s">
        <v>2645</v>
      </c>
      <c r="S115" s="29"/>
      <c r="T115" s="29" t="s">
        <v>2646</v>
      </c>
      <c r="U115" s="34">
        <v>45696</v>
      </c>
      <c r="V115" s="29" t="s">
        <v>2644</v>
      </c>
      <c r="W115" s="29"/>
      <c r="X115" s="29"/>
      <c r="Y115" s="29"/>
      <c r="Z115" s="29" t="s">
        <v>2767</v>
      </c>
      <c r="AA115" s="30"/>
      <c r="AB115" s="30"/>
      <c r="AC115" s="30"/>
      <c r="AD115" s="30"/>
    </row>
    <row r="116" spans="1:30" x14ac:dyDescent="0.25">
      <c r="A116" s="28">
        <v>45493.496527777781</v>
      </c>
      <c r="B116" s="25" t="s">
        <v>2012</v>
      </c>
      <c r="C116" s="25">
        <v>42691859</v>
      </c>
      <c r="D116" s="29">
        <v>3137359361</v>
      </c>
      <c r="E116" s="26" t="s">
        <v>865</v>
      </c>
      <c r="F116" s="25" t="s">
        <v>1573</v>
      </c>
      <c r="G116" s="29"/>
      <c r="H116" s="25"/>
      <c r="I116" s="25"/>
      <c r="J116" s="27"/>
      <c r="K116" s="27"/>
      <c r="L116" s="27"/>
      <c r="M116" s="27" t="s">
        <v>2610</v>
      </c>
      <c r="N116" s="28">
        <v>45998</v>
      </c>
      <c r="O116" s="29" t="s">
        <v>2611</v>
      </c>
      <c r="P116" s="29"/>
      <c r="Q116" s="29"/>
      <c r="R116" s="29"/>
      <c r="S116" s="29"/>
      <c r="T116" s="29"/>
      <c r="U116" s="29"/>
      <c r="V116" s="29"/>
      <c r="W116" s="29"/>
      <c r="X116" s="29"/>
      <c r="Y116" s="29"/>
      <c r="Z116" s="29"/>
      <c r="AA116" s="30"/>
      <c r="AB116" s="30"/>
      <c r="AC116" s="30"/>
      <c r="AD116" s="30"/>
    </row>
    <row r="117" spans="1:30" x14ac:dyDescent="0.25">
      <c r="A117" s="28">
        <v>45493.49722222222</v>
      </c>
      <c r="B117" s="25" t="s">
        <v>2016</v>
      </c>
      <c r="C117" s="25">
        <v>1017239458</v>
      </c>
      <c r="D117" s="29">
        <v>3155010091</v>
      </c>
      <c r="E117" s="26" t="s">
        <v>865</v>
      </c>
      <c r="F117" s="25" t="s">
        <v>1573</v>
      </c>
      <c r="G117" s="25"/>
      <c r="H117" s="25" t="s">
        <v>2768</v>
      </c>
      <c r="I117" s="25">
        <v>3022763900</v>
      </c>
      <c r="J117" s="27"/>
      <c r="K117" s="27"/>
      <c r="L117" s="32"/>
      <c r="M117" s="27" t="s">
        <v>2644</v>
      </c>
      <c r="N117" s="28">
        <v>45633</v>
      </c>
      <c r="O117" s="29" t="s">
        <v>2622</v>
      </c>
      <c r="P117" s="29" t="s">
        <v>2646</v>
      </c>
      <c r="Q117" s="34">
        <v>45696</v>
      </c>
      <c r="R117" s="29" t="s">
        <v>2645</v>
      </c>
      <c r="S117" s="29"/>
      <c r="T117" s="29"/>
      <c r="U117" s="29"/>
      <c r="V117" s="29" t="s">
        <v>2646</v>
      </c>
      <c r="W117" s="34">
        <v>45696</v>
      </c>
      <c r="X117" s="29"/>
      <c r="Y117" s="29"/>
      <c r="Z117" s="29"/>
      <c r="AA117" s="30"/>
      <c r="AB117" s="30"/>
      <c r="AC117" s="30"/>
      <c r="AD117" s="30"/>
    </row>
    <row r="118" spans="1:30" x14ac:dyDescent="0.25">
      <c r="A118" s="28">
        <v>45493.497916666667</v>
      </c>
      <c r="B118" s="25" t="s">
        <v>2769</v>
      </c>
      <c r="C118" s="25">
        <v>1060010315</v>
      </c>
      <c r="D118" s="29">
        <v>3244625364</v>
      </c>
      <c r="E118" s="26" t="s">
        <v>865</v>
      </c>
      <c r="F118" s="25" t="s">
        <v>1415</v>
      </c>
      <c r="G118" s="29"/>
      <c r="H118" s="25" t="s">
        <v>2021</v>
      </c>
      <c r="I118" s="25">
        <v>3244141171</v>
      </c>
      <c r="J118" s="27"/>
      <c r="K118" s="27"/>
      <c r="L118" s="27"/>
      <c r="M118" s="27" t="s">
        <v>2610</v>
      </c>
      <c r="N118" s="28">
        <v>45633</v>
      </c>
      <c r="O118" s="29" t="s">
        <v>2622</v>
      </c>
      <c r="P118" s="29"/>
      <c r="Q118" s="29"/>
      <c r="R118" s="29"/>
      <c r="S118" s="29"/>
      <c r="T118" s="29"/>
      <c r="U118" s="29"/>
      <c r="V118" s="29"/>
      <c r="W118" s="29"/>
      <c r="X118" s="29"/>
      <c r="Y118" s="29"/>
      <c r="Z118" s="29"/>
      <c r="AA118" s="30"/>
      <c r="AB118" s="30"/>
      <c r="AC118" s="30"/>
      <c r="AD118" s="30"/>
    </row>
    <row r="119" spans="1:30" x14ac:dyDescent="0.25">
      <c r="A119" s="28">
        <v>45493.498611111114</v>
      </c>
      <c r="B119" s="25" t="s">
        <v>2025</v>
      </c>
      <c r="C119" s="25">
        <v>98460477</v>
      </c>
      <c r="D119" s="29">
        <v>321740</v>
      </c>
      <c r="E119" s="26" t="s">
        <v>865</v>
      </c>
      <c r="F119" s="25" t="s">
        <v>1415</v>
      </c>
      <c r="G119" s="29"/>
      <c r="H119" s="25"/>
      <c r="I119" s="25"/>
      <c r="J119" s="27"/>
      <c r="K119" s="27"/>
      <c r="L119" s="27"/>
      <c r="M119" s="27" t="s">
        <v>2613</v>
      </c>
      <c r="N119" s="28"/>
      <c r="O119" s="29"/>
      <c r="P119" s="29"/>
      <c r="Q119" s="29"/>
      <c r="R119" s="29"/>
      <c r="S119" s="29"/>
      <c r="T119" s="29"/>
      <c r="U119" s="29"/>
      <c r="V119" s="29"/>
      <c r="W119" s="29"/>
      <c r="X119" s="29"/>
      <c r="Y119" s="29"/>
      <c r="Z119" s="29"/>
      <c r="AA119" s="30"/>
      <c r="AB119" s="30"/>
      <c r="AC119" s="30"/>
      <c r="AD119" s="30"/>
    </row>
    <row r="120" spans="1:30" x14ac:dyDescent="0.25">
      <c r="A120" s="28">
        <v>45493.5</v>
      </c>
      <c r="B120" s="25" t="s">
        <v>2027</v>
      </c>
      <c r="C120" s="25">
        <v>70724209</v>
      </c>
      <c r="D120" s="29">
        <v>3007561504</v>
      </c>
      <c r="E120" s="26" t="s">
        <v>865</v>
      </c>
      <c r="F120" s="25" t="s">
        <v>1415</v>
      </c>
      <c r="G120" s="29"/>
      <c r="H120" s="25"/>
      <c r="I120" s="25"/>
      <c r="J120" s="27"/>
      <c r="K120" s="27"/>
      <c r="L120" s="27"/>
      <c r="M120" s="27" t="s">
        <v>2610</v>
      </c>
      <c r="N120" s="28">
        <v>45633</v>
      </c>
      <c r="O120" s="29" t="s">
        <v>2656</v>
      </c>
      <c r="P120" s="29"/>
      <c r="Q120" s="29"/>
      <c r="R120" s="29"/>
      <c r="S120" s="29"/>
      <c r="T120" s="29"/>
      <c r="U120" s="29"/>
      <c r="V120" s="29"/>
      <c r="W120" s="29"/>
      <c r="X120" s="29"/>
      <c r="Y120" s="29"/>
      <c r="Z120" s="29"/>
      <c r="AA120" s="30"/>
      <c r="AB120" s="30"/>
      <c r="AC120" s="30"/>
      <c r="AD120" s="30"/>
    </row>
    <row r="121" spans="1:30" x14ac:dyDescent="0.25">
      <c r="A121" s="28">
        <v>45493.5</v>
      </c>
      <c r="B121" s="25" t="s">
        <v>2029</v>
      </c>
      <c r="C121" s="25">
        <v>39405462</v>
      </c>
      <c r="D121" s="29">
        <v>3214942669</v>
      </c>
      <c r="E121" s="26" t="s">
        <v>865</v>
      </c>
      <c r="F121" s="25" t="s">
        <v>1573</v>
      </c>
      <c r="G121" s="29"/>
      <c r="H121" s="25" t="s">
        <v>2030</v>
      </c>
      <c r="I121" s="25">
        <v>3127382751</v>
      </c>
      <c r="J121" s="27"/>
      <c r="K121" s="27"/>
      <c r="L121" s="27"/>
      <c r="M121" s="27" t="s">
        <v>2610</v>
      </c>
      <c r="N121" s="28">
        <v>45633.495833333334</v>
      </c>
      <c r="O121" s="29" t="s">
        <v>2622</v>
      </c>
      <c r="P121" s="29"/>
      <c r="Q121" s="29"/>
      <c r="R121" s="29"/>
      <c r="S121" s="29"/>
      <c r="T121" s="29"/>
      <c r="U121" s="29"/>
      <c r="V121" s="29"/>
      <c r="W121" s="29"/>
      <c r="X121" s="29"/>
      <c r="Y121" s="29"/>
      <c r="Z121" s="29"/>
      <c r="AA121" s="30"/>
      <c r="AB121" s="30"/>
      <c r="AC121" s="30"/>
      <c r="AD121" s="30"/>
    </row>
    <row r="122" spans="1:30" x14ac:dyDescent="0.25">
      <c r="A122" s="28">
        <v>45493.502083333333</v>
      </c>
      <c r="B122" s="25" t="s">
        <v>2770</v>
      </c>
      <c r="C122" s="25">
        <v>21282466</v>
      </c>
      <c r="D122" s="29">
        <v>3234605404</v>
      </c>
      <c r="E122" s="26" t="s">
        <v>865</v>
      </c>
      <c r="F122" s="25" t="s">
        <v>894</v>
      </c>
      <c r="G122" s="29"/>
      <c r="H122" s="25"/>
      <c r="I122" s="25"/>
      <c r="J122" s="27"/>
      <c r="K122" s="27"/>
      <c r="L122" s="27"/>
      <c r="M122" s="27" t="s">
        <v>2610</v>
      </c>
      <c r="N122" s="28">
        <v>45998</v>
      </c>
      <c r="O122" s="29" t="s">
        <v>2611</v>
      </c>
      <c r="P122" s="29"/>
      <c r="Q122" s="29"/>
      <c r="R122" s="29"/>
      <c r="S122" s="29"/>
      <c r="T122" s="29"/>
      <c r="U122" s="29"/>
      <c r="V122" s="29"/>
      <c r="W122" s="29"/>
      <c r="X122" s="29"/>
      <c r="Y122" s="29"/>
      <c r="Z122" s="29"/>
      <c r="AA122" s="30"/>
      <c r="AB122" s="30"/>
      <c r="AC122" s="30"/>
      <c r="AD122" s="30"/>
    </row>
    <row r="123" spans="1:30" x14ac:dyDescent="0.25">
      <c r="A123" s="28">
        <v>45493.502083333333</v>
      </c>
      <c r="B123" s="25" t="s">
        <v>2036</v>
      </c>
      <c r="C123" s="25">
        <v>1027948637</v>
      </c>
      <c r="D123" s="29">
        <v>3146850250</v>
      </c>
      <c r="E123" s="26" t="s">
        <v>865</v>
      </c>
      <c r="F123" s="25" t="s">
        <v>1573</v>
      </c>
      <c r="G123" s="29"/>
      <c r="H123" s="25" t="s">
        <v>2037</v>
      </c>
      <c r="I123" s="25">
        <v>3242678973</v>
      </c>
      <c r="J123" s="27"/>
      <c r="K123" s="27"/>
      <c r="L123" s="27"/>
      <c r="M123" s="27" t="s">
        <v>2610</v>
      </c>
      <c r="N123" s="28">
        <v>45998</v>
      </c>
      <c r="O123" s="29" t="s">
        <v>2611</v>
      </c>
      <c r="P123" s="29"/>
      <c r="Q123" s="29"/>
      <c r="R123" s="29"/>
      <c r="S123" s="29"/>
      <c r="T123" s="29"/>
      <c r="U123" s="29"/>
      <c r="V123" s="29"/>
      <c r="W123" s="29"/>
      <c r="X123" s="29"/>
      <c r="Y123" s="29"/>
      <c r="Z123" s="29"/>
      <c r="AA123" s="30"/>
      <c r="AB123" s="30"/>
      <c r="AC123" s="30"/>
      <c r="AD123" s="30"/>
    </row>
    <row r="124" spans="1:30" x14ac:dyDescent="0.25">
      <c r="A124" s="28">
        <v>45493.50277777778</v>
      </c>
      <c r="B124" s="25" t="s">
        <v>2771</v>
      </c>
      <c r="C124" s="25">
        <v>98456261</v>
      </c>
      <c r="D124" s="29">
        <v>3005062742</v>
      </c>
      <c r="E124" s="26" t="s">
        <v>865</v>
      </c>
      <c r="F124" s="25" t="s">
        <v>1573</v>
      </c>
      <c r="G124" s="29"/>
      <c r="H124" s="25"/>
      <c r="I124" s="25"/>
      <c r="J124" s="27"/>
      <c r="K124" s="27"/>
      <c r="L124" s="27"/>
      <c r="M124" s="27" t="s">
        <v>2613</v>
      </c>
      <c r="N124" s="28"/>
      <c r="O124" s="29"/>
      <c r="P124" s="29"/>
      <c r="Q124" s="29"/>
      <c r="R124" s="29"/>
      <c r="S124" s="29"/>
      <c r="T124" s="29"/>
      <c r="U124" s="29"/>
      <c r="V124" s="29"/>
      <c r="W124" s="29"/>
      <c r="X124" s="29"/>
      <c r="Y124" s="29"/>
      <c r="Z124" s="29"/>
      <c r="AA124" s="30"/>
      <c r="AB124" s="30"/>
      <c r="AC124" s="30"/>
      <c r="AD124" s="30"/>
    </row>
    <row r="125" spans="1:30" x14ac:dyDescent="0.25">
      <c r="A125" s="28">
        <v>45493.504861111112</v>
      </c>
      <c r="B125" s="25" t="s">
        <v>2772</v>
      </c>
      <c r="C125" s="25">
        <v>8464404</v>
      </c>
      <c r="D125" s="29">
        <v>3114061783</v>
      </c>
      <c r="E125" s="26" t="s">
        <v>865</v>
      </c>
      <c r="F125" s="25" t="s">
        <v>1573</v>
      </c>
      <c r="G125" s="29"/>
      <c r="H125" s="25"/>
      <c r="I125" s="25"/>
      <c r="J125" s="27"/>
      <c r="K125" s="27"/>
      <c r="L125" s="27"/>
      <c r="M125" s="27" t="s">
        <v>2613</v>
      </c>
      <c r="N125" s="28"/>
      <c r="O125" s="29"/>
      <c r="P125" s="29"/>
      <c r="Q125" s="29"/>
      <c r="R125" s="29"/>
      <c r="S125" s="29"/>
      <c r="T125" s="29"/>
      <c r="U125" s="29"/>
      <c r="V125" s="29"/>
      <c r="W125" s="29"/>
      <c r="X125" s="29"/>
      <c r="Y125" s="29"/>
      <c r="Z125" s="29"/>
      <c r="AA125" s="30"/>
      <c r="AB125" s="30"/>
      <c r="AC125" s="30"/>
      <c r="AD125" s="30"/>
    </row>
    <row r="126" spans="1:30" x14ac:dyDescent="0.25">
      <c r="A126" s="28">
        <v>45493.505555555559</v>
      </c>
      <c r="B126" s="25" t="s">
        <v>2773</v>
      </c>
      <c r="C126" s="25">
        <v>1128405818</v>
      </c>
      <c r="D126" s="29">
        <v>3046732823</v>
      </c>
      <c r="E126" s="26" t="s">
        <v>865</v>
      </c>
      <c r="F126" s="25" t="s">
        <v>1415</v>
      </c>
      <c r="G126" s="29"/>
      <c r="H126" s="25"/>
      <c r="I126" s="25"/>
      <c r="J126" s="27"/>
      <c r="K126" s="27"/>
      <c r="L126" s="27"/>
      <c r="M126" s="27" t="s">
        <v>2613</v>
      </c>
      <c r="N126" s="28"/>
      <c r="O126" s="29"/>
      <c r="P126" s="29"/>
      <c r="Q126" s="29"/>
      <c r="R126" s="29"/>
      <c r="S126" s="29"/>
      <c r="T126" s="29"/>
      <c r="U126" s="29"/>
      <c r="V126" s="29"/>
      <c r="W126" s="29"/>
      <c r="X126" s="29"/>
      <c r="Y126" s="29"/>
      <c r="Z126" s="29"/>
      <c r="AA126" s="30"/>
      <c r="AB126" s="30"/>
      <c r="AC126" s="30"/>
      <c r="AD126" s="30"/>
    </row>
    <row r="127" spans="1:30" x14ac:dyDescent="0.25">
      <c r="A127" s="28">
        <v>45493.506944444445</v>
      </c>
      <c r="B127" s="25" t="s">
        <v>2050</v>
      </c>
      <c r="C127" s="25">
        <v>1036838395</v>
      </c>
      <c r="D127" s="29">
        <v>3243871268</v>
      </c>
      <c r="E127" s="26" t="s">
        <v>865</v>
      </c>
      <c r="F127" s="25" t="s">
        <v>1573</v>
      </c>
      <c r="G127" s="29"/>
      <c r="H127" s="25"/>
      <c r="I127" s="25"/>
      <c r="J127" s="27"/>
      <c r="K127" s="27"/>
      <c r="L127" s="27"/>
      <c r="M127" s="27" t="s">
        <v>2613</v>
      </c>
      <c r="N127" s="28"/>
      <c r="O127" s="29"/>
      <c r="P127" s="29"/>
      <c r="Q127" s="29"/>
      <c r="R127" s="29"/>
      <c r="S127" s="29"/>
      <c r="T127" s="29"/>
      <c r="U127" s="29"/>
      <c r="V127" s="29"/>
      <c r="W127" s="29"/>
      <c r="X127" s="29"/>
      <c r="Y127" s="29"/>
      <c r="Z127" s="29"/>
      <c r="AA127" s="30"/>
      <c r="AB127" s="30"/>
      <c r="AC127" s="30"/>
      <c r="AD127" s="30"/>
    </row>
    <row r="128" spans="1:30" x14ac:dyDescent="0.25">
      <c r="A128" s="28">
        <v>45493.507638888892</v>
      </c>
      <c r="B128" s="25" t="s">
        <v>2774</v>
      </c>
      <c r="C128" s="25">
        <v>1036668740</v>
      </c>
      <c r="D128" s="29">
        <v>3001649351</v>
      </c>
      <c r="E128" s="26" t="s">
        <v>865</v>
      </c>
      <c r="F128" s="25" t="s">
        <v>1573</v>
      </c>
      <c r="G128" s="29"/>
      <c r="H128" s="25"/>
      <c r="I128" s="25"/>
      <c r="J128" s="27"/>
      <c r="K128" s="27"/>
      <c r="L128" s="27"/>
      <c r="M128" s="27" t="s">
        <v>2613</v>
      </c>
      <c r="N128" s="28"/>
      <c r="O128" s="29"/>
      <c r="P128" s="29"/>
      <c r="Q128" s="29"/>
      <c r="R128" s="29"/>
      <c r="S128" s="29"/>
      <c r="T128" s="29"/>
      <c r="U128" s="29"/>
      <c r="V128" s="29"/>
      <c r="W128" s="29"/>
      <c r="X128" s="29"/>
      <c r="Y128" s="29"/>
      <c r="Z128" s="29"/>
      <c r="AA128" s="30"/>
      <c r="AB128" s="30"/>
      <c r="AC128" s="30"/>
      <c r="AD128" s="30"/>
    </row>
    <row r="129" spans="1:30" x14ac:dyDescent="0.25">
      <c r="A129" s="28">
        <v>45493.508333333331</v>
      </c>
      <c r="B129" s="25" t="s">
        <v>2775</v>
      </c>
      <c r="C129" s="25">
        <v>1018232769</v>
      </c>
      <c r="D129" s="29">
        <v>3044684722</v>
      </c>
      <c r="E129" s="26" t="s">
        <v>865</v>
      </c>
      <c r="F129" s="25" t="s">
        <v>1415</v>
      </c>
      <c r="G129" s="29"/>
      <c r="H129" s="25" t="s">
        <v>2776</v>
      </c>
      <c r="I129" s="25">
        <v>3217409087</v>
      </c>
      <c r="J129" s="27"/>
      <c r="K129" s="27"/>
      <c r="L129" s="32"/>
      <c r="M129" s="27" t="s">
        <v>2644</v>
      </c>
      <c r="N129" s="28">
        <v>45686</v>
      </c>
      <c r="O129" s="29" t="s">
        <v>2611</v>
      </c>
      <c r="P129" s="29" t="s">
        <v>2646</v>
      </c>
      <c r="Q129" s="34">
        <v>45696</v>
      </c>
      <c r="R129" s="29" t="s">
        <v>2645</v>
      </c>
      <c r="S129" s="29"/>
      <c r="T129" s="29"/>
      <c r="U129" s="29"/>
      <c r="V129" s="29"/>
      <c r="W129" s="29"/>
      <c r="X129" s="29"/>
      <c r="Y129" s="29"/>
      <c r="Z129" s="29" t="s">
        <v>2777</v>
      </c>
      <c r="AA129" s="30"/>
      <c r="AB129" s="30"/>
      <c r="AC129" s="30"/>
      <c r="AD129" s="30"/>
    </row>
    <row r="130" spans="1:30" x14ac:dyDescent="0.25">
      <c r="A130" s="28">
        <v>45493.508333333331</v>
      </c>
      <c r="B130" s="25" t="s">
        <v>2062</v>
      </c>
      <c r="C130" s="25">
        <v>43901501</v>
      </c>
      <c r="D130" s="29">
        <v>3217409087</v>
      </c>
      <c r="E130" s="26" t="s">
        <v>865</v>
      </c>
      <c r="F130" s="25" t="s">
        <v>1415</v>
      </c>
      <c r="G130" s="29"/>
      <c r="H130" s="25" t="s">
        <v>2063</v>
      </c>
      <c r="I130" s="25">
        <v>3173238035</v>
      </c>
      <c r="J130" s="27"/>
      <c r="K130" s="27"/>
      <c r="L130" s="32"/>
      <c r="M130" s="27" t="s">
        <v>2644</v>
      </c>
      <c r="N130" s="28">
        <v>45633</v>
      </c>
      <c r="O130" s="29" t="s">
        <v>2611</v>
      </c>
      <c r="P130" s="29" t="s">
        <v>2646</v>
      </c>
      <c r="Q130" s="34">
        <v>45696</v>
      </c>
      <c r="R130" s="29" t="s">
        <v>2645</v>
      </c>
      <c r="S130" s="29"/>
      <c r="T130" s="29"/>
      <c r="U130" s="29"/>
      <c r="V130" s="29" t="s">
        <v>2646</v>
      </c>
      <c r="W130" s="34">
        <v>45696</v>
      </c>
      <c r="X130" s="29"/>
      <c r="Y130" s="29"/>
      <c r="Z130" s="29"/>
      <c r="AA130" s="30"/>
      <c r="AB130" s="30"/>
      <c r="AC130" s="30"/>
      <c r="AD130" s="30"/>
    </row>
    <row r="131" spans="1:30" x14ac:dyDescent="0.25">
      <c r="A131" s="28">
        <v>45493.509722222225</v>
      </c>
      <c r="B131" s="25" t="s">
        <v>2066</v>
      </c>
      <c r="C131" s="25">
        <v>43747666</v>
      </c>
      <c r="D131" s="29">
        <v>3207048892</v>
      </c>
      <c r="E131" s="26" t="s">
        <v>865</v>
      </c>
      <c r="F131" s="25" t="s">
        <v>1415</v>
      </c>
      <c r="G131" s="29"/>
      <c r="H131" s="25" t="s">
        <v>2067</v>
      </c>
      <c r="I131" s="25">
        <v>3015306328</v>
      </c>
      <c r="J131" s="27"/>
      <c r="K131" s="27"/>
      <c r="L131" s="27"/>
      <c r="M131" s="27" t="s">
        <v>2610</v>
      </c>
      <c r="N131" s="28">
        <v>45633</v>
      </c>
      <c r="O131" s="29" t="s">
        <v>2656</v>
      </c>
      <c r="P131" s="29"/>
      <c r="Q131" s="29"/>
      <c r="R131" s="29"/>
      <c r="S131" s="29"/>
      <c r="T131" s="29"/>
      <c r="U131" s="29"/>
      <c r="V131" s="29"/>
      <c r="W131" s="29"/>
      <c r="X131" s="29"/>
      <c r="Y131" s="29"/>
      <c r="Z131" s="29"/>
      <c r="AA131" s="30"/>
      <c r="AB131" s="30"/>
      <c r="AC131" s="30"/>
      <c r="AD131" s="30"/>
    </row>
    <row r="132" spans="1:30" x14ac:dyDescent="0.25">
      <c r="A132" s="28">
        <v>45493.509722222225</v>
      </c>
      <c r="B132" s="25" t="s">
        <v>2778</v>
      </c>
      <c r="C132" s="25">
        <v>43155328</v>
      </c>
      <c r="D132" s="29">
        <v>3004475587</v>
      </c>
      <c r="E132" s="26" t="s">
        <v>865</v>
      </c>
      <c r="F132" s="25" t="s">
        <v>1415</v>
      </c>
      <c r="G132" s="29"/>
      <c r="H132" s="25">
        <v>3053325661</v>
      </c>
      <c r="I132" s="25"/>
      <c r="J132" s="27"/>
      <c r="K132" s="27"/>
      <c r="L132" s="27"/>
      <c r="M132" s="27" t="s">
        <v>2610</v>
      </c>
      <c r="N132" s="28">
        <v>45998</v>
      </c>
      <c r="O132" s="29" t="s">
        <v>2611</v>
      </c>
      <c r="P132" s="29"/>
      <c r="Q132" s="29"/>
      <c r="R132" s="29"/>
      <c r="S132" s="29"/>
      <c r="T132" s="29"/>
      <c r="U132" s="29"/>
      <c r="V132" s="29"/>
      <c r="W132" s="29"/>
      <c r="X132" s="29"/>
      <c r="Y132" s="29"/>
      <c r="Z132" s="29"/>
      <c r="AA132" s="30"/>
      <c r="AB132" s="30"/>
      <c r="AC132" s="30"/>
      <c r="AD132" s="30"/>
    </row>
    <row r="133" spans="1:30" x14ac:dyDescent="0.25">
      <c r="A133" s="28">
        <v>45493.510416666664</v>
      </c>
      <c r="B133" s="25" t="s">
        <v>2072</v>
      </c>
      <c r="C133" s="25">
        <v>70094831</v>
      </c>
      <c r="D133" s="29">
        <v>3015114678</v>
      </c>
      <c r="E133" s="26" t="s">
        <v>865</v>
      </c>
      <c r="F133" s="25" t="s">
        <v>1415</v>
      </c>
      <c r="G133" s="29"/>
      <c r="H133" s="25"/>
      <c r="I133" s="25"/>
      <c r="J133" s="27"/>
      <c r="K133" s="27"/>
      <c r="L133" s="27"/>
      <c r="M133" s="27" t="s">
        <v>2610</v>
      </c>
      <c r="N133" s="28">
        <v>45633</v>
      </c>
      <c r="O133" s="29" t="s">
        <v>2611</v>
      </c>
      <c r="P133" s="29"/>
      <c r="Q133" s="29"/>
      <c r="R133" s="29"/>
      <c r="S133" s="29"/>
      <c r="T133" s="29"/>
      <c r="U133" s="29"/>
      <c r="V133" s="29"/>
      <c r="W133" s="29"/>
      <c r="X133" s="29"/>
      <c r="Y133" s="29"/>
      <c r="Z133" s="29"/>
      <c r="AA133" s="30"/>
      <c r="AB133" s="30"/>
      <c r="AC133" s="30"/>
      <c r="AD133" s="30"/>
    </row>
    <row r="134" spans="1:30" x14ac:dyDescent="0.25">
      <c r="A134" s="28">
        <v>45493.511111111111</v>
      </c>
      <c r="B134" s="25" t="s">
        <v>2074</v>
      </c>
      <c r="C134" s="25">
        <v>28480224</v>
      </c>
      <c r="D134" s="29">
        <v>3106812247</v>
      </c>
      <c r="E134" s="26" t="s">
        <v>865</v>
      </c>
      <c r="F134" s="25" t="s">
        <v>1415</v>
      </c>
      <c r="G134" s="29"/>
      <c r="H134" s="25" t="s">
        <v>795</v>
      </c>
      <c r="I134" s="25">
        <v>3043431310</v>
      </c>
      <c r="J134" s="27"/>
      <c r="K134" s="27"/>
      <c r="L134" s="27"/>
      <c r="M134" s="27" t="s">
        <v>2613</v>
      </c>
      <c r="N134" s="28"/>
      <c r="O134" s="29"/>
      <c r="P134" s="29"/>
      <c r="Q134" s="29"/>
      <c r="R134" s="29"/>
      <c r="S134" s="29"/>
      <c r="T134" s="29"/>
      <c r="U134" s="29"/>
      <c r="V134" s="29"/>
      <c r="W134" s="29"/>
      <c r="X134" s="29"/>
      <c r="Y134" s="29"/>
      <c r="Z134" s="29"/>
      <c r="AA134" s="30"/>
      <c r="AB134" s="30"/>
      <c r="AC134" s="30"/>
      <c r="AD134" s="30"/>
    </row>
    <row r="135" spans="1:30" x14ac:dyDescent="0.25">
      <c r="A135" s="28">
        <v>45493.511805555558</v>
      </c>
      <c r="B135" s="25" t="s">
        <v>2077</v>
      </c>
      <c r="C135" s="25">
        <v>98710013</v>
      </c>
      <c r="D135" s="29">
        <v>3246718292</v>
      </c>
      <c r="E135" s="26" t="s">
        <v>865</v>
      </c>
      <c r="F135" s="25" t="s">
        <v>1415</v>
      </c>
      <c r="G135" s="29"/>
      <c r="H135" s="25"/>
      <c r="I135" s="25"/>
      <c r="J135" s="27"/>
      <c r="K135" s="27"/>
      <c r="L135" s="27"/>
      <c r="M135" s="27" t="s">
        <v>2613</v>
      </c>
      <c r="N135" s="28"/>
      <c r="O135" s="29"/>
      <c r="P135" s="29"/>
      <c r="Q135" s="29"/>
      <c r="R135" s="29"/>
      <c r="S135" s="29"/>
      <c r="T135" s="29"/>
      <c r="U135" s="29"/>
      <c r="V135" s="29"/>
      <c r="W135" s="29"/>
      <c r="X135" s="29"/>
      <c r="Y135" s="29"/>
      <c r="Z135" s="29"/>
      <c r="AA135" s="30"/>
      <c r="AB135" s="30"/>
      <c r="AC135" s="30"/>
      <c r="AD135" s="30"/>
    </row>
    <row r="136" spans="1:30" x14ac:dyDescent="0.25">
      <c r="A136" s="28">
        <v>45493.512499999997</v>
      </c>
      <c r="B136" s="25" t="s">
        <v>2779</v>
      </c>
      <c r="C136" s="25">
        <v>63541365</v>
      </c>
      <c r="D136" s="29">
        <v>3148730356</v>
      </c>
      <c r="E136" s="26" t="s">
        <v>865</v>
      </c>
      <c r="F136" s="25" t="s">
        <v>1573</v>
      </c>
      <c r="G136" s="29"/>
      <c r="H136" s="25">
        <v>3105936624</v>
      </c>
      <c r="I136" s="25"/>
      <c r="J136" s="27"/>
      <c r="K136" s="27"/>
      <c r="L136" s="27"/>
      <c r="M136" s="27" t="s">
        <v>2613</v>
      </c>
      <c r="N136" s="28"/>
      <c r="O136" s="29"/>
      <c r="P136" s="29"/>
      <c r="Q136" s="29"/>
      <c r="R136" s="29"/>
      <c r="S136" s="29"/>
      <c r="T136" s="29"/>
      <c r="U136" s="29"/>
      <c r="V136" s="29"/>
      <c r="W136" s="29"/>
      <c r="X136" s="29"/>
      <c r="Y136" s="29"/>
      <c r="Z136" s="29"/>
      <c r="AA136" s="30"/>
      <c r="AB136" s="30"/>
      <c r="AC136" s="30"/>
      <c r="AD136" s="30"/>
    </row>
    <row r="137" spans="1:30" x14ac:dyDescent="0.25">
      <c r="A137" s="28">
        <v>45549.474999999999</v>
      </c>
      <c r="B137" s="25" t="s">
        <v>2154</v>
      </c>
      <c r="C137" s="25">
        <v>21588077</v>
      </c>
      <c r="D137" s="29">
        <v>3106598751</v>
      </c>
      <c r="E137" s="26" t="s">
        <v>865</v>
      </c>
      <c r="F137" s="25" t="s">
        <v>1573</v>
      </c>
      <c r="G137" s="29"/>
      <c r="H137" s="25" t="s">
        <v>2780</v>
      </c>
      <c r="I137" s="25">
        <v>3007724270</v>
      </c>
      <c r="J137" s="27"/>
      <c r="K137" s="27"/>
      <c r="L137" s="27"/>
      <c r="M137" s="27" t="s">
        <v>2613</v>
      </c>
      <c r="N137" s="28"/>
      <c r="O137" s="29"/>
      <c r="P137" s="29"/>
      <c r="Q137" s="29"/>
      <c r="R137" s="29"/>
      <c r="S137" s="29"/>
      <c r="T137" s="29"/>
      <c r="U137" s="29"/>
      <c r="V137" s="29"/>
      <c r="W137" s="29"/>
      <c r="X137" s="29"/>
      <c r="Y137" s="29"/>
      <c r="Z137" s="29"/>
      <c r="AA137" s="30"/>
      <c r="AB137" s="30"/>
      <c r="AC137" s="30"/>
      <c r="AD137" s="30"/>
    </row>
    <row r="138" spans="1:30" x14ac:dyDescent="0.25">
      <c r="A138" s="28">
        <v>45549.477777777778</v>
      </c>
      <c r="B138" s="25" t="s">
        <v>2158</v>
      </c>
      <c r="C138" s="25">
        <v>1001229226</v>
      </c>
      <c r="D138" s="29">
        <v>3218648195</v>
      </c>
      <c r="E138" s="26" t="s">
        <v>865</v>
      </c>
      <c r="F138" s="25" t="s">
        <v>1440</v>
      </c>
      <c r="G138" s="29"/>
      <c r="H138" s="25" t="s">
        <v>2781</v>
      </c>
      <c r="I138" s="25">
        <v>3147664535</v>
      </c>
      <c r="J138" s="27"/>
      <c r="K138" s="27"/>
      <c r="L138" s="27"/>
      <c r="M138" s="27" t="s">
        <v>2610</v>
      </c>
      <c r="N138" s="28">
        <v>45633</v>
      </c>
      <c r="O138" s="29" t="s">
        <v>2622</v>
      </c>
      <c r="P138" s="29"/>
      <c r="Q138" s="29"/>
      <c r="R138" s="29"/>
      <c r="S138" s="29"/>
      <c r="T138" s="29"/>
      <c r="U138" s="29"/>
      <c r="V138" s="29"/>
      <c r="W138" s="29"/>
      <c r="X138" s="29"/>
      <c r="Y138" s="29"/>
      <c r="Z138" s="29"/>
      <c r="AA138" s="30"/>
      <c r="AB138" s="30"/>
      <c r="AC138" s="30"/>
      <c r="AD138" s="30"/>
    </row>
    <row r="139" spans="1:30" x14ac:dyDescent="0.25">
      <c r="A139" s="28">
        <v>45549.481249999997</v>
      </c>
      <c r="B139" s="25" t="s">
        <v>2162</v>
      </c>
      <c r="C139" s="25">
        <v>1128394766</v>
      </c>
      <c r="D139" s="29">
        <v>3009559896</v>
      </c>
      <c r="E139" s="26" t="s">
        <v>865</v>
      </c>
      <c r="F139" s="25" t="s">
        <v>1415</v>
      </c>
      <c r="G139" s="25" t="s">
        <v>2716</v>
      </c>
      <c r="H139" s="25" t="s">
        <v>2782</v>
      </c>
      <c r="I139" s="25">
        <v>3023280117</v>
      </c>
      <c r="J139" s="27"/>
      <c r="K139" s="27"/>
      <c r="L139" s="32"/>
      <c r="M139" s="27" t="s">
        <v>2644</v>
      </c>
      <c r="N139" s="28">
        <v>45633</v>
      </c>
      <c r="O139" s="29" t="s">
        <v>2622</v>
      </c>
      <c r="P139" s="29" t="s">
        <v>2645</v>
      </c>
      <c r="Q139" s="29"/>
      <c r="R139" s="29" t="s">
        <v>2645</v>
      </c>
      <c r="S139" s="29"/>
      <c r="T139" s="29" t="s">
        <v>2646</v>
      </c>
      <c r="U139" s="34">
        <v>45696</v>
      </c>
      <c r="V139" s="29" t="s">
        <v>2646</v>
      </c>
      <c r="W139" s="34">
        <v>45696</v>
      </c>
      <c r="X139" s="29"/>
      <c r="Y139" s="29"/>
      <c r="Z139" s="29" t="s">
        <v>2783</v>
      </c>
      <c r="AA139" s="30"/>
      <c r="AB139" s="30"/>
      <c r="AC139" s="30"/>
      <c r="AD139" s="30"/>
    </row>
    <row r="140" spans="1:30" x14ac:dyDescent="0.25">
      <c r="A140" s="28">
        <v>45549.48541666667</v>
      </c>
      <c r="B140" s="25" t="s">
        <v>2784</v>
      </c>
      <c r="C140" s="25">
        <v>11644000000</v>
      </c>
      <c r="D140" s="29">
        <v>3136251973</v>
      </c>
      <c r="E140" s="26" t="s">
        <v>865</v>
      </c>
      <c r="F140" s="25" t="s">
        <v>1415</v>
      </c>
      <c r="G140" s="29"/>
      <c r="H140" s="25" t="s">
        <v>2167</v>
      </c>
      <c r="I140" s="25">
        <v>3147321703</v>
      </c>
      <c r="J140" s="27"/>
      <c r="K140" s="27"/>
      <c r="L140" s="27"/>
      <c r="M140" s="27" t="s">
        <v>2613</v>
      </c>
      <c r="N140" s="28"/>
      <c r="O140" s="29"/>
      <c r="P140" s="29"/>
      <c r="Q140" s="29"/>
      <c r="R140" s="29"/>
      <c r="S140" s="29"/>
      <c r="T140" s="29"/>
      <c r="U140" s="29"/>
      <c r="V140" s="29"/>
      <c r="W140" s="29"/>
      <c r="X140" s="29"/>
      <c r="Y140" s="29"/>
      <c r="Z140" s="29"/>
      <c r="AA140" s="30"/>
      <c r="AB140" s="30"/>
      <c r="AC140" s="30"/>
      <c r="AD140" s="30"/>
    </row>
    <row r="141" spans="1:30" x14ac:dyDescent="0.25">
      <c r="A141" s="28">
        <v>45549.490972222222</v>
      </c>
      <c r="B141" s="25" t="s">
        <v>2170</v>
      </c>
      <c r="C141" s="25">
        <v>1148141308</v>
      </c>
      <c r="D141" s="29">
        <v>3128657903</v>
      </c>
      <c r="E141" s="26" t="s">
        <v>865</v>
      </c>
      <c r="F141" s="25" t="s">
        <v>1415</v>
      </c>
      <c r="G141" s="29"/>
      <c r="H141" s="25" t="s">
        <v>2171</v>
      </c>
      <c r="I141" s="25">
        <v>3188841358</v>
      </c>
      <c r="J141" s="27"/>
      <c r="K141" s="27"/>
      <c r="L141" s="27"/>
      <c r="M141" s="27" t="s">
        <v>2610</v>
      </c>
      <c r="N141" s="28">
        <v>45633</v>
      </c>
      <c r="O141" s="29" t="s">
        <v>2611</v>
      </c>
      <c r="P141" s="29"/>
      <c r="Q141" s="29"/>
      <c r="R141" s="29"/>
      <c r="S141" s="29"/>
      <c r="T141" s="29"/>
      <c r="U141" s="29"/>
      <c r="V141" s="29"/>
      <c r="W141" s="29"/>
      <c r="X141" s="29"/>
      <c r="Y141" s="29"/>
      <c r="Z141" s="29"/>
      <c r="AA141" s="30"/>
      <c r="AB141" s="30"/>
      <c r="AC141" s="30"/>
      <c r="AD141" s="30"/>
    </row>
    <row r="142" spans="1:30" x14ac:dyDescent="0.25">
      <c r="A142" s="28">
        <v>45584.673611111109</v>
      </c>
      <c r="B142" s="25" t="s">
        <v>2184</v>
      </c>
      <c r="C142" s="25">
        <v>32757914</v>
      </c>
      <c r="D142" s="29">
        <v>3014698790</v>
      </c>
      <c r="E142" s="26" t="s">
        <v>865</v>
      </c>
      <c r="F142" s="25" t="s">
        <v>1573</v>
      </c>
      <c r="G142" s="29"/>
      <c r="H142" s="25" t="s">
        <v>2185</v>
      </c>
      <c r="I142" s="25">
        <v>3043331044</v>
      </c>
      <c r="J142" s="27"/>
      <c r="K142" s="27"/>
      <c r="L142" s="27"/>
      <c r="M142" s="27" t="s">
        <v>2613</v>
      </c>
      <c r="N142" s="28"/>
      <c r="O142" s="29"/>
      <c r="P142" s="29"/>
      <c r="Q142" s="29"/>
      <c r="R142" s="29"/>
      <c r="S142" s="29"/>
      <c r="T142" s="29"/>
      <c r="U142" s="29"/>
      <c r="V142" s="29"/>
      <c r="W142" s="29"/>
      <c r="X142" s="29"/>
      <c r="Y142" s="29"/>
      <c r="Z142" s="29"/>
      <c r="AA142" s="30"/>
      <c r="AB142" s="30"/>
      <c r="AC142" s="30"/>
      <c r="AD142" s="30"/>
    </row>
    <row r="143" spans="1:30" x14ac:dyDescent="0.25">
      <c r="A143" s="28">
        <v>45585.76458333333</v>
      </c>
      <c r="B143" s="25" t="s">
        <v>2785</v>
      </c>
      <c r="C143" s="25">
        <v>1035230686</v>
      </c>
      <c r="D143" s="29">
        <v>3193281993</v>
      </c>
      <c r="E143" s="26" t="s">
        <v>865</v>
      </c>
      <c r="F143" s="25" t="s">
        <v>1573</v>
      </c>
      <c r="G143" s="29"/>
      <c r="H143" s="25" t="s">
        <v>2786</v>
      </c>
      <c r="I143" s="25">
        <v>3225461423</v>
      </c>
      <c r="J143" s="27"/>
      <c r="K143" s="27"/>
      <c r="L143" s="27"/>
      <c r="M143" s="27" t="s">
        <v>2613</v>
      </c>
      <c r="N143" s="28"/>
      <c r="O143" s="29"/>
      <c r="P143" s="29"/>
      <c r="Q143" s="29"/>
      <c r="R143" s="29"/>
      <c r="S143" s="29"/>
      <c r="T143" s="29"/>
      <c r="U143" s="29"/>
      <c r="V143" s="29"/>
      <c r="W143" s="29"/>
      <c r="X143" s="29"/>
      <c r="Y143" s="29"/>
      <c r="Z143" s="29"/>
      <c r="AA143" s="30"/>
      <c r="AB143" s="30"/>
      <c r="AC143" s="30"/>
      <c r="AD143" s="30"/>
    </row>
    <row r="144" spans="1:30" x14ac:dyDescent="0.25">
      <c r="A144" s="28">
        <v>45592.45208333333</v>
      </c>
      <c r="B144" s="25" t="s">
        <v>2221</v>
      </c>
      <c r="C144" s="25">
        <v>70069899</v>
      </c>
      <c r="D144" s="29">
        <v>3016468660</v>
      </c>
      <c r="E144" s="26" t="s">
        <v>865</v>
      </c>
      <c r="F144" s="25" t="s">
        <v>1415</v>
      </c>
      <c r="G144" s="29"/>
      <c r="H144" s="25"/>
      <c r="I144" s="25"/>
      <c r="J144" s="27"/>
      <c r="K144" s="27"/>
      <c r="L144" s="27"/>
      <c r="M144" s="27" t="s">
        <v>2613</v>
      </c>
      <c r="N144" s="28"/>
      <c r="O144" s="29"/>
      <c r="P144" s="29"/>
      <c r="Q144" s="29"/>
      <c r="R144" s="29"/>
      <c r="S144" s="29"/>
      <c r="T144" s="29"/>
      <c r="U144" s="29"/>
      <c r="V144" s="29"/>
      <c r="W144" s="29"/>
      <c r="X144" s="29"/>
      <c r="Y144" s="29"/>
      <c r="Z144" s="29"/>
      <c r="AA144" s="30"/>
      <c r="AB144" s="30"/>
      <c r="AC144" s="30"/>
      <c r="AD144" s="30"/>
    </row>
    <row r="145" spans="1:30" x14ac:dyDescent="0.25">
      <c r="A145" s="28">
        <v>45592.456250000003</v>
      </c>
      <c r="B145" s="25" t="s">
        <v>2225</v>
      </c>
      <c r="C145" s="25">
        <v>26261781</v>
      </c>
      <c r="D145" s="29">
        <v>3024568151</v>
      </c>
      <c r="E145" s="26" t="s">
        <v>865</v>
      </c>
      <c r="F145" s="25" t="s">
        <v>1415</v>
      </c>
      <c r="G145" s="29"/>
      <c r="H145" s="25" t="s">
        <v>2226</v>
      </c>
      <c r="I145" s="25">
        <v>3043241096</v>
      </c>
      <c r="J145" s="27"/>
      <c r="K145" s="27"/>
      <c r="L145" s="27"/>
      <c r="M145" s="27" t="s">
        <v>2613</v>
      </c>
      <c r="N145" s="28"/>
      <c r="O145" s="29"/>
      <c r="P145" s="29"/>
      <c r="Q145" s="29"/>
      <c r="R145" s="29"/>
      <c r="S145" s="29"/>
      <c r="T145" s="29"/>
      <c r="U145" s="29"/>
      <c r="V145" s="29"/>
      <c r="W145" s="29"/>
      <c r="X145" s="29"/>
      <c r="Y145" s="29"/>
      <c r="Z145" s="29"/>
      <c r="AA145" s="30"/>
      <c r="AB145" s="30"/>
      <c r="AC145" s="30"/>
      <c r="AD145" s="30"/>
    </row>
    <row r="146" spans="1:30" x14ac:dyDescent="0.25">
      <c r="A146" s="28">
        <v>45626.461805555555</v>
      </c>
      <c r="B146" s="25" t="s">
        <v>2256</v>
      </c>
      <c r="C146" s="25">
        <v>43818393</v>
      </c>
      <c r="D146" s="29">
        <v>3217169088</v>
      </c>
      <c r="E146" s="26" t="s">
        <v>865</v>
      </c>
      <c r="F146" s="25" t="s">
        <v>1415</v>
      </c>
      <c r="G146" s="29"/>
      <c r="H146" s="25"/>
      <c r="I146" s="25"/>
      <c r="J146" s="27"/>
      <c r="K146" s="27"/>
      <c r="L146" s="27"/>
      <c r="M146" s="27" t="s">
        <v>2610</v>
      </c>
      <c r="N146" s="28">
        <v>45214</v>
      </c>
      <c r="O146" s="29" t="s">
        <v>2656</v>
      </c>
      <c r="P146" s="29"/>
      <c r="Q146" s="29"/>
      <c r="R146" s="29"/>
      <c r="S146" s="29"/>
      <c r="T146" s="29"/>
      <c r="U146" s="29"/>
      <c r="V146" s="29"/>
      <c r="W146" s="29"/>
      <c r="X146" s="29"/>
      <c r="Y146" s="29"/>
      <c r="Z146" s="29"/>
      <c r="AA146" s="30"/>
      <c r="AB146" s="30"/>
      <c r="AC146" s="30"/>
      <c r="AD146" s="30"/>
    </row>
    <row r="147" spans="1:30" x14ac:dyDescent="0.25">
      <c r="A147" s="28">
        <v>45626.46597222222</v>
      </c>
      <c r="B147" s="25" t="s">
        <v>2258</v>
      </c>
      <c r="C147" s="25">
        <v>21992120</v>
      </c>
      <c r="D147" s="29">
        <v>3104351293</v>
      </c>
      <c r="E147" s="26" t="s">
        <v>865</v>
      </c>
      <c r="F147" s="25" t="s">
        <v>1573</v>
      </c>
      <c r="G147" s="29"/>
      <c r="H147" s="25"/>
      <c r="I147" s="25"/>
      <c r="J147" s="27"/>
      <c r="K147" s="27"/>
      <c r="L147" s="27"/>
      <c r="M147" s="27" t="s">
        <v>2613</v>
      </c>
      <c r="N147" s="28"/>
      <c r="O147" s="29"/>
      <c r="P147" s="29"/>
      <c r="Q147" s="29"/>
      <c r="R147" s="29"/>
      <c r="S147" s="29"/>
      <c r="T147" s="29"/>
      <c r="U147" s="29"/>
      <c r="V147" s="29"/>
      <c r="W147" s="29"/>
      <c r="X147" s="29"/>
      <c r="Y147" s="29"/>
      <c r="Z147" s="29"/>
      <c r="AA147" s="30"/>
      <c r="AB147" s="30"/>
      <c r="AC147" s="30"/>
      <c r="AD147" s="30"/>
    </row>
    <row r="148" spans="1:30" x14ac:dyDescent="0.25">
      <c r="A148" s="28">
        <v>45626.46875</v>
      </c>
      <c r="B148" s="25" t="s">
        <v>2259</v>
      </c>
      <c r="C148" s="25">
        <v>43080692</v>
      </c>
      <c r="D148" s="29">
        <v>3245749643</v>
      </c>
      <c r="E148" s="26" t="s">
        <v>865</v>
      </c>
      <c r="F148" s="25" t="s">
        <v>1415</v>
      </c>
      <c r="G148" s="29"/>
      <c r="H148" s="25"/>
      <c r="I148" s="25"/>
      <c r="J148" s="27"/>
      <c r="K148" s="27"/>
      <c r="L148" s="27"/>
      <c r="M148" s="27" t="s">
        <v>2613</v>
      </c>
      <c r="N148" s="28"/>
      <c r="O148" s="29"/>
      <c r="P148" s="29"/>
      <c r="Q148" s="29"/>
      <c r="R148" s="29"/>
      <c r="S148" s="29"/>
      <c r="T148" s="29"/>
      <c r="U148" s="29"/>
      <c r="V148" s="29"/>
      <c r="W148" s="29"/>
      <c r="X148" s="29"/>
      <c r="Y148" s="29"/>
      <c r="Z148" s="29"/>
      <c r="AA148" s="30"/>
      <c r="AB148" s="30"/>
      <c r="AC148" s="30"/>
      <c r="AD148" s="30"/>
    </row>
    <row r="149" spans="1:30" x14ac:dyDescent="0.25">
      <c r="A149" s="28">
        <v>45626.470833333333</v>
      </c>
      <c r="B149" s="25" t="s">
        <v>2260</v>
      </c>
      <c r="C149" s="25">
        <v>43140973</v>
      </c>
      <c r="D149" s="29">
        <v>3128269336</v>
      </c>
      <c r="E149" s="26" t="s">
        <v>865</v>
      </c>
      <c r="F149" s="25" t="s">
        <v>1573</v>
      </c>
      <c r="G149" s="29"/>
      <c r="H149" s="25"/>
      <c r="I149" s="25"/>
      <c r="J149" s="27"/>
      <c r="K149" s="27"/>
      <c r="L149" s="27"/>
      <c r="M149" s="27" t="s">
        <v>2613</v>
      </c>
      <c r="N149" s="28"/>
      <c r="O149" s="29"/>
      <c r="P149" s="29"/>
      <c r="Q149" s="29"/>
      <c r="R149" s="29"/>
      <c r="S149" s="29"/>
      <c r="T149" s="29"/>
      <c r="U149" s="29"/>
      <c r="V149" s="29"/>
      <c r="W149" s="29"/>
      <c r="X149" s="29"/>
      <c r="Y149" s="29"/>
      <c r="Z149" s="29"/>
      <c r="AA149" s="30"/>
      <c r="AB149" s="30"/>
      <c r="AC149" s="30"/>
      <c r="AD149" s="30"/>
    </row>
    <row r="150" spans="1:30" x14ac:dyDescent="0.25">
      <c r="A150" s="28">
        <v>45626.51458333333</v>
      </c>
      <c r="B150" s="25" t="s">
        <v>619</v>
      </c>
      <c r="C150" s="25">
        <v>1013456443</v>
      </c>
      <c r="D150" s="29">
        <v>3195352525</v>
      </c>
      <c r="E150" s="26" t="s">
        <v>865</v>
      </c>
      <c r="F150" s="25" t="s">
        <v>1415</v>
      </c>
      <c r="G150" s="29" t="s">
        <v>2465</v>
      </c>
      <c r="H150" s="25" t="s">
        <v>2787</v>
      </c>
      <c r="I150" s="25">
        <v>3008504427</v>
      </c>
      <c r="J150" s="27"/>
      <c r="K150" s="27"/>
      <c r="L150" s="32"/>
      <c r="M150" s="27" t="s">
        <v>2644</v>
      </c>
      <c r="N150" s="28">
        <v>45633.495833333334</v>
      </c>
      <c r="O150" s="29" t="s">
        <v>2611</v>
      </c>
      <c r="P150" s="29" t="s">
        <v>2646</v>
      </c>
      <c r="Q150" s="34">
        <v>45696</v>
      </c>
      <c r="R150" s="29" t="s">
        <v>2645</v>
      </c>
      <c r="S150" s="29"/>
      <c r="T150" s="29"/>
      <c r="U150" s="29"/>
      <c r="V150" s="29"/>
      <c r="W150" s="29"/>
      <c r="X150" s="29" t="s">
        <v>2646</v>
      </c>
      <c r="Y150" s="34">
        <v>45696</v>
      </c>
      <c r="Z150" s="29" t="s">
        <v>2788</v>
      </c>
      <c r="AA150" s="30"/>
      <c r="AB150" s="30"/>
      <c r="AC150" s="30"/>
      <c r="AD150" s="30"/>
    </row>
    <row r="151" spans="1:30" x14ac:dyDescent="0.25">
      <c r="A151" s="28">
        <v>45626.51666666667</v>
      </c>
      <c r="B151" s="25" t="s">
        <v>2787</v>
      </c>
      <c r="C151" s="25">
        <v>1017209120</v>
      </c>
      <c r="D151" s="29">
        <v>3008504427</v>
      </c>
      <c r="E151" s="26" t="s">
        <v>865</v>
      </c>
      <c r="F151" s="25" t="s">
        <v>1415</v>
      </c>
      <c r="G151" s="29" t="s">
        <v>2465</v>
      </c>
      <c r="H151" s="25" t="s">
        <v>619</v>
      </c>
      <c r="I151" s="25">
        <v>3195352525</v>
      </c>
      <c r="J151" s="27"/>
      <c r="K151" s="27"/>
      <c r="L151" s="27"/>
      <c r="M151" s="27" t="s">
        <v>2613</v>
      </c>
      <c r="N151" s="28"/>
      <c r="O151" s="29"/>
      <c r="P151" s="29"/>
      <c r="Q151" s="29"/>
      <c r="R151" s="29"/>
      <c r="S151" s="29"/>
      <c r="T151" s="29"/>
      <c r="U151" s="29"/>
      <c r="V151" s="29"/>
      <c r="W151" s="29"/>
      <c r="X151" s="29"/>
      <c r="Y151" s="29"/>
      <c r="Z151" s="29"/>
      <c r="AA151" s="30"/>
      <c r="AB151" s="30"/>
      <c r="AC151" s="30"/>
      <c r="AD151" s="30"/>
    </row>
    <row r="152" spans="1:30" x14ac:dyDescent="0.25">
      <c r="A152" s="28">
        <v>45627.43472222222</v>
      </c>
      <c r="B152" s="25" t="s">
        <v>2789</v>
      </c>
      <c r="C152" s="25">
        <v>70430061</v>
      </c>
      <c r="D152" s="29">
        <v>3205651992</v>
      </c>
      <c r="E152" s="26" t="s">
        <v>865</v>
      </c>
      <c r="F152" s="25" t="s">
        <v>1339</v>
      </c>
      <c r="G152" s="29"/>
      <c r="H152" s="25" t="s">
        <v>2276</v>
      </c>
      <c r="I152" s="25">
        <v>3113873726</v>
      </c>
      <c r="J152" s="27"/>
      <c r="K152" s="27"/>
      <c r="L152" s="27"/>
      <c r="M152" s="27" t="s">
        <v>2610</v>
      </c>
      <c r="N152" s="28">
        <v>45633</v>
      </c>
      <c r="O152" s="29" t="s">
        <v>2611</v>
      </c>
      <c r="P152" s="29"/>
      <c r="Q152" s="29"/>
      <c r="R152" s="29"/>
      <c r="S152" s="29"/>
      <c r="T152" s="29"/>
      <c r="U152" s="29"/>
      <c r="V152" s="29"/>
      <c r="W152" s="29"/>
      <c r="X152" s="29"/>
      <c r="Y152" s="29"/>
      <c r="Z152" s="29"/>
      <c r="AA152" s="30"/>
      <c r="AB152" s="30"/>
      <c r="AC152" s="30"/>
      <c r="AD152" s="30"/>
    </row>
    <row r="153" spans="1:30" x14ac:dyDescent="0.25">
      <c r="A153" s="28">
        <v>45633.55972222222</v>
      </c>
      <c r="B153" s="25" t="s">
        <v>2283</v>
      </c>
      <c r="C153" s="25"/>
      <c r="D153" s="29">
        <v>3017828892</v>
      </c>
      <c r="E153" s="26" t="s">
        <v>865</v>
      </c>
      <c r="F153" s="25" t="s">
        <v>1415</v>
      </c>
      <c r="G153" s="29"/>
      <c r="H153" s="25"/>
      <c r="I153" s="25"/>
      <c r="J153" s="27"/>
      <c r="K153" s="27"/>
      <c r="L153" s="27"/>
      <c r="M153" s="27" t="s">
        <v>2613</v>
      </c>
      <c r="N153" s="28"/>
      <c r="O153" s="29"/>
      <c r="P153" s="29"/>
      <c r="Q153" s="29"/>
      <c r="R153" s="29"/>
      <c r="S153" s="29"/>
      <c r="T153" s="29"/>
      <c r="U153" s="29"/>
      <c r="V153" s="29"/>
      <c r="W153" s="29"/>
      <c r="X153" s="29"/>
      <c r="Y153" s="29"/>
      <c r="Z153" s="29"/>
      <c r="AA153" s="30"/>
      <c r="AB153" s="30"/>
      <c r="AC153" s="30"/>
      <c r="AD153" s="30"/>
    </row>
    <row r="154" spans="1:30" x14ac:dyDescent="0.25">
      <c r="A154" s="28">
        <v>45633.581944444442</v>
      </c>
      <c r="B154" s="25" t="s">
        <v>2288</v>
      </c>
      <c r="C154" s="25">
        <v>15371108</v>
      </c>
      <c r="D154" s="29">
        <v>3135211836</v>
      </c>
      <c r="E154" s="26" t="s">
        <v>865</v>
      </c>
      <c r="F154" s="25" t="s">
        <v>1440</v>
      </c>
      <c r="G154" s="29"/>
      <c r="H154" s="25" t="s">
        <v>2289</v>
      </c>
      <c r="I154" s="25">
        <v>3136610228</v>
      </c>
      <c r="J154" s="27"/>
      <c r="K154" s="27"/>
      <c r="L154" s="27"/>
      <c r="M154" s="27" t="s">
        <v>2613</v>
      </c>
      <c r="N154" s="28"/>
      <c r="O154" s="29"/>
      <c r="P154" s="29"/>
      <c r="Q154" s="29"/>
      <c r="R154" s="29"/>
      <c r="S154" s="29"/>
      <c r="T154" s="29"/>
      <c r="U154" s="29"/>
      <c r="V154" s="29"/>
      <c r="W154" s="29"/>
      <c r="X154" s="29"/>
      <c r="Y154" s="29"/>
      <c r="Z154" s="29"/>
      <c r="AA154" s="30"/>
      <c r="AB154" s="30"/>
      <c r="AC154" s="30"/>
      <c r="AD154" s="30"/>
    </row>
    <row r="155" spans="1:30" x14ac:dyDescent="0.25">
      <c r="A155" s="28">
        <v>45664.581944444442</v>
      </c>
      <c r="B155" s="25" t="s">
        <v>2294</v>
      </c>
      <c r="C155" s="25">
        <v>43573612</v>
      </c>
      <c r="D155" s="29">
        <v>3175348513</v>
      </c>
      <c r="E155" s="26" t="s">
        <v>865</v>
      </c>
      <c r="F155" s="25" t="s">
        <v>1573</v>
      </c>
      <c r="G155" s="29"/>
      <c r="H155" s="25" t="s">
        <v>2295</v>
      </c>
      <c r="I155" s="25">
        <v>3225392895</v>
      </c>
      <c r="J155" s="27"/>
      <c r="K155" s="27"/>
      <c r="L155" s="27"/>
      <c r="M155" s="27" t="s">
        <v>2613</v>
      </c>
      <c r="N155" s="28"/>
      <c r="O155" s="29"/>
      <c r="P155" s="29"/>
      <c r="Q155" s="29"/>
      <c r="R155" s="29"/>
      <c r="S155" s="29"/>
      <c r="T155" s="29"/>
      <c r="U155" s="29"/>
      <c r="V155" s="29"/>
      <c r="W155" s="29"/>
      <c r="X155" s="29"/>
      <c r="Y155" s="29"/>
      <c r="Z155" s="29"/>
      <c r="AA155" s="30"/>
      <c r="AB155" s="30"/>
      <c r="AC155" s="30"/>
      <c r="AD155" s="30"/>
    </row>
    <row r="156" spans="1:30" x14ac:dyDescent="0.25">
      <c r="A156" s="28">
        <v>45710.486111111109</v>
      </c>
      <c r="B156" s="25" t="s">
        <v>2325</v>
      </c>
      <c r="C156" s="25">
        <v>35603671</v>
      </c>
      <c r="D156" s="29">
        <v>3102209488</v>
      </c>
      <c r="E156" s="26" t="s">
        <v>865</v>
      </c>
      <c r="F156" s="25" t="s">
        <v>1415</v>
      </c>
      <c r="G156" s="29" t="s">
        <v>2465</v>
      </c>
      <c r="H156" s="25" t="s">
        <v>2326</v>
      </c>
      <c r="I156" s="25">
        <v>3135688612</v>
      </c>
      <c r="J156" s="27"/>
      <c r="K156" s="27"/>
      <c r="L156" s="27"/>
      <c r="M156" s="27" t="s">
        <v>2613</v>
      </c>
      <c r="N156" s="28"/>
      <c r="O156" s="29"/>
      <c r="P156" s="29"/>
      <c r="Q156" s="29"/>
      <c r="R156" s="29"/>
      <c r="S156" s="29"/>
      <c r="T156" s="29"/>
      <c r="U156" s="29"/>
      <c r="V156" s="29"/>
      <c r="W156" s="29"/>
      <c r="X156" s="29"/>
      <c r="Y156" s="29"/>
      <c r="Z156" s="29"/>
      <c r="AA156" s="30"/>
      <c r="AB156" s="30"/>
      <c r="AC156" s="30"/>
      <c r="AD156" s="30"/>
    </row>
    <row r="157" spans="1:30" x14ac:dyDescent="0.25">
      <c r="A157" s="28">
        <v>45710.486805555556</v>
      </c>
      <c r="B157" s="25" t="s">
        <v>2790</v>
      </c>
      <c r="C157" s="25">
        <v>42765402</v>
      </c>
      <c r="D157" s="29">
        <v>3044342547</v>
      </c>
      <c r="E157" s="26" t="s">
        <v>865</v>
      </c>
      <c r="F157" s="25" t="s">
        <v>1573</v>
      </c>
      <c r="G157" s="29"/>
      <c r="H157" s="25" t="s">
        <v>2791</v>
      </c>
      <c r="I157" s="25">
        <v>3233418250</v>
      </c>
      <c r="J157" s="27"/>
      <c r="K157" s="27"/>
      <c r="L157" s="27"/>
      <c r="M157" s="27" t="s">
        <v>2613</v>
      </c>
      <c r="N157" s="28"/>
      <c r="O157" s="29"/>
      <c r="P157" s="29"/>
      <c r="Q157" s="29"/>
      <c r="R157" s="29"/>
      <c r="S157" s="29"/>
      <c r="T157" s="29"/>
      <c r="U157" s="29"/>
      <c r="V157" s="29"/>
      <c r="W157" s="29"/>
      <c r="X157" s="29"/>
      <c r="Y157" s="29"/>
      <c r="Z157" s="29"/>
      <c r="AA157" s="30"/>
      <c r="AB157" s="30"/>
      <c r="AC157" s="30"/>
      <c r="AD157" s="30"/>
    </row>
    <row r="158" spans="1:30" x14ac:dyDescent="0.25">
      <c r="A158" s="28">
        <v>45710.488888888889</v>
      </c>
      <c r="B158" s="25" t="s">
        <v>2792</v>
      </c>
      <c r="C158" s="25">
        <v>1000884033</v>
      </c>
      <c r="D158" s="29">
        <v>3126700385</v>
      </c>
      <c r="E158" s="26" t="s">
        <v>865</v>
      </c>
      <c r="F158" s="25" t="s">
        <v>1573</v>
      </c>
      <c r="G158" s="29"/>
      <c r="H158" s="25" t="s">
        <v>2333</v>
      </c>
      <c r="I158" s="25">
        <v>3148150173</v>
      </c>
      <c r="J158" s="27"/>
      <c r="K158" s="27"/>
      <c r="L158" s="27"/>
      <c r="M158" s="27" t="s">
        <v>2613</v>
      </c>
      <c r="N158" s="28"/>
      <c r="O158" s="29"/>
      <c r="P158" s="29"/>
      <c r="Q158" s="29"/>
      <c r="R158" s="29"/>
      <c r="S158" s="29"/>
      <c r="T158" s="29"/>
      <c r="U158" s="29"/>
      <c r="V158" s="29"/>
      <c r="W158" s="29"/>
      <c r="X158" s="29"/>
      <c r="Y158" s="29"/>
      <c r="Z158" s="29"/>
      <c r="AA158" s="30"/>
      <c r="AB158" s="30"/>
      <c r="AC158" s="30"/>
      <c r="AD158" s="30"/>
    </row>
    <row r="159" spans="1:30" x14ac:dyDescent="0.25">
      <c r="A159" s="28">
        <v>45710.490277777775</v>
      </c>
      <c r="B159" s="25" t="s">
        <v>2336</v>
      </c>
      <c r="C159" s="25">
        <v>43075791</v>
      </c>
      <c r="D159" s="29">
        <v>3136610228</v>
      </c>
      <c r="E159" s="26" t="s">
        <v>865</v>
      </c>
      <c r="F159" s="25" t="s">
        <v>1415</v>
      </c>
      <c r="G159" s="29"/>
      <c r="H159" s="25" t="s">
        <v>2337</v>
      </c>
      <c r="I159" s="25">
        <v>3155383884</v>
      </c>
      <c r="J159" s="27"/>
      <c r="K159" s="27"/>
      <c r="L159" s="27"/>
      <c r="M159" s="27" t="s">
        <v>2613</v>
      </c>
      <c r="N159" s="28"/>
      <c r="O159" s="29"/>
      <c r="P159" s="29"/>
      <c r="Q159" s="29"/>
      <c r="R159" s="29"/>
      <c r="S159" s="29"/>
      <c r="T159" s="29"/>
      <c r="U159" s="29"/>
      <c r="V159" s="29"/>
      <c r="W159" s="29"/>
      <c r="X159" s="29"/>
      <c r="Y159" s="29"/>
      <c r="Z159" s="29"/>
      <c r="AA159" s="30"/>
      <c r="AB159" s="30"/>
      <c r="AC159" s="30"/>
      <c r="AD159" s="30"/>
    </row>
    <row r="160" spans="1:30" x14ac:dyDescent="0.25">
      <c r="A160" s="28">
        <v>45710.491666666669</v>
      </c>
      <c r="B160" s="25" t="s">
        <v>2339</v>
      </c>
      <c r="C160" s="25">
        <v>1013456752</v>
      </c>
      <c r="D160" s="29">
        <v>3145751382</v>
      </c>
      <c r="E160" s="26" t="s">
        <v>865</v>
      </c>
      <c r="F160" s="25" t="s">
        <v>1415</v>
      </c>
      <c r="G160" s="29"/>
      <c r="H160" s="25" t="s">
        <v>2793</v>
      </c>
      <c r="I160" s="25">
        <v>3246626617</v>
      </c>
      <c r="J160" s="27"/>
      <c r="K160" s="27"/>
      <c r="L160" s="27"/>
      <c r="M160" s="27" t="s">
        <v>2613</v>
      </c>
      <c r="N160" s="28"/>
      <c r="O160" s="29"/>
      <c r="P160" s="29"/>
      <c r="Q160" s="29"/>
      <c r="R160" s="29"/>
      <c r="S160" s="29"/>
      <c r="T160" s="29"/>
      <c r="U160" s="29"/>
      <c r="V160" s="29"/>
      <c r="W160" s="29"/>
      <c r="X160" s="29"/>
      <c r="Y160" s="29"/>
      <c r="Z160" s="29"/>
      <c r="AA160" s="30"/>
      <c r="AB160" s="30"/>
      <c r="AC160" s="30"/>
      <c r="AD160" s="30"/>
    </row>
    <row r="161" spans="1:30" x14ac:dyDescent="0.25">
      <c r="A161" s="28">
        <v>45710.493055555555</v>
      </c>
      <c r="B161" s="25" t="s">
        <v>2343</v>
      </c>
      <c r="C161" s="25">
        <v>43920604</v>
      </c>
      <c r="D161" s="29">
        <v>3246493244</v>
      </c>
      <c r="E161" s="26" t="s">
        <v>865</v>
      </c>
      <c r="F161" s="25" t="s">
        <v>1573</v>
      </c>
      <c r="G161" s="29"/>
      <c r="H161" s="25" t="s">
        <v>2344</v>
      </c>
      <c r="I161" s="25">
        <v>3117329704</v>
      </c>
      <c r="J161" s="27"/>
      <c r="K161" s="27"/>
      <c r="L161" s="27"/>
      <c r="M161" s="27" t="s">
        <v>2613</v>
      </c>
      <c r="N161" s="28"/>
      <c r="O161" s="29"/>
      <c r="P161" s="29"/>
      <c r="Q161" s="29"/>
      <c r="R161" s="29"/>
      <c r="S161" s="29"/>
      <c r="T161" s="29"/>
      <c r="U161" s="29"/>
      <c r="V161" s="29"/>
      <c r="W161" s="29"/>
      <c r="X161" s="29"/>
      <c r="Y161" s="29"/>
      <c r="Z161" s="29"/>
      <c r="AA161" s="30"/>
      <c r="AB161" s="30"/>
      <c r="AC161" s="30"/>
      <c r="AD161" s="30"/>
    </row>
    <row r="162" spans="1:30" x14ac:dyDescent="0.25">
      <c r="A162" s="28">
        <v>45710.493055555555</v>
      </c>
      <c r="B162" s="25" t="s">
        <v>2348</v>
      </c>
      <c r="C162" s="25">
        <v>1073320944</v>
      </c>
      <c r="D162" s="29">
        <v>3244772618</v>
      </c>
      <c r="E162" s="26" t="s">
        <v>865</v>
      </c>
      <c r="F162" s="25" t="s">
        <v>1573</v>
      </c>
      <c r="G162" s="29"/>
      <c r="H162" s="25"/>
      <c r="I162" s="25"/>
      <c r="J162" s="27"/>
      <c r="K162" s="27"/>
      <c r="L162" s="27"/>
      <c r="M162" s="27" t="s">
        <v>2613</v>
      </c>
      <c r="N162" s="28"/>
      <c r="O162" s="29"/>
      <c r="P162" s="29"/>
      <c r="Q162" s="29"/>
      <c r="R162" s="29"/>
      <c r="S162" s="29"/>
      <c r="T162" s="29"/>
      <c r="U162" s="29"/>
      <c r="V162" s="29"/>
      <c r="W162" s="29"/>
      <c r="X162" s="29"/>
      <c r="Y162" s="29"/>
      <c r="Z162" s="29"/>
      <c r="AA162" s="30"/>
      <c r="AB162" s="30"/>
      <c r="AC162" s="30"/>
      <c r="AD162" s="30"/>
    </row>
    <row r="163" spans="1:30" x14ac:dyDescent="0.25">
      <c r="A163" s="28">
        <v>45710.494444444441</v>
      </c>
      <c r="B163" s="25" t="s">
        <v>2350</v>
      </c>
      <c r="C163" s="25">
        <v>43140973</v>
      </c>
      <c r="D163" s="29">
        <v>3128269336</v>
      </c>
      <c r="E163" s="26" t="s">
        <v>865</v>
      </c>
      <c r="F163" s="25" t="s">
        <v>1573</v>
      </c>
      <c r="G163" s="29"/>
      <c r="H163" s="25"/>
      <c r="I163" s="25"/>
      <c r="J163" s="27"/>
      <c r="K163" s="27"/>
      <c r="L163" s="27"/>
      <c r="M163" s="27" t="s">
        <v>2613</v>
      </c>
      <c r="N163" s="28"/>
      <c r="O163" s="29"/>
      <c r="P163" s="29"/>
      <c r="Q163" s="29"/>
      <c r="R163" s="29"/>
      <c r="S163" s="29"/>
      <c r="T163" s="29"/>
      <c r="U163" s="29"/>
      <c r="V163" s="29"/>
      <c r="W163" s="29"/>
      <c r="X163" s="29"/>
      <c r="Y163" s="29"/>
      <c r="Z163" s="29"/>
      <c r="AA163" s="30"/>
      <c r="AB163" s="30"/>
      <c r="AC163" s="30"/>
      <c r="AD163" s="30"/>
    </row>
    <row r="164" spans="1:30" x14ac:dyDescent="0.25">
      <c r="A164" s="28">
        <v>45710.494444444441</v>
      </c>
      <c r="B164" s="25" t="s">
        <v>2794</v>
      </c>
      <c r="C164" s="25">
        <v>1022946581</v>
      </c>
      <c r="D164" s="29">
        <v>3246626617</v>
      </c>
      <c r="E164" s="26" t="s">
        <v>865</v>
      </c>
      <c r="F164" s="25" t="s">
        <v>1415</v>
      </c>
      <c r="G164" s="29" t="s">
        <v>2465</v>
      </c>
      <c r="H164" s="25" t="s">
        <v>2339</v>
      </c>
      <c r="I164" s="25">
        <v>3145751382</v>
      </c>
      <c r="J164" s="27"/>
      <c r="K164" s="27"/>
      <c r="L164" s="27"/>
      <c r="M164" s="27" t="s">
        <v>2613</v>
      </c>
      <c r="N164" s="28"/>
      <c r="O164" s="29"/>
      <c r="P164" s="29"/>
      <c r="Q164" s="29"/>
      <c r="R164" s="29"/>
      <c r="S164" s="29"/>
      <c r="T164" s="29"/>
      <c r="U164" s="29"/>
      <c r="V164" s="29"/>
      <c r="W164" s="29"/>
      <c r="X164" s="29"/>
      <c r="Y164" s="29"/>
      <c r="Z164" s="29"/>
      <c r="AA164" s="30"/>
      <c r="AB164" s="30"/>
      <c r="AC164" s="30"/>
      <c r="AD164" s="30"/>
    </row>
    <row r="165" spans="1:30" x14ac:dyDescent="0.25">
      <c r="A165" s="28">
        <v>45710.495138888888</v>
      </c>
      <c r="B165" s="25" t="s">
        <v>2795</v>
      </c>
      <c r="C165" s="25">
        <v>22174103</v>
      </c>
      <c r="D165" s="29">
        <v>3042136865</v>
      </c>
      <c r="E165" s="26" t="s">
        <v>865</v>
      </c>
      <c r="F165" s="25" t="s">
        <v>1573</v>
      </c>
      <c r="G165" s="29"/>
      <c r="H165" s="25" t="s">
        <v>2358</v>
      </c>
      <c r="I165" s="25"/>
      <c r="J165" s="27"/>
      <c r="K165" s="27"/>
      <c r="L165" s="27"/>
      <c r="M165" s="27" t="s">
        <v>2613</v>
      </c>
      <c r="N165" s="28"/>
      <c r="O165" s="29"/>
      <c r="P165" s="29"/>
      <c r="Q165" s="29"/>
      <c r="R165" s="29"/>
      <c r="S165" s="29"/>
      <c r="T165" s="29"/>
      <c r="U165" s="29"/>
      <c r="V165" s="29"/>
      <c r="W165" s="29"/>
      <c r="X165" s="29"/>
      <c r="Y165" s="29"/>
      <c r="Z165" s="29"/>
      <c r="AA165" s="30"/>
      <c r="AB165" s="30"/>
      <c r="AC165" s="30"/>
      <c r="AD165" s="30"/>
    </row>
    <row r="166" spans="1:30" x14ac:dyDescent="0.25">
      <c r="A166" s="28">
        <v>45710.497916666667</v>
      </c>
      <c r="B166" s="25" t="s">
        <v>2361</v>
      </c>
      <c r="C166" s="25">
        <v>35602127</v>
      </c>
      <c r="D166" s="29">
        <v>3107153012</v>
      </c>
      <c r="E166" s="26" t="s">
        <v>865</v>
      </c>
      <c r="F166" s="25" t="s">
        <v>1415</v>
      </c>
      <c r="G166" s="29"/>
      <c r="H166" s="25"/>
      <c r="I166" s="25"/>
      <c r="J166" s="27"/>
      <c r="K166" s="27"/>
      <c r="L166" s="27"/>
      <c r="M166" s="27" t="s">
        <v>2613</v>
      </c>
      <c r="N166" s="28"/>
      <c r="O166" s="29"/>
      <c r="P166" s="29"/>
      <c r="Q166" s="29"/>
      <c r="R166" s="29"/>
      <c r="S166" s="29"/>
      <c r="T166" s="29"/>
      <c r="U166" s="29"/>
      <c r="V166" s="29"/>
      <c r="W166" s="29"/>
      <c r="X166" s="29"/>
      <c r="Y166" s="29"/>
      <c r="Z166" s="29"/>
      <c r="AA166" s="30"/>
      <c r="AB166" s="30"/>
      <c r="AC166" s="30"/>
      <c r="AD166" s="30"/>
    </row>
    <row r="167" spans="1:30" x14ac:dyDescent="0.25">
      <c r="A167" s="28">
        <v>45710.498611111114</v>
      </c>
      <c r="B167" s="25" t="s">
        <v>2363</v>
      </c>
      <c r="C167" s="25">
        <v>1128390684</v>
      </c>
      <c r="D167" s="29">
        <v>3103320927</v>
      </c>
      <c r="E167" s="26" t="s">
        <v>865</v>
      </c>
      <c r="F167" s="25" t="s">
        <v>1573</v>
      </c>
      <c r="G167" s="29"/>
      <c r="H167" s="25" t="s">
        <v>2364</v>
      </c>
      <c r="I167" s="25">
        <v>3127489921</v>
      </c>
      <c r="J167" s="27"/>
      <c r="K167" s="27"/>
      <c r="L167" s="27"/>
      <c r="M167" s="27" t="s">
        <v>2613</v>
      </c>
      <c r="N167" s="28"/>
      <c r="O167" s="29"/>
      <c r="P167" s="29"/>
      <c r="Q167" s="29"/>
      <c r="R167" s="29"/>
      <c r="S167" s="29"/>
      <c r="T167" s="29"/>
      <c r="U167" s="29"/>
      <c r="V167" s="29"/>
      <c r="W167" s="29"/>
      <c r="X167" s="29"/>
      <c r="Y167" s="29"/>
      <c r="Z167" s="29"/>
      <c r="AA167" s="30"/>
      <c r="AB167" s="30"/>
      <c r="AC167" s="30"/>
      <c r="AD167" s="30"/>
    </row>
    <row r="168" spans="1:30" x14ac:dyDescent="0.25">
      <c r="A168" s="28">
        <v>45710.499305555553</v>
      </c>
      <c r="B168" s="25" t="s">
        <v>2367</v>
      </c>
      <c r="C168" s="25">
        <v>20876219</v>
      </c>
      <c r="D168" s="29">
        <v>3107007572</v>
      </c>
      <c r="E168" s="26" t="s">
        <v>865</v>
      </c>
      <c r="F168" s="25" t="s">
        <v>1573</v>
      </c>
      <c r="G168" s="29"/>
      <c r="H168" s="25"/>
      <c r="I168" s="25"/>
      <c r="J168" s="27"/>
      <c r="K168" s="27"/>
      <c r="L168" s="27"/>
      <c r="M168" s="27" t="s">
        <v>2613</v>
      </c>
      <c r="N168" s="28"/>
      <c r="O168" s="29"/>
      <c r="P168" s="29"/>
      <c r="Q168" s="29"/>
      <c r="R168" s="29"/>
      <c r="S168" s="29"/>
      <c r="T168" s="29"/>
      <c r="U168" s="29"/>
      <c r="V168" s="29"/>
      <c r="W168" s="29"/>
      <c r="X168" s="29"/>
      <c r="Y168" s="29"/>
      <c r="Z168" s="29"/>
      <c r="AA168" s="30"/>
      <c r="AB168" s="30"/>
      <c r="AC168" s="30"/>
      <c r="AD168" s="30"/>
    </row>
    <row r="169" spans="1:30" x14ac:dyDescent="0.25">
      <c r="A169" s="28">
        <v>45710.500694444447</v>
      </c>
      <c r="B169" s="25" t="s">
        <v>2796</v>
      </c>
      <c r="C169" s="25">
        <v>1036645009</v>
      </c>
      <c r="D169" s="29">
        <v>3127489921</v>
      </c>
      <c r="E169" s="26" t="s">
        <v>865</v>
      </c>
      <c r="F169" s="25" t="s">
        <v>1573</v>
      </c>
      <c r="G169" s="29"/>
      <c r="H169" s="25" t="s">
        <v>2363</v>
      </c>
      <c r="I169" s="25">
        <v>3103320927</v>
      </c>
      <c r="J169" s="27"/>
      <c r="K169" s="27"/>
      <c r="L169" s="27"/>
      <c r="M169" s="27" t="s">
        <v>2613</v>
      </c>
      <c r="N169" s="28"/>
      <c r="O169" s="29"/>
      <c r="P169" s="29"/>
      <c r="Q169" s="29"/>
      <c r="R169" s="29"/>
      <c r="S169" s="29"/>
      <c r="T169" s="29"/>
      <c r="U169" s="29"/>
      <c r="V169" s="29"/>
      <c r="W169" s="29"/>
      <c r="X169" s="29"/>
      <c r="Y169" s="29"/>
      <c r="Z169" s="29"/>
      <c r="AA169" s="30"/>
      <c r="AB169" s="30"/>
      <c r="AC169" s="30"/>
      <c r="AD169" s="30"/>
    </row>
    <row r="170" spans="1:30" x14ac:dyDescent="0.25">
      <c r="A170" s="28">
        <v>45710.504166666666</v>
      </c>
      <c r="B170" s="25" t="s">
        <v>2797</v>
      </c>
      <c r="C170" s="25">
        <v>52227037</v>
      </c>
      <c r="D170" s="29">
        <v>3241146548</v>
      </c>
      <c r="E170" s="26" t="s">
        <v>865</v>
      </c>
      <c r="F170" s="25" t="s">
        <v>1415</v>
      </c>
      <c r="G170" s="29" t="s">
        <v>2465</v>
      </c>
      <c r="H170" s="25" t="s">
        <v>2373</v>
      </c>
      <c r="I170" s="25">
        <v>3043324479</v>
      </c>
      <c r="J170" s="27"/>
      <c r="K170" s="27"/>
      <c r="L170" s="27"/>
      <c r="M170" s="27" t="s">
        <v>2613</v>
      </c>
      <c r="N170" s="28"/>
      <c r="O170" s="29"/>
      <c r="P170" s="29"/>
      <c r="Q170" s="29"/>
      <c r="R170" s="29"/>
      <c r="S170" s="29"/>
      <c r="T170" s="29"/>
      <c r="U170" s="29"/>
      <c r="V170" s="29"/>
      <c r="W170" s="29"/>
      <c r="X170" s="29"/>
      <c r="Y170" s="29"/>
      <c r="Z170" s="29"/>
      <c r="AA170" s="30"/>
      <c r="AB170" s="30"/>
      <c r="AC170" s="30"/>
      <c r="AD170" s="30"/>
    </row>
    <row r="171" spans="1:30" x14ac:dyDescent="0.25">
      <c r="A171" s="28">
        <v>45710.504861111112</v>
      </c>
      <c r="B171" s="25" t="s">
        <v>2376</v>
      </c>
      <c r="C171" s="25">
        <v>43382220</v>
      </c>
      <c r="D171" s="29">
        <v>3006011024</v>
      </c>
      <c r="E171" s="26" t="s">
        <v>865</v>
      </c>
      <c r="F171" s="25" t="s">
        <v>1573</v>
      </c>
      <c r="G171" s="29"/>
      <c r="H171" s="25"/>
      <c r="I171" s="25"/>
      <c r="J171" s="27"/>
      <c r="K171" s="27"/>
      <c r="L171" s="27"/>
      <c r="M171" s="27" t="s">
        <v>2613</v>
      </c>
      <c r="N171" s="28"/>
      <c r="O171" s="29"/>
      <c r="P171" s="29"/>
      <c r="Q171" s="29"/>
      <c r="R171" s="29"/>
      <c r="S171" s="29"/>
      <c r="T171" s="29"/>
      <c r="U171" s="29"/>
      <c r="V171" s="29"/>
      <c r="W171" s="29"/>
      <c r="X171" s="29"/>
      <c r="Y171" s="29"/>
      <c r="Z171" s="29"/>
      <c r="AA171" s="30"/>
      <c r="AB171" s="30"/>
      <c r="AC171" s="30"/>
      <c r="AD171" s="30"/>
    </row>
    <row r="172" spans="1:30" x14ac:dyDescent="0.25">
      <c r="A172" s="28">
        <v>45710.507638888892</v>
      </c>
      <c r="B172" s="25" t="s">
        <v>2378</v>
      </c>
      <c r="C172" s="25">
        <v>1193553876</v>
      </c>
      <c r="D172" s="29">
        <v>3024395267</v>
      </c>
      <c r="E172" s="26" t="s">
        <v>865</v>
      </c>
      <c r="F172" s="25" t="s">
        <v>1573</v>
      </c>
      <c r="G172" s="29"/>
      <c r="H172" s="25"/>
      <c r="I172" s="25"/>
      <c r="J172" s="27"/>
      <c r="K172" s="27"/>
      <c r="L172" s="27"/>
      <c r="M172" s="27" t="s">
        <v>2613</v>
      </c>
      <c r="N172" s="28"/>
      <c r="O172" s="29"/>
      <c r="P172" s="29"/>
      <c r="Q172" s="29"/>
      <c r="R172" s="29"/>
      <c r="S172" s="29"/>
      <c r="T172" s="29"/>
      <c r="U172" s="29"/>
      <c r="V172" s="29"/>
      <c r="W172" s="29"/>
      <c r="X172" s="29"/>
      <c r="Y172" s="29"/>
      <c r="Z172" s="29"/>
      <c r="AA172" s="30"/>
      <c r="AB172" s="30"/>
      <c r="AC172" s="30"/>
      <c r="AD172" s="30"/>
    </row>
    <row r="173" spans="1:30" x14ac:dyDescent="0.25">
      <c r="A173" s="28">
        <v>45710.508333333331</v>
      </c>
      <c r="B173" s="25" t="s">
        <v>2380</v>
      </c>
      <c r="C173" s="25">
        <v>1552708804</v>
      </c>
      <c r="D173" s="29">
        <v>3046847302</v>
      </c>
      <c r="E173" s="26" t="s">
        <v>865</v>
      </c>
      <c r="F173" s="25" t="s">
        <v>1573</v>
      </c>
      <c r="G173" s="29"/>
      <c r="H173" s="25"/>
      <c r="I173" s="25"/>
      <c r="J173" s="27"/>
      <c r="K173" s="27"/>
      <c r="L173" s="27"/>
      <c r="M173" s="27" t="s">
        <v>2613</v>
      </c>
      <c r="N173" s="28"/>
      <c r="O173" s="29"/>
      <c r="P173" s="29"/>
      <c r="Q173" s="29"/>
      <c r="R173" s="29"/>
      <c r="S173" s="29"/>
      <c r="T173" s="29"/>
      <c r="U173" s="29"/>
      <c r="V173" s="29"/>
      <c r="W173" s="29"/>
      <c r="X173" s="29"/>
      <c r="Y173" s="29"/>
      <c r="Z173" s="29"/>
      <c r="AA173" s="30"/>
      <c r="AB173" s="30"/>
      <c r="AC173" s="30"/>
      <c r="AD173" s="30"/>
    </row>
    <row r="174" spans="1:30" x14ac:dyDescent="0.25">
      <c r="A174" s="28">
        <v>45710.509722222225</v>
      </c>
      <c r="B174" s="25" t="s">
        <v>2382</v>
      </c>
      <c r="C174" s="25">
        <v>71940651</v>
      </c>
      <c r="D174" s="29">
        <v>3007424848</v>
      </c>
      <c r="E174" s="26" t="s">
        <v>865</v>
      </c>
      <c r="F174" s="25" t="s">
        <v>1573</v>
      </c>
      <c r="G174" s="29"/>
      <c r="H174" s="25"/>
      <c r="I174" s="25"/>
      <c r="J174" s="27"/>
      <c r="K174" s="27"/>
      <c r="L174" s="27"/>
      <c r="M174" s="27" t="s">
        <v>2613</v>
      </c>
      <c r="N174" s="28"/>
      <c r="O174" s="29"/>
      <c r="P174" s="29"/>
      <c r="Q174" s="29"/>
      <c r="R174" s="29"/>
      <c r="S174" s="29"/>
      <c r="T174" s="29"/>
      <c r="U174" s="29"/>
      <c r="V174" s="29"/>
      <c r="W174" s="29"/>
      <c r="X174" s="29"/>
      <c r="Y174" s="29"/>
      <c r="Z174" s="29"/>
      <c r="AA174" s="30"/>
      <c r="AB174" s="30"/>
      <c r="AC174" s="30"/>
      <c r="AD174" s="30"/>
    </row>
    <row r="175" spans="1:30" x14ac:dyDescent="0.25">
      <c r="A175" s="28">
        <v>45710.509722222225</v>
      </c>
      <c r="B175" s="25" t="s">
        <v>2798</v>
      </c>
      <c r="C175" s="25">
        <v>15433836</v>
      </c>
      <c r="D175" s="29">
        <v>3218733195</v>
      </c>
      <c r="E175" s="26" t="s">
        <v>865</v>
      </c>
      <c r="F175" s="25" t="s">
        <v>1415</v>
      </c>
      <c r="G175" s="29"/>
      <c r="H175" s="25" t="s">
        <v>2386</v>
      </c>
      <c r="I175" s="25">
        <v>3207645884</v>
      </c>
      <c r="J175" s="27"/>
      <c r="K175" s="27"/>
      <c r="L175" s="27"/>
      <c r="M175" s="27" t="s">
        <v>2613</v>
      </c>
      <c r="N175" s="28"/>
      <c r="O175" s="29"/>
      <c r="P175" s="29"/>
      <c r="Q175" s="29"/>
      <c r="R175" s="29"/>
      <c r="S175" s="29"/>
      <c r="T175" s="29"/>
      <c r="U175" s="29"/>
      <c r="V175" s="29"/>
      <c r="W175" s="29"/>
      <c r="X175" s="29"/>
      <c r="Y175" s="29"/>
      <c r="Z175" s="29"/>
      <c r="AA175" s="30"/>
      <c r="AB175" s="30"/>
      <c r="AC175" s="30"/>
      <c r="AD175" s="30"/>
    </row>
    <row r="176" spans="1:30" x14ac:dyDescent="0.25">
      <c r="A176" s="28">
        <v>45710.511805555558</v>
      </c>
      <c r="B176" s="25" t="s">
        <v>2799</v>
      </c>
      <c r="C176" s="25">
        <v>70131334</v>
      </c>
      <c r="D176" s="29">
        <v>3127950501</v>
      </c>
      <c r="E176" s="26" t="s">
        <v>865</v>
      </c>
      <c r="F176" s="25" t="s">
        <v>1573</v>
      </c>
      <c r="G176" s="29" t="s">
        <v>2800</v>
      </c>
      <c r="H176" s="25" t="s">
        <v>2801</v>
      </c>
      <c r="I176" s="25">
        <v>604481842</v>
      </c>
      <c r="J176" s="27"/>
      <c r="K176" s="27"/>
      <c r="L176" s="27"/>
      <c r="M176" s="27" t="s">
        <v>2613</v>
      </c>
      <c r="N176" s="28"/>
      <c r="O176" s="29"/>
      <c r="P176" s="29"/>
      <c r="Q176" s="29"/>
      <c r="R176" s="29"/>
      <c r="S176" s="29"/>
      <c r="T176" s="29"/>
      <c r="U176" s="29"/>
      <c r="V176" s="29"/>
      <c r="W176" s="29"/>
      <c r="X176" s="29"/>
      <c r="Y176" s="29"/>
      <c r="Z176" s="29"/>
      <c r="AA176" s="30"/>
      <c r="AB176" s="30"/>
      <c r="AC176" s="30"/>
      <c r="AD176" s="30"/>
    </row>
    <row r="177" spans="1:30" x14ac:dyDescent="0.25">
      <c r="A177" s="28">
        <v>45710.512499999997</v>
      </c>
      <c r="B177" s="25" t="s">
        <v>2394</v>
      </c>
      <c r="C177" s="25">
        <v>21895860</v>
      </c>
      <c r="D177" s="29">
        <v>3127954825</v>
      </c>
      <c r="E177" s="26" t="s">
        <v>865</v>
      </c>
      <c r="F177" s="25" t="s">
        <v>1573</v>
      </c>
      <c r="G177" s="29"/>
      <c r="H177" s="25"/>
      <c r="I177" s="25"/>
      <c r="J177" s="27"/>
      <c r="K177" s="27"/>
      <c r="L177" s="27"/>
      <c r="M177" s="27" t="s">
        <v>2613</v>
      </c>
      <c r="N177" s="28"/>
      <c r="O177" s="29"/>
      <c r="P177" s="29"/>
      <c r="Q177" s="29"/>
      <c r="R177" s="29"/>
      <c r="S177" s="29"/>
      <c r="T177" s="29"/>
      <c r="U177" s="29"/>
      <c r="V177" s="29"/>
      <c r="W177" s="29"/>
      <c r="X177" s="29"/>
      <c r="Y177" s="29"/>
      <c r="Z177" s="29"/>
      <c r="AA177" s="30"/>
      <c r="AB177" s="30"/>
      <c r="AC177" s="30"/>
      <c r="AD177" s="30"/>
    </row>
    <row r="178" spans="1:30" x14ac:dyDescent="0.25">
      <c r="A178" s="28">
        <v>45710.513888888891</v>
      </c>
      <c r="B178" s="25" t="s">
        <v>2396</v>
      </c>
      <c r="C178" s="25">
        <v>39313932</v>
      </c>
      <c r="D178" s="29">
        <v>3105072246</v>
      </c>
      <c r="E178" s="26" t="s">
        <v>865</v>
      </c>
      <c r="F178" s="25" t="s">
        <v>1573</v>
      </c>
      <c r="G178" s="29"/>
      <c r="H178" s="25" t="s">
        <v>2397</v>
      </c>
      <c r="I178" s="25">
        <v>3242903468</v>
      </c>
      <c r="J178" s="27"/>
      <c r="K178" s="27"/>
      <c r="L178" s="27"/>
      <c r="M178" s="27" t="s">
        <v>2613</v>
      </c>
      <c r="N178" s="28"/>
      <c r="O178" s="29"/>
      <c r="P178" s="29"/>
      <c r="Q178" s="29"/>
      <c r="R178" s="29"/>
      <c r="S178" s="29"/>
      <c r="T178" s="29"/>
      <c r="U178" s="29"/>
      <c r="V178" s="29"/>
      <c r="W178" s="29"/>
      <c r="X178" s="29"/>
      <c r="Y178" s="29"/>
      <c r="Z178" s="29"/>
      <c r="AA178" s="30"/>
      <c r="AB178" s="30"/>
      <c r="AC178" s="30"/>
      <c r="AD178" s="30"/>
    </row>
    <row r="179" spans="1:30" x14ac:dyDescent="0.25">
      <c r="A179" s="28">
        <v>45710.517361111109</v>
      </c>
      <c r="B179" s="25" t="s">
        <v>2399</v>
      </c>
      <c r="C179" s="25">
        <v>8015675</v>
      </c>
      <c r="D179" s="29">
        <v>3135443390</v>
      </c>
      <c r="E179" s="26" t="s">
        <v>865</v>
      </c>
      <c r="F179" s="25" t="s">
        <v>1415</v>
      </c>
      <c r="G179" s="29"/>
      <c r="H179" s="25"/>
      <c r="I179" s="25"/>
      <c r="J179" s="27"/>
      <c r="K179" s="27"/>
      <c r="L179" s="27"/>
      <c r="M179" s="27" t="s">
        <v>2613</v>
      </c>
      <c r="N179" s="28"/>
      <c r="O179" s="29"/>
      <c r="P179" s="29"/>
      <c r="Q179" s="29"/>
      <c r="R179" s="29"/>
      <c r="S179" s="29"/>
      <c r="T179" s="29"/>
      <c r="U179" s="29"/>
      <c r="V179" s="29"/>
      <c r="W179" s="29"/>
      <c r="X179" s="29"/>
      <c r="Y179" s="29"/>
      <c r="Z179" s="29"/>
      <c r="AA179" s="30"/>
      <c r="AB179" s="30"/>
      <c r="AC179" s="30"/>
      <c r="AD179" s="30"/>
    </row>
    <row r="180" spans="1:30" x14ac:dyDescent="0.25">
      <c r="A180" s="28">
        <v>45710.520138888889</v>
      </c>
      <c r="B180" s="25" t="s">
        <v>2802</v>
      </c>
      <c r="C180" s="25">
        <v>71663390</v>
      </c>
      <c r="D180" s="29">
        <v>3053625754</v>
      </c>
      <c r="E180" s="26" t="s">
        <v>865</v>
      </c>
      <c r="F180" s="25" t="s">
        <v>1573</v>
      </c>
      <c r="G180" s="29"/>
      <c r="H180" s="25" t="s">
        <v>2402</v>
      </c>
      <c r="I180" s="25">
        <v>3107007572</v>
      </c>
      <c r="J180" s="27"/>
      <c r="K180" s="27"/>
      <c r="L180" s="27"/>
      <c r="M180" s="27" t="s">
        <v>2613</v>
      </c>
      <c r="N180" s="28"/>
      <c r="O180" s="29"/>
      <c r="P180" s="29"/>
      <c r="Q180" s="29"/>
      <c r="R180" s="29"/>
      <c r="S180" s="29"/>
      <c r="T180" s="29"/>
      <c r="U180" s="29"/>
      <c r="V180" s="29"/>
      <c r="W180" s="29"/>
      <c r="X180" s="29"/>
      <c r="Y180" s="29"/>
      <c r="Z180" s="29"/>
      <c r="AA180" s="30"/>
      <c r="AB180" s="30"/>
      <c r="AC180" s="30"/>
      <c r="AD180" s="30"/>
    </row>
    <row r="181" spans="1:30" x14ac:dyDescent="0.25">
      <c r="A181" s="28">
        <v>45710.525000000001</v>
      </c>
      <c r="B181" s="25" t="s">
        <v>2405</v>
      </c>
      <c r="C181" s="25">
        <v>113164027</v>
      </c>
      <c r="D181" s="29">
        <v>3116264944</v>
      </c>
      <c r="E181" s="26" t="s">
        <v>865</v>
      </c>
      <c r="F181" s="25" t="s">
        <v>1573</v>
      </c>
      <c r="G181" s="29"/>
      <c r="H181" s="25" t="s">
        <v>2406</v>
      </c>
      <c r="I181" s="25">
        <v>3132616767</v>
      </c>
      <c r="J181" s="27"/>
      <c r="K181" s="27"/>
      <c r="L181" s="27"/>
      <c r="M181" s="27" t="s">
        <v>2613</v>
      </c>
      <c r="N181" s="28"/>
      <c r="O181" s="29"/>
      <c r="P181" s="29"/>
      <c r="Q181" s="29"/>
      <c r="R181" s="29"/>
      <c r="S181" s="29"/>
      <c r="T181" s="29"/>
      <c r="U181" s="29"/>
      <c r="V181" s="29"/>
      <c r="W181" s="29"/>
      <c r="X181" s="29"/>
      <c r="Y181" s="29"/>
      <c r="Z181" s="29"/>
      <c r="AA181" s="30"/>
      <c r="AB181" s="30"/>
      <c r="AC181" s="30"/>
      <c r="AD181" s="30"/>
    </row>
    <row r="182" spans="1:30" x14ac:dyDescent="0.25">
      <c r="A182" s="28">
        <v>45710.525000000001</v>
      </c>
      <c r="B182" s="25" t="s">
        <v>2803</v>
      </c>
      <c r="C182" s="25">
        <v>11031272</v>
      </c>
      <c r="D182" s="29">
        <v>3226252638</v>
      </c>
      <c r="E182" s="26" t="s">
        <v>865</v>
      </c>
      <c r="F182" s="25" t="s">
        <v>1415</v>
      </c>
      <c r="G182" s="29" t="s">
        <v>2804</v>
      </c>
      <c r="H182" s="25" t="s">
        <v>2410</v>
      </c>
      <c r="I182" s="25">
        <v>3144200036</v>
      </c>
      <c r="J182" s="27"/>
      <c r="K182" s="27"/>
      <c r="L182" s="27"/>
      <c r="M182" s="27" t="s">
        <v>2613</v>
      </c>
      <c r="N182" s="28"/>
      <c r="O182" s="29"/>
      <c r="P182" s="29"/>
      <c r="Q182" s="29"/>
      <c r="R182" s="29"/>
      <c r="S182" s="29"/>
      <c r="T182" s="29"/>
      <c r="U182" s="29"/>
      <c r="V182" s="29"/>
      <c r="W182" s="29"/>
      <c r="X182" s="29"/>
      <c r="Y182" s="29"/>
      <c r="Z182" s="29"/>
      <c r="AA182" s="30"/>
      <c r="AB182" s="30"/>
      <c r="AC182" s="30"/>
      <c r="AD182" s="30"/>
    </row>
    <row r="183" spans="1:30" x14ac:dyDescent="0.25">
      <c r="A183" s="28">
        <v>45710.52847222222</v>
      </c>
      <c r="B183" s="25" t="s">
        <v>2413</v>
      </c>
      <c r="C183" s="25">
        <v>71760635</v>
      </c>
      <c r="D183" s="29">
        <v>3117050572</v>
      </c>
      <c r="E183" s="26" t="s">
        <v>865</v>
      </c>
      <c r="F183" s="25" t="s">
        <v>1415</v>
      </c>
      <c r="G183" s="29"/>
      <c r="H183" s="25"/>
      <c r="I183" s="25"/>
      <c r="J183" s="27"/>
      <c r="K183" s="27"/>
      <c r="L183" s="27"/>
      <c r="M183" s="27" t="s">
        <v>2613</v>
      </c>
      <c r="N183" s="28"/>
      <c r="O183" s="29"/>
      <c r="P183" s="29"/>
      <c r="Q183" s="29"/>
      <c r="R183" s="29"/>
      <c r="S183" s="29"/>
      <c r="T183" s="29"/>
      <c r="U183" s="29"/>
      <c r="V183" s="29"/>
      <c r="W183" s="29"/>
      <c r="X183" s="29"/>
      <c r="Y183" s="29"/>
      <c r="Z183" s="29"/>
      <c r="AA183" s="30"/>
      <c r="AB183" s="30"/>
      <c r="AC183" s="30"/>
      <c r="AD183" s="30"/>
    </row>
    <row r="184" spans="1:30" x14ac:dyDescent="0.25">
      <c r="A184" s="28">
        <v>45710.53125</v>
      </c>
      <c r="B184" s="25" t="s">
        <v>2415</v>
      </c>
      <c r="C184" s="25">
        <v>1027947339</v>
      </c>
      <c r="D184" s="29">
        <v>3006863306</v>
      </c>
      <c r="E184" s="26" t="s">
        <v>865</v>
      </c>
      <c r="F184" s="25" t="s">
        <v>1573</v>
      </c>
      <c r="G184" s="29"/>
      <c r="H184" s="25"/>
      <c r="I184" s="25"/>
      <c r="J184" s="27"/>
      <c r="K184" s="27"/>
      <c r="L184" s="27"/>
      <c r="M184" s="27" t="s">
        <v>2613</v>
      </c>
      <c r="N184" s="28"/>
      <c r="O184" s="29"/>
      <c r="P184" s="29"/>
      <c r="Q184" s="29"/>
      <c r="R184" s="29"/>
      <c r="S184" s="29"/>
      <c r="T184" s="29"/>
      <c r="U184" s="29"/>
      <c r="V184" s="29"/>
      <c r="W184" s="29"/>
      <c r="X184" s="29"/>
      <c r="Y184" s="29"/>
      <c r="Z184" s="29"/>
      <c r="AA184" s="30"/>
      <c r="AB184" s="30"/>
      <c r="AC184" s="30"/>
      <c r="AD184" s="30"/>
    </row>
    <row r="185" spans="1:30" x14ac:dyDescent="0.25">
      <c r="A185" s="28">
        <v>45710.533333333333</v>
      </c>
      <c r="B185" s="25" t="s">
        <v>2805</v>
      </c>
      <c r="C185" s="25">
        <v>1046953546</v>
      </c>
      <c r="D185" s="29"/>
      <c r="E185" s="26" t="s">
        <v>865</v>
      </c>
      <c r="F185" s="25" t="s">
        <v>1573</v>
      </c>
      <c r="G185" s="29"/>
      <c r="H185" s="25" t="s">
        <v>2806</v>
      </c>
      <c r="I185" s="25">
        <v>3138702032</v>
      </c>
      <c r="J185" s="27"/>
      <c r="K185" s="27"/>
      <c r="L185" s="27"/>
      <c r="M185" s="27" t="s">
        <v>2613</v>
      </c>
      <c r="N185" s="28"/>
      <c r="O185" s="29"/>
      <c r="P185" s="29"/>
      <c r="Q185" s="29"/>
      <c r="R185" s="29"/>
      <c r="S185" s="29"/>
      <c r="T185" s="29"/>
      <c r="U185" s="29"/>
      <c r="V185" s="29"/>
      <c r="W185" s="29"/>
      <c r="X185" s="29"/>
      <c r="Y185" s="29"/>
      <c r="Z185" s="29"/>
      <c r="AA185" s="30"/>
      <c r="AB185" s="30"/>
      <c r="AC185" s="30"/>
      <c r="AD185" s="30"/>
    </row>
    <row r="186" spans="1:30" x14ac:dyDescent="0.25">
      <c r="A186" s="28">
        <v>45710.540972222225</v>
      </c>
      <c r="B186" s="25" t="s">
        <v>2420</v>
      </c>
      <c r="C186" s="25">
        <v>70303644</v>
      </c>
      <c r="D186" s="29">
        <v>3107244906</v>
      </c>
      <c r="E186" s="26" t="s">
        <v>865</v>
      </c>
      <c r="F186" s="25" t="s">
        <v>1573</v>
      </c>
      <c r="G186" s="29"/>
      <c r="H186" s="25"/>
      <c r="I186" s="25"/>
      <c r="J186" s="27"/>
      <c r="K186" s="27"/>
      <c r="L186" s="27"/>
      <c r="M186" s="27" t="s">
        <v>2613</v>
      </c>
      <c r="N186" s="28"/>
      <c r="O186" s="29"/>
      <c r="P186" s="29"/>
      <c r="Q186" s="29"/>
      <c r="R186" s="29"/>
      <c r="S186" s="29"/>
      <c r="T186" s="29"/>
      <c r="U186" s="29"/>
      <c r="V186" s="29"/>
      <c r="W186" s="29"/>
      <c r="X186" s="29"/>
      <c r="Y186" s="29"/>
      <c r="Z186" s="29"/>
      <c r="AA186" s="30"/>
      <c r="AB186" s="30"/>
      <c r="AC186" s="30"/>
      <c r="AD186" s="30"/>
    </row>
    <row r="187" spans="1:30" x14ac:dyDescent="0.25">
      <c r="A187" s="28">
        <v>45710.551388888889</v>
      </c>
      <c r="B187" s="25" t="s">
        <v>2807</v>
      </c>
      <c r="C187" s="25">
        <v>1128434049</v>
      </c>
      <c r="D187" s="29">
        <v>3205151458</v>
      </c>
      <c r="E187" s="26" t="s">
        <v>865</v>
      </c>
      <c r="F187" s="25" t="s">
        <v>1573</v>
      </c>
      <c r="G187" s="29"/>
      <c r="H187" s="25" t="s">
        <v>2808</v>
      </c>
      <c r="I187" s="25">
        <v>3116264944</v>
      </c>
      <c r="J187" s="27"/>
      <c r="K187" s="27"/>
      <c r="L187" s="27"/>
      <c r="M187" s="27" t="s">
        <v>2613</v>
      </c>
      <c r="N187" s="28"/>
      <c r="O187" s="29"/>
      <c r="P187" s="29"/>
      <c r="Q187" s="29"/>
      <c r="R187" s="29"/>
      <c r="S187" s="29"/>
      <c r="T187" s="29"/>
      <c r="U187" s="29"/>
      <c r="V187" s="29"/>
      <c r="W187" s="29"/>
      <c r="X187" s="29"/>
      <c r="Y187" s="29"/>
      <c r="Z187" s="29"/>
      <c r="AA187" s="30"/>
      <c r="AB187" s="30"/>
      <c r="AC187" s="30"/>
      <c r="AD187" s="30"/>
    </row>
    <row r="188" spans="1:30" x14ac:dyDescent="0.25">
      <c r="A188" s="28">
        <v>45715.813194444447</v>
      </c>
      <c r="B188" s="25" t="s">
        <v>2423</v>
      </c>
      <c r="C188" s="25">
        <v>22024687</v>
      </c>
      <c r="D188" s="29">
        <v>3007893172</v>
      </c>
      <c r="E188" s="26" t="s">
        <v>865</v>
      </c>
      <c r="F188" s="25" t="s">
        <v>1573</v>
      </c>
      <c r="G188" s="29"/>
      <c r="H188" s="25" t="s">
        <v>2424</v>
      </c>
      <c r="I188" s="25">
        <v>3116264944</v>
      </c>
      <c r="J188" s="27"/>
      <c r="K188" s="27"/>
      <c r="L188" s="27"/>
      <c r="M188" s="27" t="s">
        <v>2613</v>
      </c>
      <c r="N188" s="28"/>
      <c r="O188" s="29"/>
      <c r="P188" s="29"/>
      <c r="Q188" s="29"/>
      <c r="R188" s="29"/>
      <c r="S188" s="29"/>
      <c r="T188" s="29"/>
      <c r="U188" s="29"/>
      <c r="V188" s="29"/>
      <c r="W188" s="29"/>
      <c r="X188" s="29"/>
      <c r="Y188" s="29"/>
      <c r="Z188" s="29"/>
      <c r="AA188" s="30"/>
      <c r="AB188" s="30"/>
      <c r="AC188" s="30"/>
      <c r="AD188" s="30"/>
    </row>
    <row r="189" spans="1:30" x14ac:dyDescent="0.25">
      <c r="A189" s="28">
        <v>45715.81527777778</v>
      </c>
      <c r="B189" s="25" t="s">
        <v>2426</v>
      </c>
      <c r="C189" s="25">
        <v>1037449311</v>
      </c>
      <c r="D189" s="29">
        <v>3216440006</v>
      </c>
      <c r="E189" s="26" t="s">
        <v>865</v>
      </c>
      <c r="F189" s="25" t="s">
        <v>1573</v>
      </c>
      <c r="G189" s="29"/>
      <c r="H189" s="25" t="s">
        <v>2427</v>
      </c>
      <c r="I189" s="25">
        <v>3183464231</v>
      </c>
      <c r="J189" s="27"/>
      <c r="K189" s="27"/>
      <c r="L189" s="27"/>
      <c r="M189" s="27" t="s">
        <v>2613</v>
      </c>
      <c r="N189" s="28"/>
      <c r="O189" s="29"/>
      <c r="P189" s="29"/>
      <c r="Q189" s="29"/>
      <c r="R189" s="29"/>
      <c r="S189" s="29"/>
      <c r="T189" s="29"/>
      <c r="U189" s="29"/>
      <c r="V189" s="29"/>
      <c r="W189" s="29"/>
      <c r="X189" s="29"/>
      <c r="Y189" s="29"/>
      <c r="Z189" s="29"/>
      <c r="AA189" s="30"/>
      <c r="AB189" s="30"/>
      <c r="AC189" s="30"/>
      <c r="AD189" s="30"/>
    </row>
    <row r="190" spans="1:30" x14ac:dyDescent="0.25">
      <c r="A190" s="28">
        <v>45715.817361111112</v>
      </c>
      <c r="B190" s="25" t="s">
        <v>2430</v>
      </c>
      <c r="C190" s="25">
        <v>43526362</v>
      </c>
      <c r="D190" s="29">
        <v>3015409691</v>
      </c>
      <c r="E190" s="26" t="s">
        <v>865</v>
      </c>
      <c r="F190" s="25" t="s">
        <v>1415</v>
      </c>
      <c r="G190" s="29"/>
      <c r="H190" s="25" t="s">
        <v>2431</v>
      </c>
      <c r="I190" s="25">
        <v>3205713553</v>
      </c>
      <c r="J190" s="27"/>
      <c r="K190" s="27"/>
      <c r="L190" s="27"/>
      <c r="M190" s="27" t="s">
        <v>2613</v>
      </c>
      <c r="N190" s="28"/>
      <c r="O190" s="29"/>
      <c r="P190" s="29"/>
      <c r="Q190" s="29"/>
      <c r="R190" s="29"/>
      <c r="S190" s="29"/>
      <c r="T190" s="29"/>
      <c r="U190" s="29"/>
      <c r="V190" s="29"/>
      <c r="W190" s="29"/>
      <c r="X190" s="29"/>
      <c r="Y190" s="29"/>
      <c r="Z190" s="29"/>
      <c r="AA190" s="30"/>
      <c r="AB190" s="30"/>
      <c r="AC190" s="30"/>
      <c r="AD190" s="30"/>
    </row>
    <row r="191" spans="1:30" x14ac:dyDescent="0.25">
      <c r="A191" s="28">
        <v>45715.818749999999</v>
      </c>
      <c r="B191" s="25" t="s">
        <v>2433</v>
      </c>
      <c r="C191" s="25">
        <v>21698280</v>
      </c>
      <c r="D191" s="29">
        <v>3136285168</v>
      </c>
      <c r="E191" s="26" t="s">
        <v>865</v>
      </c>
      <c r="F191" s="25" t="s">
        <v>1573</v>
      </c>
      <c r="G191" s="29"/>
      <c r="H191" s="25" t="s">
        <v>2434</v>
      </c>
      <c r="I191" s="25">
        <v>3206106275</v>
      </c>
      <c r="J191" s="27"/>
      <c r="K191" s="27"/>
      <c r="L191" s="27"/>
      <c r="M191" s="27" t="s">
        <v>2613</v>
      </c>
      <c r="N191" s="28"/>
      <c r="O191" s="29"/>
      <c r="P191" s="29"/>
      <c r="Q191" s="29"/>
      <c r="R191" s="29"/>
      <c r="S191" s="29"/>
      <c r="T191" s="29"/>
      <c r="U191" s="29"/>
      <c r="V191" s="29"/>
      <c r="W191" s="29"/>
      <c r="X191" s="29"/>
      <c r="Y191" s="29"/>
      <c r="Z191" s="29"/>
      <c r="AA191" s="30"/>
      <c r="AB191" s="30"/>
      <c r="AC191" s="30"/>
      <c r="AD191" s="30"/>
    </row>
    <row r="192" spans="1:30" x14ac:dyDescent="0.25">
      <c r="A192" s="28">
        <v>45726.818055555559</v>
      </c>
      <c r="B192" s="25" t="s">
        <v>2809</v>
      </c>
      <c r="C192" s="25">
        <v>16919112</v>
      </c>
      <c r="D192" s="29">
        <v>3138702032</v>
      </c>
      <c r="E192" s="26" t="s">
        <v>865</v>
      </c>
      <c r="F192" s="25" t="s">
        <v>1573</v>
      </c>
      <c r="G192" s="29"/>
      <c r="H192" s="25"/>
      <c r="I192" s="25"/>
      <c r="J192" s="27"/>
      <c r="K192" s="27"/>
      <c r="L192" s="27"/>
      <c r="M192" s="27" t="s">
        <v>2613</v>
      </c>
      <c r="N192" s="28"/>
      <c r="O192" s="29"/>
      <c r="P192" s="29"/>
      <c r="Q192" s="29"/>
      <c r="R192" s="29"/>
      <c r="S192" s="29"/>
      <c r="T192" s="29"/>
      <c r="U192" s="29"/>
      <c r="V192" s="29"/>
      <c r="W192" s="29"/>
      <c r="X192" s="29"/>
      <c r="Y192" s="29"/>
      <c r="Z192" s="29"/>
      <c r="AA192" s="30"/>
      <c r="AB192" s="30"/>
      <c r="AC192" s="30"/>
      <c r="AD192" s="30"/>
    </row>
    <row r="193" spans="1:30" x14ac:dyDescent="0.25">
      <c r="A193" s="28">
        <v>45745.467361111114</v>
      </c>
      <c r="B193" s="25" t="s">
        <v>2461</v>
      </c>
      <c r="C193" s="25">
        <v>1036668630</v>
      </c>
      <c r="D193" s="29">
        <v>3001649351</v>
      </c>
      <c r="E193" s="26" t="s">
        <v>865</v>
      </c>
      <c r="F193" s="25" t="s">
        <v>1573</v>
      </c>
      <c r="G193" s="29"/>
      <c r="H193" s="25"/>
      <c r="I193" s="25"/>
      <c r="J193" s="27"/>
      <c r="K193" s="27"/>
      <c r="L193" s="27"/>
      <c r="M193" s="27" t="s">
        <v>2613</v>
      </c>
      <c r="N193" s="28"/>
      <c r="O193" s="29"/>
      <c r="P193" s="29"/>
      <c r="Q193" s="29"/>
      <c r="R193" s="29"/>
      <c r="S193" s="29"/>
      <c r="T193" s="29"/>
      <c r="U193" s="29"/>
      <c r="V193" s="29"/>
      <c r="W193" s="29"/>
      <c r="X193" s="29"/>
      <c r="Y193" s="29"/>
      <c r="Z193" s="29"/>
      <c r="AA193" s="30"/>
      <c r="AB193" s="30"/>
      <c r="AC193" s="30"/>
      <c r="AD193" s="30"/>
    </row>
    <row r="194" spans="1:30" x14ac:dyDescent="0.25">
      <c r="A194" s="28">
        <v>45745.469444444447</v>
      </c>
      <c r="B194" s="25" t="s">
        <v>2810</v>
      </c>
      <c r="C194" s="25">
        <v>1066513138</v>
      </c>
      <c r="D194" s="29">
        <v>3022590560</v>
      </c>
      <c r="E194" s="26" t="s">
        <v>865</v>
      </c>
      <c r="F194" s="25" t="s">
        <v>1573</v>
      </c>
      <c r="G194" s="29"/>
      <c r="H194" s="25"/>
      <c r="I194" s="25"/>
      <c r="J194" s="27"/>
      <c r="K194" s="27"/>
      <c r="L194" s="27"/>
      <c r="M194" s="27" t="s">
        <v>2613</v>
      </c>
      <c r="N194" s="28"/>
      <c r="O194" s="29"/>
      <c r="P194" s="29"/>
      <c r="Q194" s="29"/>
      <c r="R194" s="29"/>
      <c r="S194" s="29"/>
      <c r="T194" s="29"/>
      <c r="U194" s="29"/>
      <c r="V194" s="29"/>
      <c r="W194" s="29"/>
      <c r="X194" s="29"/>
      <c r="Y194" s="29"/>
      <c r="Z194" s="29"/>
      <c r="AA194" s="30"/>
      <c r="AB194" s="30"/>
      <c r="AC194" s="30"/>
      <c r="AD194" s="30"/>
    </row>
    <row r="195" spans="1:30" x14ac:dyDescent="0.25">
      <c r="A195" s="28">
        <v>45745.472222222219</v>
      </c>
      <c r="B195" s="25" t="s">
        <v>2466</v>
      </c>
      <c r="C195" s="25">
        <v>1000394111</v>
      </c>
      <c r="D195" s="29">
        <v>3147234356</v>
      </c>
      <c r="E195" s="26" t="s">
        <v>865</v>
      </c>
      <c r="F195" s="25" t="s">
        <v>1415</v>
      </c>
      <c r="G195" s="29" t="s">
        <v>2465</v>
      </c>
      <c r="H195" s="25"/>
      <c r="I195" s="25"/>
      <c r="J195" s="27"/>
      <c r="K195" s="27"/>
      <c r="L195" s="27"/>
      <c r="M195" s="27" t="s">
        <v>2613</v>
      </c>
      <c r="N195" s="28"/>
      <c r="O195" s="29"/>
      <c r="P195" s="29"/>
      <c r="Q195" s="29"/>
      <c r="R195" s="29"/>
      <c r="S195" s="29"/>
      <c r="T195" s="29"/>
      <c r="U195" s="29"/>
      <c r="V195" s="29"/>
      <c r="W195" s="29"/>
      <c r="X195" s="29"/>
      <c r="Y195" s="29"/>
      <c r="Z195" s="29"/>
      <c r="AA195" s="30"/>
      <c r="AB195" s="30"/>
      <c r="AC195" s="30"/>
      <c r="AD195" s="30"/>
    </row>
    <row r="196" spans="1:30" x14ac:dyDescent="0.25">
      <c r="A196" s="28">
        <v>45745.473611111112</v>
      </c>
      <c r="B196" s="25" t="s">
        <v>2468</v>
      </c>
      <c r="C196" s="25">
        <v>1036786063</v>
      </c>
      <c r="D196" s="29">
        <v>3012852023</v>
      </c>
      <c r="E196" s="26" t="s">
        <v>865</v>
      </c>
      <c r="F196" s="25" t="s">
        <v>1573</v>
      </c>
      <c r="G196" s="29"/>
      <c r="H196" s="25"/>
      <c r="I196" s="25"/>
      <c r="J196" s="27"/>
      <c r="K196" s="27"/>
      <c r="L196" s="27"/>
      <c r="M196" s="27" t="s">
        <v>2613</v>
      </c>
      <c r="N196" s="28"/>
      <c r="O196" s="29"/>
      <c r="P196" s="29"/>
      <c r="Q196" s="29"/>
      <c r="R196" s="29"/>
      <c r="S196" s="29"/>
      <c r="T196" s="29"/>
      <c r="U196" s="29"/>
      <c r="V196" s="29"/>
      <c r="W196" s="29"/>
      <c r="X196" s="29"/>
      <c r="Y196" s="29"/>
      <c r="Z196" s="29"/>
      <c r="AA196" s="30"/>
      <c r="AB196" s="30"/>
      <c r="AC196" s="30"/>
      <c r="AD196" s="30"/>
    </row>
    <row r="197" spans="1:30" x14ac:dyDescent="0.25">
      <c r="A197" s="28">
        <v>45745.474999999999</v>
      </c>
      <c r="B197" s="25" t="s">
        <v>2472</v>
      </c>
      <c r="C197" s="25">
        <v>1214713908</v>
      </c>
      <c r="D197" s="29">
        <v>3233553258</v>
      </c>
      <c r="E197" s="26" t="s">
        <v>865</v>
      </c>
      <c r="F197" s="25" t="s">
        <v>894</v>
      </c>
      <c r="G197" s="29"/>
      <c r="H197" s="25" t="s">
        <v>2473</v>
      </c>
      <c r="I197" s="25">
        <v>3104227726</v>
      </c>
      <c r="J197" s="27"/>
      <c r="K197" s="27"/>
      <c r="L197" s="27"/>
      <c r="M197" s="27" t="s">
        <v>2613</v>
      </c>
      <c r="N197" s="28"/>
      <c r="O197" s="29"/>
      <c r="P197" s="29"/>
      <c r="Q197" s="29"/>
      <c r="R197" s="29"/>
      <c r="S197" s="29"/>
      <c r="T197" s="29"/>
      <c r="U197" s="29"/>
      <c r="V197" s="29"/>
      <c r="W197" s="29"/>
      <c r="X197" s="29"/>
      <c r="Y197" s="29"/>
      <c r="Z197" s="29"/>
      <c r="AA197" s="30"/>
      <c r="AB197" s="30"/>
      <c r="AC197" s="30"/>
      <c r="AD197" s="30"/>
    </row>
    <row r="198" spans="1:30" x14ac:dyDescent="0.25">
      <c r="A198" s="28">
        <v>45745.475694444445</v>
      </c>
      <c r="B198" s="25" t="s">
        <v>2477</v>
      </c>
      <c r="C198" s="25">
        <v>32109641</v>
      </c>
      <c r="D198" s="29">
        <v>3243164400</v>
      </c>
      <c r="E198" s="26" t="s">
        <v>865</v>
      </c>
      <c r="F198" s="25" t="s">
        <v>1339</v>
      </c>
      <c r="G198" s="29"/>
      <c r="H198" s="25"/>
      <c r="I198" s="25"/>
      <c r="J198" s="27"/>
      <c r="K198" s="27"/>
      <c r="L198" s="27"/>
      <c r="M198" s="27" t="s">
        <v>2613</v>
      </c>
      <c r="N198" s="28"/>
      <c r="O198" s="29"/>
      <c r="P198" s="29"/>
      <c r="Q198" s="29"/>
      <c r="R198" s="29"/>
      <c r="S198" s="29"/>
      <c r="T198" s="29"/>
      <c r="U198" s="29"/>
      <c r="V198" s="29"/>
      <c r="W198" s="29"/>
      <c r="X198" s="29"/>
      <c r="Y198" s="29"/>
      <c r="Z198" s="29"/>
      <c r="AA198" s="30"/>
      <c r="AB198" s="30"/>
      <c r="AC198" s="30"/>
      <c r="AD198" s="30"/>
    </row>
    <row r="199" spans="1:30" x14ac:dyDescent="0.25">
      <c r="A199" s="28">
        <v>45745.478472222225</v>
      </c>
      <c r="B199" s="25" t="s">
        <v>2479</v>
      </c>
      <c r="C199" s="25">
        <v>32108394</v>
      </c>
      <c r="D199" s="29">
        <v>3019325165</v>
      </c>
      <c r="E199" s="26" t="s">
        <v>865</v>
      </c>
      <c r="F199" s="25" t="s">
        <v>1415</v>
      </c>
      <c r="G199" s="29"/>
      <c r="H199" s="25" t="s">
        <v>2480</v>
      </c>
      <c r="I199" s="25">
        <v>3042991339</v>
      </c>
      <c r="J199" s="27"/>
      <c r="K199" s="27"/>
      <c r="L199" s="27"/>
      <c r="M199" s="27" t="s">
        <v>2613</v>
      </c>
      <c r="N199" s="28"/>
      <c r="O199" s="29"/>
      <c r="P199" s="29"/>
      <c r="Q199" s="29"/>
      <c r="R199" s="29"/>
      <c r="S199" s="29"/>
      <c r="T199" s="29"/>
      <c r="U199" s="29"/>
      <c r="V199" s="29"/>
      <c r="W199" s="29"/>
      <c r="X199" s="29"/>
      <c r="Y199" s="29"/>
      <c r="Z199" s="29"/>
      <c r="AA199" s="30"/>
      <c r="AB199" s="30"/>
      <c r="AC199" s="30"/>
      <c r="AD199" s="30"/>
    </row>
    <row r="200" spans="1:30" x14ac:dyDescent="0.25">
      <c r="A200" s="28">
        <v>45745.479166666664</v>
      </c>
      <c r="B200" s="25" t="s">
        <v>2483</v>
      </c>
      <c r="C200" s="25">
        <v>22102131</v>
      </c>
      <c r="D200" s="29">
        <v>3128056747</v>
      </c>
      <c r="E200" s="26" t="s">
        <v>865</v>
      </c>
      <c r="F200" s="25" t="s">
        <v>1440</v>
      </c>
      <c r="G200" s="29"/>
      <c r="H200" s="25" t="s">
        <v>2484</v>
      </c>
      <c r="I200" s="25">
        <v>3137341044</v>
      </c>
      <c r="J200" s="27"/>
      <c r="K200" s="27"/>
      <c r="L200" s="27"/>
      <c r="M200" s="27" t="s">
        <v>2613</v>
      </c>
      <c r="N200" s="28"/>
      <c r="O200" s="29"/>
      <c r="P200" s="29"/>
      <c r="Q200" s="29"/>
      <c r="R200" s="29"/>
      <c r="S200" s="29"/>
      <c r="T200" s="29"/>
      <c r="U200" s="29"/>
      <c r="V200" s="29"/>
      <c r="W200" s="29"/>
      <c r="X200" s="29"/>
      <c r="Y200" s="29"/>
      <c r="Z200" s="29"/>
      <c r="AA200" s="30"/>
      <c r="AB200" s="30"/>
      <c r="AC200" s="30"/>
      <c r="AD200" s="30"/>
    </row>
    <row r="201" spans="1:30" x14ac:dyDescent="0.25">
      <c r="A201" s="28">
        <v>45745.479166666664</v>
      </c>
      <c r="B201" s="25" t="s">
        <v>2487</v>
      </c>
      <c r="C201" s="25">
        <v>1010021758</v>
      </c>
      <c r="D201" s="29">
        <v>3122949211</v>
      </c>
      <c r="E201" s="26" t="s">
        <v>865</v>
      </c>
      <c r="F201" s="29"/>
      <c r="G201" s="29"/>
      <c r="H201" s="25"/>
      <c r="I201" s="25"/>
      <c r="J201" s="27"/>
      <c r="K201" s="27"/>
      <c r="L201" s="27"/>
      <c r="M201" s="27" t="s">
        <v>2613</v>
      </c>
      <c r="N201" s="28"/>
      <c r="O201" s="29"/>
      <c r="P201" s="29"/>
      <c r="Q201" s="29"/>
      <c r="R201" s="29"/>
      <c r="S201" s="29"/>
      <c r="T201" s="29"/>
      <c r="U201" s="29"/>
      <c r="V201" s="29"/>
      <c r="W201" s="29"/>
      <c r="X201" s="29"/>
      <c r="Y201" s="29"/>
      <c r="Z201" s="29"/>
      <c r="AA201" s="30"/>
      <c r="AB201" s="30"/>
      <c r="AC201" s="30"/>
      <c r="AD201" s="30"/>
    </row>
    <row r="202" spans="1:30" x14ac:dyDescent="0.25">
      <c r="A202" s="28">
        <v>45745.480555555558</v>
      </c>
      <c r="B202" s="25" t="s">
        <v>2811</v>
      </c>
      <c r="C202" s="25">
        <v>42937945</v>
      </c>
      <c r="D202" s="29">
        <v>3116390475</v>
      </c>
      <c r="E202" s="26" t="s">
        <v>865</v>
      </c>
      <c r="F202" s="25" t="s">
        <v>1440</v>
      </c>
      <c r="G202" s="29"/>
      <c r="H202" s="25" t="s">
        <v>2492</v>
      </c>
      <c r="I202" s="25">
        <v>3042032791</v>
      </c>
      <c r="J202" s="27"/>
      <c r="K202" s="27"/>
      <c r="L202" s="27"/>
      <c r="M202" s="27" t="s">
        <v>2613</v>
      </c>
      <c r="N202" s="28"/>
      <c r="O202" s="29"/>
      <c r="P202" s="29"/>
      <c r="Q202" s="29"/>
      <c r="R202" s="29"/>
      <c r="S202" s="29"/>
      <c r="T202" s="29"/>
      <c r="U202" s="29"/>
      <c r="V202" s="29"/>
      <c r="W202" s="29"/>
      <c r="X202" s="29"/>
      <c r="Y202" s="29"/>
      <c r="Z202" s="29"/>
      <c r="AA202" s="30"/>
      <c r="AB202" s="30"/>
      <c r="AC202" s="30"/>
      <c r="AD202" s="30"/>
    </row>
    <row r="203" spans="1:30" x14ac:dyDescent="0.25">
      <c r="A203" s="28">
        <v>45745.480555555558</v>
      </c>
      <c r="B203" s="25" t="s">
        <v>2812</v>
      </c>
      <c r="C203" s="25">
        <v>1027940557</v>
      </c>
      <c r="D203" s="29">
        <v>3107178203</v>
      </c>
      <c r="E203" s="26" t="s">
        <v>865</v>
      </c>
      <c r="F203" s="25" t="s">
        <v>1440</v>
      </c>
      <c r="G203" s="29"/>
      <c r="H203" s="25" t="s">
        <v>2813</v>
      </c>
      <c r="I203" s="25">
        <v>3128432549</v>
      </c>
      <c r="J203" s="27"/>
      <c r="K203" s="27"/>
      <c r="L203" s="27"/>
      <c r="M203" s="27" t="s">
        <v>2613</v>
      </c>
      <c r="N203" s="28"/>
      <c r="O203" s="29"/>
      <c r="P203" s="29"/>
      <c r="Q203" s="29"/>
      <c r="R203" s="29"/>
      <c r="S203" s="29"/>
      <c r="T203" s="29"/>
      <c r="U203" s="29"/>
      <c r="V203" s="29"/>
      <c r="W203" s="29"/>
      <c r="X203" s="29"/>
      <c r="Y203" s="29"/>
      <c r="Z203" s="29"/>
      <c r="AA203" s="30"/>
      <c r="AB203" s="30"/>
      <c r="AC203" s="30"/>
      <c r="AD203" s="30"/>
    </row>
    <row r="204" spans="1:30" x14ac:dyDescent="0.25">
      <c r="A204" s="28">
        <v>45745.480555555558</v>
      </c>
      <c r="B204" s="25" t="s">
        <v>1679</v>
      </c>
      <c r="C204" s="25">
        <v>70725959</v>
      </c>
      <c r="D204" s="29">
        <v>3194498224</v>
      </c>
      <c r="E204" s="26" t="s">
        <v>865</v>
      </c>
      <c r="F204" s="25" t="s">
        <v>2618</v>
      </c>
      <c r="G204" s="29"/>
      <c r="H204" s="25" t="s">
        <v>1680</v>
      </c>
      <c r="I204" s="25">
        <v>3137035755</v>
      </c>
      <c r="J204" s="27"/>
      <c r="K204" s="27"/>
      <c r="L204" s="27"/>
      <c r="M204" s="27" t="s">
        <v>2613</v>
      </c>
      <c r="N204" s="28"/>
      <c r="O204" s="29"/>
      <c r="P204" s="29"/>
      <c r="Q204" s="29"/>
      <c r="R204" s="29"/>
      <c r="S204" s="29"/>
      <c r="T204" s="29"/>
      <c r="U204" s="29"/>
      <c r="V204" s="29"/>
      <c r="W204" s="29"/>
      <c r="X204" s="29"/>
      <c r="Y204" s="29"/>
      <c r="Z204" s="29"/>
      <c r="AA204" s="30"/>
      <c r="AB204" s="30"/>
      <c r="AC204" s="30"/>
      <c r="AD204" s="30"/>
    </row>
    <row r="205" spans="1:30" x14ac:dyDescent="0.25">
      <c r="A205" s="28">
        <v>45745.481249999997</v>
      </c>
      <c r="B205" s="25" t="s">
        <v>2506</v>
      </c>
      <c r="C205" s="25">
        <v>1020105479</v>
      </c>
      <c r="D205" s="29">
        <v>3195802816</v>
      </c>
      <c r="E205" s="26" t="s">
        <v>865</v>
      </c>
      <c r="F205" s="25" t="s">
        <v>1573</v>
      </c>
      <c r="G205" s="29"/>
      <c r="H205" s="25" t="s">
        <v>2507</v>
      </c>
      <c r="I205" s="25">
        <v>3122949211</v>
      </c>
      <c r="J205" s="27"/>
      <c r="K205" s="27"/>
      <c r="L205" s="27"/>
      <c r="M205" s="27" t="s">
        <v>2613</v>
      </c>
      <c r="N205" s="28"/>
      <c r="O205" s="29"/>
      <c r="P205" s="29"/>
      <c r="Q205" s="29"/>
      <c r="R205" s="29"/>
      <c r="S205" s="29"/>
      <c r="T205" s="29"/>
      <c r="U205" s="29"/>
      <c r="V205" s="29"/>
      <c r="W205" s="29"/>
      <c r="X205" s="29"/>
      <c r="Y205" s="29"/>
      <c r="Z205" s="29"/>
      <c r="AA205" s="30"/>
      <c r="AB205" s="30"/>
      <c r="AC205" s="30"/>
      <c r="AD205" s="30"/>
    </row>
    <row r="206" spans="1:30" x14ac:dyDescent="0.25">
      <c r="A206" s="28">
        <v>45745.482638888891</v>
      </c>
      <c r="B206" s="25" t="s">
        <v>2510</v>
      </c>
      <c r="C206" s="25">
        <v>16919112</v>
      </c>
      <c r="D206" s="29">
        <v>3138702032</v>
      </c>
      <c r="E206" s="26" t="s">
        <v>865</v>
      </c>
      <c r="F206" s="25" t="s">
        <v>1573</v>
      </c>
      <c r="G206" s="29"/>
      <c r="H206" s="25"/>
      <c r="I206" s="25"/>
      <c r="J206" s="27"/>
      <c r="K206" s="27"/>
      <c r="L206" s="27"/>
      <c r="M206" s="27" t="s">
        <v>2613</v>
      </c>
      <c r="N206" s="28"/>
      <c r="O206" s="29"/>
      <c r="P206" s="29"/>
      <c r="Q206" s="29"/>
      <c r="R206" s="29"/>
      <c r="S206" s="29"/>
      <c r="T206" s="29"/>
      <c r="U206" s="29"/>
      <c r="V206" s="29"/>
      <c r="W206" s="29"/>
      <c r="X206" s="29"/>
      <c r="Y206" s="29"/>
      <c r="Z206" s="29"/>
      <c r="AA206" s="30"/>
      <c r="AB206" s="30"/>
      <c r="AC206" s="30"/>
      <c r="AD206" s="30"/>
    </row>
    <row r="207" spans="1:30" x14ac:dyDescent="0.25">
      <c r="A207" s="28">
        <v>45745.48333333333</v>
      </c>
      <c r="B207" s="25" t="s">
        <v>2512</v>
      </c>
      <c r="C207" s="25">
        <v>1020105479</v>
      </c>
      <c r="D207" s="29">
        <v>3195802816</v>
      </c>
      <c r="E207" s="26" t="s">
        <v>865</v>
      </c>
      <c r="F207" s="25" t="s">
        <v>1573</v>
      </c>
      <c r="G207" s="29"/>
      <c r="H207" s="25" t="s">
        <v>2507</v>
      </c>
      <c r="I207" s="25">
        <v>3122949211</v>
      </c>
      <c r="J207" s="27"/>
      <c r="K207" s="27"/>
      <c r="L207" s="27"/>
      <c r="M207" s="27" t="s">
        <v>2613</v>
      </c>
      <c r="N207" s="28"/>
      <c r="O207" s="29"/>
      <c r="P207" s="29"/>
      <c r="Q207" s="29"/>
      <c r="R207" s="29"/>
      <c r="S207" s="29"/>
      <c r="T207" s="29"/>
      <c r="U207" s="29"/>
      <c r="V207" s="29"/>
      <c r="W207" s="29"/>
      <c r="X207" s="29"/>
      <c r="Y207" s="29"/>
      <c r="Z207" s="29"/>
      <c r="AA207" s="30"/>
      <c r="AB207" s="30"/>
      <c r="AC207" s="30"/>
      <c r="AD207" s="30"/>
    </row>
    <row r="208" spans="1:30" x14ac:dyDescent="0.25">
      <c r="A208" s="28">
        <v>45745.484027777777</v>
      </c>
      <c r="B208" s="25" t="s">
        <v>2515</v>
      </c>
      <c r="C208" s="25">
        <v>21813485</v>
      </c>
      <c r="D208" s="29">
        <v>3135306502</v>
      </c>
      <c r="E208" s="26" t="s">
        <v>865</v>
      </c>
      <c r="F208" s="25" t="s">
        <v>1440</v>
      </c>
      <c r="G208" s="29"/>
      <c r="H208" s="25"/>
      <c r="I208" s="25"/>
      <c r="J208" s="27"/>
      <c r="K208" s="27"/>
      <c r="L208" s="27"/>
      <c r="M208" s="27" t="s">
        <v>2613</v>
      </c>
      <c r="N208" s="28"/>
      <c r="O208" s="29"/>
      <c r="P208" s="29"/>
      <c r="Q208" s="29"/>
      <c r="R208" s="29"/>
      <c r="S208" s="29"/>
      <c r="T208" s="29"/>
      <c r="U208" s="29"/>
      <c r="V208" s="29"/>
      <c r="W208" s="29"/>
      <c r="X208" s="29"/>
      <c r="Y208" s="29"/>
      <c r="Z208" s="29"/>
      <c r="AA208" s="30"/>
      <c r="AB208" s="30"/>
      <c r="AC208" s="30"/>
      <c r="AD208" s="30"/>
    </row>
    <row r="209" spans="1:34" x14ac:dyDescent="0.25">
      <c r="A209" s="28">
        <v>45745.484722222223</v>
      </c>
      <c r="B209" s="25" t="s">
        <v>2520</v>
      </c>
      <c r="C209" s="25">
        <v>30568413</v>
      </c>
      <c r="D209" s="29">
        <v>3135811992</v>
      </c>
      <c r="E209" s="26" t="s">
        <v>865</v>
      </c>
      <c r="F209" s="25" t="s">
        <v>2618</v>
      </c>
      <c r="G209" s="29"/>
      <c r="H209" s="25" t="s">
        <v>2521</v>
      </c>
      <c r="I209" s="25">
        <v>3106620908</v>
      </c>
      <c r="J209" s="27"/>
      <c r="K209" s="27"/>
      <c r="L209" s="27"/>
      <c r="M209" s="27" t="s">
        <v>2613</v>
      </c>
      <c r="N209" s="28"/>
      <c r="O209" s="29"/>
      <c r="P209" s="29"/>
      <c r="Q209" s="29"/>
      <c r="R209" s="29"/>
      <c r="S209" s="29"/>
      <c r="T209" s="29"/>
      <c r="U209" s="29"/>
      <c r="V209" s="29"/>
      <c r="W209" s="29"/>
      <c r="X209" s="29"/>
      <c r="Y209" s="29"/>
      <c r="Z209" s="29"/>
      <c r="AA209" s="30"/>
      <c r="AB209" s="30"/>
      <c r="AC209" s="30"/>
      <c r="AD209" s="30"/>
    </row>
    <row r="210" spans="1:34" x14ac:dyDescent="0.25">
      <c r="A210" s="28">
        <v>45745.48541666667</v>
      </c>
      <c r="B210" s="25" t="s">
        <v>2522</v>
      </c>
      <c r="C210" s="25">
        <v>43200109</v>
      </c>
      <c r="D210" s="29">
        <v>3043438020</v>
      </c>
      <c r="E210" s="26" t="s">
        <v>865</v>
      </c>
      <c r="F210" s="25" t="s">
        <v>1440</v>
      </c>
      <c r="G210" s="29"/>
      <c r="H210" s="25" t="s">
        <v>2523</v>
      </c>
      <c r="I210" s="25">
        <v>3148738335</v>
      </c>
      <c r="J210" s="27"/>
      <c r="K210" s="27"/>
      <c r="L210" s="27"/>
      <c r="M210" s="27" t="s">
        <v>2613</v>
      </c>
      <c r="N210" s="28"/>
      <c r="O210" s="29"/>
      <c r="P210" s="29"/>
      <c r="Q210" s="29"/>
      <c r="R210" s="29"/>
      <c r="S210" s="29"/>
      <c r="T210" s="29"/>
      <c r="U210" s="29"/>
      <c r="V210" s="29"/>
      <c r="W210" s="29"/>
      <c r="X210" s="29"/>
      <c r="Y210" s="29"/>
      <c r="Z210" s="29"/>
      <c r="AA210" s="30"/>
      <c r="AB210" s="30"/>
      <c r="AC210" s="30"/>
      <c r="AD210" s="30"/>
    </row>
    <row r="211" spans="1:34" x14ac:dyDescent="0.25">
      <c r="A211" s="28">
        <v>45745.488194444442</v>
      </c>
      <c r="B211" s="25" t="s">
        <v>2525</v>
      </c>
      <c r="C211" s="25">
        <v>22086489</v>
      </c>
      <c r="D211" s="29">
        <v>3122613735</v>
      </c>
      <c r="E211" s="26" t="s">
        <v>865</v>
      </c>
      <c r="F211" s="25" t="s">
        <v>1440</v>
      </c>
      <c r="G211" s="29"/>
      <c r="H211" s="25" t="s">
        <v>2526</v>
      </c>
      <c r="I211" s="25">
        <v>3127911742</v>
      </c>
      <c r="J211" s="27"/>
      <c r="K211" s="27"/>
      <c r="L211" s="27"/>
      <c r="M211" s="27" t="s">
        <v>2613</v>
      </c>
      <c r="N211" s="28"/>
      <c r="O211" s="29"/>
      <c r="P211" s="29"/>
      <c r="Q211" s="29"/>
      <c r="R211" s="29"/>
      <c r="S211" s="29"/>
      <c r="T211" s="29"/>
      <c r="U211" s="29"/>
      <c r="V211" s="29"/>
      <c r="W211" s="29"/>
      <c r="X211" s="29"/>
      <c r="Y211" s="29"/>
      <c r="Z211" s="29"/>
      <c r="AA211" s="30"/>
      <c r="AB211" s="30"/>
      <c r="AC211" s="30"/>
      <c r="AD211" s="30"/>
    </row>
    <row r="212" spans="1:34" x14ac:dyDescent="0.25">
      <c r="A212" s="28">
        <v>45745.496527777781</v>
      </c>
      <c r="B212" s="25" t="s">
        <v>2814</v>
      </c>
      <c r="C212" s="25">
        <v>43538474</v>
      </c>
      <c r="D212" s="29">
        <v>3044491343</v>
      </c>
      <c r="E212" s="26" t="s">
        <v>865</v>
      </c>
      <c r="F212" s="25" t="s">
        <v>2612</v>
      </c>
      <c r="G212" s="29"/>
      <c r="H212" s="25" t="s">
        <v>2815</v>
      </c>
      <c r="I212" s="25">
        <v>3243038320</v>
      </c>
      <c r="J212" s="27"/>
      <c r="K212" s="27"/>
      <c r="L212" s="27"/>
      <c r="M212" s="27" t="s">
        <v>2613</v>
      </c>
      <c r="N212" s="28"/>
      <c r="O212" s="29"/>
      <c r="P212" s="29"/>
      <c r="Q212" s="29"/>
      <c r="R212" s="29"/>
      <c r="S212" s="29"/>
      <c r="T212" s="29"/>
      <c r="U212" s="29"/>
      <c r="V212" s="29"/>
      <c r="W212" s="29"/>
      <c r="X212" s="29"/>
      <c r="Y212" s="29"/>
      <c r="Z212" s="29"/>
      <c r="AA212" s="30"/>
      <c r="AB212" s="30"/>
      <c r="AC212" s="30"/>
      <c r="AD212" s="30"/>
    </row>
    <row r="213" spans="1:34" x14ac:dyDescent="0.25">
      <c r="A213" s="28">
        <v>45633</v>
      </c>
      <c r="B213" s="25" t="s">
        <v>2816</v>
      </c>
      <c r="C213" s="25">
        <v>39456128</v>
      </c>
      <c r="D213" s="29">
        <v>3137184449</v>
      </c>
      <c r="E213" s="26" t="s">
        <v>865</v>
      </c>
      <c r="F213" s="25" t="s">
        <v>1415</v>
      </c>
      <c r="G213" s="29"/>
      <c r="H213" s="25"/>
      <c r="I213" s="25"/>
      <c r="J213" s="27"/>
      <c r="K213" s="27"/>
      <c r="L213" s="27"/>
      <c r="M213" s="27" t="s">
        <v>2610</v>
      </c>
      <c r="N213" s="28">
        <v>45633</v>
      </c>
      <c r="O213" s="29" t="s">
        <v>2611</v>
      </c>
      <c r="P213" s="29"/>
      <c r="Q213" s="29"/>
      <c r="R213" s="29"/>
      <c r="S213" s="29"/>
      <c r="T213" s="29"/>
      <c r="U213" s="29"/>
      <c r="V213" s="29"/>
      <c r="W213" s="29"/>
      <c r="X213" s="29"/>
      <c r="Y213" s="29"/>
      <c r="Z213" s="29"/>
      <c r="AA213" s="30"/>
      <c r="AB213" s="30"/>
      <c r="AC213" s="30"/>
      <c r="AD213" s="30"/>
    </row>
    <row r="214" spans="1:34" x14ac:dyDescent="0.25">
      <c r="A214" s="28">
        <v>45633</v>
      </c>
      <c r="B214" s="25" t="s">
        <v>2817</v>
      </c>
      <c r="C214" s="25"/>
      <c r="D214" s="29">
        <v>3207175022</v>
      </c>
      <c r="E214" s="26" t="s">
        <v>865</v>
      </c>
      <c r="F214" s="25" t="s">
        <v>1415</v>
      </c>
      <c r="G214" s="29" t="s">
        <v>2818</v>
      </c>
      <c r="H214" s="25"/>
      <c r="I214" s="25"/>
      <c r="J214" s="27"/>
      <c r="K214" s="27"/>
      <c r="L214" s="27"/>
      <c r="M214" s="27" t="s">
        <v>2610</v>
      </c>
      <c r="N214" s="28">
        <v>45633</v>
      </c>
      <c r="O214" s="29" t="s">
        <v>2611</v>
      </c>
      <c r="P214" s="29"/>
      <c r="Q214" s="29"/>
      <c r="R214" s="29"/>
      <c r="S214" s="29"/>
      <c r="T214" s="29"/>
      <c r="U214" s="29"/>
      <c r="V214" s="29"/>
      <c r="W214" s="29"/>
      <c r="X214" s="29"/>
      <c r="Y214" s="29"/>
      <c r="Z214" s="29"/>
      <c r="AA214" s="30"/>
      <c r="AB214" s="30"/>
      <c r="AC214" s="30"/>
      <c r="AD214" s="30"/>
    </row>
    <row r="215" spans="1:34" x14ac:dyDescent="0.25">
      <c r="A215" s="28">
        <v>45633</v>
      </c>
      <c r="B215" s="25" t="s">
        <v>2819</v>
      </c>
      <c r="C215" s="25">
        <v>42701023</v>
      </c>
      <c r="D215" s="29">
        <v>3206091785</v>
      </c>
      <c r="E215" s="26" t="s">
        <v>865</v>
      </c>
      <c r="F215" s="25" t="s">
        <v>1339</v>
      </c>
      <c r="G215" s="29"/>
      <c r="H215" s="25"/>
      <c r="I215" s="25"/>
      <c r="J215" s="27"/>
      <c r="K215" s="27"/>
      <c r="L215" s="27"/>
      <c r="M215" s="27" t="s">
        <v>2610</v>
      </c>
      <c r="N215" s="28">
        <v>45633</v>
      </c>
      <c r="O215" s="29" t="s">
        <v>2622</v>
      </c>
      <c r="P215" s="29"/>
      <c r="Q215" s="29"/>
      <c r="R215" s="29"/>
      <c r="S215" s="29"/>
      <c r="T215" s="29"/>
      <c r="U215" s="29"/>
      <c r="V215" s="29"/>
      <c r="W215" s="29"/>
      <c r="X215" s="29"/>
      <c r="Y215" s="29"/>
      <c r="Z215" s="29"/>
      <c r="AA215" s="30"/>
      <c r="AB215" s="30"/>
      <c r="AC215" s="30"/>
      <c r="AD215" s="30"/>
    </row>
    <row r="216" spans="1:34" x14ac:dyDescent="0.25">
      <c r="A216" s="28">
        <v>45633</v>
      </c>
      <c r="B216" s="25" t="s">
        <v>2820</v>
      </c>
      <c r="C216" s="25">
        <v>1007109953</v>
      </c>
      <c r="D216" s="29">
        <v>3246579083</v>
      </c>
      <c r="E216" s="26" t="s">
        <v>865</v>
      </c>
      <c r="F216" s="25" t="s">
        <v>1415</v>
      </c>
      <c r="G216" s="29" t="s">
        <v>2821</v>
      </c>
      <c r="H216" s="25"/>
      <c r="I216" s="25"/>
      <c r="J216" s="27"/>
      <c r="K216" s="27"/>
      <c r="L216" s="27"/>
      <c r="M216" s="27" t="s">
        <v>2610</v>
      </c>
      <c r="N216" s="28">
        <v>45633</v>
      </c>
      <c r="O216" s="29" t="s">
        <v>2611</v>
      </c>
      <c r="P216" s="29"/>
      <c r="Q216" s="29"/>
      <c r="R216" s="29"/>
      <c r="S216" s="29"/>
      <c r="T216" s="29"/>
      <c r="U216" s="29"/>
      <c r="V216" s="29"/>
      <c r="W216" s="29"/>
      <c r="X216" s="29"/>
      <c r="Y216" s="29"/>
      <c r="Z216" s="29"/>
      <c r="AA216" s="30"/>
      <c r="AB216" s="30"/>
      <c r="AC216" s="30"/>
      <c r="AD216" s="30"/>
    </row>
    <row r="217" spans="1:34" x14ac:dyDescent="0.25">
      <c r="A217" s="28">
        <v>45665</v>
      </c>
      <c r="B217" s="25" t="s">
        <v>2822</v>
      </c>
      <c r="C217" s="25"/>
      <c r="D217" s="29">
        <v>3228245221</v>
      </c>
      <c r="E217" s="26" t="s">
        <v>865</v>
      </c>
      <c r="F217" s="25" t="s">
        <v>1415</v>
      </c>
      <c r="G217" s="29" t="s">
        <v>2823</v>
      </c>
      <c r="H217" s="25"/>
      <c r="I217" s="25"/>
      <c r="J217" s="27"/>
      <c r="K217" s="27"/>
      <c r="L217" s="27"/>
      <c r="M217" s="27" t="s">
        <v>2610</v>
      </c>
      <c r="N217" s="28">
        <v>45633</v>
      </c>
      <c r="O217" s="29" t="s">
        <v>2622</v>
      </c>
      <c r="P217" s="29"/>
      <c r="Q217" s="29"/>
      <c r="R217" s="29"/>
      <c r="S217" s="29"/>
      <c r="T217" s="29"/>
      <c r="U217" s="29"/>
      <c r="V217" s="29"/>
      <c r="W217" s="29"/>
      <c r="X217" s="29"/>
      <c r="Y217" s="29"/>
      <c r="Z217" s="29"/>
      <c r="AA217" s="30"/>
      <c r="AB217" s="30"/>
      <c r="AC217" s="30"/>
      <c r="AD217" s="30"/>
    </row>
    <row r="218" spans="1:34" x14ac:dyDescent="0.25">
      <c r="A218" s="28">
        <v>45459</v>
      </c>
      <c r="B218" s="25" t="s">
        <v>2824</v>
      </c>
      <c r="C218" s="25">
        <v>3376639</v>
      </c>
      <c r="D218" s="29">
        <v>3122256767</v>
      </c>
      <c r="E218" s="26" t="s">
        <v>865</v>
      </c>
      <c r="F218" s="25" t="s">
        <v>1415</v>
      </c>
      <c r="G218" s="29" t="s">
        <v>2825</v>
      </c>
      <c r="H218" s="25"/>
      <c r="I218" s="25"/>
      <c r="J218" s="27"/>
      <c r="K218" s="27"/>
      <c r="L218" s="32"/>
      <c r="M218" s="27" t="s">
        <v>2644</v>
      </c>
      <c r="N218" s="28">
        <v>45459</v>
      </c>
      <c r="O218" s="29" t="s">
        <v>2622</v>
      </c>
      <c r="P218" s="29" t="s">
        <v>2645</v>
      </c>
      <c r="Q218" s="29"/>
      <c r="R218" s="29" t="s">
        <v>2646</v>
      </c>
      <c r="S218" s="28">
        <v>45459</v>
      </c>
      <c r="T218" s="29" t="s">
        <v>2645</v>
      </c>
      <c r="U218" s="29"/>
      <c r="V218" s="29" t="s">
        <v>2645</v>
      </c>
      <c r="W218" s="29"/>
      <c r="X218" s="29" t="s">
        <v>2645</v>
      </c>
      <c r="Y218" s="29"/>
      <c r="Z218" s="29" t="s">
        <v>2826</v>
      </c>
      <c r="AA218" s="30"/>
      <c r="AB218" s="30"/>
      <c r="AC218" s="30"/>
      <c r="AD218" s="30"/>
    </row>
    <row r="219" spans="1:34" x14ac:dyDescent="0.25">
      <c r="A219" s="28">
        <v>45696</v>
      </c>
      <c r="B219" s="25" t="s">
        <v>2827</v>
      </c>
      <c r="C219" s="25">
        <v>38281469</v>
      </c>
      <c r="D219" s="29">
        <v>3007561504</v>
      </c>
      <c r="E219" s="26" t="s">
        <v>865</v>
      </c>
      <c r="F219" s="25" t="s">
        <v>1573</v>
      </c>
      <c r="G219" s="29"/>
      <c r="H219" s="25"/>
      <c r="I219" s="25"/>
      <c r="J219" s="27"/>
      <c r="K219" s="27"/>
      <c r="L219" s="32"/>
      <c r="M219" s="27" t="s">
        <v>2644</v>
      </c>
      <c r="N219" s="34">
        <v>45696</v>
      </c>
      <c r="O219" s="29" t="s">
        <v>2622</v>
      </c>
      <c r="P219" s="29"/>
      <c r="Q219" s="29"/>
      <c r="R219" s="29"/>
      <c r="S219" s="29"/>
      <c r="T219" s="29"/>
      <c r="U219" s="29"/>
      <c r="V219" s="29"/>
      <c r="W219" s="29"/>
      <c r="X219" s="29" t="s">
        <v>2646</v>
      </c>
      <c r="Y219" s="34">
        <v>45696</v>
      </c>
      <c r="Z219" s="29"/>
      <c r="AA219" s="30"/>
      <c r="AB219" s="30"/>
      <c r="AC219" s="30"/>
      <c r="AD219" s="30"/>
    </row>
    <row r="220" spans="1:34" x14ac:dyDescent="0.2">
      <c r="A220" s="114">
        <v>44584</v>
      </c>
      <c r="B220" s="29" t="s">
        <v>3830</v>
      </c>
      <c r="C220" s="26"/>
      <c r="D220" s="29">
        <v>3132536994</v>
      </c>
      <c r="E220" s="26" t="s">
        <v>31</v>
      </c>
      <c r="F220" s="32"/>
      <c r="G220" s="29"/>
      <c r="H220" s="29"/>
      <c r="I220" s="29">
        <v>3004727292</v>
      </c>
      <c r="J220" s="29"/>
      <c r="K220" s="29"/>
      <c r="L220" s="29"/>
      <c r="M220" s="27" t="s">
        <v>2610</v>
      </c>
      <c r="N220" s="115">
        <v>44584</v>
      </c>
      <c r="O220" s="32" t="s">
        <v>2848</v>
      </c>
      <c r="P220" s="32"/>
      <c r="Q220" s="32"/>
      <c r="R220" s="32"/>
      <c r="S220" s="32"/>
      <c r="T220" s="32"/>
      <c r="U220" s="32"/>
      <c r="V220" s="32"/>
      <c r="W220" s="32"/>
      <c r="X220" s="32"/>
      <c r="Y220" s="32"/>
      <c r="Z220" s="32"/>
      <c r="AA220" s="32" t="s">
        <v>3831</v>
      </c>
      <c r="AB220" s="32" t="s">
        <v>3832</v>
      </c>
      <c r="AC220" s="32"/>
      <c r="AD220" s="32"/>
      <c r="AE220" s="32"/>
      <c r="AF220" s="32"/>
      <c r="AG220" s="32"/>
      <c r="AH220" s="32"/>
    </row>
    <row r="221" spans="1:34" x14ac:dyDescent="0.2">
      <c r="A221" s="114">
        <v>44584</v>
      </c>
      <c r="B221" s="29" t="s">
        <v>3833</v>
      </c>
      <c r="C221" s="26">
        <v>32091881</v>
      </c>
      <c r="D221" s="29">
        <v>3007316007</v>
      </c>
      <c r="E221" s="26" t="s">
        <v>31</v>
      </c>
      <c r="F221" s="32"/>
      <c r="G221" s="29" t="s">
        <v>3834</v>
      </c>
      <c r="H221" s="29"/>
      <c r="I221" s="29">
        <v>3017570276</v>
      </c>
      <c r="J221" s="29"/>
      <c r="K221" s="29"/>
      <c r="L221" s="29"/>
      <c r="M221" s="27" t="s">
        <v>2644</v>
      </c>
      <c r="N221" s="115">
        <v>44584</v>
      </c>
      <c r="O221" s="32" t="s">
        <v>2622</v>
      </c>
      <c r="P221" s="32" t="s">
        <v>2646</v>
      </c>
      <c r="Q221" s="115">
        <v>44611</v>
      </c>
      <c r="R221" s="32"/>
      <c r="S221" s="32"/>
      <c r="T221" s="32"/>
      <c r="U221" s="32"/>
      <c r="V221" s="32"/>
      <c r="W221" s="32"/>
      <c r="X221" s="32"/>
      <c r="Y221" s="32"/>
      <c r="Z221" s="32"/>
      <c r="AA221" s="32" t="s">
        <v>3835</v>
      </c>
      <c r="AB221" s="32" t="s">
        <v>3832</v>
      </c>
      <c r="AC221" s="32"/>
      <c r="AD221" s="32"/>
      <c r="AE221" s="32"/>
      <c r="AF221" s="32"/>
      <c r="AG221" s="32"/>
      <c r="AH221" s="32"/>
    </row>
    <row r="222" spans="1:34" x14ac:dyDescent="0.2">
      <c r="A222" s="114">
        <v>44584</v>
      </c>
      <c r="B222" s="29" t="s">
        <v>3836</v>
      </c>
      <c r="C222" s="26">
        <v>4349329</v>
      </c>
      <c r="D222" s="29">
        <v>3004727292</v>
      </c>
      <c r="E222" s="26" t="s">
        <v>31</v>
      </c>
      <c r="F222" s="32"/>
      <c r="G222" s="29"/>
      <c r="H222" s="29" t="s">
        <v>3830</v>
      </c>
      <c r="I222" s="29">
        <v>3132536994</v>
      </c>
      <c r="J222" s="29"/>
      <c r="K222" s="29"/>
      <c r="L222" s="29"/>
      <c r="M222" s="27" t="s">
        <v>2610</v>
      </c>
      <c r="N222" s="115">
        <v>44584</v>
      </c>
      <c r="O222" s="32" t="s">
        <v>2848</v>
      </c>
      <c r="P222" s="32"/>
      <c r="Q222" s="32"/>
      <c r="R222" s="32"/>
      <c r="S222" s="32"/>
      <c r="T222" s="32"/>
      <c r="U222" s="32"/>
      <c r="V222" s="32"/>
      <c r="W222" s="32"/>
      <c r="X222" s="32"/>
      <c r="Y222" s="32"/>
      <c r="Z222" s="32" t="s">
        <v>3831</v>
      </c>
      <c r="AA222" s="32"/>
      <c r="AB222" s="32"/>
      <c r="AC222" s="32"/>
      <c r="AD222" s="32"/>
      <c r="AE222" s="32"/>
      <c r="AF222" s="32"/>
      <c r="AG222" s="32"/>
      <c r="AH222" s="32"/>
    </row>
    <row r="223" spans="1:34" x14ac:dyDescent="0.2">
      <c r="A223" s="114">
        <v>44584</v>
      </c>
      <c r="B223" s="29" t="s">
        <v>3837</v>
      </c>
      <c r="C223" s="26">
        <v>43634883</v>
      </c>
      <c r="D223" s="29">
        <v>3004431592</v>
      </c>
      <c r="E223" s="26" t="s">
        <v>31</v>
      </c>
      <c r="F223" s="32"/>
      <c r="G223" s="29" t="s">
        <v>3838</v>
      </c>
      <c r="H223" s="29"/>
      <c r="I223" s="29">
        <v>3204095979</v>
      </c>
      <c r="J223" s="29"/>
      <c r="K223" s="29"/>
      <c r="L223" s="29"/>
      <c r="M223" s="27" t="s">
        <v>2644</v>
      </c>
      <c r="N223" s="115">
        <v>44584</v>
      </c>
      <c r="O223" s="32" t="s">
        <v>2848</v>
      </c>
      <c r="P223" s="32" t="s">
        <v>2646</v>
      </c>
      <c r="Q223" s="116">
        <v>44744</v>
      </c>
      <c r="R223" s="32"/>
      <c r="S223" s="32"/>
      <c r="T223" s="32"/>
      <c r="U223" s="32"/>
      <c r="V223" s="32"/>
      <c r="W223" s="32"/>
      <c r="X223" s="32"/>
      <c r="Y223" s="32"/>
      <c r="Z223" s="32"/>
      <c r="AA223" s="32" t="s">
        <v>3839</v>
      </c>
      <c r="AB223" s="32" t="s">
        <v>3832</v>
      </c>
      <c r="AC223" s="32"/>
      <c r="AD223" s="32"/>
      <c r="AE223" s="32"/>
      <c r="AF223" s="32"/>
      <c r="AG223" s="32"/>
      <c r="AH223" s="32"/>
    </row>
    <row r="224" spans="1:34" x14ac:dyDescent="0.2">
      <c r="A224" s="114">
        <v>44584</v>
      </c>
      <c r="B224" s="29" t="s">
        <v>3840</v>
      </c>
      <c r="C224" s="26">
        <v>98712363</v>
      </c>
      <c r="D224" s="29">
        <v>3006179719</v>
      </c>
      <c r="E224" s="26" t="s">
        <v>31</v>
      </c>
      <c r="F224" s="32"/>
      <c r="G224" s="29" t="s">
        <v>3841</v>
      </c>
      <c r="H224" s="29"/>
      <c r="I224" s="29">
        <v>3045824087</v>
      </c>
      <c r="J224" s="29"/>
      <c r="K224" s="29"/>
      <c r="L224" s="29"/>
      <c r="M224" s="27" t="s">
        <v>2610</v>
      </c>
      <c r="N224" s="115">
        <v>44584</v>
      </c>
      <c r="O224" s="32" t="s">
        <v>2848</v>
      </c>
      <c r="P224" s="32"/>
      <c r="Q224" s="32"/>
      <c r="R224" s="32"/>
      <c r="S224" s="32"/>
      <c r="T224" s="32"/>
      <c r="U224" s="32"/>
      <c r="V224" s="32"/>
      <c r="W224" s="32"/>
      <c r="X224" s="32"/>
      <c r="Y224" s="32"/>
      <c r="Z224" s="32"/>
      <c r="AA224" s="32" t="s">
        <v>3842</v>
      </c>
      <c r="AB224" s="32" t="s">
        <v>3832</v>
      </c>
      <c r="AC224" s="32"/>
      <c r="AD224" s="32"/>
      <c r="AE224" s="32"/>
      <c r="AF224" s="32"/>
      <c r="AG224" s="32"/>
      <c r="AH224" s="32"/>
    </row>
    <row r="225" spans="1:34" x14ac:dyDescent="0.2">
      <c r="A225" s="114">
        <v>44584</v>
      </c>
      <c r="B225" s="29" t="s">
        <v>3843</v>
      </c>
      <c r="C225" s="26">
        <v>14248323</v>
      </c>
      <c r="D225" s="29">
        <v>3206418895</v>
      </c>
      <c r="E225" s="26" t="s">
        <v>31</v>
      </c>
      <c r="F225" s="32"/>
      <c r="G225" s="29"/>
      <c r="H225" s="29"/>
      <c r="I225" s="29">
        <v>3147553062</v>
      </c>
      <c r="J225" s="29"/>
      <c r="K225" s="29"/>
      <c r="L225" s="29"/>
      <c r="M225" s="27" t="s">
        <v>2610</v>
      </c>
      <c r="N225" s="115">
        <v>44584</v>
      </c>
      <c r="O225" s="32" t="s">
        <v>2622</v>
      </c>
      <c r="P225" s="32"/>
      <c r="Q225" s="32"/>
      <c r="R225" s="32"/>
      <c r="S225" s="32"/>
      <c r="T225" s="32"/>
      <c r="U225" s="32"/>
      <c r="V225" s="32"/>
      <c r="W225" s="32"/>
      <c r="X225" s="32"/>
      <c r="Y225" s="32"/>
      <c r="Z225" s="32"/>
      <c r="AA225" s="32" t="s">
        <v>3844</v>
      </c>
      <c r="AB225" s="32" t="s">
        <v>3832</v>
      </c>
      <c r="AC225" s="32"/>
      <c r="AD225" s="32"/>
      <c r="AE225" s="32"/>
      <c r="AF225" s="32"/>
      <c r="AG225" s="32"/>
      <c r="AH225" s="32"/>
    </row>
    <row r="226" spans="1:34" x14ac:dyDescent="0.2">
      <c r="A226" s="114">
        <v>44584</v>
      </c>
      <c r="B226" s="29" t="s">
        <v>3845</v>
      </c>
      <c r="C226" s="26">
        <v>1015277121</v>
      </c>
      <c r="D226" s="29">
        <v>3012074409</v>
      </c>
      <c r="E226" s="26" t="s">
        <v>31</v>
      </c>
      <c r="F226" s="32"/>
      <c r="G226" s="29" t="s">
        <v>3846</v>
      </c>
      <c r="H226" s="29"/>
      <c r="I226" s="29">
        <v>2319201</v>
      </c>
      <c r="J226" s="29"/>
      <c r="K226" s="29"/>
      <c r="L226" s="29"/>
      <c r="M226" s="27" t="s">
        <v>2610</v>
      </c>
      <c r="N226" s="115">
        <v>44584</v>
      </c>
      <c r="O226" s="32" t="s">
        <v>2838</v>
      </c>
      <c r="P226" s="32"/>
      <c r="Q226" s="32"/>
      <c r="R226" s="32"/>
      <c r="S226" s="32"/>
      <c r="T226" s="32"/>
      <c r="U226" s="32"/>
      <c r="V226" s="32"/>
      <c r="W226" s="32"/>
      <c r="X226" s="32"/>
      <c r="Y226" s="32"/>
      <c r="Z226" s="32"/>
      <c r="AA226" s="32" t="s">
        <v>3847</v>
      </c>
      <c r="AB226" s="32" t="s">
        <v>3832</v>
      </c>
      <c r="AC226" s="32"/>
      <c r="AD226" s="32"/>
      <c r="AE226" s="32"/>
      <c r="AF226" s="32"/>
      <c r="AG226" s="32"/>
      <c r="AH226" s="32"/>
    </row>
    <row r="227" spans="1:34" x14ac:dyDescent="0.2">
      <c r="A227" s="114">
        <v>44584</v>
      </c>
      <c r="B227" s="29" t="s">
        <v>3848</v>
      </c>
      <c r="C227" s="26">
        <v>32476152</v>
      </c>
      <c r="D227" s="29">
        <v>3008031045</v>
      </c>
      <c r="E227" s="26" t="s">
        <v>31</v>
      </c>
      <c r="F227" s="32"/>
      <c r="G227" s="29" t="s">
        <v>3849</v>
      </c>
      <c r="H227" s="29" t="s">
        <v>3502</v>
      </c>
      <c r="I227" s="29">
        <v>3004390747</v>
      </c>
      <c r="J227" s="29"/>
      <c r="K227" s="29"/>
      <c r="L227" s="29"/>
      <c r="M227" s="27" t="s">
        <v>2610</v>
      </c>
      <c r="N227" s="115">
        <v>44584</v>
      </c>
      <c r="O227" s="32" t="s">
        <v>2622</v>
      </c>
      <c r="P227" s="32"/>
      <c r="Q227" s="32"/>
      <c r="R227" s="32"/>
      <c r="S227" s="32"/>
      <c r="T227" s="32"/>
      <c r="U227" s="32"/>
      <c r="V227" s="32"/>
      <c r="W227" s="32"/>
      <c r="X227" s="32"/>
      <c r="Y227" s="32"/>
      <c r="Z227" s="32"/>
      <c r="AA227" s="32" t="s">
        <v>3850</v>
      </c>
      <c r="AB227" s="32" t="s">
        <v>3832</v>
      </c>
      <c r="AC227" s="32" t="s">
        <v>3851</v>
      </c>
      <c r="AD227" s="115">
        <v>45108</v>
      </c>
      <c r="AE227" s="32"/>
      <c r="AF227" s="32"/>
      <c r="AG227" s="32"/>
      <c r="AH227" s="32"/>
    </row>
    <row r="228" spans="1:34" x14ac:dyDescent="0.2">
      <c r="A228" s="114">
        <v>44584</v>
      </c>
      <c r="B228" s="29" t="s">
        <v>3852</v>
      </c>
      <c r="C228" s="26">
        <v>50927525</v>
      </c>
      <c r="D228" s="29">
        <v>3015243377</v>
      </c>
      <c r="E228" s="26" t="s">
        <v>31</v>
      </c>
      <c r="F228" s="32"/>
      <c r="G228" s="29" t="s">
        <v>3853</v>
      </c>
      <c r="H228" s="29" t="s">
        <v>3854</v>
      </c>
      <c r="I228" s="29">
        <v>3044489472</v>
      </c>
      <c r="J228" s="29"/>
      <c r="K228" s="29"/>
      <c r="L228" s="29"/>
      <c r="M228" s="27" t="s">
        <v>2610</v>
      </c>
      <c r="N228" s="115">
        <v>44584</v>
      </c>
      <c r="O228" s="32" t="s">
        <v>2848</v>
      </c>
      <c r="P228" s="32"/>
      <c r="Q228" s="32"/>
      <c r="R228" s="32"/>
      <c r="S228" s="32"/>
      <c r="T228" s="32"/>
      <c r="U228" s="32"/>
      <c r="V228" s="32"/>
      <c r="W228" s="32"/>
      <c r="X228" s="32"/>
      <c r="Y228" s="32"/>
      <c r="Z228" s="32"/>
      <c r="AA228" s="32" t="s">
        <v>3855</v>
      </c>
      <c r="AB228" s="32"/>
      <c r="AC228" s="32" t="s">
        <v>3856</v>
      </c>
      <c r="AD228" s="32" t="s">
        <v>3832</v>
      </c>
      <c r="AE228" s="32"/>
      <c r="AF228" s="32"/>
      <c r="AG228" s="32"/>
      <c r="AH228" s="32"/>
    </row>
    <row r="229" spans="1:34" x14ac:dyDescent="0.2">
      <c r="A229" s="114">
        <v>44585</v>
      </c>
      <c r="B229" s="29" t="s">
        <v>3857</v>
      </c>
      <c r="C229" s="26">
        <v>1035580151</v>
      </c>
      <c r="D229" s="29">
        <v>3222254045</v>
      </c>
      <c r="E229" s="26" t="s">
        <v>31</v>
      </c>
      <c r="F229" s="32"/>
      <c r="G229" s="29" t="s">
        <v>3858</v>
      </c>
      <c r="H229" s="29" t="s">
        <v>3859</v>
      </c>
      <c r="I229" s="29">
        <v>3222254045</v>
      </c>
      <c r="J229" s="29"/>
      <c r="K229" s="29"/>
      <c r="L229" s="29"/>
      <c r="M229" s="27" t="s">
        <v>2610</v>
      </c>
      <c r="N229" s="115">
        <v>44585</v>
      </c>
      <c r="O229" s="32" t="s">
        <v>2622</v>
      </c>
      <c r="P229" s="32"/>
      <c r="Q229" s="32"/>
      <c r="R229" s="32"/>
      <c r="S229" s="32"/>
      <c r="T229" s="32"/>
      <c r="U229" s="32"/>
      <c r="V229" s="32"/>
      <c r="W229" s="32"/>
      <c r="X229" s="32"/>
      <c r="Y229" s="32"/>
      <c r="Z229" s="32" t="s">
        <v>3860</v>
      </c>
      <c r="AA229" s="32" t="s">
        <v>536</v>
      </c>
      <c r="AB229" s="32"/>
      <c r="AC229" s="32" t="s">
        <v>3861</v>
      </c>
      <c r="AD229" s="32" t="s">
        <v>3832</v>
      </c>
      <c r="AE229" s="32" t="s">
        <v>3862</v>
      </c>
      <c r="AF229" s="115">
        <v>44787</v>
      </c>
      <c r="AG229" s="32"/>
      <c r="AH229" s="32"/>
    </row>
    <row r="230" spans="1:34" x14ac:dyDescent="0.2">
      <c r="A230" s="114">
        <v>45094</v>
      </c>
      <c r="B230" s="29" t="s">
        <v>828</v>
      </c>
      <c r="C230" s="26"/>
      <c r="D230" s="29">
        <v>3005967542</v>
      </c>
      <c r="E230" s="26" t="s">
        <v>31</v>
      </c>
      <c r="F230" s="32"/>
      <c r="G230" s="29"/>
      <c r="H230" s="29" t="s">
        <v>829</v>
      </c>
      <c r="I230" s="29">
        <v>3117429746</v>
      </c>
      <c r="J230" s="29"/>
      <c r="K230" s="29"/>
      <c r="L230" s="29"/>
      <c r="M230" s="27" t="s">
        <v>2613</v>
      </c>
      <c r="N230" s="32"/>
      <c r="O230" s="32" t="s">
        <v>2841</v>
      </c>
      <c r="P230" s="32"/>
      <c r="Q230" s="32"/>
      <c r="R230" s="32"/>
      <c r="S230" s="32"/>
      <c r="T230" s="32"/>
      <c r="U230" s="32"/>
      <c r="V230" s="32"/>
      <c r="W230" s="32"/>
      <c r="X230" s="32"/>
      <c r="Y230" s="32"/>
      <c r="Z230" s="32" t="s">
        <v>3863</v>
      </c>
      <c r="AA230" s="32"/>
      <c r="AB230" s="32"/>
      <c r="AC230" s="32"/>
      <c r="AD230" s="32"/>
      <c r="AE230" s="32"/>
      <c r="AF230" s="32"/>
      <c r="AG230" s="32"/>
      <c r="AH230" s="32"/>
    </row>
    <row r="231" spans="1:34" x14ac:dyDescent="0.2">
      <c r="A231" s="114">
        <v>45094</v>
      </c>
      <c r="B231" s="29" t="s">
        <v>3864</v>
      </c>
      <c r="C231" s="26"/>
      <c r="D231" s="29">
        <v>3013865335</v>
      </c>
      <c r="E231" s="26" t="s">
        <v>31</v>
      </c>
      <c r="F231" s="32"/>
      <c r="G231" s="29"/>
      <c r="H231" s="29"/>
      <c r="I231" s="29"/>
      <c r="J231" s="29"/>
      <c r="K231" s="29"/>
      <c r="L231" s="29"/>
      <c r="M231" s="27" t="s">
        <v>2613</v>
      </c>
      <c r="N231" s="32"/>
      <c r="O231" s="32" t="s">
        <v>2841</v>
      </c>
      <c r="P231" s="32"/>
      <c r="Q231" s="32"/>
      <c r="R231" s="32"/>
      <c r="S231" s="32"/>
      <c r="T231" s="32"/>
      <c r="U231" s="32"/>
      <c r="V231" s="32"/>
      <c r="W231" s="32"/>
      <c r="X231" s="32"/>
      <c r="Y231" s="32"/>
      <c r="Z231" s="32" t="s">
        <v>842</v>
      </c>
      <c r="AA231" s="32"/>
      <c r="AB231" s="32"/>
      <c r="AC231" s="32"/>
      <c r="AD231" s="32"/>
      <c r="AE231" s="32"/>
      <c r="AF231" s="32"/>
      <c r="AG231" s="32"/>
      <c r="AH231" s="32"/>
    </row>
    <row r="232" spans="1:34" x14ac:dyDescent="0.2">
      <c r="A232" s="29" t="s">
        <v>3865</v>
      </c>
      <c r="B232" s="29" t="s">
        <v>3866</v>
      </c>
      <c r="C232" s="26"/>
      <c r="D232" s="29">
        <v>3059370059</v>
      </c>
      <c r="E232" s="26" t="s">
        <v>31</v>
      </c>
      <c r="F232" s="32"/>
      <c r="G232" s="29"/>
      <c r="H232" s="29"/>
      <c r="I232" s="29"/>
      <c r="J232" s="29"/>
      <c r="K232" s="29"/>
      <c r="L232" s="29"/>
      <c r="M232" s="27" t="s">
        <v>2613</v>
      </c>
      <c r="N232" s="32"/>
      <c r="O232" s="32" t="s">
        <v>2841</v>
      </c>
      <c r="P232" s="32"/>
      <c r="Q232" s="32"/>
      <c r="R232" s="32"/>
      <c r="S232" s="32"/>
      <c r="T232" s="32"/>
      <c r="U232" s="32"/>
      <c r="V232" s="32"/>
      <c r="W232" s="32"/>
      <c r="X232" s="32"/>
      <c r="Y232" s="32"/>
      <c r="Z232" s="32"/>
      <c r="AA232" s="32"/>
      <c r="AB232" s="32"/>
      <c r="AC232" s="32"/>
      <c r="AD232" s="32"/>
      <c r="AE232" s="32"/>
      <c r="AF232" s="32"/>
      <c r="AG232" s="32"/>
      <c r="AH232" s="32"/>
    </row>
    <row r="233" spans="1:34" x14ac:dyDescent="0.2">
      <c r="A233" s="117">
        <v>44682</v>
      </c>
      <c r="B233" s="29" t="s">
        <v>3867</v>
      </c>
      <c r="C233" s="26"/>
      <c r="D233" s="29">
        <v>3015144706</v>
      </c>
      <c r="E233" s="26" t="s">
        <v>31</v>
      </c>
      <c r="F233" s="32"/>
      <c r="G233" s="29" t="s">
        <v>3868</v>
      </c>
      <c r="H233" s="29"/>
      <c r="I233" s="29">
        <v>3017809936</v>
      </c>
      <c r="J233" s="29"/>
      <c r="K233" s="29"/>
      <c r="L233" s="29"/>
      <c r="M233" s="27" t="s">
        <v>2610</v>
      </c>
      <c r="N233" s="116">
        <v>44682</v>
      </c>
      <c r="O233" s="32" t="s">
        <v>2838</v>
      </c>
      <c r="P233" s="32"/>
      <c r="Q233" s="32"/>
      <c r="R233" s="32"/>
      <c r="S233" s="32"/>
      <c r="T233" s="32"/>
      <c r="U233" s="32"/>
      <c r="V233" s="32"/>
      <c r="W233" s="32"/>
      <c r="X233" s="32"/>
      <c r="Y233" s="32"/>
      <c r="Z233" s="32"/>
      <c r="AA233" s="32" t="s">
        <v>3869</v>
      </c>
      <c r="AB233" s="115">
        <v>44682</v>
      </c>
      <c r="AC233" s="32"/>
      <c r="AD233" s="32"/>
      <c r="AE233" s="32"/>
      <c r="AF233" s="32"/>
      <c r="AG233" s="32"/>
      <c r="AH233" s="32"/>
    </row>
    <row r="234" spans="1:34" x14ac:dyDescent="0.2">
      <c r="A234" s="117">
        <v>44682</v>
      </c>
      <c r="B234" s="29" t="s">
        <v>3870</v>
      </c>
      <c r="C234" s="26">
        <v>1128424810</v>
      </c>
      <c r="D234" s="29">
        <v>3003978383</v>
      </c>
      <c r="E234" s="26" t="s">
        <v>31</v>
      </c>
      <c r="F234" s="32"/>
      <c r="G234" s="29"/>
      <c r="H234" s="29" t="s">
        <v>3871</v>
      </c>
      <c r="I234" s="29">
        <v>3042380793</v>
      </c>
      <c r="J234" s="29"/>
      <c r="K234" s="29"/>
      <c r="L234" s="29"/>
      <c r="M234" s="27" t="s">
        <v>2610</v>
      </c>
      <c r="N234" s="116">
        <v>44682</v>
      </c>
      <c r="O234" s="32" t="s">
        <v>2838</v>
      </c>
      <c r="P234" s="32"/>
      <c r="Q234" s="32"/>
      <c r="R234" s="32"/>
      <c r="S234" s="32"/>
      <c r="T234" s="32"/>
      <c r="U234" s="32"/>
      <c r="V234" s="32"/>
      <c r="W234" s="32"/>
      <c r="X234" s="32"/>
      <c r="Y234" s="32"/>
      <c r="Z234" s="32"/>
      <c r="AA234" s="32" t="s">
        <v>3872</v>
      </c>
      <c r="AB234" s="115">
        <v>44682</v>
      </c>
      <c r="AC234" s="32"/>
      <c r="AD234" s="32"/>
      <c r="AE234" s="32"/>
      <c r="AF234" s="32"/>
      <c r="AG234" s="32"/>
      <c r="AH234" s="32"/>
    </row>
    <row r="235" spans="1:34" x14ac:dyDescent="0.2">
      <c r="A235" s="117">
        <v>44682</v>
      </c>
      <c r="B235" s="29" t="s">
        <v>3873</v>
      </c>
      <c r="C235" s="26">
        <v>43987518</v>
      </c>
      <c r="D235" s="29">
        <v>3042798586</v>
      </c>
      <c r="E235" s="26" t="s">
        <v>31</v>
      </c>
      <c r="F235" s="32"/>
      <c r="G235" s="29"/>
      <c r="H235" s="29"/>
      <c r="I235" s="29"/>
      <c r="J235" s="29"/>
      <c r="K235" s="29"/>
      <c r="L235" s="29"/>
      <c r="M235" s="27" t="s">
        <v>2610</v>
      </c>
      <c r="N235" s="116">
        <v>44682</v>
      </c>
      <c r="O235" s="32" t="s">
        <v>2838</v>
      </c>
      <c r="P235" s="32"/>
      <c r="Q235" s="32"/>
      <c r="R235" s="32"/>
      <c r="S235" s="32"/>
      <c r="T235" s="32"/>
      <c r="U235" s="32"/>
      <c r="V235" s="32"/>
      <c r="W235" s="32"/>
      <c r="X235" s="32"/>
      <c r="Y235" s="32"/>
      <c r="Z235" s="32" t="s">
        <v>3874</v>
      </c>
      <c r="AA235" s="32"/>
      <c r="AB235" s="32"/>
      <c r="AC235" s="32"/>
      <c r="AD235" s="32"/>
      <c r="AE235" s="32"/>
      <c r="AF235" s="32"/>
      <c r="AG235" s="32"/>
      <c r="AH235" s="32"/>
    </row>
    <row r="236" spans="1:34" x14ac:dyDescent="0.2">
      <c r="A236" s="29" t="s">
        <v>2949</v>
      </c>
      <c r="B236" s="29" t="s">
        <v>3875</v>
      </c>
      <c r="C236" s="26"/>
      <c r="D236" s="29">
        <v>3135908612</v>
      </c>
      <c r="E236" s="26" t="s">
        <v>31</v>
      </c>
      <c r="F236" s="32"/>
      <c r="G236" s="29"/>
      <c r="H236" s="29" t="s">
        <v>795</v>
      </c>
      <c r="I236" s="29">
        <v>3135903409</v>
      </c>
      <c r="J236" s="29"/>
      <c r="K236" s="29"/>
      <c r="L236" s="29"/>
      <c r="M236" s="27" t="s">
        <v>2613</v>
      </c>
      <c r="N236" s="32"/>
      <c r="O236" s="32" t="s">
        <v>2841</v>
      </c>
      <c r="P236" s="32"/>
      <c r="Q236" s="32"/>
      <c r="R236" s="32"/>
      <c r="S236" s="32"/>
      <c r="T236" s="32"/>
      <c r="U236" s="32"/>
      <c r="V236" s="32"/>
      <c r="W236" s="32"/>
      <c r="X236" s="32"/>
      <c r="Y236" s="32"/>
      <c r="Z236" s="32" t="s">
        <v>3876</v>
      </c>
      <c r="AA236" s="32"/>
      <c r="AB236" s="32"/>
      <c r="AC236" s="32"/>
      <c r="AD236" s="32"/>
      <c r="AE236" s="32"/>
      <c r="AF236" s="32"/>
      <c r="AG236" s="32"/>
      <c r="AH236" s="32"/>
    </row>
    <row r="237" spans="1:34" x14ac:dyDescent="0.2">
      <c r="A237" s="114">
        <v>44757</v>
      </c>
      <c r="B237" s="29" t="s">
        <v>435</v>
      </c>
      <c r="C237" s="26"/>
      <c r="D237" s="29">
        <v>3005718712</v>
      </c>
      <c r="E237" s="26" t="s">
        <v>31</v>
      </c>
      <c r="F237" s="32"/>
      <c r="G237" s="29"/>
      <c r="H237" s="29"/>
      <c r="I237" s="29"/>
      <c r="J237" s="29"/>
      <c r="K237" s="29"/>
      <c r="L237" s="29"/>
      <c r="M237" s="27" t="s">
        <v>2613</v>
      </c>
      <c r="N237" s="32"/>
      <c r="O237" s="32" t="s">
        <v>2841</v>
      </c>
      <c r="P237" s="32"/>
      <c r="Q237" s="32"/>
      <c r="R237" s="32"/>
      <c r="S237" s="32"/>
      <c r="T237" s="32"/>
      <c r="U237" s="32"/>
      <c r="V237" s="32"/>
      <c r="W237" s="32"/>
      <c r="X237" s="32"/>
      <c r="Y237" s="32"/>
      <c r="Z237" s="32"/>
      <c r="AA237" s="32" t="s">
        <v>3877</v>
      </c>
      <c r="AB237" s="115">
        <v>45086</v>
      </c>
      <c r="AC237" s="32"/>
      <c r="AD237" s="32"/>
      <c r="AE237" s="32"/>
      <c r="AF237" s="32"/>
      <c r="AG237" s="32"/>
      <c r="AH237" s="32"/>
    </row>
    <row r="238" spans="1:34" x14ac:dyDescent="0.2">
      <c r="A238" s="114">
        <v>44696</v>
      </c>
      <c r="B238" s="29" t="s">
        <v>156</v>
      </c>
      <c r="C238" s="26"/>
      <c r="D238" s="29">
        <v>3016438125</v>
      </c>
      <c r="E238" s="26" t="s">
        <v>31</v>
      </c>
      <c r="F238" s="32"/>
      <c r="G238" s="29"/>
      <c r="H238" s="29" t="s">
        <v>157</v>
      </c>
      <c r="I238" s="29">
        <v>3193833322</v>
      </c>
      <c r="J238" s="29"/>
      <c r="K238" s="29"/>
      <c r="L238" s="29"/>
      <c r="M238" s="27" t="s">
        <v>2613</v>
      </c>
      <c r="N238" s="32"/>
      <c r="O238" s="32" t="s">
        <v>2841</v>
      </c>
      <c r="P238" s="32"/>
      <c r="Q238" s="32"/>
      <c r="R238" s="32"/>
      <c r="S238" s="32"/>
      <c r="T238" s="32"/>
      <c r="U238" s="32"/>
      <c r="V238" s="32"/>
      <c r="W238" s="32"/>
      <c r="X238" s="32"/>
      <c r="Y238" s="32"/>
      <c r="Z238" s="32" t="s">
        <v>3878</v>
      </c>
      <c r="AA238" s="32" t="s">
        <v>3879</v>
      </c>
      <c r="AB238" s="115">
        <v>45072</v>
      </c>
      <c r="AC238" s="32"/>
      <c r="AD238" s="32"/>
      <c r="AE238" s="32"/>
      <c r="AF238" s="32"/>
      <c r="AG238" s="32"/>
      <c r="AH238" s="32"/>
    </row>
    <row r="239" spans="1:34" x14ac:dyDescent="0.2">
      <c r="A239" s="114">
        <v>44696</v>
      </c>
      <c r="B239" s="29" t="s">
        <v>3880</v>
      </c>
      <c r="C239" s="26"/>
      <c r="D239" s="29">
        <v>3242045294</v>
      </c>
      <c r="E239" s="26" t="s">
        <v>31</v>
      </c>
      <c r="F239" s="32"/>
      <c r="G239" s="29"/>
      <c r="H239" s="29" t="s">
        <v>3881</v>
      </c>
      <c r="I239" s="29">
        <v>3046625508</v>
      </c>
      <c r="J239" s="29"/>
      <c r="K239" s="29"/>
      <c r="L239" s="29"/>
      <c r="M239" s="27" t="s">
        <v>2610</v>
      </c>
      <c r="N239" s="115">
        <v>45074</v>
      </c>
      <c r="O239" s="32" t="s">
        <v>2656</v>
      </c>
      <c r="P239" s="32"/>
      <c r="Q239" s="32"/>
      <c r="R239" s="32"/>
      <c r="S239" s="32"/>
      <c r="T239" s="32"/>
      <c r="U239" s="32"/>
      <c r="V239" s="32"/>
      <c r="W239" s="32"/>
      <c r="X239" s="32"/>
      <c r="Y239" s="32"/>
      <c r="Z239" s="32" t="s">
        <v>3882</v>
      </c>
      <c r="AA239" s="32" t="s">
        <v>3883</v>
      </c>
      <c r="AB239" s="115">
        <v>45072</v>
      </c>
      <c r="AC239" s="32" t="s">
        <v>3884</v>
      </c>
      <c r="AD239" s="32" t="s">
        <v>3885</v>
      </c>
      <c r="AE239" s="32"/>
      <c r="AF239" s="32"/>
      <c r="AG239" s="32"/>
      <c r="AH239" s="32"/>
    </row>
    <row r="240" spans="1:34" x14ac:dyDescent="0.2">
      <c r="A240" s="114">
        <v>44703</v>
      </c>
      <c r="B240" s="29" t="s">
        <v>3886</v>
      </c>
      <c r="C240" s="26">
        <v>98463603</v>
      </c>
      <c r="D240" s="29">
        <v>3117412645</v>
      </c>
      <c r="E240" s="26" t="s">
        <v>31</v>
      </c>
      <c r="F240" s="32"/>
      <c r="G240" s="29" t="s">
        <v>3887</v>
      </c>
      <c r="H240" s="29" t="s">
        <v>130</v>
      </c>
      <c r="I240" s="29">
        <v>3024163430</v>
      </c>
      <c r="J240" s="29"/>
      <c r="K240" s="29"/>
      <c r="L240" s="29"/>
      <c r="M240" s="27" t="s">
        <v>2610</v>
      </c>
      <c r="N240" s="115">
        <v>44703</v>
      </c>
      <c r="O240" s="32" t="s">
        <v>2838</v>
      </c>
      <c r="P240" s="32"/>
      <c r="Q240" s="32"/>
      <c r="R240" s="32"/>
      <c r="S240" s="32"/>
      <c r="T240" s="32"/>
      <c r="U240" s="32"/>
      <c r="V240" s="32"/>
      <c r="W240" s="32"/>
      <c r="X240" s="32"/>
      <c r="Y240" s="32"/>
      <c r="Z240" s="32"/>
      <c r="AA240" s="32" t="s">
        <v>133</v>
      </c>
      <c r="AB240" s="115">
        <v>44696</v>
      </c>
      <c r="AC240" s="32" t="s">
        <v>3888</v>
      </c>
      <c r="AD240" s="115">
        <v>44703</v>
      </c>
      <c r="AE240" s="32"/>
      <c r="AF240" s="32"/>
      <c r="AG240" s="32"/>
      <c r="AH240" s="32"/>
    </row>
    <row r="241" spans="1:34" x14ac:dyDescent="0.2">
      <c r="A241" s="114">
        <v>45074</v>
      </c>
      <c r="B241" s="29" t="s">
        <v>3889</v>
      </c>
      <c r="C241" s="26">
        <v>43751027</v>
      </c>
      <c r="D241" s="29">
        <v>3117167421</v>
      </c>
      <c r="E241" s="26" t="s">
        <v>31</v>
      </c>
      <c r="F241" s="32"/>
      <c r="G241" s="29"/>
      <c r="H241" s="29" t="s">
        <v>3890</v>
      </c>
      <c r="I241" s="29">
        <v>3226699464</v>
      </c>
      <c r="J241" s="29"/>
      <c r="K241" s="29"/>
      <c r="L241" s="29"/>
      <c r="M241" s="27" t="s">
        <v>2613</v>
      </c>
      <c r="N241" s="32"/>
      <c r="O241" s="32" t="s">
        <v>2841</v>
      </c>
      <c r="P241" s="32"/>
      <c r="Q241" s="32"/>
      <c r="R241" s="32"/>
      <c r="S241" s="32"/>
      <c r="T241" s="32"/>
      <c r="U241" s="32"/>
      <c r="V241" s="32"/>
      <c r="W241" s="32"/>
      <c r="X241" s="32"/>
      <c r="Y241" s="32"/>
      <c r="Z241" s="32" t="s">
        <v>3891</v>
      </c>
      <c r="AA241" s="32" t="s">
        <v>3892</v>
      </c>
      <c r="AB241" s="115">
        <v>45087</v>
      </c>
      <c r="AC241" s="32"/>
      <c r="AD241" s="32"/>
      <c r="AE241" s="32"/>
      <c r="AF241" s="32"/>
      <c r="AG241" s="32"/>
      <c r="AH241" s="32"/>
    </row>
    <row r="242" spans="1:34" x14ac:dyDescent="0.2">
      <c r="A242" s="114">
        <v>44703</v>
      </c>
      <c r="B242" s="29" t="s">
        <v>3893</v>
      </c>
      <c r="C242" s="26">
        <v>21870891</v>
      </c>
      <c r="D242" s="29">
        <v>3017553997</v>
      </c>
      <c r="E242" s="26" t="s">
        <v>31</v>
      </c>
      <c r="F242" s="32"/>
      <c r="G242" s="29" t="s">
        <v>3894</v>
      </c>
      <c r="H242" s="29" t="s">
        <v>136</v>
      </c>
      <c r="I242" s="29">
        <v>3115188437</v>
      </c>
      <c r="J242" s="29"/>
      <c r="K242" s="29"/>
      <c r="L242" s="29"/>
      <c r="M242" s="27" t="s">
        <v>2644</v>
      </c>
      <c r="N242" s="115">
        <v>44703</v>
      </c>
      <c r="O242" s="32" t="s">
        <v>2838</v>
      </c>
      <c r="P242" s="32" t="s">
        <v>2646</v>
      </c>
      <c r="Q242" s="115">
        <v>44758</v>
      </c>
      <c r="R242" s="32"/>
      <c r="S242" s="32"/>
      <c r="T242" s="32"/>
      <c r="U242" s="32"/>
      <c r="V242" s="32"/>
      <c r="W242" s="32"/>
      <c r="X242" s="32"/>
      <c r="Y242" s="32"/>
      <c r="Z242" s="32"/>
      <c r="AA242" s="32" t="s">
        <v>140</v>
      </c>
      <c r="AB242" s="115">
        <v>44696</v>
      </c>
      <c r="AC242" s="32" t="s">
        <v>3895</v>
      </c>
      <c r="AD242" s="115">
        <v>44703</v>
      </c>
      <c r="AE242" s="32"/>
      <c r="AF242" s="32"/>
      <c r="AG242" s="32"/>
      <c r="AH242" s="32"/>
    </row>
    <row r="243" spans="1:34" x14ac:dyDescent="0.2">
      <c r="A243" s="114">
        <v>44703</v>
      </c>
      <c r="B243" s="29" t="s">
        <v>3896</v>
      </c>
      <c r="C243" s="26">
        <v>21667807</v>
      </c>
      <c r="D243" s="29">
        <v>3117780890</v>
      </c>
      <c r="E243" s="26" t="s">
        <v>31</v>
      </c>
      <c r="F243" s="32"/>
      <c r="G243" s="29"/>
      <c r="H243" s="29"/>
      <c r="I243" s="29">
        <v>3022793317</v>
      </c>
      <c r="J243" s="29"/>
      <c r="K243" s="29"/>
      <c r="L243" s="29"/>
      <c r="M243" s="27" t="s">
        <v>2610</v>
      </c>
      <c r="N243" s="115">
        <v>44703</v>
      </c>
      <c r="O243" s="32" t="s">
        <v>2838</v>
      </c>
      <c r="P243" s="32"/>
      <c r="Q243" s="32"/>
      <c r="R243" s="32"/>
      <c r="S243" s="32"/>
      <c r="T243" s="32"/>
      <c r="U243" s="32"/>
      <c r="V243" s="32"/>
      <c r="W243" s="32"/>
      <c r="X243" s="32"/>
      <c r="Y243" s="32"/>
      <c r="Z243" s="32" t="s">
        <v>3897</v>
      </c>
      <c r="AA243" s="32" t="s">
        <v>3898</v>
      </c>
      <c r="AB243" s="32" t="s">
        <v>3899</v>
      </c>
      <c r="AC243" s="32" t="s">
        <v>3900</v>
      </c>
      <c r="AD243" s="32" t="s">
        <v>3901</v>
      </c>
      <c r="AE243" s="32"/>
      <c r="AF243" s="32"/>
      <c r="AG243" s="32"/>
      <c r="AH243" s="32"/>
    </row>
    <row r="244" spans="1:34" x14ac:dyDescent="0.2">
      <c r="A244" s="117">
        <v>44717</v>
      </c>
      <c r="B244" s="29" t="s">
        <v>3902</v>
      </c>
      <c r="C244" s="26">
        <v>1001018152</v>
      </c>
      <c r="D244" s="29">
        <v>3015896248</v>
      </c>
      <c r="E244" s="26" t="s">
        <v>31</v>
      </c>
      <c r="F244" s="32"/>
      <c r="G244" s="29"/>
      <c r="H244" s="29" t="s">
        <v>3903</v>
      </c>
      <c r="I244" s="29"/>
      <c r="J244" s="29"/>
      <c r="K244" s="29"/>
      <c r="L244" s="29"/>
      <c r="M244" s="27" t="s">
        <v>2610</v>
      </c>
      <c r="N244" s="116">
        <v>44717</v>
      </c>
      <c r="O244" s="32" t="s">
        <v>2838</v>
      </c>
      <c r="P244" s="32"/>
      <c r="Q244" s="32"/>
      <c r="R244" s="32"/>
      <c r="S244" s="32"/>
      <c r="T244" s="32"/>
      <c r="U244" s="32"/>
      <c r="V244" s="32"/>
      <c r="W244" s="32"/>
      <c r="X244" s="32"/>
      <c r="Y244" s="32"/>
      <c r="Z244" s="32"/>
      <c r="AA244" s="32" t="s">
        <v>3904</v>
      </c>
      <c r="AB244" s="115">
        <v>44696</v>
      </c>
      <c r="AC244" s="32" t="s">
        <v>3905</v>
      </c>
      <c r="AD244" s="118">
        <v>44687</v>
      </c>
      <c r="AE244" s="32"/>
      <c r="AF244" s="32"/>
      <c r="AG244" s="32"/>
      <c r="AH244" s="32"/>
    </row>
    <row r="245" spans="1:34" x14ac:dyDescent="0.2">
      <c r="A245" s="117">
        <v>44717</v>
      </c>
      <c r="B245" s="29" t="s">
        <v>3906</v>
      </c>
      <c r="C245" s="26"/>
      <c r="D245" s="29">
        <v>3043638763</v>
      </c>
      <c r="E245" s="26" t="s">
        <v>31</v>
      </c>
      <c r="F245" s="32"/>
      <c r="G245" s="29"/>
      <c r="H245" s="29" t="s">
        <v>340</v>
      </c>
      <c r="I245" s="29">
        <v>3045675972</v>
      </c>
      <c r="J245" s="29"/>
      <c r="K245" s="29"/>
      <c r="L245" s="29"/>
      <c r="M245" s="27" t="s">
        <v>2610</v>
      </c>
      <c r="N245" s="115">
        <v>45087</v>
      </c>
      <c r="O245" s="32" t="s">
        <v>2841</v>
      </c>
      <c r="P245" s="32"/>
      <c r="Q245" s="32"/>
      <c r="R245" s="32"/>
      <c r="S245" s="32"/>
      <c r="T245" s="32"/>
      <c r="U245" s="32"/>
      <c r="V245" s="32"/>
      <c r="W245" s="32"/>
      <c r="X245" s="32"/>
      <c r="Y245" s="32"/>
      <c r="Z245" s="32" t="s">
        <v>345</v>
      </c>
      <c r="AA245" s="32" t="s">
        <v>3907</v>
      </c>
      <c r="AB245" s="115">
        <v>45072</v>
      </c>
      <c r="AC245" s="32"/>
      <c r="AD245" s="32"/>
      <c r="AE245" s="32"/>
      <c r="AF245" s="32"/>
      <c r="AG245" s="32"/>
      <c r="AH245" s="32"/>
    </row>
    <row r="246" spans="1:34" x14ac:dyDescent="0.2">
      <c r="A246" s="117">
        <v>44717</v>
      </c>
      <c r="B246" s="29" t="s">
        <v>3908</v>
      </c>
      <c r="C246" s="26">
        <v>42965435</v>
      </c>
      <c r="D246" s="29">
        <v>3016027020</v>
      </c>
      <c r="E246" s="26" t="s">
        <v>31</v>
      </c>
      <c r="F246" s="32"/>
      <c r="G246" s="29" t="s">
        <v>3909</v>
      </c>
      <c r="H246" s="29" t="s">
        <v>3910</v>
      </c>
      <c r="I246" s="29"/>
      <c r="J246" s="29"/>
      <c r="K246" s="29"/>
      <c r="L246" s="29"/>
      <c r="M246" s="27" t="s">
        <v>2644</v>
      </c>
      <c r="N246" s="116">
        <v>44717</v>
      </c>
      <c r="O246" s="32" t="s">
        <v>2622</v>
      </c>
      <c r="P246" s="32" t="s">
        <v>2646</v>
      </c>
      <c r="Q246" s="115">
        <v>44758</v>
      </c>
      <c r="R246" s="32"/>
      <c r="S246" s="32"/>
      <c r="T246" s="32"/>
      <c r="U246" s="32"/>
      <c r="V246" s="32"/>
      <c r="W246" s="32"/>
      <c r="X246" s="32"/>
      <c r="Y246" s="32"/>
      <c r="Z246" s="32"/>
      <c r="AA246" s="32" t="s">
        <v>3911</v>
      </c>
      <c r="AB246" s="115">
        <v>44717</v>
      </c>
      <c r="AC246" s="32"/>
      <c r="AD246" s="32"/>
      <c r="AE246" s="32"/>
      <c r="AF246" s="32"/>
      <c r="AG246" s="32"/>
      <c r="AH246" s="32"/>
    </row>
    <row r="247" spans="1:34" x14ac:dyDescent="0.2">
      <c r="A247" s="117">
        <v>44717</v>
      </c>
      <c r="B247" s="29" t="s">
        <v>3912</v>
      </c>
      <c r="C247" s="26">
        <v>43731142</v>
      </c>
      <c r="D247" s="29">
        <v>3015140662</v>
      </c>
      <c r="E247" s="26" t="s">
        <v>31</v>
      </c>
      <c r="F247" s="32"/>
      <c r="G247" s="29"/>
      <c r="H247" s="29" t="s">
        <v>3913</v>
      </c>
      <c r="I247" s="29">
        <v>3002007479</v>
      </c>
      <c r="J247" s="29"/>
      <c r="K247" s="29"/>
      <c r="L247" s="29"/>
      <c r="M247" s="27" t="s">
        <v>2644</v>
      </c>
      <c r="N247" s="116">
        <v>44717</v>
      </c>
      <c r="O247" s="32" t="s">
        <v>2622</v>
      </c>
      <c r="P247" s="32" t="s">
        <v>2646</v>
      </c>
      <c r="Q247" s="116">
        <v>44744</v>
      </c>
      <c r="R247" s="32"/>
      <c r="S247" s="32"/>
      <c r="T247" s="32"/>
      <c r="U247" s="32"/>
      <c r="V247" s="32"/>
      <c r="W247" s="32"/>
      <c r="X247" s="32"/>
      <c r="Y247" s="32"/>
      <c r="Z247" s="32"/>
      <c r="AA247" s="32" t="s">
        <v>3914</v>
      </c>
      <c r="AB247" s="115">
        <v>44703</v>
      </c>
      <c r="AC247" s="32" t="s">
        <v>3915</v>
      </c>
      <c r="AD247" s="118">
        <v>44687</v>
      </c>
      <c r="AE247" s="32"/>
      <c r="AF247" s="32"/>
      <c r="AG247" s="32"/>
      <c r="AH247" s="32"/>
    </row>
    <row r="248" spans="1:34" x14ac:dyDescent="0.2">
      <c r="A248" s="117">
        <v>44717</v>
      </c>
      <c r="B248" s="29" t="s">
        <v>3916</v>
      </c>
      <c r="C248" s="26">
        <v>43487291</v>
      </c>
      <c r="D248" s="29">
        <v>3015140662</v>
      </c>
      <c r="E248" s="26" t="s">
        <v>31</v>
      </c>
      <c r="F248" s="32"/>
      <c r="G248" s="29"/>
      <c r="H248" s="29" t="s">
        <v>248</v>
      </c>
      <c r="I248" s="29">
        <v>3015140662</v>
      </c>
      <c r="J248" s="29"/>
      <c r="K248" s="29"/>
      <c r="L248" s="29"/>
      <c r="M248" s="27" t="s">
        <v>2644</v>
      </c>
      <c r="N248" s="116">
        <v>44717</v>
      </c>
      <c r="O248" s="32" t="s">
        <v>2622</v>
      </c>
      <c r="P248" s="32" t="s">
        <v>2646</v>
      </c>
      <c r="Q248" s="115">
        <v>44877</v>
      </c>
      <c r="R248" s="32"/>
      <c r="S248" s="32"/>
      <c r="T248" s="32"/>
      <c r="U248" s="32"/>
      <c r="V248" s="32"/>
      <c r="W248" s="32"/>
      <c r="X248" s="32"/>
      <c r="Y248" s="32"/>
      <c r="Z248" s="32"/>
      <c r="AA248" s="32" t="s">
        <v>3917</v>
      </c>
      <c r="AB248" s="115">
        <v>44696</v>
      </c>
      <c r="AC248" s="32" t="s">
        <v>3918</v>
      </c>
      <c r="AD248" s="115">
        <v>44717</v>
      </c>
      <c r="AE248" s="32"/>
      <c r="AF248" s="32"/>
      <c r="AG248" s="32"/>
      <c r="AH248" s="32"/>
    </row>
    <row r="249" spans="1:34" x14ac:dyDescent="0.2">
      <c r="A249" s="114">
        <v>45094</v>
      </c>
      <c r="B249" s="29" t="s">
        <v>834</v>
      </c>
      <c r="C249" s="26"/>
      <c r="D249" s="29">
        <v>3006366964</v>
      </c>
      <c r="E249" s="26" t="s">
        <v>31</v>
      </c>
      <c r="F249" s="32"/>
      <c r="G249" s="29"/>
      <c r="H249" s="29"/>
      <c r="I249" s="29">
        <v>3059370059</v>
      </c>
      <c r="J249" s="29"/>
      <c r="K249" s="29"/>
      <c r="L249" s="29"/>
      <c r="M249" s="27" t="s">
        <v>2613</v>
      </c>
      <c r="N249" s="32"/>
      <c r="O249" s="32" t="s">
        <v>2841</v>
      </c>
      <c r="P249" s="32"/>
      <c r="Q249" s="32"/>
      <c r="R249" s="32"/>
      <c r="S249" s="32"/>
      <c r="T249" s="32"/>
      <c r="U249" s="32"/>
      <c r="V249" s="32"/>
      <c r="W249" s="32"/>
      <c r="X249" s="32"/>
      <c r="Y249" s="32"/>
      <c r="Z249" s="32"/>
      <c r="AA249" s="32"/>
      <c r="AB249" s="32"/>
      <c r="AC249" s="32"/>
      <c r="AD249" s="32"/>
      <c r="AE249" s="32"/>
      <c r="AF249" s="32"/>
      <c r="AG249" s="32"/>
      <c r="AH249" s="32"/>
    </row>
    <row r="250" spans="1:34" x14ac:dyDescent="0.2">
      <c r="A250" s="29" t="s">
        <v>3865</v>
      </c>
      <c r="B250" s="29" t="s">
        <v>3919</v>
      </c>
      <c r="C250" s="26"/>
      <c r="D250" s="29">
        <v>3003324099</v>
      </c>
      <c r="E250" s="26" t="s">
        <v>31</v>
      </c>
      <c r="F250" s="32"/>
      <c r="G250" s="29"/>
      <c r="H250" s="29"/>
      <c r="I250" s="29"/>
      <c r="J250" s="29"/>
      <c r="K250" s="29"/>
      <c r="L250" s="29"/>
      <c r="M250" s="27" t="s">
        <v>2613</v>
      </c>
      <c r="N250" s="32"/>
      <c r="O250" s="32" t="s">
        <v>2841</v>
      </c>
      <c r="P250" s="32"/>
      <c r="Q250" s="32"/>
      <c r="R250" s="32"/>
      <c r="S250" s="32"/>
      <c r="T250" s="32"/>
      <c r="U250" s="32"/>
      <c r="V250" s="32"/>
      <c r="W250" s="32"/>
      <c r="X250" s="32"/>
      <c r="Y250" s="32"/>
      <c r="Z250" s="32" t="s">
        <v>3920</v>
      </c>
      <c r="AA250" s="32" t="s">
        <v>3921</v>
      </c>
      <c r="AB250" s="32" t="s">
        <v>3922</v>
      </c>
      <c r="AC250" s="32"/>
      <c r="AD250" s="32"/>
      <c r="AE250" s="32"/>
      <c r="AF250" s="32"/>
      <c r="AG250" s="32"/>
      <c r="AH250" s="32"/>
    </row>
    <row r="251" spans="1:34" x14ac:dyDescent="0.2">
      <c r="A251" s="117">
        <v>44717</v>
      </c>
      <c r="B251" s="29" t="s">
        <v>3923</v>
      </c>
      <c r="C251" s="26">
        <v>1001809311</v>
      </c>
      <c r="D251" s="29">
        <v>3003031116</v>
      </c>
      <c r="E251" s="26" t="s">
        <v>31</v>
      </c>
      <c r="F251" s="32"/>
      <c r="G251" s="29" t="s">
        <v>3924</v>
      </c>
      <c r="H251" s="29"/>
      <c r="I251" s="29">
        <v>3016176198</v>
      </c>
      <c r="J251" s="29"/>
      <c r="K251" s="29"/>
      <c r="L251" s="29"/>
      <c r="M251" s="27" t="s">
        <v>2610</v>
      </c>
      <c r="N251" s="116">
        <v>44717</v>
      </c>
      <c r="O251" s="32" t="s">
        <v>2622</v>
      </c>
      <c r="P251" s="32"/>
      <c r="Q251" s="32"/>
      <c r="R251" s="32"/>
      <c r="S251" s="32"/>
      <c r="T251" s="32"/>
      <c r="U251" s="32"/>
      <c r="V251" s="32"/>
      <c r="W251" s="32"/>
      <c r="X251" s="32"/>
      <c r="Y251" s="32"/>
      <c r="Z251" s="32"/>
      <c r="AA251" s="32" t="s">
        <v>3925</v>
      </c>
      <c r="AB251" s="115">
        <v>44717</v>
      </c>
      <c r="AC251" s="32"/>
      <c r="AD251" s="32"/>
      <c r="AE251" s="32"/>
      <c r="AF251" s="32"/>
      <c r="AG251" s="32"/>
      <c r="AH251" s="32"/>
    </row>
    <row r="252" spans="1:34" x14ac:dyDescent="0.2">
      <c r="A252" s="114">
        <v>44724</v>
      </c>
      <c r="B252" s="29" t="s">
        <v>386</v>
      </c>
      <c r="C252" s="26"/>
      <c r="D252" s="29">
        <v>3205677376</v>
      </c>
      <c r="E252" s="26" t="s">
        <v>31</v>
      </c>
      <c r="F252" s="32"/>
      <c r="G252" s="29"/>
      <c r="H252" s="29"/>
      <c r="I252" s="29"/>
      <c r="J252" s="29"/>
      <c r="K252" s="29"/>
      <c r="L252" s="29"/>
      <c r="M252" s="27" t="s">
        <v>2610</v>
      </c>
      <c r="N252" s="115">
        <v>45074</v>
      </c>
      <c r="O252" s="32" t="s">
        <v>2838</v>
      </c>
      <c r="P252" s="32"/>
      <c r="Q252" s="32"/>
      <c r="R252" s="32"/>
      <c r="S252" s="32"/>
      <c r="T252" s="32"/>
      <c r="U252" s="32"/>
      <c r="V252" s="32"/>
      <c r="W252" s="32"/>
      <c r="X252" s="32"/>
      <c r="Y252" s="32"/>
      <c r="Z252" s="32" t="s">
        <v>388</v>
      </c>
      <c r="AA252" s="32" t="s">
        <v>3907</v>
      </c>
      <c r="AB252" s="115">
        <v>45072</v>
      </c>
      <c r="AC252" s="32" t="s">
        <v>3926</v>
      </c>
      <c r="AD252" s="32" t="s">
        <v>3885</v>
      </c>
      <c r="AE252" s="32"/>
      <c r="AF252" s="32"/>
      <c r="AG252" s="32"/>
      <c r="AH252" s="32"/>
    </row>
    <row r="253" spans="1:34" x14ac:dyDescent="0.2">
      <c r="A253" s="114">
        <v>44724</v>
      </c>
      <c r="B253" s="29" t="s">
        <v>378</v>
      </c>
      <c r="C253" s="26"/>
      <c r="D253" s="29">
        <v>3016087224</v>
      </c>
      <c r="E253" s="26" t="s">
        <v>31</v>
      </c>
      <c r="F253" s="32"/>
      <c r="G253" s="29"/>
      <c r="H253" s="29"/>
      <c r="I253" s="29"/>
      <c r="J253" s="29"/>
      <c r="K253" s="29"/>
      <c r="L253" s="29"/>
      <c r="M253" s="27" t="s">
        <v>2613</v>
      </c>
      <c r="N253" s="32"/>
      <c r="O253" s="32" t="s">
        <v>2841</v>
      </c>
      <c r="P253" s="32"/>
      <c r="Q253" s="32"/>
      <c r="R253" s="32"/>
      <c r="S253" s="32"/>
      <c r="T253" s="32"/>
      <c r="U253" s="32"/>
      <c r="V253" s="32"/>
      <c r="W253" s="32"/>
      <c r="X253" s="32"/>
      <c r="Y253" s="32"/>
      <c r="Z253" s="32"/>
      <c r="AA253" s="32" t="s">
        <v>3927</v>
      </c>
      <c r="AB253" s="115">
        <v>45086</v>
      </c>
      <c r="AC253" s="32"/>
      <c r="AD253" s="32"/>
      <c r="AE253" s="32"/>
      <c r="AF253" s="32"/>
      <c r="AG253" s="32"/>
      <c r="AH253" s="32"/>
    </row>
    <row r="254" spans="1:34" x14ac:dyDescent="0.2">
      <c r="A254" s="114">
        <v>44724</v>
      </c>
      <c r="B254" s="29" t="s">
        <v>356</v>
      </c>
      <c r="C254" s="26"/>
      <c r="D254" s="29">
        <v>3012824387</v>
      </c>
      <c r="E254" s="26" t="s">
        <v>31</v>
      </c>
      <c r="F254" s="32"/>
      <c r="G254" s="29"/>
      <c r="H254" s="29" t="s">
        <v>363</v>
      </c>
      <c r="I254" s="29">
        <v>3046367226</v>
      </c>
      <c r="J254" s="29"/>
      <c r="K254" s="29"/>
      <c r="L254" s="29"/>
      <c r="M254" s="27" t="s">
        <v>2613</v>
      </c>
      <c r="N254" s="32"/>
      <c r="O254" s="32" t="s">
        <v>2841</v>
      </c>
      <c r="P254" s="32"/>
      <c r="Q254" s="32"/>
      <c r="R254" s="32"/>
      <c r="S254" s="32"/>
      <c r="T254" s="32"/>
      <c r="U254" s="32"/>
      <c r="V254" s="32"/>
      <c r="W254" s="32"/>
      <c r="X254" s="32"/>
      <c r="Y254" s="32"/>
      <c r="Z254" s="32" t="s">
        <v>360</v>
      </c>
      <c r="AA254" s="32" t="s">
        <v>3928</v>
      </c>
      <c r="AB254" s="115">
        <v>45086</v>
      </c>
      <c r="AC254" s="32"/>
      <c r="AD254" s="32"/>
      <c r="AE254" s="32"/>
      <c r="AF254" s="32"/>
      <c r="AG254" s="32"/>
      <c r="AH254" s="32"/>
    </row>
    <row r="255" spans="1:34" x14ac:dyDescent="0.2">
      <c r="A255" s="114">
        <v>44724</v>
      </c>
      <c r="B255" s="29" t="s">
        <v>362</v>
      </c>
      <c r="C255" s="26"/>
      <c r="D255" s="29">
        <v>3212444957</v>
      </c>
      <c r="E255" s="26" t="s">
        <v>31</v>
      </c>
      <c r="F255" s="32"/>
      <c r="G255" s="29"/>
      <c r="H255" s="29" t="s">
        <v>363</v>
      </c>
      <c r="I255" s="29">
        <v>3057781951</v>
      </c>
      <c r="J255" s="29"/>
      <c r="K255" s="29"/>
      <c r="L255" s="29"/>
      <c r="M255" s="27" t="s">
        <v>2613</v>
      </c>
      <c r="N255" s="32"/>
      <c r="O255" s="32" t="s">
        <v>2841</v>
      </c>
      <c r="P255" s="32"/>
      <c r="Q255" s="32"/>
      <c r="R255" s="32"/>
      <c r="S255" s="32"/>
      <c r="T255" s="32"/>
      <c r="U255" s="32"/>
      <c r="V255" s="32"/>
      <c r="W255" s="32"/>
      <c r="X255" s="32"/>
      <c r="Y255" s="32"/>
      <c r="Z255" s="32" t="s">
        <v>369</v>
      </c>
      <c r="AA255" s="32" t="s">
        <v>3928</v>
      </c>
      <c r="AB255" s="115">
        <v>45086</v>
      </c>
      <c r="AC255" s="32"/>
      <c r="AD255" s="32"/>
      <c r="AE255" s="32"/>
      <c r="AF255" s="32"/>
      <c r="AG255" s="32"/>
      <c r="AH255" s="32"/>
    </row>
    <row r="256" spans="1:34" x14ac:dyDescent="0.2">
      <c r="A256" s="114">
        <v>44738</v>
      </c>
      <c r="B256" s="29" t="s">
        <v>3929</v>
      </c>
      <c r="C256" s="26"/>
      <c r="D256" s="29"/>
      <c r="E256" s="26" t="s">
        <v>31</v>
      </c>
      <c r="F256" s="32"/>
      <c r="G256" s="29"/>
      <c r="H256" s="29"/>
      <c r="I256" s="29"/>
      <c r="J256" s="29"/>
      <c r="K256" s="29"/>
      <c r="L256" s="29"/>
      <c r="M256" s="27" t="s">
        <v>2610</v>
      </c>
      <c r="N256" s="115">
        <v>44738</v>
      </c>
      <c r="O256" s="32" t="s">
        <v>2622</v>
      </c>
      <c r="P256" s="32"/>
      <c r="Q256" s="32"/>
      <c r="R256" s="32"/>
      <c r="S256" s="32"/>
      <c r="T256" s="32"/>
      <c r="U256" s="32"/>
      <c r="V256" s="32"/>
      <c r="W256" s="32"/>
      <c r="X256" s="32"/>
      <c r="Y256" s="32"/>
      <c r="Z256" s="32" t="s">
        <v>3930</v>
      </c>
      <c r="AA256" s="32"/>
      <c r="AB256" s="32"/>
      <c r="AC256" s="32"/>
      <c r="AD256" s="32"/>
      <c r="AE256" s="32"/>
      <c r="AF256" s="32"/>
      <c r="AG256" s="32"/>
      <c r="AH256" s="32"/>
    </row>
    <row r="257" spans="1:34" x14ac:dyDescent="0.2">
      <c r="A257" s="114">
        <v>44738</v>
      </c>
      <c r="B257" s="29" t="s">
        <v>394</v>
      </c>
      <c r="C257" s="26"/>
      <c r="D257" s="29">
        <v>3007130003</v>
      </c>
      <c r="E257" s="26" t="s">
        <v>31</v>
      </c>
      <c r="F257" s="32"/>
      <c r="G257" s="29"/>
      <c r="H257" s="29" t="s">
        <v>334</v>
      </c>
      <c r="I257" s="29">
        <v>3127717052</v>
      </c>
      <c r="J257" s="29"/>
      <c r="K257" s="29"/>
      <c r="L257" s="29"/>
      <c r="M257" s="27" t="s">
        <v>2613</v>
      </c>
      <c r="N257" s="32"/>
      <c r="O257" s="32" t="s">
        <v>2841</v>
      </c>
      <c r="P257" s="32"/>
      <c r="Q257" s="32"/>
      <c r="R257" s="32"/>
      <c r="S257" s="32"/>
      <c r="T257" s="32"/>
      <c r="U257" s="32"/>
      <c r="V257" s="32"/>
      <c r="W257" s="32"/>
      <c r="X257" s="32"/>
      <c r="Y257" s="32"/>
      <c r="Z257" s="32"/>
      <c r="AA257" s="32" t="s">
        <v>3931</v>
      </c>
      <c r="AB257" s="115">
        <v>45086</v>
      </c>
      <c r="AC257" s="32"/>
      <c r="AD257" s="32"/>
      <c r="AE257" s="32"/>
      <c r="AF257" s="32"/>
      <c r="AG257" s="32"/>
      <c r="AH257" s="32"/>
    </row>
    <row r="258" spans="1:34" x14ac:dyDescent="0.2">
      <c r="A258" s="114">
        <v>44738</v>
      </c>
      <c r="B258" s="29" t="s">
        <v>3932</v>
      </c>
      <c r="C258" s="26">
        <v>1128467862</v>
      </c>
      <c r="D258" s="29">
        <v>3123694934</v>
      </c>
      <c r="E258" s="26" t="s">
        <v>31</v>
      </c>
      <c r="F258" s="32"/>
      <c r="G258" s="29" t="s">
        <v>3933</v>
      </c>
      <c r="H258" s="29" t="s">
        <v>3934</v>
      </c>
      <c r="I258" s="29">
        <v>3128285525</v>
      </c>
      <c r="J258" s="29"/>
      <c r="K258" s="29"/>
      <c r="L258" s="29"/>
      <c r="M258" s="27" t="s">
        <v>2644</v>
      </c>
      <c r="N258" s="115">
        <v>45102</v>
      </c>
      <c r="O258" s="32" t="s">
        <v>2622</v>
      </c>
      <c r="P258" s="32" t="s">
        <v>2646</v>
      </c>
      <c r="Q258" s="115">
        <v>45136</v>
      </c>
      <c r="R258" s="32"/>
      <c r="S258" s="32"/>
      <c r="T258" s="32"/>
      <c r="U258" s="32"/>
      <c r="V258" s="32"/>
      <c r="W258" s="32"/>
      <c r="X258" s="32"/>
      <c r="Y258" s="32"/>
      <c r="Z258" s="32" t="s">
        <v>3935</v>
      </c>
      <c r="AA258" s="32" t="s">
        <v>3883</v>
      </c>
      <c r="AB258" s="115">
        <v>45086</v>
      </c>
      <c r="AC258" s="32"/>
      <c r="AD258" s="32"/>
      <c r="AE258" s="32"/>
      <c r="AF258" s="32"/>
      <c r="AG258" s="32"/>
      <c r="AH258" s="32"/>
    </row>
    <row r="259" spans="1:34" x14ac:dyDescent="0.2">
      <c r="A259" s="114">
        <v>44738</v>
      </c>
      <c r="B259" s="29" t="s">
        <v>398</v>
      </c>
      <c r="C259" s="26"/>
      <c r="D259" s="29">
        <v>3113083936</v>
      </c>
      <c r="E259" s="26" t="s">
        <v>31</v>
      </c>
      <c r="F259" s="32"/>
      <c r="G259" s="29"/>
      <c r="H259" s="29" t="s">
        <v>399</v>
      </c>
      <c r="I259" s="29">
        <v>3005941351</v>
      </c>
      <c r="J259" s="29"/>
      <c r="K259" s="29"/>
      <c r="L259" s="29"/>
      <c r="M259" s="27" t="s">
        <v>2610</v>
      </c>
      <c r="N259" s="115">
        <v>45087</v>
      </c>
      <c r="O259" s="32" t="s">
        <v>2841</v>
      </c>
      <c r="P259" s="32"/>
      <c r="Q259" s="32"/>
      <c r="R259" s="32"/>
      <c r="S259" s="32"/>
      <c r="T259" s="32"/>
      <c r="U259" s="32"/>
      <c r="V259" s="32"/>
      <c r="W259" s="32"/>
      <c r="X259" s="32"/>
      <c r="Y259" s="32"/>
      <c r="Z259" s="32"/>
      <c r="AA259" s="32" t="s">
        <v>3883</v>
      </c>
      <c r="AB259" s="115">
        <v>45086</v>
      </c>
      <c r="AC259" s="32"/>
      <c r="AD259" s="32"/>
      <c r="AE259" s="32"/>
      <c r="AF259" s="32"/>
      <c r="AG259" s="32"/>
      <c r="AH259" s="32"/>
    </row>
    <row r="260" spans="1:34" x14ac:dyDescent="0.2">
      <c r="A260" s="117">
        <v>44745</v>
      </c>
      <c r="B260" s="29" t="s">
        <v>404</v>
      </c>
      <c r="C260" s="26"/>
      <c r="D260" s="29">
        <v>3117843858</v>
      </c>
      <c r="E260" s="26" t="s">
        <v>31</v>
      </c>
      <c r="F260" s="32"/>
      <c r="G260" s="29"/>
      <c r="H260" s="29" t="s">
        <v>3936</v>
      </c>
      <c r="I260" s="29">
        <v>3007676176</v>
      </c>
      <c r="J260" s="29"/>
      <c r="K260" s="29"/>
      <c r="L260" s="29"/>
      <c r="M260" s="27" t="s">
        <v>2610</v>
      </c>
      <c r="N260" s="115">
        <v>45087</v>
      </c>
      <c r="O260" s="32" t="s">
        <v>2841</v>
      </c>
      <c r="P260" s="32"/>
      <c r="Q260" s="32"/>
      <c r="R260" s="32"/>
      <c r="S260" s="32"/>
      <c r="T260" s="32"/>
      <c r="U260" s="32"/>
      <c r="V260" s="32"/>
      <c r="W260" s="32"/>
      <c r="X260" s="32"/>
      <c r="Y260" s="32"/>
      <c r="Z260" s="32"/>
      <c r="AA260" s="32" t="s">
        <v>3907</v>
      </c>
      <c r="AB260" s="115">
        <v>45086</v>
      </c>
      <c r="AC260" s="32" t="s">
        <v>3937</v>
      </c>
      <c r="AD260" s="118">
        <v>45205</v>
      </c>
      <c r="AE260" s="32"/>
      <c r="AF260" s="32"/>
      <c r="AG260" s="32"/>
      <c r="AH260" s="32"/>
    </row>
    <row r="261" spans="1:34" x14ac:dyDescent="0.2">
      <c r="A261" s="114">
        <v>44755</v>
      </c>
      <c r="B261" s="29" t="s">
        <v>412</v>
      </c>
      <c r="C261" s="26"/>
      <c r="D261" s="29">
        <v>3022156174</v>
      </c>
      <c r="E261" s="26" t="s">
        <v>31</v>
      </c>
      <c r="F261" s="32"/>
      <c r="G261" s="29"/>
      <c r="H261" s="29" t="s">
        <v>413</v>
      </c>
      <c r="I261" s="29">
        <v>3117849621</v>
      </c>
      <c r="J261" s="29"/>
      <c r="K261" s="29"/>
      <c r="L261" s="29"/>
      <c r="M261" s="27" t="s">
        <v>2610</v>
      </c>
      <c r="N261" s="115">
        <v>45087</v>
      </c>
      <c r="O261" s="32" t="s">
        <v>2841</v>
      </c>
      <c r="P261" s="32"/>
      <c r="Q261" s="32"/>
      <c r="R261" s="32"/>
      <c r="S261" s="32"/>
      <c r="T261" s="32"/>
      <c r="U261" s="32"/>
      <c r="V261" s="32"/>
      <c r="W261" s="32"/>
      <c r="X261" s="32"/>
      <c r="Y261" s="32"/>
      <c r="Z261" s="32"/>
      <c r="AA261" s="32" t="s">
        <v>3907</v>
      </c>
      <c r="AB261" s="115">
        <v>45086</v>
      </c>
      <c r="AC261" s="32"/>
      <c r="AD261" s="32"/>
      <c r="AE261" s="32"/>
      <c r="AF261" s="32"/>
      <c r="AG261" s="32"/>
      <c r="AH261" s="32"/>
    </row>
    <row r="262" spans="1:34" x14ac:dyDescent="0.2">
      <c r="A262" s="29" t="s">
        <v>3865</v>
      </c>
      <c r="B262" s="29" t="s">
        <v>3938</v>
      </c>
      <c r="C262" s="26"/>
      <c r="D262" s="29">
        <v>3136661455</v>
      </c>
      <c r="E262" s="26" t="s">
        <v>31</v>
      </c>
      <c r="F262" s="32"/>
      <c r="G262" s="29"/>
      <c r="H262" s="29"/>
      <c r="I262" s="29">
        <v>3223700823</v>
      </c>
      <c r="J262" s="29"/>
      <c r="K262" s="29"/>
      <c r="L262" s="29"/>
      <c r="M262" s="27" t="s">
        <v>2613</v>
      </c>
      <c r="N262" s="32"/>
      <c r="O262" s="32" t="s">
        <v>2841</v>
      </c>
      <c r="P262" s="32"/>
      <c r="Q262" s="32"/>
      <c r="R262" s="32"/>
      <c r="S262" s="32"/>
      <c r="T262" s="32"/>
      <c r="U262" s="32"/>
      <c r="V262" s="32"/>
      <c r="W262" s="32"/>
      <c r="X262" s="32"/>
      <c r="Y262" s="32"/>
      <c r="Z262" s="32" t="s">
        <v>1238</v>
      </c>
      <c r="AA262" s="32"/>
      <c r="AB262" s="32"/>
      <c r="AC262" s="32"/>
      <c r="AD262" s="32"/>
      <c r="AE262" s="32"/>
      <c r="AF262" s="32"/>
      <c r="AG262" s="32"/>
      <c r="AH262" s="32"/>
    </row>
    <row r="263" spans="1:34" x14ac:dyDescent="0.2">
      <c r="A263" s="114">
        <v>44857</v>
      </c>
      <c r="B263" s="29" t="s">
        <v>3939</v>
      </c>
      <c r="C263" s="26"/>
      <c r="D263" s="29">
        <v>3113563262</v>
      </c>
      <c r="E263" s="26" t="s">
        <v>31</v>
      </c>
      <c r="F263" s="32"/>
      <c r="G263" s="29"/>
      <c r="H263" s="29" t="s">
        <v>718</v>
      </c>
      <c r="I263" s="29">
        <v>3504844924</v>
      </c>
      <c r="J263" s="29"/>
      <c r="K263" s="29"/>
      <c r="L263" s="29"/>
      <c r="M263" s="27" t="s">
        <v>2613</v>
      </c>
      <c r="N263" s="32"/>
      <c r="O263" s="32" t="s">
        <v>2841</v>
      </c>
      <c r="P263" s="32"/>
      <c r="Q263" s="32"/>
      <c r="R263" s="32"/>
      <c r="S263" s="32"/>
      <c r="T263" s="32"/>
      <c r="U263" s="32"/>
      <c r="V263" s="32"/>
      <c r="W263" s="32"/>
      <c r="X263" s="32"/>
      <c r="Y263" s="32"/>
      <c r="Z263" s="32" t="s">
        <v>3940</v>
      </c>
      <c r="AA263" s="32"/>
      <c r="AB263" s="32"/>
      <c r="AC263" s="32"/>
      <c r="AD263" s="32"/>
      <c r="AE263" s="32"/>
      <c r="AF263" s="32"/>
      <c r="AG263" s="32"/>
      <c r="AH263" s="32"/>
    </row>
    <row r="264" spans="1:34" x14ac:dyDescent="0.2">
      <c r="A264" s="114">
        <v>44765</v>
      </c>
      <c r="B264" s="29" t="s">
        <v>3941</v>
      </c>
      <c r="C264" s="26">
        <v>39178451</v>
      </c>
      <c r="D264" s="29">
        <v>3233133858</v>
      </c>
      <c r="E264" s="26" t="s">
        <v>31</v>
      </c>
      <c r="F264" s="32"/>
      <c r="G264" s="29"/>
      <c r="H264" s="29" t="s">
        <v>3942</v>
      </c>
      <c r="I264" s="29">
        <v>3146407427</v>
      </c>
      <c r="J264" s="29"/>
      <c r="K264" s="29"/>
      <c r="L264" s="29"/>
      <c r="M264" s="27" t="s">
        <v>2644</v>
      </c>
      <c r="N264" s="115">
        <v>44765</v>
      </c>
      <c r="O264" s="32" t="s">
        <v>2622</v>
      </c>
      <c r="P264" s="32" t="s">
        <v>2646</v>
      </c>
      <c r="Q264" s="115">
        <v>44877</v>
      </c>
      <c r="R264" s="32"/>
      <c r="S264" s="32"/>
      <c r="T264" s="32"/>
      <c r="U264" s="32"/>
      <c r="V264" s="32"/>
      <c r="W264" s="32"/>
      <c r="X264" s="32"/>
      <c r="Y264" s="32"/>
      <c r="Z264" s="32" t="s">
        <v>3943</v>
      </c>
      <c r="AA264" s="32" t="s">
        <v>3944</v>
      </c>
      <c r="AB264" s="115">
        <v>45074</v>
      </c>
      <c r="AC264" s="32"/>
      <c r="AD264" s="32"/>
      <c r="AE264" s="32"/>
      <c r="AF264" s="32"/>
      <c r="AG264" s="32" t="s">
        <v>3945</v>
      </c>
      <c r="AH264" s="32"/>
    </row>
    <row r="265" spans="1:34" x14ac:dyDescent="0.2">
      <c r="A265" s="114">
        <v>44765</v>
      </c>
      <c r="B265" s="29" t="s">
        <v>3946</v>
      </c>
      <c r="C265" s="26">
        <v>43889122</v>
      </c>
      <c r="D265" s="29">
        <v>3128639963</v>
      </c>
      <c r="E265" s="26" t="s">
        <v>31</v>
      </c>
      <c r="F265" s="32"/>
      <c r="G265" s="29" t="s">
        <v>3947</v>
      </c>
      <c r="H265" s="29" t="s">
        <v>3948</v>
      </c>
      <c r="I265" s="29">
        <v>3046489101</v>
      </c>
      <c r="J265" s="29"/>
      <c r="K265" s="29"/>
      <c r="L265" s="29"/>
      <c r="M265" s="27" t="s">
        <v>2610</v>
      </c>
      <c r="N265" s="115">
        <v>44765</v>
      </c>
      <c r="O265" s="32" t="s">
        <v>2622</v>
      </c>
      <c r="P265" s="32"/>
      <c r="Q265" s="32"/>
      <c r="R265" s="32"/>
      <c r="S265" s="32"/>
      <c r="T265" s="32"/>
      <c r="U265" s="32"/>
      <c r="V265" s="32"/>
      <c r="W265" s="32"/>
      <c r="X265" s="32"/>
      <c r="Y265" s="32"/>
      <c r="Z265" s="32" t="s">
        <v>3949</v>
      </c>
      <c r="AA265" s="32"/>
      <c r="AB265" s="32"/>
      <c r="AC265" s="32"/>
      <c r="AD265" s="32"/>
      <c r="AE265" s="32"/>
      <c r="AF265" s="32"/>
      <c r="AG265" s="32"/>
      <c r="AH265" s="32"/>
    </row>
    <row r="266" spans="1:34" x14ac:dyDescent="0.2">
      <c r="A266" s="114">
        <v>44773</v>
      </c>
      <c r="B266" s="29" t="s">
        <v>3950</v>
      </c>
      <c r="C266" s="26">
        <v>32257571</v>
      </c>
      <c r="D266" s="29">
        <v>3003563750</v>
      </c>
      <c r="E266" s="26" t="s">
        <v>31</v>
      </c>
      <c r="F266" s="32"/>
      <c r="G266" s="29" t="s">
        <v>3951</v>
      </c>
      <c r="H266" s="29" t="s">
        <v>114</v>
      </c>
      <c r="I266" s="29">
        <v>3043269737</v>
      </c>
      <c r="J266" s="29"/>
      <c r="K266" s="29"/>
      <c r="L266" s="29"/>
      <c r="M266" s="27" t="s">
        <v>2610</v>
      </c>
      <c r="N266" s="115">
        <v>44773</v>
      </c>
      <c r="O266" s="32" t="s">
        <v>2848</v>
      </c>
      <c r="P266" s="32"/>
      <c r="Q266" s="32"/>
      <c r="R266" s="32"/>
      <c r="S266" s="32"/>
      <c r="T266" s="32"/>
      <c r="U266" s="32"/>
      <c r="V266" s="32"/>
      <c r="W266" s="32"/>
      <c r="X266" s="32"/>
      <c r="Y266" s="32"/>
      <c r="Z266" s="32"/>
      <c r="AA266" s="32" t="s">
        <v>118</v>
      </c>
      <c r="AB266" s="115">
        <v>44696</v>
      </c>
      <c r="AC266" s="32" t="s">
        <v>3952</v>
      </c>
      <c r="AD266" s="32" t="s">
        <v>3953</v>
      </c>
      <c r="AE266" s="32"/>
      <c r="AF266" s="32"/>
      <c r="AG266" s="32"/>
      <c r="AH266" s="32"/>
    </row>
    <row r="267" spans="1:34" x14ac:dyDescent="0.2">
      <c r="A267" s="114">
        <v>44773</v>
      </c>
      <c r="B267" s="29" t="s">
        <v>3954</v>
      </c>
      <c r="C267" s="26">
        <v>1068579767</v>
      </c>
      <c r="D267" s="29">
        <v>3235352308</v>
      </c>
      <c r="E267" s="26" t="s">
        <v>31</v>
      </c>
      <c r="F267" s="32"/>
      <c r="G267" s="29" t="s">
        <v>3955</v>
      </c>
      <c r="H267" s="29" t="s">
        <v>3956</v>
      </c>
      <c r="I267" s="29">
        <v>3117451877</v>
      </c>
      <c r="J267" s="29"/>
      <c r="K267" s="29"/>
      <c r="L267" s="29"/>
      <c r="M267" s="27" t="s">
        <v>2644</v>
      </c>
      <c r="N267" s="115">
        <v>44773</v>
      </c>
      <c r="O267" s="32" t="s">
        <v>2622</v>
      </c>
      <c r="P267" s="32" t="s">
        <v>2646</v>
      </c>
      <c r="Q267" s="115">
        <v>44877</v>
      </c>
      <c r="R267" s="32"/>
      <c r="S267" s="32"/>
      <c r="T267" s="32"/>
      <c r="U267" s="32"/>
      <c r="V267" s="32"/>
      <c r="W267" s="32"/>
      <c r="X267" s="32"/>
      <c r="Y267" s="32"/>
      <c r="Z267" s="32" t="s">
        <v>3957</v>
      </c>
      <c r="AA267" s="32" t="s">
        <v>3958</v>
      </c>
      <c r="AB267" s="115">
        <v>45074</v>
      </c>
      <c r="AC267" s="32"/>
      <c r="AD267" s="32"/>
      <c r="AE267" s="32"/>
      <c r="AF267" s="32"/>
      <c r="AG267" s="32" t="s">
        <v>3945</v>
      </c>
      <c r="AH267" s="32"/>
    </row>
    <row r="268" spans="1:34" x14ac:dyDescent="0.2">
      <c r="A268" s="114">
        <v>44773</v>
      </c>
      <c r="B268" s="29" t="s">
        <v>3959</v>
      </c>
      <c r="C268" s="26"/>
      <c r="D268" s="29">
        <v>3128788106</v>
      </c>
      <c r="E268" s="26" t="s">
        <v>31</v>
      </c>
      <c r="F268" s="32"/>
      <c r="G268" s="29" t="s">
        <v>3960</v>
      </c>
      <c r="H268" s="29" t="s">
        <v>3961</v>
      </c>
      <c r="I268" s="29"/>
      <c r="J268" s="29"/>
      <c r="K268" s="29"/>
      <c r="L268" s="29"/>
      <c r="M268" s="27" t="s">
        <v>2610</v>
      </c>
      <c r="N268" s="115">
        <v>44773</v>
      </c>
      <c r="O268" s="32" t="s">
        <v>2838</v>
      </c>
      <c r="P268" s="32"/>
      <c r="Q268" s="32"/>
      <c r="R268" s="32"/>
      <c r="S268" s="32"/>
      <c r="T268" s="32"/>
      <c r="U268" s="32"/>
      <c r="V268" s="32"/>
      <c r="W268" s="32"/>
      <c r="X268" s="32"/>
      <c r="Y268" s="32"/>
      <c r="Z268" s="32" t="s">
        <v>3962</v>
      </c>
      <c r="AA268" s="32"/>
      <c r="AB268" s="32"/>
      <c r="AC268" s="32"/>
      <c r="AD268" s="32"/>
      <c r="AE268" s="32"/>
      <c r="AF268" s="32"/>
      <c r="AG268" s="32"/>
      <c r="AH268" s="32"/>
    </row>
    <row r="269" spans="1:34" x14ac:dyDescent="0.2">
      <c r="A269" s="114">
        <v>44773</v>
      </c>
      <c r="B269" s="29" t="s">
        <v>3963</v>
      </c>
      <c r="C269" s="26">
        <v>16653726</v>
      </c>
      <c r="D269" s="29">
        <v>3005963426</v>
      </c>
      <c r="E269" s="26" t="s">
        <v>31</v>
      </c>
      <c r="F269" s="32"/>
      <c r="G269" s="29" t="s">
        <v>3964</v>
      </c>
      <c r="H269" s="29" t="s">
        <v>3965</v>
      </c>
      <c r="I269" s="29">
        <v>3106901121</v>
      </c>
      <c r="J269" s="29"/>
      <c r="K269" s="29"/>
      <c r="L269" s="29"/>
      <c r="M269" s="27" t="s">
        <v>2610</v>
      </c>
      <c r="N269" s="115">
        <v>44773</v>
      </c>
      <c r="O269" s="32" t="s">
        <v>2848</v>
      </c>
      <c r="P269" s="32"/>
      <c r="Q269" s="32"/>
      <c r="R269" s="32"/>
      <c r="S269" s="32"/>
      <c r="T269" s="32"/>
      <c r="U269" s="32"/>
      <c r="V269" s="32"/>
      <c r="W269" s="32"/>
      <c r="X269" s="32"/>
      <c r="Y269" s="32"/>
      <c r="Z269" s="32" t="s">
        <v>3966</v>
      </c>
      <c r="AA269" s="32"/>
      <c r="AB269" s="32"/>
      <c r="AC269" s="32"/>
      <c r="AD269" s="32"/>
      <c r="AE269" s="32"/>
      <c r="AF269" s="32"/>
      <c r="AG269" s="32"/>
      <c r="AH269" s="32"/>
    </row>
    <row r="270" spans="1:34" x14ac:dyDescent="0.2">
      <c r="A270" s="114">
        <v>44794</v>
      </c>
      <c r="B270" s="29" t="s">
        <v>579</v>
      </c>
      <c r="C270" s="26"/>
      <c r="D270" s="29">
        <v>3227300373</v>
      </c>
      <c r="E270" s="26" t="s">
        <v>31</v>
      </c>
      <c r="F270" s="32"/>
      <c r="G270" s="29"/>
      <c r="H270" s="29" t="s">
        <v>580</v>
      </c>
      <c r="I270" s="29">
        <v>3013602786</v>
      </c>
      <c r="J270" s="29"/>
      <c r="K270" s="29"/>
      <c r="L270" s="29"/>
      <c r="M270" s="27" t="s">
        <v>2613</v>
      </c>
      <c r="N270" s="32"/>
      <c r="O270" s="32" t="s">
        <v>2841</v>
      </c>
      <c r="P270" s="32"/>
      <c r="Q270" s="32"/>
      <c r="R270" s="32"/>
      <c r="S270" s="32"/>
      <c r="T270" s="32"/>
      <c r="U270" s="32"/>
      <c r="V270" s="32"/>
      <c r="W270" s="32"/>
      <c r="X270" s="32"/>
      <c r="Y270" s="32"/>
      <c r="Z270" s="32" t="s">
        <v>3967</v>
      </c>
      <c r="AA270" s="32" t="s">
        <v>3968</v>
      </c>
      <c r="AB270" s="115">
        <v>45087</v>
      </c>
      <c r="AC270" s="32"/>
      <c r="AD270" s="32"/>
      <c r="AE270" s="32"/>
      <c r="AF270" s="32"/>
      <c r="AG270" s="32" t="s">
        <v>3969</v>
      </c>
      <c r="AH270" s="32"/>
    </row>
    <row r="271" spans="1:34" x14ac:dyDescent="0.2">
      <c r="A271" s="114">
        <v>44773</v>
      </c>
      <c r="B271" s="29" t="s">
        <v>3970</v>
      </c>
      <c r="C271" s="26">
        <v>8290234</v>
      </c>
      <c r="D271" s="29">
        <v>3007609469</v>
      </c>
      <c r="E271" s="26" t="s">
        <v>31</v>
      </c>
      <c r="F271" s="32"/>
      <c r="G271" s="29" t="s">
        <v>3971</v>
      </c>
      <c r="H271" s="29" t="s">
        <v>3972</v>
      </c>
      <c r="I271" s="29">
        <v>3007744106</v>
      </c>
      <c r="J271" s="29"/>
      <c r="K271" s="29"/>
      <c r="L271" s="29"/>
      <c r="M271" s="27" t="s">
        <v>2610</v>
      </c>
      <c r="N271" s="115">
        <v>44773</v>
      </c>
      <c r="O271" s="32" t="s">
        <v>2838</v>
      </c>
      <c r="P271" s="32"/>
      <c r="Q271" s="32"/>
      <c r="R271" s="32"/>
      <c r="S271" s="32"/>
      <c r="T271" s="32"/>
      <c r="U271" s="32"/>
      <c r="V271" s="32"/>
      <c r="W271" s="32"/>
      <c r="X271" s="32"/>
      <c r="Y271" s="32"/>
      <c r="Z271" s="32" t="s">
        <v>3973</v>
      </c>
      <c r="AA271" s="32"/>
      <c r="AB271" s="32"/>
      <c r="AC271" s="32"/>
      <c r="AD271" s="32"/>
      <c r="AE271" s="32"/>
      <c r="AF271" s="32"/>
      <c r="AG271" s="32"/>
      <c r="AH271" s="32"/>
    </row>
    <row r="272" spans="1:34" x14ac:dyDescent="0.2">
      <c r="A272" s="114">
        <v>44773</v>
      </c>
      <c r="B272" s="29" t="s">
        <v>3974</v>
      </c>
      <c r="C272" s="26">
        <v>21791960</v>
      </c>
      <c r="D272" s="29"/>
      <c r="E272" s="26" t="s">
        <v>31</v>
      </c>
      <c r="F272" s="32"/>
      <c r="G272" s="29" t="s">
        <v>3960</v>
      </c>
      <c r="H272" s="29" t="s">
        <v>3959</v>
      </c>
      <c r="I272" s="29">
        <v>3128788106</v>
      </c>
      <c r="J272" s="29"/>
      <c r="K272" s="29"/>
      <c r="L272" s="29"/>
      <c r="M272" s="27" t="s">
        <v>2610</v>
      </c>
      <c r="N272" s="115">
        <v>44773</v>
      </c>
      <c r="O272" s="32" t="s">
        <v>2838</v>
      </c>
      <c r="P272" s="32"/>
      <c r="Q272" s="32"/>
      <c r="R272" s="32"/>
      <c r="S272" s="32"/>
      <c r="T272" s="32"/>
      <c r="U272" s="32"/>
      <c r="V272" s="32"/>
      <c r="W272" s="32"/>
      <c r="X272" s="32"/>
      <c r="Y272" s="32"/>
      <c r="Z272" s="32" t="s">
        <v>3975</v>
      </c>
      <c r="AA272" s="32"/>
      <c r="AB272" s="32"/>
      <c r="AC272" s="32"/>
      <c r="AD272" s="32"/>
      <c r="AE272" s="32"/>
      <c r="AF272" s="32"/>
      <c r="AG272" s="32"/>
      <c r="AH272" s="32"/>
    </row>
    <row r="273" spans="1:34" x14ac:dyDescent="0.2">
      <c r="A273" s="114">
        <v>44773</v>
      </c>
      <c r="B273" s="29" t="s">
        <v>3976</v>
      </c>
      <c r="C273" s="26">
        <v>1007430159</v>
      </c>
      <c r="D273" s="29">
        <v>3242951071</v>
      </c>
      <c r="E273" s="26" t="s">
        <v>31</v>
      </c>
      <c r="F273" s="32"/>
      <c r="G273" s="29" t="s">
        <v>3977</v>
      </c>
      <c r="H273" s="29" t="s">
        <v>151</v>
      </c>
      <c r="I273" s="29">
        <v>3015765105</v>
      </c>
      <c r="J273" s="29"/>
      <c r="K273" s="29"/>
      <c r="L273" s="29"/>
      <c r="M273" s="27" t="s">
        <v>2610</v>
      </c>
      <c r="N273" s="115">
        <v>44773</v>
      </c>
      <c r="O273" s="32" t="s">
        <v>2622</v>
      </c>
      <c r="P273" s="32"/>
      <c r="Q273" s="32"/>
      <c r="R273" s="32"/>
      <c r="S273" s="32"/>
      <c r="T273" s="32"/>
      <c r="U273" s="32"/>
      <c r="V273" s="32"/>
      <c r="W273" s="32"/>
      <c r="X273" s="32"/>
      <c r="Y273" s="32"/>
      <c r="Z273" s="32"/>
      <c r="AA273" s="32" t="s">
        <v>154</v>
      </c>
      <c r="AB273" s="115">
        <v>44696</v>
      </c>
      <c r="AC273" s="32" t="s">
        <v>3978</v>
      </c>
      <c r="AD273" s="115">
        <v>44773</v>
      </c>
      <c r="AE273" s="32"/>
      <c r="AF273" s="32"/>
      <c r="AG273" s="32"/>
      <c r="AH273" s="32"/>
    </row>
    <row r="274" spans="1:34" x14ac:dyDescent="0.2">
      <c r="A274" s="114">
        <v>44773</v>
      </c>
      <c r="B274" s="29" t="s">
        <v>3979</v>
      </c>
      <c r="C274" s="26">
        <v>1128423570</v>
      </c>
      <c r="D274" s="29">
        <v>3242672540</v>
      </c>
      <c r="E274" s="26" t="s">
        <v>31</v>
      </c>
      <c r="F274" s="32"/>
      <c r="G274" s="29" t="s">
        <v>3980</v>
      </c>
      <c r="H274" s="29" t="s">
        <v>3981</v>
      </c>
      <c r="I274" s="29">
        <v>3122671177</v>
      </c>
      <c r="J274" s="29"/>
      <c r="K274" s="29"/>
      <c r="L274" s="29"/>
      <c r="M274" s="27" t="s">
        <v>2610</v>
      </c>
      <c r="N274" s="115">
        <v>44773</v>
      </c>
      <c r="O274" s="32" t="s">
        <v>2838</v>
      </c>
      <c r="P274" s="32"/>
      <c r="Q274" s="32"/>
      <c r="R274" s="32"/>
      <c r="S274" s="32"/>
      <c r="T274" s="32"/>
      <c r="U274" s="32"/>
      <c r="V274" s="32"/>
      <c r="W274" s="32"/>
      <c r="X274" s="32"/>
      <c r="Y274" s="32"/>
      <c r="Z274" s="32" t="s">
        <v>3982</v>
      </c>
      <c r="AA274" s="32"/>
      <c r="AB274" s="32"/>
      <c r="AC274" s="32"/>
      <c r="AD274" s="32"/>
      <c r="AE274" s="32"/>
      <c r="AF274" s="32"/>
      <c r="AG274" s="32"/>
      <c r="AH274" s="32"/>
    </row>
    <row r="275" spans="1:34" x14ac:dyDescent="0.2">
      <c r="A275" s="117">
        <v>44779</v>
      </c>
      <c r="B275" s="29" t="s">
        <v>3983</v>
      </c>
      <c r="C275" s="26">
        <v>70600895</v>
      </c>
      <c r="D275" s="29">
        <v>3012174714</v>
      </c>
      <c r="E275" s="26" t="s">
        <v>31</v>
      </c>
      <c r="F275" s="32"/>
      <c r="G275" s="29" t="s">
        <v>3984</v>
      </c>
      <c r="H275" s="29" t="s">
        <v>3985</v>
      </c>
      <c r="I275" s="29">
        <v>3003411674</v>
      </c>
      <c r="J275" s="29"/>
      <c r="K275" s="29"/>
      <c r="L275" s="29"/>
      <c r="M275" s="27" t="s">
        <v>2644</v>
      </c>
      <c r="N275" s="116">
        <v>44779</v>
      </c>
      <c r="O275" s="32" t="s">
        <v>2838</v>
      </c>
      <c r="P275" s="32" t="s">
        <v>2646</v>
      </c>
      <c r="Q275" s="115">
        <v>44877</v>
      </c>
      <c r="R275" s="32"/>
      <c r="S275" s="32"/>
      <c r="T275" s="32"/>
      <c r="U275" s="32"/>
      <c r="V275" s="32"/>
      <c r="W275" s="32"/>
      <c r="X275" s="32"/>
      <c r="Y275" s="32"/>
      <c r="Z275" s="32" t="s">
        <v>3986</v>
      </c>
      <c r="AA275" s="32"/>
      <c r="AB275" s="32"/>
      <c r="AC275" s="32"/>
      <c r="AD275" s="32"/>
      <c r="AE275" s="32"/>
      <c r="AF275" s="32"/>
      <c r="AG275" s="32"/>
      <c r="AH275" s="32"/>
    </row>
    <row r="276" spans="1:34" x14ac:dyDescent="0.2">
      <c r="A276" s="114">
        <v>44787</v>
      </c>
      <c r="B276" s="29" t="s">
        <v>3987</v>
      </c>
      <c r="C276" s="26">
        <v>1001509689</v>
      </c>
      <c r="D276" s="29">
        <v>3126023501</v>
      </c>
      <c r="E276" s="26" t="s">
        <v>31</v>
      </c>
      <c r="F276" s="32"/>
      <c r="G276" s="29"/>
      <c r="H276" s="29"/>
      <c r="I276" s="29"/>
      <c r="J276" s="29"/>
      <c r="K276" s="29"/>
      <c r="L276" s="29"/>
      <c r="M276" s="27" t="s">
        <v>2610</v>
      </c>
      <c r="N276" s="115">
        <v>44787</v>
      </c>
      <c r="O276" s="32" t="s">
        <v>2622</v>
      </c>
      <c r="P276" s="32"/>
      <c r="Q276" s="32"/>
      <c r="R276" s="32"/>
      <c r="S276" s="32"/>
      <c r="T276" s="32"/>
      <c r="U276" s="32"/>
      <c r="V276" s="32"/>
      <c r="W276" s="32"/>
      <c r="X276" s="32"/>
      <c r="Y276" s="32"/>
      <c r="Z276" s="32" t="s">
        <v>3988</v>
      </c>
      <c r="AA276" s="32" t="s">
        <v>3989</v>
      </c>
      <c r="AB276" s="115">
        <v>44864</v>
      </c>
      <c r="AC276" s="32"/>
      <c r="AD276" s="32" t="s">
        <v>3990</v>
      </c>
      <c r="AE276" s="32"/>
      <c r="AF276" s="32"/>
      <c r="AG276" s="32" t="s">
        <v>3991</v>
      </c>
      <c r="AH276" s="32"/>
    </row>
    <row r="277" spans="1:34" x14ac:dyDescent="0.2">
      <c r="A277" s="114">
        <v>44787</v>
      </c>
      <c r="B277" s="29" t="s">
        <v>3992</v>
      </c>
      <c r="C277" s="26">
        <v>117222688</v>
      </c>
      <c r="D277" s="29">
        <v>3004431592</v>
      </c>
      <c r="E277" s="26" t="s">
        <v>31</v>
      </c>
      <c r="F277" s="32"/>
      <c r="G277" s="29" t="s">
        <v>3993</v>
      </c>
      <c r="H277" s="29" t="s">
        <v>82</v>
      </c>
      <c r="I277" s="29">
        <v>3204095979</v>
      </c>
      <c r="J277" s="29"/>
      <c r="K277" s="29"/>
      <c r="L277" s="29"/>
      <c r="M277" s="27" t="s">
        <v>2610</v>
      </c>
      <c r="N277" s="115">
        <v>44787</v>
      </c>
      <c r="O277" s="32" t="s">
        <v>2848</v>
      </c>
      <c r="P277" s="32"/>
      <c r="Q277" s="32"/>
      <c r="R277" s="32"/>
      <c r="S277" s="32"/>
      <c r="T277" s="32"/>
      <c r="U277" s="32"/>
      <c r="V277" s="32"/>
      <c r="W277" s="32"/>
      <c r="X277" s="32"/>
      <c r="Y277" s="32"/>
      <c r="Z277" s="32"/>
      <c r="AA277" s="32" t="s">
        <v>87</v>
      </c>
      <c r="AB277" s="115">
        <v>44696</v>
      </c>
      <c r="AC277" s="32" t="s">
        <v>3994</v>
      </c>
      <c r="AD277" s="32" t="s">
        <v>3995</v>
      </c>
      <c r="AE277" s="32"/>
      <c r="AF277" s="32"/>
      <c r="AG277" s="32"/>
      <c r="AH277" s="32"/>
    </row>
    <row r="278" spans="1:34" x14ac:dyDescent="0.2">
      <c r="A278" s="114">
        <v>44787</v>
      </c>
      <c r="B278" s="29" t="s">
        <v>3996</v>
      </c>
      <c r="C278" s="26">
        <v>1017189511</v>
      </c>
      <c r="D278" s="29">
        <v>3003972304</v>
      </c>
      <c r="E278" s="26" t="s">
        <v>31</v>
      </c>
      <c r="F278" s="32"/>
      <c r="G278" s="29" t="s">
        <v>3997</v>
      </c>
      <c r="H278" s="29" t="s">
        <v>120</v>
      </c>
      <c r="I278" s="29">
        <v>3126087749</v>
      </c>
      <c r="J278" s="29"/>
      <c r="K278" s="29"/>
      <c r="L278" s="29"/>
      <c r="M278" s="27" t="s">
        <v>2610</v>
      </c>
      <c r="N278" s="115">
        <v>44787</v>
      </c>
      <c r="O278" s="32" t="s">
        <v>2848</v>
      </c>
      <c r="P278" s="32"/>
      <c r="Q278" s="32"/>
      <c r="R278" s="32"/>
      <c r="S278" s="32"/>
      <c r="T278" s="32"/>
      <c r="U278" s="32"/>
      <c r="V278" s="32"/>
      <c r="W278" s="32"/>
      <c r="X278" s="32"/>
      <c r="Y278" s="32"/>
      <c r="Z278" s="32"/>
      <c r="AA278" s="32" t="s">
        <v>3998</v>
      </c>
      <c r="AB278" s="115">
        <v>44696</v>
      </c>
      <c r="AC278" s="32" t="s">
        <v>3999</v>
      </c>
      <c r="AD278" s="32" t="s">
        <v>4000</v>
      </c>
      <c r="AE278" s="32"/>
      <c r="AF278" s="32"/>
      <c r="AG278" s="32"/>
      <c r="AH278" s="32"/>
    </row>
    <row r="279" spans="1:34" x14ac:dyDescent="0.2">
      <c r="A279" s="114">
        <v>44696</v>
      </c>
      <c r="B279" s="29" t="s">
        <v>4001</v>
      </c>
      <c r="C279" s="26"/>
      <c r="D279" s="29">
        <v>3234494670</v>
      </c>
      <c r="E279" s="26" t="s">
        <v>31</v>
      </c>
      <c r="F279" s="32"/>
      <c r="G279" s="29"/>
      <c r="H279" s="29" t="s">
        <v>4002</v>
      </c>
      <c r="I279" s="29">
        <v>3013168627</v>
      </c>
      <c r="J279" s="29"/>
      <c r="K279" s="29"/>
      <c r="L279" s="29"/>
      <c r="M279" s="27" t="s">
        <v>2613</v>
      </c>
      <c r="N279" s="32"/>
      <c r="O279" s="32" t="s">
        <v>2841</v>
      </c>
      <c r="P279" s="32"/>
      <c r="Q279" s="32"/>
      <c r="R279" s="32"/>
      <c r="S279" s="32"/>
      <c r="T279" s="32"/>
      <c r="U279" s="32"/>
      <c r="V279" s="32"/>
      <c r="W279" s="32"/>
      <c r="X279" s="32"/>
      <c r="Y279" s="32"/>
      <c r="Z279" s="32"/>
      <c r="AA279" s="32" t="s">
        <v>4003</v>
      </c>
      <c r="AB279" s="115">
        <v>44696</v>
      </c>
      <c r="AC279" s="32" t="s">
        <v>4004</v>
      </c>
      <c r="AD279" s="32" t="s">
        <v>4005</v>
      </c>
      <c r="AE279" s="32" t="s">
        <v>4006</v>
      </c>
      <c r="AF279" s="32" t="s">
        <v>4007</v>
      </c>
      <c r="AG279" s="32"/>
      <c r="AH279" s="32"/>
    </row>
    <row r="280" spans="1:34" x14ac:dyDescent="0.2">
      <c r="A280" s="114">
        <v>44787</v>
      </c>
      <c r="B280" s="29" t="s">
        <v>90</v>
      </c>
      <c r="C280" s="26">
        <v>39413891</v>
      </c>
      <c r="D280" s="29">
        <v>3216956922</v>
      </c>
      <c r="E280" s="26" t="s">
        <v>31</v>
      </c>
      <c r="F280" s="32"/>
      <c r="G280" s="29" t="s">
        <v>4008</v>
      </c>
      <c r="H280" s="29" t="s">
        <v>4009</v>
      </c>
      <c r="I280" s="29">
        <v>3014861737</v>
      </c>
      <c r="J280" s="29"/>
      <c r="K280" s="29"/>
      <c r="L280" s="29"/>
      <c r="M280" s="27" t="s">
        <v>2610</v>
      </c>
      <c r="N280" s="115">
        <v>44787</v>
      </c>
      <c r="O280" s="32" t="s">
        <v>2656</v>
      </c>
      <c r="P280" s="32"/>
      <c r="Q280" s="32"/>
      <c r="R280" s="32"/>
      <c r="S280" s="32"/>
      <c r="T280" s="32"/>
      <c r="U280" s="32"/>
      <c r="V280" s="32"/>
      <c r="W280" s="32"/>
      <c r="X280" s="32"/>
      <c r="Y280" s="32"/>
      <c r="Z280" s="32"/>
      <c r="AA280" s="32" t="s">
        <v>4010</v>
      </c>
      <c r="AB280" s="115">
        <v>44696</v>
      </c>
      <c r="AC280" s="32" t="s">
        <v>4011</v>
      </c>
      <c r="AD280" s="32" t="s">
        <v>3995</v>
      </c>
      <c r="AE280" s="32"/>
      <c r="AF280" s="32"/>
      <c r="AG280" s="32"/>
      <c r="AH280" s="32"/>
    </row>
    <row r="281" spans="1:34" x14ac:dyDescent="0.2">
      <c r="A281" s="114">
        <v>44787</v>
      </c>
      <c r="B281" s="29" t="s">
        <v>4012</v>
      </c>
      <c r="C281" s="26">
        <v>52337246</v>
      </c>
      <c r="D281" s="29">
        <v>3017792478</v>
      </c>
      <c r="E281" s="26" t="s">
        <v>31</v>
      </c>
      <c r="F281" s="32"/>
      <c r="G281" s="29" t="s">
        <v>4013</v>
      </c>
      <c r="H281" s="29" t="s">
        <v>4014</v>
      </c>
      <c r="I281" s="29">
        <v>3223729009</v>
      </c>
      <c r="J281" s="29"/>
      <c r="K281" s="29"/>
      <c r="L281" s="29"/>
      <c r="M281" s="27" t="s">
        <v>2610</v>
      </c>
      <c r="N281" s="115">
        <v>44787</v>
      </c>
      <c r="O281" s="32" t="s">
        <v>2622</v>
      </c>
      <c r="P281" s="32"/>
      <c r="Q281" s="32"/>
      <c r="R281" s="32"/>
      <c r="S281" s="32"/>
      <c r="T281" s="32"/>
      <c r="U281" s="32"/>
      <c r="V281" s="32"/>
      <c r="W281" s="32"/>
      <c r="X281" s="32"/>
      <c r="Y281" s="32"/>
      <c r="Z281" s="32" t="s">
        <v>4015</v>
      </c>
      <c r="AA281" s="32"/>
      <c r="AB281" s="32"/>
      <c r="AC281" s="32"/>
      <c r="AD281" s="32"/>
      <c r="AE281" s="32"/>
      <c r="AF281" s="32"/>
      <c r="AG281" s="32"/>
      <c r="AH281" s="32"/>
    </row>
    <row r="282" spans="1:34" x14ac:dyDescent="0.2">
      <c r="A282" s="114">
        <v>45137</v>
      </c>
      <c r="B282" s="29" t="s">
        <v>4016</v>
      </c>
      <c r="C282" s="26"/>
      <c r="D282" s="29">
        <v>3104553906</v>
      </c>
      <c r="E282" s="26" t="s">
        <v>31</v>
      </c>
      <c r="F282" s="32"/>
      <c r="G282" s="29"/>
      <c r="H282" s="29"/>
      <c r="I282" s="29">
        <v>3167782298</v>
      </c>
      <c r="J282" s="29"/>
      <c r="K282" s="29"/>
      <c r="L282" s="29"/>
      <c r="M282" s="27" t="s">
        <v>2613</v>
      </c>
      <c r="N282" s="32"/>
      <c r="O282" s="32" t="s">
        <v>2841</v>
      </c>
      <c r="P282" s="32"/>
      <c r="Q282" s="32"/>
      <c r="R282" s="32"/>
      <c r="S282" s="32"/>
      <c r="T282" s="32"/>
      <c r="U282" s="32"/>
      <c r="V282" s="32"/>
      <c r="W282" s="32"/>
      <c r="X282" s="32"/>
      <c r="Y282" s="32"/>
      <c r="Z282" s="32"/>
      <c r="AA282" s="32"/>
      <c r="AB282" s="32"/>
      <c r="AC282" s="32"/>
      <c r="AD282" s="32"/>
      <c r="AE282" s="32"/>
      <c r="AF282" s="32"/>
      <c r="AG282" s="32"/>
      <c r="AH282" s="32"/>
    </row>
    <row r="283" spans="1:34" x14ac:dyDescent="0.2">
      <c r="A283" s="114">
        <v>44787</v>
      </c>
      <c r="B283" s="29" t="s">
        <v>4017</v>
      </c>
      <c r="C283" s="26">
        <v>43026540</v>
      </c>
      <c r="D283" s="29">
        <v>3007676176</v>
      </c>
      <c r="E283" s="26" t="s">
        <v>31</v>
      </c>
      <c r="F283" s="32"/>
      <c r="G283" s="29" t="s">
        <v>4018</v>
      </c>
      <c r="H283" s="29"/>
      <c r="I283" s="29">
        <v>3126257403</v>
      </c>
      <c r="J283" s="29"/>
      <c r="K283" s="29"/>
      <c r="L283" s="29"/>
      <c r="M283" s="27" t="s">
        <v>2610</v>
      </c>
      <c r="N283" s="32" t="s">
        <v>4019</v>
      </c>
      <c r="O283" s="32" t="s">
        <v>2848</v>
      </c>
      <c r="P283" s="32"/>
      <c r="Q283" s="32"/>
      <c r="R283" s="32"/>
      <c r="S283" s="32"/>
      <c r="T283" s="32"/>
      <c r="U283" s="32"/>
      <c r="V283" s="32"/>
      <c r="W283" s="32"/>
      <c r="X283" s="32"/>
      <c r="Y283" s="32"/>
      <c r="Z283" s="32" t="s">
        <v>4020</v>
      </c>
      <c r="AA283" s="32" t="s">
        <v>4021</v>
      </c>
      <c r="AB283" s="115">
        <v>45087</v>
      </c>
      <c r="AC283" s="32"/>
      <c r="AD283" s="32"/>
      <c r="AE283" s="32"/>
      <c r="AF283" s="32"/>
      <c r="AG283" s="32"/>
      <c r="AH283" s="32"/>
    </row>
    <row r="284" spans="1:34" x14ac:dyDescent="0.2">
      <c r="A284" s="114">
        <v>44787</v>
      </c>
      <c r="B284" s="29" t="s">
        <v>4022</v>
      </c>
      <c r="C284" s="26">
        <v>22193642</v>
      </c>
      <c r="D284" s="29">
        <v>3104726362</v>
      </c>
      <c r="E284" s="26" t="s">
        <v>31</v>
      </c>
      <c r="F284" s="32"/>
      <c r="G284" s="29" t="s">
        <v>4023</v>
      </c>
      <c r="H284" s="29" t="s">
        <v>3769</v>
      </c>
      <c r="I284" s="29">
        <v>3128246526</v>
      </c>
      <c r="J284" s="29"/>
      <c r="K284" s="29"/>
      <c r="L284" s="29"/>
      <c r="M284" s="27" t="s">
        <v>2610</v>
      </c>
      <c r="N284" s="115">
        <v>44787</v>
      </c>
      <c r="O284" s="32" t="s">
        <v>2622</v>
      </c>
      <c r="P284" s="32"/>
      <c r="Q284" s="32"/>
      <c r="R284" s="32"/>
      <c r="S284" s="32"/>
      <c r="T284" s="32"/>
      <c r="U284" s="32"/>
      <c r="V284" s="32"/>
      <c r="W284" s="32"/>
      <c r="X284" s="32"/>
      <c r="Y284" s="32"/>
      <c r="Z284" s="32" t="s">
        <v>4024</v>
      </c>
      <c r="AA284" s="32"/>
      <c r="AB284" s="32"/>
      <c r="AC284" s="32"/>
      <c r="AD284" s="32"/>
      <c r="AE284" s="32"/>
      <c r="AF284" s="32"/>
      <c r="AG284" s="32"/>
      <c r="AH284" s="32"/>
    </row>
    <row r="285" spans="1:34" x14ac:dyDescent="0.2">
      <c r="A285" s="114">
        <v>44787</v>
      </c>
      <c r="B285" s="29" t="s">
        <v>4025</v>
      </c>
      <c r="C285" s="26">
        <v>1063721145</v>
      </c>
      <c r="D285" s="29">
        <v>3234188576</v>
      </c>
      <c r="E285" s="26" t="s">
        <v>31</v>
      </c>
      <c r="F285" s="32"/>
      <c r="G285" s="29" t="s">
        <v>4026</v>
      </c>
      <c r="H285" s="29" t="s">
        <v>4027</v>
      </c>
      <c r="I285" s="29">
        <v>3146372166</v>
      </c>
      <c r="J285" s="29"/>
      <c r="K285" s="29"/>
      <c r="L285" s="29"/>
      <c r="M285" s="27" t="s">
        <v>2610</v>
      </c>
      <c r="N285" s="115">
        <v>44787</v>
      </c>
      <c r="O285" s="32" t="s">
        <v>2656</v>
      </c>
      <c r="P285" s="32"/>
      <c r="Q285" s="32"/>
      <c r="R285" s="32"/>
      <c r="S285" s="32"/>
      <c r="T285" s="32"/>
      <c r="U285" s="32"/>
      <c r="V285" s="32"/>
      <c r="W285" s="32"/>
      <c r="X285" s="32"/>
      <c r="Y285" s="32"/>
      <c r="Z285" s="32" t="s">
        <v>4028</v>
      </c>
      <c r="AA285" s="32" t="s">
        <v>4029</v>
      </c>
      <c r="AB285" s="115">
        <v>44696</v>
      </c>
      <c r="AC285" s="32" t="s">
        <v>4030</v>
      </c>
      <c r="AD285" s="32" t="s">
        <v>4000</v>
      </c>
      <c r="AE285" s="32"/>
      <c r="AF285" s="32"/>
      <c r="AG285" s="32"/>
      <c r="AH285" s="32"/>
    </row>
    <row r="286" spans="1:34" x14ac:dyDescent="0.2">
      <c r="A286" s="114">
        <v>44787</v>
      </c>
      <c r="B286" s="29" t="s">
        <v>4031</v>
      </c>
      <c r="C286" s="26">
        <v>1077420619</v>
      </c>
      <c r="D286" s="29">
        <v>3243007732</v>
      </c>
      <c r="E286" s="26" t="s">
        <v>31</v>
      </c>
      <c r="F286" s="32"/>
      <c r="G286" s="29" t="s">
        <v>4032</v>
      </c>
      <c r="H286" s="29" t="s">
        <v>4033</v>
      </c>
      <c r="I286" s="29" t="s">
        <v>4034</v>
      </c>
      <c r="J286" s="29"/>
      <c r="K286" s="29"/>
      <c r="L286" s="29"/>
      <c r="M286" s="27" t="s">
        <v>2610</v>
      </c>
      <c r="N286" s="115">
        <v>44787</v>
      </c>
      <c r="O286" s="32" t="s">
        <v>2838</v>
      </c>
      <c r="P286" s="32"/>
      <c r="Q286" s="32"/>
      <c r="R286" s="32"/>
      <c r="S286" s="32"/>
      <c r="T286" s="32"/>
      <c r="U286" s="32"/>
      <c r="V286" s="32"/>
      <c r="W286" s="32"/>
      <c r="X286" s="32"/>
      <c r="Y286" s="32"/>
      <c r="Z286" s="32" t="s">
        <v>4035</v>
      </c>
      <c r="AA286" s="32"/>
      <c r="AB286" s="32"/>
      <c r="AC286" s="32"/>
      <c r="AD286" s="32"/>
      <c r="AE286" s="32"/>
      <c r="AF286" s="32"/>
      <c r="AG286" s="32"/>
      <c r="AH286" s="32"/>
    </row>
    <row r="287" spans="1:34" x14ac:dyDescent="0.2">
      <c r="A287" s="114">
        <v>44787</v>
      </c>
      <c r="B287" s="29" t="s">
        <v>524</v>
      </c>
      <c r="C287" s="26">
        <v>152441447</v>
      </c>
      <c r="D287" s="29">
        <v>3007902783</v>
      </c>
      <c r="E287" s="26" t="s">
        <v>31</v>
      </c>
      <c r="F287" s="32"/>
      <c r="G287" s="29"/>
      <c r="H287" s="29" t="s">
        <v>4036</v>
      </c>
      <c r="I287" s="29">
        <v>3025148414</v>
      </c>
      <c r="J287" s="29"/>
      <c r="K287" s="29"/>
      <c r="L287" s="29"/>
      <c r="M287" s="27" t="s">
        <v>2610</v>
      </c>
      <c r="N287" s="115">
        <v>44787</v>
      </c>
      <c r="O287" s="32" t="s">
        <v>2838</v>
      </c>
      <c r="P287" s="32"/>
      <c r="Q287" s="32"/>
      <c r="R287" s="32"/>
      <c r="S287" s="32"/>
      <c r="T287" s="32"/>
      <c r="U287" s="32"/>
      <c r="V287" s="32"/>
      <c r="W287" s="32"/>
      <c r="X287" s="32"/>
      <c r="Y287" s="32"/>
      <c r="Z287" s="32" t="s">
        <v>4037</v>
      </c>
      <c r="AA287" s="32" t="s">
        <v>529</v>
      </c>
      <c r="AB287" s="32" t="s">
        <v>4038</v>
      </c>
      <c r="AC287" s="32"/>
      <c r="AD287" s="32"/>
      <c r="AE287" s="32"/>
      <c r="AF287" s="32"/>
      <c r="AG287" s="32"/>
      <c r="AH287" s="32"/>
    </row>
    <row r="288" spans="1:34" x14ac:dyDescent="0.2">
      <c r="A288" s="114">
        <v>44787</v>
      </c>
      <c r="B288" s="29" t="s">
        <v>4039</v>
      </c>
      <c r="C288" s="26">
        <v>78767028</v>
      </c>
      <c r="D288" s="29">
        <v>3124519759</v>
      </c>
      <c r="E288" s="26" t="s">
        <v>31</v>
      </c>
      <c r="F288" s="32"/>
      <c r="G288" s="29" t="s">
        <v>4040</v>
      </c>
      <c r="H288" s="29"/>
      <c r="I288" s="29">
        <v>3205868911</v>
      </c>
      <c r="J288" s="29"/>
      <c r="K288" s="29"/>
      <c r="L288" s="29"/>
      <c r="M288" s="27" t="s">
        <v>2610</v>
      </c>
      <c r="N288" s="115">
        <v>44787</v>
      </c>
      <c r="O288" s="32" t="s">
        <v>2656</v>
      </c>
      <c r="P288" s="32"/>
      <c r="Q288" s="32"/>
      <c r="R288" s="32"/>
      <c r="S288" s="32"/>
      <c r="T288" s="32"/>
      <c r="U288" s="32"/>
      <c r="V288" s="32"/>
      <c r="W288" s="32"/>
      <c r="X288" s="32"/>
      <c r="Y288" s="32"/>
      <c r="Z288" s="32" t="s">
        <v>4041</v>
      </c>
      <c r="AA288" s="32"/>
      <c r="AB288" s="32"/>
      <c r="AC288" s="32"/>
      <c r="AD288" s="32"/>
      <c r="AE288" s="32"/>
      <c r="AF288" s="32"/>
      <c r="AG288" s="32"/>
      <c r="AH288" s="32"/>
    </row>
    <row r="289" spans="1:34" x14ac:dyDescent="0.2">
      <c r="A289" s="114">
        <v>44787</v>
      </c>
      <c r="B289" s="29" t="s">
        <v>4042</v>
      </c>
      <c r="C289" s="26">
        <v>15489075</v>
      </c>
      <c r="D289" s="29">
        <v>3014758711</v>
      </c>
      <c r="E289" s="26" t="s">
        <v>31</v>
      </c>
      <c r="F289" s="32"/>
      <c r="G289" s="29"/>
      <c r="H289" s="29" t="s">
        <v>4043</v>
      </c>
      <c r="I289" s="29">
        <v>3043413772</v>
      </c>
      <c r="J289" s="29"/>
      <c r="K289" s="29"/>
      <c r="L289" s="29"/>
      <c r="M289" s="27" t="s">
        <v>2610</v>
      </c>
      <c r="N289" s="115">
        <v>44787</v>
      </c>
      <c r="O289" s="32" t="s">
        <v>2848</v>
      </c>
      <c r="P289" s="32"/>
      <c r="Q289" s="32"/>
      <c r="R289" s="32"/>
      <c r="S289" s="32"/>
      <c r="T289" s="32"/>
      <c r="U289" s="32"/>
      <c r="V289" s="32"/>
      <c r="W289" s="32"/>
      <c r="X289" s="32"/>
      <c r="Y289" s="32"/>
      <c r="Z289" s="32" t="s">
        <v>4044</v>
      </c>
      <c r="AA289" s="32"/>
      <c r="AB289" s="32"/>
      <c r="AC289" s="32"/>
      <c r="AD289" s="32"/>
      <c r="AE289" s="32"/>
      <c r="AF289" s="32"/>
      <c r="AG289" s="32"/>
      <c r="AH289" s="32"/>
    </row>
    <row r="290" spans="1:34" x14ac:dyDescent="0.2">
      <c r="A290" s="114">
        <v>44787</v>
      </c>
      <c r="B290" s="29" t="s">
        <v>4045</v>
      </c>
      <c r="C290" s="26">
        <v>39410165</v>
      </c>
      <c r="D290" s="29">
        <v>3017715291</v>
      </c>
      <c r="E290" s="26" t="s">
        <v>31</v>
      </c>
      <c r="F290" s="32"/>
      <c r="G290" s="29" t="s">
        <v>4046</v>
      </c>
      <c r="H290" s="29" t="s">
        <v>4047</v>
      </c>
      <c r="I290" s="29">
        <v>3156154008</v>
      </c>
      <c r="J290" s="29"/>
      <c r="K290" s="29"/>
      <c r="L290" s="29"/>
      <c r="M290" s="27" t="s">
        <v>2644</v>
      </c>
      <c r="N290" s="115">
        <v>44787</v>
      </c>
      <c r="O290" s="32" t="s">
        <v>2838</v>
      </c>
      <c r="P290" s="32" t="s">
        <v>2646</v>
      </c>
      <c r="Q290" s="115">
        <v>44877</v>
      </c>
      <c r="R290" s="32"/>
      <c r="S290" s="32"/>
      <c r="T290" s="32"/>
      <c r="U290" s="32"/>
      <c r="V290" s="32"/>
      <c r="W290" s="32"/>
      <c r="X290" s="32"/>
      <c r="Y290" s="32"/>
      <c r="Z290" s="32" t="s">
        <v>4048</v>
      </c>
      <c r="AA290" s="32"/>
      <c r="AB290" s="32"/>
      <c r="AC290" s="32"/>
      <c r="AD290" s="32"/>
      <c r="AE290" s="32"/>
      <c r="AF290" s="32"/>
      <c r="AG290" s="32"/>
      <c r="AH290" s="32"/>
    </row>
    <row r="291" spans="1:34" x14ac:dyDescent="0.2">
      <c r="A291" s="114">
        <v>44787</v>
      </c>
      <c r="B291" s="29" t="s">
        <v>4049</v>
      </c>
      <c r="C291" s="26">
        <v>54253971</v>
      </c>
      <c r="D291" s="29">
        <v>3242873480</v>
      </c>
      <c r="E291" s="26" t="s">
        <v>31</v>
      </c>
      <c r="F291" s="32"/>
      <c r="G291" s="29"/>
      <c r="H291" s="29" t="s">
        <v>4050</v>
      </c>
      <c r="I291" s="29">
        <v>3147325405</v>
      </c>
      <c r="J291" s="29"/>
      <c r="K291" s="29"/>
      <c r="L291" s="29"/>
      <c r="M291" s="27" t="s">
        <v>2610</v>
      </c>
      <c r="N291" s="115">
        <v>44787</v>
      </c>
      <c r="O291" s="32" t="s">
        <v>2838</v>
      </c>
      <c r="P291" s="32"/>
      <c r="Q291" s="32"/>
      <c r="R291" s="32"/>
      <c r="S291" s="32"/>
      <c r="T291" s="32"/>
      <c r="U291" s="32"/>
      <c r="V291" s="32"/>
      <c r="W291" s="32"/>
      <c r="X291" s="32"/>
      <c r="Y291" s="32"/>
      <c r="Z291" s="32" t="s">
        <v>4051</v>
      </c>
      <c r="AA291" s="32"/>
      <c r="AB291" s="32"/>
      <c r="AC291" s="32"/>
      <c r="AD291" s="32"/>
      <c r="AE291" s="32"/>
      <c r="AF291" s="32"/>
      <c r="AG291" s="32"/>
      <c r="AH291" s="32"/>
    </row>
    <row r="292" spans="1:34" x14ac:dyDescent="0.2">
      <c r="A292" s="114">
        <v>44787</v>
      </c>
      <c r="B292" s="29" t="s">
        <v>4052</v>
      </c>
      <c r="C292" s="26"/>
      <c r="D292" s="29">
        <v>3023855955</v>
      </c>
      <c r="E292" s="26" t="s">
        <v>31</v>
      </c>
      <c r="F292" s="32"/>
      <c r="G292" s="29"/>
      <c r="H292" s="29"/>
      <c r="I292" s="29"/>
      <c r="J292" s="29"/>
      <c r="K292" s="29"/>
      <c r="L292" s="29"/>
      <c r="M292" s="27" t="s">
        <v>2610</v>
      </c>
      <c r="N292" s="115">
        <v>45087</v>
      </c>
      <c r="O292" s="32" t="s">
        <v>2838</v>
      </c>
      <c r="P292" s="32"/>
      <c r="Q292" s="32"/>
      <c r="R292" s="32"/>
      <c r="S292" s="32"/>
      <c r="T292" s="32"/>
      <c r="U292" s="32"/>
      <c r="V292" s="32"/>
      <c r="W292" s="32"/>
      <c r="X292" s="32"/>
      <c r="Y292" s="32"/>
      <c r="Z292" s="32"/>
      <c r="AA292" s="32" t="s">
        <v>3883</v>
      </c>
      <c r="AB292" s="115">
        <v>45086</v>
      </c>
      <c r="AC292" s="32" t="s">
        <v>4053</v>
      </c>
      <c r="AD292" s="118">
        <v>45205</v>
      </c>
      <c r="AE292" s="32"/>
      <c r="AF292" s="32"/>
      <c r="AG292" s="32"/>
      <c r="AH292" s="32"/>
    </row>
    <row r="293" spans="1:34" x14ac:dyDescent="0.2">
      <c r="A293" s="114">
        <v>44787</v>
      </c>
      <c r="B293" s="29" t="s">
        <v>4054</v>
      </c>
      <c r="C293" s="26">
        <v>43148863</v>
      </c>
      <c r="D293" s="29">
        <v>3004472547</v>
      </c>
      <c r="E293" s="26" t="s">
        <v>31</v>
      </c>
      <c r="F293" s="32"/>
      <c r="G293" s="29" t="s">
        <v>4055</v>
      </c>
      <c r="H293" s="29" t="s">
        <v>4056</v>
      </c>
      <c r="I293" s="29">
        <v>3014379538</v>
      </c>
      <c r="J293" s="29"/>
      <c r="K293" s="29"/>
      <c r="L293" s="29"/>
      <c r="M293" s="27" t="s">
        <v>2610</v>
      </c>
      <c r="N293" s="115">
        <v>44787</v>
      </c>
      <c r="O293" s="32" t="s">
        <v>2838</v>
      </c>
      <c r="P293" s="32"/>
      <c r="Q293" s="32"/>
      <c r="R293" s="32"/>
      <c r="S293" s="32"/>
      <c r="T293" s="32"/>
      <c r="U293" s="32"/>
      <c r="V293" s="32"/>
      <c r="W293" s="32"/>
      <c r="X293" s="32"/>
      <c r="Y293" s="32"/>
      <c r="Z293" s="32" t="s">
        <v>4057</v>
      </c>
      <c r="AA293" s="32"/>
      <c r="AB293" s="32"/>
      <c r="AC293" s="32"/>
      <c r="AD293" s="32"/>
      <c r="AE293" s="32"/>
      <c r="AF293" s="32"/>
      <c r="AG293" s="32"/>
      <c r="AH293" s="32"/>
    </row>
    <row r="294" spans="1:34" x14ac:dyDescent="0.2">
      <c r="A294" s="114">
        <v>45087</v>
      </c>
      <c r="B294" s="29" t="s">
        <v>4058</v>
      </c>
      <c r="C294" s="26"/>
      <c r="D294" s="29">
        <v>3002293546</v>
      </c>
      <c r="E294" s="26" t="s">
        <v>31</v>
      </c>
      <c r="F294" s="32"/>
      <c r="G294" s="29"/>
      <c r="H294" s="29"/>
      <c r="I294" s="29"/>
      <c r="J294" s="29"/>
      <c r="K294" s="29"/>
      <c r="L294" s="29"/>
      <c r="M294" s="27" t="s">
        <v>2613</v>
      </c>
      <c r="N294" s="32"/>
      <c r="O294" s="32" t="s">
        <v>2841</v>
      </c>
      <c r="P294" s="32"/>
      <c r="Q294" s="32"/>
      <c r="R294" s="32"/>
      <c r="S294" s="32"/>
      <c r="T294" s="32"/>
      <c r="U294" s="32"/>
      <c r="V294" s="32"/>
      <c r="W294" s="32"/>
      <c r="X294" s="32"/>
      <c r="Y294" s="32"/>
      <c r="Z294" s="32"/>
      <c r="AA294" s="32"/>
      <c r="AB294" s="32"/>
      <c r="AC294" s="32"/>
      <c r="AD294" s="32"/>
      <c r="AE294" s="32"/>
      <c r="AF294" s="32"/>
      <c r="AG294" s="32"/>
      <c r="AH294" s="32"/>
    </row>
    <row r="295" spans="1:34" x14ac:dyDescent="0.2">
      <c r="A295" s="114">
        <v>44794</v>
      </c>
      <c r="B295" s="29" t="s">
        <v>4059</v>
      </c>
      <c r="C295" s="26"/>
      <c r="D295" s="29">
        <v>3043413772</v>
      </c>
      <c r="E295" s="26" t="s">
        <v>31</v>
      </c>
      <c r="F295" s="32"/>
      <c r="G295" s="29"/>
      <c r="H295" s="29" t="s">
        <v>593</v>
      </c>
      <c r="I295" s="29">
        <v>3014758711</v>
      </c>
      <c r="J295" s="29"/>
      <c r="K295" s="29"/>
      <c r="L295" s="29"/>
      <c r="M295" s="27" t="s">
        <v>2613</v>
      </c>
      <c r="N295" s="32"/>
      <c r="O295" s="32" t="s">
        <v>2841</v>
      </c>
      <c r="P295" s="32"/>
      <c r="Q295" s="32"/>
      <c r="R295" s="32"/>
      <c r="S295" s="32"/>
      <c r="T295" s="32"/>
      <c r="U295" s="32"/>
      <c r="V295" s="32"/>
      <c r="W295" s="32"/>
      <c r="X295" s="32"/>
      <c r="Y295" s="32"/>
      <c r="Z295" s="32" t="s">
        <v>4060</v>
      </c>
      <c r="AA295" s="32" t="s">
        <v>4061</v>
      </c>
      <c r="AB295" s="115">
        <v>45087</v>
      </c>
      <c r="AC295" s="32" t="s">
        <v>4062</v>
      </c>
      <c r="AD295" s="118">
        <v>45208</v>
      </c>
      <c r="AE295" s="32"/>
      <c r="AF295" s="32"/>
      <c r="AG295" s="32"/>
      <c r="AH295" s="32"/>
    </row>
    <row r="296" spans="1:34" x14ac:dyDescent="0.2">
      <c r="A296" s="114">
        <v>45087</v>
      </c>
      <c r="B296" s="29" t="s">
        <v>4063</v>
      </c>
      <c r="C296" s="26"/>
      <c r="D296" s="29">
        <v>3007149995</v>
      </c>
      <c r="E296" s="26" t="s">
        <v>31</v>
      </c>
      <c r="F296" s="32"/>
      <c r="G296" s="29"/>
      <c r="H296" s="29" t="s">
        <v>4064</v>
      </c>
      <c r="I296" s="29">
        <v>3043638763</v>
      </c>
      <c r="J296" s="29"/>
      <c r="K296" s="29"/>
      <c r="L296" s="29"/>
      <c r="M296" s="27" t="s">
        <v>2613</v>
      </c>
      <c r="N296" s="32"/>
      <c r="O296" s="32" t="s">
        <v>2841</v>
      </c>
      <c r="P296" s="32"/>
      <c r="Q296" s="32"/>
      <c r="R296" s="32"/>
      <c r="S296" s="32"/>
      <c r="T296" s="32"/>
      <c r="U296" s="32"/>
      <c r="V296" s="32"/>
      <c r="W296" s="32"/>
      <c r="X296" s="32"/>
      <c r="Y296" s="32"/>
      <c r="Z296" s="32"/>
      <c r="AA296" s="32"/>
      <c r="AB296" s="32"/>
      <c r="AC296" s="32"/>
      <c r="AD296" s="32"/>
      <c r="AE296" s="32"/>
      <c r="AF296" s="32"/>
      <c r="AG296" s="32"/>
      <c r="AH296" s="32"/>
    </row>
    <row r="297" spans="1:34" x14ac:dyDescent="0.2">
      <c r="A297" s="29" t="s">
        <v>3865</v>
      </c>
      <c r="B297" s="29" t="s">
        <v>4065</v>
      </c>
      <c r="C297" s="26"/>
      <c r="D297" s="29">
        <v>3006237043</v>
      </c>
      <c r="E297" s="26" t="s">
        <v>31</v>
      </c>
      <c r="F297" s="32"/>
      <c r="G297" s="29"/>
      <c r="H297" s="29"/>
      <c r="I297" s="29">
        <v>3245769191</v>
      </c>
      <c r="J297" s="29"/>
      <c r="K297" s="29"/>
      <c r="L297" s="29"/>
      <c r="M297" s="27" t="s">
        <v>2613</v>
      </c>
      <c r="N297" s="32"/>
      <c r="O297" s="32" t="s">
        <v>2841</v>
      </c>
      <c r="P297" s="32"/>
      <c r="Q297" s="32"/>
      <c r="R297" s="32"/>
      <c r="S297" s="32"/>
      <c r="T297" s="32"/>
      <c r="U297" s="32"/>
      <c r="V297" s="32"/>
      <c r="W297" s="32"/>
      <c r="X297" s="32"/>
      <c r="Y297" s="32"/>
      <c r="Z297" s="32" t="s">
        <v>4066</v>
      </c>
      <c r="AA297" s="32"/>
      <c r="AB297" s="32"/>
      <c r="AC297" s="32"/>
      <c r="AD297" s="32"/>
      <c r="AE297" s="32"/>
      <c r="AF297" s="32"/>
      <c r="AG297" s="32"/>
      <c r="AH297" s="32"/>
    </row>
    <row r="298" spans="1:34" x14ac:dyDescent="0.2">
      <c r="A298" s="29" t="s">
        <v>3865</v>
      </c>
      <c r="B298" s="29" t="s">
        <v>4067</v>
      </c>
      <c r="C298" s="26"/>
      <c r="D298" s="29">
        <v>3117192114</v>
      </c>
      <c r="E298" s="26" t="s">
        <v>31</v>
      </c>
      <c r="F298" s="32"/>
      <c r="G298" s="29"/>
      <c r="H298" s="29"/>
      <c r="I298" s="29"/>
      <c r="J298" s="29"/>
      <c r="K298" s="29"/>
      <c r="L298" s="29"/>
      <c r="M298" s="27" t="s">
        <v>2613</v>
      </c>
      <c r="N298" s="32"/>
      <c r="O298" s="32" t="s">
        <v>2841</v>
      </c>
      <c r="P298" s="32"/>
      <c r="Q298" s="32"/>
      <c r="R298" s="32"/>
      <c r="S298" s="32"/>
      <c r="T298" s="32"/>
      <c r="U298" s="32"/>
      <c r="V298" s="32"/>
      <c r="W298" s="32"/>
      <c r="X298" s="32"/>
      <c r="Y298" s="32"/>
      <c r="Z298" s="32"/>
      <c r="AA298" s="32"/>
      <c r="AB298" s="32"/>
      <c r="AC298" s="32"/>
      <c r="AD298" s="32"/>
      <c r="AE298" s="32"/>
      <c r="AF298" s="32"/>
      <c r="AG298" s="32"/>
      <c r="AH298" s="32"/>
    </row>
    <row r="299" spans="1:34" x14ac:dyDescent="0.2">
      <c r="A299" s="29" t="s">
        <v>3865</v>
      </c>
      <c r="B299" s="29" t="s">
        <v>4068</v>
      </c>
      <c r="C299" s="26"/>
      <c r="D299" s="29" t="s">
        <v>4069</v>
      </c>
      <c r="E299" s="26" t="s">
        <v>31</v>
      </c>
      <c r="F299" s="32"/>
      <c r="G299" s="29"/>
      <c r="H299" s="29"/>
      <c r="I299" s="29"/>
      <c r="J299" s="29"/>
      <c r="K299" s="29"/>
      <c r="L299" s="29"/>
      <c r="M299" s="27" t="s">
        <v>2613</v>
      </c>
      <c r="N299" s="32"/>
      <c r="O299" s="32" t="s">
        <v>2841</v>
      </c>
      <c r="P299" s="32"/>
      <c r="Q299" s="32"/>
      <c r="R299" s="32"/>
      <c r="S299" s="32"/>
      <c r="T299" s="32"/>
      <c r="U299" s="32"/>
      <c r="V299" s="32"/>
      <c r="W299" s="32"/>
      <c r="X299" s="32"/>
      <c r="Y299" s="32"/>
      <c r="Z299" s="32"/>
      <c r="AA299" s="32"/>
      <c r="AB299" s="32"/>
      <c r="AC299" s="32"/>
      <c r="AD299" s="32"/>
      <c r="AE299" s="32"/>
      <c r="AF299" s="32"/>
      <c r="AG299" s="32"/>
      <c r="AH299" s="32"/>
    </row>
    <row r="300" spans="1:34" x14ac:dyDescent="0.2">
      <c r="A300" s="114">
        <v>45074</v>
      </c>
      <c r="B300" s="29" t="s">
        <v>4070</v>
      </c>
      <c r="C300" s="26"/>
      <c r="D300" s="29">
        <v>3128795357</v>
      </c>
      <c r="E300" s="26" t="s">
        <v>31</v>
      </c>
      <c r="F300" s="32"/>
      <c r="G300" s="29"/>
      <c r="H300" s="29"/>
      <c r="I300" s="29"/>
      <c r="J300" s="29"/>
      <c r="K300" s="29"/>
      <c r="L300" s="29"/>
      <c r="M300" s="27" t="s">
        <v>2613</v>
      </c>
      <c r="N300" s="32"/>
      <c r="O300" s="32" t="s">
        <v>2841</v>
      </c>
      <c r="P300" s="32"/>
      <c r="Q300" s="32"/>
      <c r="R300" s="32"/>
      <c r="S300" s="32"/>
      <c r="T300" s="32"/>
      <c r="U300" s="32"/>
      <c r="V300" s="32"/>
      <c r="W300" s="32"/>
      <c r="X300" s="32"/>
      <c r="Y300" s="32"/>
      <c r="Z300" s="32"/>
      <c r="AA300" s="32"/>
      <c r="AB300" s="32"/>
      <c r="AC300" s="32"/>
      <c r="AD300" s="32"/>
      <c r="AE300" s="32"/>
      <c r="AF300" s="32"/>
      <c r="AG300" s="32"/>
      <c r="AH300" s="32"/>
    </row>
    <row r="301" spans="1:34" x14ac:dyDescent="0.2">
      <c r="A301" s="117">
        <v>44843</v>
      </c>
      <c r="B301" s="29" t="s">
        <v>686</v>
      </c>
      <c r="C301" s="26"/>
      <c r="D301" s="29">
        <v>3107745708</v>
      </c>
      <c r="E301" s="26" t="s">
        <v>31</v>
      </c>
      <c r="F301" s="32"/>
      <c r="G301" s="29"/>
      <c r="H301" s="29" t="s">
        <v>687</v>
      </c>
      <c r="I301" s="29">
        <v>3007368424</v>
      </c>
      <c r="J301" s="29"/>
      <c r="K301" s="29"/>
      <c r="L301" s="29"/>
      <c r="M301" s="27" t="s">
        <v>2644</v>
      </c>
      <c r="N301" s="116">
        <v>45108</v>
      </c>
      <c r="O301" s="32" t="s">
        <v>2622</v>
      </c>
      <c r="P301" s="32" t="s">
        <v>2646</v>
      </c>
      <c r="Q301" s="115">
        <v>45122</v>
      </c>
      <c r="R301" s="32"/>
      <c r="S301" s="32"/>
      <c r="T301" s="32"/>
      <c r="U301" s="32"/>
      <c r="V301" s="32"/>
      <c r="W301" s="32"/>
      <c r="X301" s="32"/>
      <c r="Y301" s="32"/>
      <c r="Z301" s="32"/>
      <c r="AA301" s="32"/>
      <c r="AB301" s="32"/>
      <c r="AC301" s="32"/>
      <c r="AD301" s="32"/>
      <c r="AE301" s="32"/>
      <c r="AF301" s="32"/>
      <c r="AG301" s="32"/>
      <c r="AH301" s="32"/>
    </row>
    <row r="302" spans="1:34" x14ac:dyDescent="0.2">
      <c r="A302" s="114">
        <v>45094</v>
      </c>
      <c r="B302" s="29" t="s">
        <v>821</v>
      </c>
      <c r="C302" s="26"/>
      <c r="D302" s="29">
        <v>3002881615</v>
      </c>
      <c r="E302" s="26" t="s">
        <v>31</v>
      </c>
      <c r="F302" s="32"/>
      <c r="G302" s="29"/>
      <c r="H302" s="29" t="s">
        <v>2694</v>
      </c>
      <c r="I302" s="29">
        <v>3005966771</v>
      </c>
      <c r="J302" s="29"/>
      <c r="K302" s="29"/>
      <c r="L302" s="29"/>
      <c r="M302" s="27" t="s">
        <v>2613</v>
      </c>
      <c r="N302" s="32"/>
      <c r="O302" s="32" t="s">
        <v>2841</v>
      </c>
      <c r="P302" s="32"/>
      <c r="Q302" s="32"/>
      <c r="R302" s="32"/>
      <c r="S302" s="32"/>
      <c r="T302" s="32"/>
      <c r="U302" s="32"/>
      <c r="V302" s="32"/>
      <c r="W302" s="32"/>
      <c r="X302" s="32"/>
      <c r="Y302" s="32"/>
      <c r="Z302" s="32" t="s">
        <v>827</v>
      </c>
      <c r="AA302" s="32"/>
      <c r="AB302" s="32"/>
      <c r="AC302" s="32"/>
      <c r="AD302" s="32"/>
      <c r="AE302" s="32"/>
      <c r="AF302" s="32"/>
      <c r="AG302" s="32"/>
      <c r="AH302" s="32"/>
    </row>
    <row r="303" spans="1:34" x14ac:dyDescent="0.2">
      <c r="A303" s="29" t="s">
        <v>3865</v>
      </c>
      <c r="B303" s="29" t="s">
        <v>4071</v>
      </c>
      <c r="C303" s="26"/>
      <c r="D303" s="29">
        <v>3044358657</v>
      </c>
      <c r="E303" s="26" t="s">
        <v>31</v>
      </c>
      <c r="F303" s="32"/>
      <c r="G303" s="29"/>
      <c r="H303" s="29"/>
      <c r="I303" s="29"/>
      <c r="J303" s="29"/>
      <c r="K303" s="29"/>
      <c r="L303" s="29"/>
      <c r="M303" s="27" t="s">
        <v>2613</v>
      </c>
      <c r="N303" s="32"/>
      <c r="O303" s="32" t="s">
        <v>2841</v>
      </c>
      <c r="P303" s="32"/>
      <c r="Q303" s="32"/>
      <c r="R303" s="32"/>
      <c r="S303" s="32"/>
      <c r="T303" s="32"/>
      <c r="U303" s="32"/>
      <c r="V303" s="32"/>
      <c r="W303" s="32"/>
      <c r="X303" s="32"/>
      <c r="Y303" s="32"/>
      <c r="Z303" s="32"/>
      <c r="AA303" s="32"/>
      <c r="AB303" s="32"/>
      <c r="AC303" s="32"/>
      <c r="AD303" s="32"/>
      <c r="AE303" s="32"/>
      <c r="AF303" s="32"/>
      <c r="AG303" s="32"/>
      <c r="AH303" s="32"/>
    </row>
    <row r="304" spans="1:34" x14ac:dyDescent="0.2">
      <c r="A304" s="114">
        <v>44703</v>
      </c>
      <c r="B304" s="29" t="s">
        <v>205</v>
      </c>
      <c r="C304" s="26"/>
      <c r="D304" s="29">
        <v>3103777629</v>
      </c>
      <c r="E304" s="26" t="s">
        <v>31</v>
      </c>
      <c r="F304" s="32"/>
      <c r="G304" s="29"/>
      <c r="H304" s="29"/>
      <c r="I304" s="29"/>
      <c r="J304" s="29"/>
      <c r="K304" s="29"/>
      <c r="L304" s="29"/>
      <c r="M304" s="27" t="s">
        <v>2613</v>
      </c>
      <c r="N304" s="32"/>
      <c r="O304" s="32" t="s">
        <v>2841</v>
      </c>
      <c r="P304" s="32"/>
      <c r="Q304" s="32"/>
      <c r="R304" s="32"/>
      <c r="S304" s="32"/>
      <c r="T304" s="32"/>
      <c r="U304" s="32"/>
      <c r="V304" s="32"/>
      <c r="W304" s="32"/>
      <c r="X304" s="32"/>
      <c r="Y304" s="32"/>
      <c r="Z304" s="32"/>
      <c r="AA304" s="32" t="s">
        <v>3883</v>
      </c>
      <c r="AB304" s="115">
        <v>45072</v>
      </c>
      <c r="AC304" s="32"/>
      <c r="AD304" s="32"/>
      <c r="AE304" s="32"/>
      <c r="AF304" s="32"/>
      <c r="AG304" s="32"/>
      <c r="AH304" s="32"/>
    </row>
    <row r="305" spans="1:34" x14ac:dyDescent="0.2">
      <c r="A305" s="114">
        <v>44857</v>
      </c>
      <c r="B305" s="29" t="s">
        <v>141</v>
      </c>
      <c r="C305" s="26">
        <v>43151936</v>
      </c>
      <c r="D305" s="29">
        <v>3218871791</v>
      </c>
      <c r="E305" s="26" t="s">
        <v>31</v>
      </c>
      <c r="F305" s="32"/>
      <c r="G305" s="29" t="s">
        <v>4072</v>
      </c>
      <c r="H305" s="29" t="s">
        <v>4073</v>
      </c>
      <c r="I305" s="29">
        <v>3017483051</v>
      </c>
      <c r="J305" s="29"/>
      <c r="K305" s="29"/>
      <c r="L305" s="29"/>
      <c r="M305" s="27" t="s">
        <v>2610</v>
      </c>
      <c r="N305" s="115">
        <v>44857</v>
      </c>
      <c r="O305" s="32" t="s">
        <v>2838</v>
      </c>
      <c r="P305" s="32"/>
      <c r="Q305" s="32"/>
      <c r="R305" s="32"/>
      <c r="S305" s="32"/>
      <c r="T305" s="32"/>
      <c r="U305" s="32"/>
      <c r="V305" s="32"/>
      <c r="W305" s="32"/>
      <c r="X305" s="32"/>
      <c r="Y305" s="32"/>
      <c r="Z305" s="32"/>
      <c r="AA305" s="32" t="s">
        <v>144</v>
      </c>
      <c r="AB305" s="115">
        <v>44696</v>
      </c>
      <c r="AC305" s="32" t="s">
        <v>4074</v>
      </c>
      <c r="AD305" s="32" t="s">
        <v>4000</v>
      </c>
      <c r="AE305" s="32" t="s">
        <v>4075</v>
      </c>
      <c r="AF305" s="119">
        <v>44857</v>
      </c>
      <c r="AG305" s="32"/>
      <c r="AH305" s="32"/>
    </row>
    <row r="306" spans="1:34" x14ac:dyDescent="0.2">
      <c r="A306" s="114">
        <v>44857</v>
      </c>
      <c r="B306" s="29" t="s">
        <v>4076</v>
      </c>
      <c r="C306" s="26">
        <v>39327770</v>
      </c>
      <c r="D306" s="29">
        <v>3008853868</v>
      </c>
      <c r="E306" s="26" t="s">
        <v>31</v>
      </c>
      <c r="F306" s="32"/>
      <c r="G306" s="29" t="s">
        <v>4077</v>
      </c>
      <c r="H306" s="29" t="s">
        <v>4078</v>
      </c>
      <c r="I306" s="29">
        <v>3003411674</v>
      </c>
      <c r="J306" s="29"/>
      <c r="K306" s="29"/>
      <c r="L306" s="29"/>
      <c r="M306" s="27" t="s">
        <v>2610</v>
      </c>
      <c r="N306" s="115">
        <v>44857</v>
      </c>
      <c r="O306" s="32" t="s">
        <v>2838</v>
      </c>
      <c r="P306" s="32"/>
      <c r="Q306" s="32"/>
      <c r="R306" s="32"/>
      <c r="S306" s="32"/>
      <c r="T306" s="32"/>
      <c r="U306" s="32"/>
      <c r="V306" s="32"/>
      <c r="W306" s="32"/>
      <c r="X306" s="32"/>
      <c r="Y306" s="32"/>
      <c r="Z306" s="32" t="s">
        <v>4079</v>
      </c>
      <c r="AA306" s="32"/>
      <c r="AB306" s="32"/>
      <c r="AC306" s="32"/>
      <c r="AD306" s="32"/>
      <c r="AE306" s="32"/>
      <c r="AF306" s="32"/>
      <c r="AG306" s="32"/>
      <c r="AH306" s="32"/>
    </row>
    <row r="307" spans="1:34" x14ac:dyDescent="0.2">
      <c r="A307" s="29" t="s">
        <v>3865</v>
      </c>
      <c r="B307" s="29" t="s">
        <v>4080</v>
      </c>
      <c r="C307" s="26"/>
      <c r="D307" s="29">
        <v>3243307464</v>
      </c>
      <c r="E307" s="26" t="s">
        <v>31</v>
      </c>
      <c r="F307" s="32"/>
      <c r="G307" s="29"/>
      <c r="H307" s="29"/>
      <c r="I307" s="29"/>
      <c r="J307" s="29"/>
      <c r="K307" s="29"/>
      <c r="L307" s="29"/>
      <c r="M307" s="27" t="s">
        <v>2613</v>
      </c>
      <c r="N307" s="32"/>
      <c r="O307" s="32" t="s">
        <v>2841</v>
      </c>
      <c r="P307" s="32"/>
      <c r="Q307" s="32"/>
      <c r="R307" s="32"/>
      <c r="S307" s="32"/>
      <c r="T307" s="32"/>
      <c r="U307" s="32"/>
      <c r="V307" s="32"/>
      <c r="W307" s="32"/>
      <c r="X307" s="32"/>
      <c r="Y307" s="32"/>
      <c r="Z307" s="32"/>
      <c r="AA307" s="32"/>
      <c r="AB307" s="32"/>
      <c r="AC307" s="32"/>
      <c r="AD307" s="32"/>
      <c r="AE307" s="32"/>
      <c r="AF307" s="32"/>
      <c r="AG307" s="32"/>
      <c r="AH307" s="32"/>
    </row>
    <row r="308" spans="1:34" x14ac:dyDescent="0.2">
      <c r="A308" s="114">
        <v>44857</v>
      </c>
      <c r="B308" s="29" t="s">
        <v>4081</v>
      </c>
      <c r="C308" s="26"/>
      <c r="D308" s="29">
        <v>3013168627</v>
      </c>
      <c r="E308" s="26" t="s">
        <v>31</v>
      </c>
      <c r="F308" s="32"/>
      <c r="G308" s="29"/>
      <c r="H308" s="29" t="s">
        <v>4082</v>
      </c>
      <c r="I308" s="29">
        <v>3216956922</v>
      </c>
      <c r="J308" s="29"/>
      <c r="K308" s="29"/>
      <c r="L308" s="29"/>
      <c r="M308" s="27" t="s">
        <v>2613</v>
      </c>
      <c r="N308" s="32"/>
      <c r="O308" s="32" t="s">
        <v>2841</v>
      </c>
      <c r="P308" s="32"/>
      <c r="Q308" s="32"/>
      <c r="R308" s="32"/>
      <c r="S308" s="32"/>
      <c r="T308" s="32"/>
      <c r="U308" s="32"/>
      <c r="V308" s="32"/>
      <c r="W308" s="32"/>
      <c r="X308" s="32"/>
      <c r="Y308" s="32"/>
      <c r="Z308" s="32" t="s">
        <v>4083</v>
      </c>
      <c r="AA308" s="32"/>
      <c r="AB308" s="32"/>
      <c r="AC308" s="32"/>
      <c r="AD308" s="32"/>
      <c r="AE308" s="32"/>
      <c r="AF308" s="32"/>
      <c r="AG308" s="32"/>
      <c r="AH308" s="32"/>
    </row>
    <row r="309" spans="1:34" x14ac:dyDescent="0.2">
      <c r="A309" s="114">
        <v>44857</v>
      </c>
      <c r="B309" s="29" t="s">
        <v>4084</v>
      </c>
      <c r="C309" s="26"/>
      <c r="D309" s="29">
        <v>3007392844</v>
      </c>
      <c r="E309" s="26" t="s">
        <v>31</v>
      </c>
      <c r="F309" s="32"/>
      <c r="G309" s="29"/>
      <c r="H309" s="29" t="s">
        <v>4085</v>
      </c>
      <c r="I309" s="29">
        <v>3115058108</v>
      </c>
      <c r="J309" s="29"/>
      <c r="K309" s="29"/>
      <c r="L309" s="29"/>
      <c r="M309" s="27" t="s">
        <v>2644</v>
      </c>
      <c r="N309" s="115">
        <v>44857</v>
      </c>
      <c r="O309" s="32" t="s">
        <v>2622</v>
      </c>
      <c r="P309" s="32" t="s">
        <v>2646</v>
      </c>
      <c r="Q309" s="115">
        <v>44877</v>
      </c>
      <c r="R309" s="32"/>
      <c r="S309" s="32"/>
      <c r="T309" s="32"/>
      <c r="U309" s="32"/>
      <c r="V309" s="32"/>
      <c r="W309" s="32"/>
      <c r="X309" s="32"/>
      <c r="Y309" s="32"/>
      <c r="Z309" s="32" t="s">
        <v>4086</v>
      </c>
      <c r="AA309" s="32"/>
      <c r="AB309" s="32"/>
      <c r="AC309" s="32"/>
      <c r="AD309" s="32"/>
      <c r="AE309" s="32"/>
      <c r="AF309" s="32"/>
      <c r="AG309" s="32"/>
      <c r="AH309" s="32"/>
    </row>
    <row r="310" spans="1:34" x14ac:dyDescent="0.2">
      <c r="A310" s="114">
        <v>44857</v>
      </c>
      <c r="B310" s="29" t="s">
        <v>4087</v>
      </c>
      <c r="C310" s="26">
        <v>44000760</v>
      </c>
      <c r="D310" s="29">
        <v>3005638087</v>
      </c>
      <c r="E310" s="26" t="s">
        <v>31</v>
      </c>
      <c r="F310" s="32"/>
      <c r="G310" s="29" t="s">
        <v>4088</v>
      </c>
      <c r="H310" s="29" t="s">
        <v>4089</v>
      </c>
      <c r="I310" s="29">
        <v>3243714474</v>
      </c>
      <c r="J310" s="29"/>
      <c r="K310" s="29"/>
      <c r="L310" s="29"/>
      <c r="M310" s="27" t="s">
        <v>2644</v>
      </c>
      <c r="N310" s="115">
        <v>44857</v>
      </c>
      <c r="O310" s="32" t="s">
        <v>2622</v>
      </c>
      <c r="P310" s="32" t="s">
        <v>2646</v>
      </c>
      <c r="Q310" s="115">
        <v>44877</v>
      </c>
      <c r="R310" s="32"/>
      <c r="S310" s="32"/>
      <c r="T310" s="32"/>
      <c r="U310" s="32"/>
      <c r="V310" s="32"/>
      <c r="W310" s="32"/>
      <c r="X310" s="32"/>
      <c r="Y310" s="32"/>
      <c r="Z310" s="32" t="s">
        <v>4090</v>
      </c>
      <c r="AA310" s="32"/>
      <c r="AB310" s="32"/>
      <c r="AC310" s="32"/>
      <c r="AD310" s="32"/>
      <c r="AE310" s="32"/>
      <c r="AF310" s="32"/>
      <c r="AG310" s="32"/>
      <c r="AH310" s="32"/>
    </row>
    <row r="311" spans="1:34" x14ac:dyDescent="0.2">
      <c r="A311" s="114">
        <v>44857</v>
      </c>
      <c r="B311" s="29" t="s">
        <v>4091</v>
      </c>
      <c r="C311" s="26"/>
      <c r="D311" s="29">
        <v>3017483051</v>
      </c>
      <c r="E311" s="26" t="s">
        <v>31</v>
      </c>
      <c r="F311" s="32"/>
      <c r="G311" s="29" t="s">
        <v>4092</v>
      </c>
      <c r="H311" s="29" t="s">
        <v>4093</v>
      </c>
      <c r="I311" s="29" t="s">
        <v>4094</v>
      </c>
      <c r="J311" s="29"/>
      <c r="K311" s="29"/>
      <c r="L311" s="29"/>
      <c r="M311" s="27" t="s">
        <v>2610</v>
      </c>
      <c r="N311" s="115">
        <v>44857</v>
      </c>
      <c r="O311" s="32" t="s">
        <v>2838</v>
      </c>
      <c r="P311" s="32"/>
      <c r="Q311" s="32"/>
      <c r="R311" s="32"/>
      <c r="S311" s="32"/>
      <c r="T311" s="32"/>
      <c r="U311" s="32"/>
      <c r="V311" s="32"/>
      <c r="W311" s="32"/>
      <c r="X311" s="32"/>
      <c r="Y311" s="32"/>
      <c r="Z311" s="32"/>
      <c r="AA311" s="32" t="s">
        <v>4075</v>
      </c>
      <c r="AB311" s="115">
        <v>44857</v>
      </c>
      <c r="AC311" s="32"/>
      <c r="AD311" s="32"/>
      <c r="AE311" s="32"/>
      <c r="AF311" s="32"/>
      <c r="AG311" s="32"/>
      <c r="AH311" s="32"/>
    </row>
    <row r="312" spans="1:34" x14ac:dyDescent="0.2">
      <c r="A312" s="114">
        <v>44857</v>
      </c>
      <c r="B312" s="29" t="s">
        <v>4095</v>
      </c>
      <c r="C312" s="26">
        <v>70321867</v>
      </c>
      <c r="D312" s="29">
        <v>3003212319</v>
      </c>
      <c r="E312" s="26" t="s">
        <v>31</v>
      </c>
      <c r="F312" s="32"/>
      <c r="G312" s="29" t="s">
        <v>4096</v>
      </c>
      <c r="H312" s="29" t="s">
        <v>4097</v>
      </c>
      <c r="I312" s="29">
        <v>3003212319</v>
      </c>
      <c r="J312" s="29"/>
      <c r="K312" s="29"/>
      <c r="L312" s="29"/>
      <c r="M312" s="27" t="s">
        <v>2644</v>
      </c>
      <c r="N312" s="115">
        <v>44857</v>
      </c>
      <c r="O312" s="32" t="s">
        <v>2622</v>
      </c>
      <c r="P312" s="32" t="s">
        <v>2646</v>
      </c>
      <c r="Q312" s="115">
        <v>44877</v>
      </c>
      <c r="R312" s="32"/>
      <c r="S312" s="32"/>
      <c r="T312" s="32"/>
      <c r="U312" s="32"/>
      <c r="V312" s="32"/>
      <c r="W312" s="32"/>
      <c r="X312" s="32"/>
      <c r="Y312" s="32"/>
      <c r="Z312" s="32" t="s">
        <v>4098</v>
      </c>
      <c r="AA312" s="32"/>
      <c r="AB312" s="32"/>
      <c r="AC312" s="32"/>
      <c r="AD312" s="32"/>
      <c r="AE312" s="32"/>
      <c r="AF312" s="32"/>
      <c r="AG312" s="32"/>
      <c r="AH312" s="32"/>
    </row>
    <row r="313" spans="1:34" x14ac:dyDescent="0.2">
      <c r="A313" s="114">
        <v>44857</v>
      </c>
      <c r="B313" s="29" t="s">
        <v>4099</v>
      </c>
      <c r="C313" s="26">
        <v>43189165</v>
      </c>
      <c r="D313" s="29">
        <v>3013762348</v>
      </c>
      <c r="E313" s="26" t="s">
        <v>31</v>
      </c>
      <c r="F313" s="32"/>
      <c r="G313" s="29" t="s">
        <v>4100</v>
      </c>
      <c r="H313" s="29" t="s">
        <v>4101</v>
      </c>
      <c r="I313" s="29">
        <v>3043568002</v>
      </c>
      <c r="J313" s="29"/>
      <c r="K313" s="29"/>
      <c r="L313" s="29"/>
      <c r="M313" s="27" t="s">
        <v>2610</v>
      </c>
      <c r="N313" s="115">
        <v>44857</v>
      </c>
      <c r="O313" s="32" t="s">
        <v>2848</v>
      </c>
      <c r="P313" s="32"/>
      <c r="Q313" s="32"/>
      <c r="R313" s="32"/>
      <c r="S313" s="32"/>
      <c r="T313" s="32"/>
      <c r="U313" s="32"/>
      <c r="V313" s="32"/>
      <c r="W313" s="32"/>
      <c r="X313" s="32"/>
      <c r="Y313" s="32"/>
      <c r="Z313" s="32" t="s">
        <v>4102</v>
      </c>
      <c r="AA313" s="32"/>
      <c r="AB313" s="32"/>
      <c r="AC313" s="32"/>
      <c r="AD313" s="32"/>
      <c r="AE313" s="32"/>
      <c r="AF313" s="32"/>
      <c r="AG313" s="32"/>
      <c r="AH313" s="32"/>
    </row>
    <row r="314" spans="1:34" x14ac:dyDescent="0.2">
      <c r="A314" s="114">
        <v>44703</v>
      </c>
      <c r="B314" s="29" t="s">
        <v>4103</v>
      </c>
      <c r="C314" s="26"/>
      <c r="D314" s="29">
        <v>3146001223</v>
      </c>
      <c r="E314" s="26" t="s">
        <v>31</v>
      </c>
      <c r="F314" s="32"/>
      <c r="G314" s="29"/>
      <c r="H314" s="29" t="s">
        <v>4104</v>
      </c>
      <c r="I314" s="29">
        <v>3128189653</v>
      </c>
      <c r="J314" s="29"/>
      <c r="K314" s="29"/>
      <c r="L314" s="29"/>
      <c r="M314" s="27" t="s">
        <v>2613</v>
      </c>
      <c r="N314" s="32"/>
      <c r="O314" s="32" t="s">
        <v>2841</v>
      </c>
      <c r="P314" s="32"/>
      <c r="Q314" s="32"/>
      <c r="R314" s="32"/>
      <c r="S314" s="32"/>
      <c r="T314" s="32"/>
      <c r="U314" s="32"/>
      <c r="V314" s="32"/>
      <c r="W314" s="32"/>
      <c r="X314" s="32"/>
      <c r="Y314" s="32"/>
      <c r="Z314" s="32" t="s">
        <v>239</v>
      </c>
      <c r="AA314" s="32" t="s">
        <v>3907</v>
      </c>
      <c r="AB314" s="115">
        <v>45072</v>
      </c>
      <c r="AC314" s="32"/>
      <c r="AD314" s="32"/>
      <c r="AE314" s="32"/>
      <c r="AF314" s="32"/>
      <c r="AG314" s="32"/>
      <c r="AH314" s="32"/>
    </row>
    <row r="315" spans="1:34" x14ac:dyDescent="0.2">
      <c r="A315" s="114">
        <v>44864</v>
      </c>
      <c r="B315" s="29" t="s">
        <v>4105</v>
      </c>
      <c r="C315" s="26">
        <v>1000392977</v>
      </c>
      <c r="D315" s="29">
        <v>3002784147</v>
      </c>
      <c r="E315" s="26" t="s">
        <v>31</v>
      </c>
      <c r="F315" s="32"/>
      <c r="G315" s="29" t="s">
        <v>4106</v>
      </c>
      <c r="H315" s="29" t="s">
        <v>4107</v>
      </c>
      <c r="I315" s="29">
        <v>3016208784</v>
      </c>
      <c r="J315" s="29"/>
      <c r="K315" s="29"/>
      <c r="L315" s="29"/>
      <c r="M315" s="27" t="s">
        <v>2610</v>
      </c>
      <c r="N315" s="115">
        <v>44864</v>
      </c>
      <c r="O315" s="32" t="s">
        <v>2848</v>
      </c>
      <c r="P315" s="32"/>
      <c r="Q315" s="32"/>
      <c r="R315" s="32"/>
      <c r="S315" s="32"/>
      <c r="T315" s="32"/>
      <c r="U315" s="32"/>
      <c r="V315" s="32"/>
      <c r="W315" s="32"/>
      <c r="X315" s="32"/>
      <c r="Y315" s="32"/>
      <c r="Z315" s="32" t="s">
        <v>4108</v>
      </c>
      <c r="AA315" s="32"/>
      <c r="AB315" s="32"/>
      <c r="AC315" s="32"/>
      <c r="AD315" s="32"/>
      <c r="AE315" s="32"/>
      <c r="AF315" s="32"/>
      <c r="AG315" s="32"/>
      <c r="AH315" s="32"/>
    </row>
    <row r="316" spans="1:34" x14ac:dyDescent="0.2">
      <c r="A316" s="114">
        <v>44864</v>
      </c>
      <c r="B316" s="29" t="s">
        <v>3771</v>
      </c>
      <c r="C316" s="26"/>
      <c r="D316" s="29">
        <v>3015055420</v>
      </c>
      <c r="E316" s="26" t="s">
        <v>31</v>
      </c>
      <c r="F316" s="32"/>
      <c r="G316" s="29"/>
      <c r="H316" s="29" t="s">
        <v>4109</v>
      </c>
      <c r="I316" s="29">
        <v>3022193711</v>
      </c>
      <c r="J316" s="29"/>
      <c r="K316" s="29"/>
      <c r="L316" s="29"/>
      <c r="M316" s="27" t="s">
        <v>2610</v>
      </c>
      <c r="N316" s="115">
        <v>44864</v>
      </c>
      <c r="O316" s="32" t="s">
        <v>2656</v>
      </c>
      <c r="P316" s="32"/>
      <c r="Q316" s="32"/>
      <c r="R316" s="32"/>
      <c r="S316" s="32"/>
      <c r="T316" s="32"/>
      <c r="U316" s="32"/>
      <c r="V316" s="32"/>
      <c r="W316" s="32"/>
      <c r="X316" s="32"/>
      <c r="Y316" s="32"/>
      <c r="Z316" s="32" t="s">
        <v>4110</v>
      </c>
      <c r="AA316" s="32"/>
      <c r="AB316" s="32"/>
      <c r="AC316" s="32"/>
      <c r="AD316" s="32"/>
      <c r="AE316" s="32"/>
      <c r="AF316" s="32"/>
      <c r="AG316" s="32"/>
      <c r="AH316" s="32"/>
    </row>
    <row r="317" spans="1:34" x14ac:dyDescent="0.2">
      <c r="A317" s="117">
        <v>44868</v>
      </c>
      <c r="B317" s="29" t="s">
        <v>4111</v>
      </c>
      <c r="C317" s="26"/>
      <c r="D317" s="29">
        <v>3023597476</v>
      </c>
      <c r="E317" s="26" t="s">
        <v>31</v>
      </c>
      <c r="F317" s="32"/>
      <c r="G317" s="29" t="s">
        <v>4112</v>
      </c>
      <c r="H317" s="29" t="s">
        <v>4113</v>
      </c>
      <c r="I317" s="29">
        <v>3243815660</v>
      </c>
      <c r="J317" s="29"/>
      <c r="K317" s="29"/>
      <c r="L317" s="29"/>
      <c r="M317" s="27" t="s">
        <v>2610</v>
      </c>
      <c r="N317" s="116">
        <v>44868</v>
      </c>
      <c r="O317" s="32" t="s">
        <v>2622</v>
      </c>
      <c r="P317" s="32"/>
      <c r="Q317" s="32"/>
      <c r="R317" s="32"/>
      <c r="S317" s="32"/>
      <c r="T317" s="32"/>
      <c r="U317" s="32"/>
      <c r="V317" s="32"/>
      <c r="W317" s="32"/>
      <c r="X317" s="32"/>
      <c r="Y317" s="32"/>
      <c r="Z317" s="32" t="s">
        <v>4114</v>
      </c>
      <c r="AA317" s="32"/>
      <c r="AB317" s="32"/>
      <c r="AC317" s="32"/>
      <c r="AD317" s="32"/>
      <c r="AE317" s="32"/>
      <c r="AF317" s="32"/>
      <c r="AG317" s="32"/>
      <c r="AH317" s="32"/>
    </row>
    <row r="318" spans="1:34" x14ac:dyDescent="0.2">
      <c r="A318" s="117">
        <v>44868</v>
      </c>
      <c r="B318" s="29" t="s">
        <v>4115</v>
      </c>
      <c r="C318" s="26">
        <v>21592366</v>
      </c>
      <c r="D318" s="29">
        <v>3022193711</v>
      </c>
      <c r="E318" s="26" t="s">
        <v>31</v>
      </c>
      <c r="F318" s="32"/>
      <c r="G318" s="29"/>
      <c r="H318" s="29" t="s">
        <v>3771</v>
      </c>
      <c r="I318" s="29">
        <v>3015055420</v>
      </c>
      <c r="J318" s="29"/>
      <c r="K318" s="29"/>
      <c r="L318" s="29"/>
      <c r="M318" s="27" t="s">
        <v>2610</v>
      </c>
      <c r="N318" s="32" t="s">
        <v>4116</v>
      </c>
      <c r="O318" s="32" t="s">
        <v>2656</v>
      </c>
      <c r="P318" s="32"/>
      <c r="Q318" s="32"/>
      <c r="R318" s="32"/>
      <c r="S318" s="32"/>
      <c r="T318" s="32"/>
      <c r="U318" s="32"/>
      <c r="V318" s="32"/>
      <c r="W318" s="32"/>
      <c r="X318" s="32"/>
      <c r="Y318" s="32"/>
      <c r="Z318" s="32" t="s">
        <v>4110</v>
      </c>
      <c r="AA318" s="32" t="s">
        <v>4117</v>
      </c>
      <c r="AB318" s="115">
        <v>45108</v>
      </c>
      <c r="AC318" s="32"/>
      <c r="AD318" s="32"/>
      <c r="AE318" s="32"/>
      <c r="AF318" s="32"/>
      <c r="AG318" s="32"/>
      <c r="AH318" s="32"/>
    </row>
    <row r="319" spans="1:34" x14ac:dyDescent="0.2">
      <c r="A319" s="117">
        <v>44868</v>
      </c>
      <c r="B319" s="29" t="s">
        <v>4118</v>
      </c>
      <c r="C319" s="26">
        <v>43341627</v>
      </c>
      <c r="D319" s="29">
        <v>3113709212</v>
      </c>
      <c r="E319" s="26" t="s">
        <v>31</v>
      </c>
      <c r="F319" s="32"/>
      <c r="G319" s="29" t="s">
        <v>4119</v>
      </c>
      <c r="H319" s="29" t="s">
        <v>4120</v>
      </c>
      <c r="I319" s="29">
        <v>3166117633</v>
      </c>
      <c r="J319" s="29"/>
      <c r="K319" s="29"/>
      <c r="L319" s="29"/>
      <c r="M319" s="27" t="s">
        <v>2610</v>
      </c>
      <c r="N319" s="116">
        <v>44868</v>
      </c>
      <c r="O319" s="32" t="s">
        <v>2656</v>
      </c>
      <c r="P319" s="32"/>
      <c r="Q319" s="32"/>
      <c r="R319" s="32"/>
      <c r="S319" s="32"/>
      <c r="T319" s="32"/>
      <c r="U319" s="32"/>
      <c r="V319" s="32"/>
      <c r="W319" s="32"/>
      <c r="X319" s="32"/>
      <c r="Y319" s="32"/>
      <c r="Z319" s="32" t="s">
        <v>4121</v>
      </c>
      <c r="AA319" s="32" t="s">
        <v>332</v>
      </c>
      <c r="AB319" s="115">
        <v>44717</v>
      </c>
      <c r="AC319" s="32"/>
      <c r="AD319" s="32"/>
      <c r="AE319" s="32"/>
      <c r="AF319" s="32"/>
      <c r="AG319" s="32"/>
      <c r="AH319" s="32"/>
    </row>
    <row r="320" spans="1:34" x14ac:dyDescent="0.2">
      <c r="A320" s="117">
        <v>44868</v>
      </c>
      <c r="B320" s="29" t="s">
        <v>4122</v>
      </c>
      <c r="C320" s="26">
        <v>98588841</v>
      </c>
      <c r="D320" s="29">
        <v>3024140093</v>
      </c>
      <c r="E320" s="26" t="s">
        <v>31</v>
      </c>
      <c r="F320" s="32"/>
      <c r="G320" s="29"/>
      <c r="H320" s="29" t="s">
        <v>4123</v>
      </c>
      <c r="I320" s="29">
        <v>3006223557</v>
      </c>
      <c r="J320" s="29"/>
      <c r="K320" s="29"/>
      <c r="L320" s="29"/>
      <c r="M320" s="27" t="s">
        <v>2610</v>
      </c>
      <c r="N320" s="116">
        <v>44868</v>
      </c>
      <c r="O320" s="32" t="s">
        <v>2656</v>
      </c>
      <c r="P320" s="32"/>
      <c r="Q320" s="32"/>
      <c r="R320" s="32"/>
      <c r="S320" s="32"/>
      <c r="T320" s="32"/>
      <c r="U320" s="32"/>
      <c r="V320" s="32"/>
      <c r="W320" s="32"/>
      <c r="X320" s="32"/>
      <c r="Y320" s="32"/>
      <c r="Z320" s="32"/>
      <c r="AA320" s="32" t="s">
        <v>4124</v>
      </c>
      <c r="AB320" s="115">
        <v>44868</v>
      </c>
      <c r="AC320" s="32"/>
      <c r="AD320" s="32"/>
      <c r="AE320" s="32"/>
      <c r="AF320" s="32"/>
      <c r="AG320" s="32"/>
      <c r="AH320" s="32"/>
    </row>
    <row r="321" spans="1:34" x14ac:dyDescent="0.2">
      <c r="A321" s="114">
        <v>44696</v>
      </c>
      <c r="B321" s="29" t="s">
        <v>185</v>
      </c>
      <c r="C321" s="26"/>
      <c r="D321" s="29">
        <v>3022386120</v>
      </c>
      <c r="E321" s="26" t="s">
        <v>31</v>
      </c>
      <c r="F321" s="32"/>
      <c r="G321" s="29"/>
      <c r="H321" s="29" t="s">
        <v>186</v>
      </c>
      <c r="I321" s="29">
        <v>3242045294</v>
      </c>
      <c r="J321" s="29"/>
      <c r="K321" s="29"/>
      <c r="L321" s="29"/>
      <c r="M321" s="27" t="s">
        <v>2613</v>
      </c>
      <c r="N321" s="32"/>
      <c r="O321" s="32" t="s">
        <v>2841</v>
      </c>
      <c r="P321" s="32"/>
      <c r="Q321" s="32"/>
      <c r="R321" s="32"/>
      <c r="S321" s="32"/>
      <c r="T321" s="32"/>
      <c r="U321" s="32"/>
      <c r="V321" s="32"/>
      <c r="W321" s="32"/>
      <c r="X321" s="32"/>
      <c r="Y321" s="32"/>
      <c r="Z321" s="32"/>
      <c r="AA321" s="32" t="s">
        <v>4125</v>
      </c>
      <c r="AB321" s="115">
        <v>45072</v>
      </c>
      <c r="AC321" s="32"/>
      <c r="AD321" s="32"/>
      <c r="AE321" s="32"/>
      <c r="AF321" s="32"/>
      <c r="AG321" s="32" t="s">
        <v>3969</v>
      </c>
      <c r="AH321" s="32"/>
    </row>
    <row r="322" spans="1:34" x14ac:dyDescent="0.2">
      <c r="A322" s="114">
        <v>45032</v>
      </c>
      <c r="B322" s="29" t="s">
        <v>4126</v>
      </c>
      <c r="C322" s="26">
        <v>1001501208</v>
      </c>
      <c r="D322" s="29">
        <v>3117145542</v>
      </c>
      <c r="E322" s="26" t="s">
        <v>31</v>
      </c>
      <c r="F322" s="32"/>
      <c r="G322" s="29" t="s">
        <v>4127</v>
      </c>
      <c r="H322" s="29" t="s">
        <v>2631</v>
      </c>
      <c r="I322" s="29">
        <v>3238429535</v>
      </c>
      <c r="J322" s="29"/>
      <c r="K322" s="29"/>
      <c r="L322" s="29"/>
      <c r="M322" s="27" t="s">
        <v>2610</v>
      </c>
      <c r="N322" s="115">
        <v>45032</v>
      </c>
      <c r="O322" s="32" t="s">
        <v>2838</v>
      </c>
      <c r="P322" s="32"/>
      <c r="Q322" s="32"/>
      <c r="R322" s="32"/>
      <c r="S322" s="32"/>
      <c r="T322" s="32"/>
      <c r="U322" s="32"/>
      <c r="V322" s="32"/>
      <c r="W322" s="32"/>
      <c r="X322" s="32"/>
      <c r="Y322" s="32"/>
      <c r="Z322" s="32" t="s">
        <v>4128</v>
      </c>
      <c r="AA322" s="32"/>
      <c r="AB322" s="32"/>
      <c r="AC322" s="32"/>
      <c r="AD322" s="32"/>
      <c r="AE322" s="32"/>
      <c r="AF322" s="32"/>
      <c r="AG322" s="32"/>
      <c r="AH322" s="32"/>
    </row>
    <row r="323" spans="1:34" x14ac:dyDescent="0.2">
      <c r="A323" s="29" t="s">
        <v>3865</v>
      </c>
      <c r="B323" s="29" t="s">
        <v>4129</v>
      </c>
      <c r="C323" s="26"/>
      <c r="D323" s="29">
        <v>3136912194</v>
      </c>
      <c r="E323" s="26" t="s">
        <v>31</v>
      </c>
      <c r="F323" s="32"/>
      <c r="G323" s="29"/>
      <c r="H323" s="29"/>
      <c r="I323" s="29"/>
      <c r="J323" s="29"/>
      <c r="K323" s="29"/>
      <c r="L323" s="29"/>
      <c r="M323" s="27" t="s">
        <v>2613</v>
      </c>
      <c r="N323" s="32"/>
      <c r="O323" s="32" t="s">
        <v>2841</v>
      </c>
      <c r="P323" s="32"/>
      <c r="Q323" s="32"/>
      <c r="R323" s="32"/>
      <c r="S323" s="32"/>
      <c r="T323" s="32"/>
      <c r="U323" s="32"/>
      <c r="V323" s="32"/>
      <c r="W323" s="32"/>
      <c r="X323" s="32"/>
      <c r="Y323" s="32"/>
      <c r="Z323" s="32"/>
      <c r="AA323" s="32"/>
      <c r="AB323" s="32"/>
      <c r="AC323" s="32"/>
      <c r="AD323" s="32"/>
      <c r="AE323" s="32"/>
      <c r="AF323" s="32"/>
      <c r="AG323" s="32"/>
      <c r="AH323" s="32"/>
    </row>
    <row r="324" spans="1:34" x14ac:dyDescent="0.2">
      <c r="A324" s="114">
        <v>44787</v>
      </c>
      <c r="B324" s="29" t="s">
        <v>4130</v>
      </c>
      <c r="C324" s="26"/>
      <c r="D324" s="29">
        <v>3015140662</v>
      </c>
      <c r="E324" s="26" t="s">
        <v>31</v>
      </c>
      <c r="F324" s="32"/>
      <c r="G324" s="29"/>
      <c r="H324" s="29" t="s">
        <v>4131</v>
      </c>
      <c r="I324" s="29">
        <v>3017483052</v>
      </c>
      <c r="J324" s="29"/>
      <c r="K324" s="29"/>
      <c r="L324" s="29"/>
      <c r="M324" s="27" t="s">
        <v>2613</v>
      </c>
      <c r="N324" s="32"/>
      <c r="O324" s="32" t="s">
        <v>2841</v>
      </c>
      <c r="P324" s="32"/>
      <c r="Q324" s="32"/>
      <c r="R324" s="32"/>
      <c r="S324" s="32"/>
      <c r="T324" s="32"/>
      <c r="U324" s="32"/>
      <c r="V324" s="32"/>
      <c r="W324" s="32"/>
      <c r="X324" s="32"/>
      <c r="Y324" s="32"/>
      <c r="Z324" s="32"/>
      <c r="AA324" s="32" t="s">
        <v>4004</v>
      </c>
      <c r="AB324" s="115">
        <v>45086</v>
      </c>
      <c r="AC324" s="32"/>
      <c r="AD324" s="32"/>
      <c r="AE324" s="32"/>
      <c r="AF324" s="32"/>
      <c r="AG324" s="32"/>
      <c r="AH324" s="32"/>
    </row>
    <row r="325" spans="1:34" x14ac:dyDescent="0.2">
      <c r="A325" s="114">
        <v>45074</v>
      </c>
      <c r="B325" s="29" t="s">
        <v>4132</v>
      </c>
      <c r="C325" s="26"/>
      <c r="D325" s="29"/>
      <c r="E325" s="26" t="s">
        <v>31</v>
      </c>
      <c r="F325" s="32"/>
      <c r="G325" s="29"/>
      <c r="H325" s="29"/>
      <c r="I325" s="29"/>
      <c r="J325" s="29"/>
      <c r="K325" s="29"/>
      <c r="L325" s="29"/>
      <c r="M325" s="27" t="s">
        <v>2610</v>
      </c>
      <c r="N325" s="115">
        <v>45074</v>
      </c>
      <c r="O325" s="32"/>
      <c r="P325" s="32"/>
      <c r="Q325" s="32"/>
      <c r="R325" s="32"/>
      <c r="S325" s="32"/>
      <c r="T325" s="32"/>
      <c r="U325" s="32"/>
      <c r="V325" s="32"/>
      <c r="W325" s="32"/>
      <c r="X325" s="32"/>
      <c r="Y325" s="32"/>
      <c r="Z325" s="32"/>
      <c r="AA325" s="32" t="s">
        <v>4133</v>
      </c>
      <c r="AB325" s="115">
        <v>45074</v>
      </c>
      <c r="AC325" s="32"/>
      <c r="AD325" s="32"/>
      <c r="AE325" s="32"/>
      <c r="AF325" s="32"/>
      <c r="AG325" s="32"/>
      <c r="AH325" s="32"/>
    </row>
    <row r="326" spans="1:34" x14ac:dyDescent="0.2">
      <c r="A326" s="114">
        <v>45074</v>
      </c>
      <c r="B326" s="29" t="s">
        <v>811</v>
      </c>
      <c r="C326" s="26"/>
      <c r="D326" s="29">
        <v>3002995129</v>
      </c>
      <c r="E326" s="26" t="s">
        <v>31</v>
      </c>
      <c r="F326" s="32"/>
      <c r="G326" s="29"/>
      <c r="H326" s="29" t="s">
        <v>4134</v>
      </c>
      <c r="I326" s="29">
        <v>3023363360</v>
      </c>
      <c r="J326" s="29"/>
      <c r="K326" s="29"/>
      <c r="L326" s="29"/>
      <c r="M326" s="27" t="s">
        <v>2610</v>
      </c>
      <c r="N326" s="115">
        <v>45087</v>
      </c>
      <c r="O326" s="32"/>
      <c r="P326" s="32"/>
      <c r="Q326" s="32"/>
      <c r="R326" s="32"/>
      <c r="S326" s="32"/>
      <c r="T326" s="32"/>
      <c r="U326" s="32"/>
      <c r="V326" s="32"/>
      <c r="W326" s="32"/>
      <c r="X326" s="32"/>
      <c r="Y326" s="32"/>
      <c r="Z326" s="32"/>
      <c r="AA326" s="32" t="s">
        <v>4135</v>
      </c>
      <c r="AB326" s="115">
        <v>45087</v>
      </c>
      <c r="AC326" s="32"/>
      <c r="AD326" s="32"/>
      <c r="AE326" s="32"/>
      <c r="AF326" s="32"/>
      <c r="AG326" s="32"/>
      <c r="AH326" s="32"/>
    </row>
    <row r="327" spans="1:34" x14ac:dyDescent="0.2">
      <c r="A327" s="114">
        <v>45087</v>
      </c>
      <c r="B327" s="29" t="s">
        <v>4136</v>
      </c>
      <c r="C327" s="26"/>
      <c r="D327" s="29">
        <v>3023855955</v>
      </c>
      <c r="E327" s="26" t="s">
        <v>31</v>
      </c>
      <c r="F327" s="32"/>
      <c r="G327" s="29"/>
      <c r="H327" s="29"/>
      <c r="I327" s="29">
        <v>3205868911</v>
      </c>
      <c r="J327" s="29"/>
      <c r="K327" s="29"/>
      <c r="L327" s="29"/>
      <c r="M327" s="27" t="s">
        <v>2610</v>
      </c>
      <c r="N327" s="32"/>
      <c r="O327" s="32"/>
      <c r="P327" s="32"/>
      <c r="Q327" s="32"/>
      <c r="R327" s="32"/>
      <c r="S327" s="32"/>
      <c r="T327" s="32"/>
      <c r="U327" s="32"/>
      <c r="V327" s="32"/>
      <c r="W327" s="32"/>
      <c r="X327" s="32"/>
      <c r="Y327" s="32"/>
      <c r="Z327" s="32"/>
      <c r="AA327" s="32"/>
      <c r="AB327" s="32"/>
      <c r="AC327" s="32"/>
      <c r="AD327" s="32"/>
      <c r="AE327" s="32"/>
      <c r="AF327" s="32"/>
      <c r="AG327" s="32"/>
      <c r="AH327" s="32"/>
    </row>
    <row r="328" spans="1:34" x14ac:dyDescent="0.2">
      <c r="A328" s="29" t="s">
        <v>2949</v>
      </c>
      <c r="B328" s="29" t="s">
        <v>646</v>
      </c>
      <c r="C328" s="26"/>
      <c r="D328" s="29">
        <v>3215046669</v>
      </c>
      <c r="E328" s="26" t="s">
        <v>31</v>
      </c>
      <c r="F328" s="32"/>
      <c r="G328" s="29"/>
      <c r="H328" s="29" t="s">
        <v>647</v>
      </c>
      <c r="I328" s="29">
        <v>3222254045</v>
      </c>
      <c r="J328" s="29"/>
      <c r="K328" s="29"/>
      <c r="L328" s="29"/>
      <c r="M328" s="27" t="s">
        <v>2613</v>
      </c>
      <c r="N328" s="32"/>
      <c r="O328" s="32" t="s">
        <v>2841</v>
      </c>
      <c r="P328" s="32"/>
      <c r="Q328" s="32"/>
      <c r="R328" s="32"/>
      <c r="S328" s="32"/>
      <c r="T328" s="32"/>
      <c r="U328" s="32"/>
      <c r="V328" s="32"/>
      <c r="W328" s="32"/>
      <c r="X328" s="32"/>
      <c r="Y328" s="32"/>
      <c r="Z328" s="32" t="s">
        <v>649</v>
      </c>
      <c r="AA328" s="32" t="s">
        <v>3907</v>
      </c>
      <c r="AB328" s="115">
        <v>45087</v>
      </c>
      <c r="AC328" s="32"/>
      <c r="AD328" s="32"/>
      <c r="AE328" s="32"/>
      <c r="AF328" s="32"/>
      <c r="AG328" s="32"/>
      <c r="AH328" s="32"/>
    </row>
    <row r="329" spans="1:34" x14ac:dyDescent="0.2">
      <c r="A329" s="29" t="s">
        <v>3865</v>
      </c>
      <c r="B329" s="29" t="s">
        <v>4137</v>
      </c>
      <c r="C329" s="26"/>
      <c r="D329" s="29">
        <v>3008031045</v>
      </c>
      <c r="E329" s="26" t="s">
        <v>31</v>
      </c>
      <c r="F329" s="32"/>
      <c r="G329" s="29"/>
      <c r="H329" s="29" t="s">
        <v>4138</v>
      </c>
      <c r="I329" s="29"/>
      <c r="J329" s="29"/>
      <c r="K329" s="29"/>
      <c r="L329" s="29"/>
      <c r="M329" s="27" t="s">
        <v>2613</v>
      </c>
      <c r="N329" s="32"/>
      <c r="O329" s="32" t="s">
        <v>2841</v>
      </c>
      <c r="P329" s="32"/>
      <c r="Q329" s="32"/>
      <c r="R329" s="32"/>
      <c r="S329" s="32"/>
      <c r="T329" s="32"/>
      <c r="U329" s="32"/>
      <c r="V329" s="32"/>
      <c r="W329" s="32"/>
      <c r="X329" s="32"/>
      <c r="Y329" s="32"/>
      <c r="Z329" s="32"/>
      <c r="AA329" s="32"/>
      <c r="AB329" s="32"/>
      <c r="AC329" s="32"/>
      <c r="AD329" s="32"/>
      <c r="AE329" s="32"/>
      <c r="AF329" s="32"/>
      <c r="AG329" s="32"/>
      <c r="AH329" s="32"/>
    </row>
    <row r="330" spans="1:34" x14ac:dyDescent="0.2">
      <c r="A330" s="29" t="s">
        <v>3865</v>
      </c>
      <c r="B330" s="29" t="s">
        <v>4139</v>
      </c>
      <c r="C330" s="26"/>
      <c r="D330" s="29">
        <v>3146917732</v>
      </c>
      <c r="E330" s="26" t="s">
        <v>31</v>
      </c>
      <c r="F330" s="32"/>
      <c r="G330" s="29"/>
      <c r="H330" s="29"/>
      <c r="I330" s="29"/>
      <c r="J330" s="29"/>
      <c r="K330" s="29"/>
      <c r="L330" s="29"/>
      <c r="M330" s="27" t="s">
        <v>2613</v>
      </c>
      <c r="N330" s="32"/>
      <c r="O330" s="32" t="s">
        <v>2841</v>
      </c>
      <c r="P330" s="32"/>
      <c r="Q330" s="32"/>
      <c r="R330" s="32"/>
      <c r="S330" s="32"/>
      <c r="T330" s="32"/>
      <c r="U330" s="32"/>
      <c r="V330" s="32"/>
      <c r="W330" s="32"/>
      <c r="X330" s="32"/>
      <c r="Y330" s="32"/>
      <c r="Z330" s="32"/>
      <c r="AA330" s="32"/>
      <c r="AB330" s="32"/>
      <c r="AC330" s="32"/>
      <c r="AD330" s="32"/>
      <c r="AE330" s="32"/>
      <c r="AF330" s="32"/>
      <c r="AG330" s="32"/>
      <c r="AH330" s="32"/>
    </row>
    <row r="331" spans="1:34" x14ac:dyDescent="0.2">
      <c r="A331" s="114">
        <v>45087</v>
      </c>
      <c r="B331" s="29" t="s">
        <v>4140</v>
      </c>
      <c r="C331" s="26">
        <v>8411157</v>
      </c>
      <c r="D331" s="29">
        <v>3246351688</v>
      </c>
      <c r="E331" s="26" t="s">
        <v>31</v>
      </c>
      <c r="F331" s="32"/>
      <c r="G331" s="29"/>
      <c r="H331" s="29" t="s">
        <v>4141</v>
      </c>
      <c r="I331" s="29">
        <v>3002995129</v>
      </c>
      <c r="J331" s="29"/>
      <c r="K331" s="29"/>
      <c r="L331" s="29"/>
      <c r="M331" s="27" t="s">
        <v>2610</v>
      </c>
      <c r="N331" s="115">
        <v>45087</v>
      </c>
      <c r="O331" s="32" t="s">
        <v>2622</v>
      </c>
      <c r="P331" s="32"/>
      <c r="Q331" s="32"/>
      <c r="R331" s="32"/>
      <c r="S331" s="32"/>
      <c r="T331" s="32"/>
      <c r="U331" s="32"/>
      <c r="V331" s="32"/>
      <c r="W331" s="32"/>
      <c r="X331" s="32"/>
      <c r="Y331" s="32"/>
      <c r="Z331" s="32"/>
      <c r="AA331" s="32" t="s">
        <v>4142</v>
      </c>
      <c r="AB331" s="115">
        <v>45087</v>
      </c>
      <c r="AC331" s="32"/>
      <c r="AD331" s="32"/>
      <c r="AE331" s="32"/>
      <c r="AF331" s="32"/>
      <c r="AG331" s="32"/>
      <c r="AH331" s="32"/>
    </row>
    <row r="332" spans="1:34" x14ac:dyDescent="0.2">
      <c r="A332" s="29" t="s">
        <v>3865</v>
      </c>
      <c r="B332" s="29" t="s">
        <v>4143</v>
      </c>
      <c r="C332" s="26"/>
      <c r="D332" s="29">
        <v>3008031045</v>
      </c>
      <c r="E332" s="26" t="s">
        <v>31</v>
      </c>
      <c r="F332" s="32"/>
      <c r="G332" s="29"/>
      <c r="H332" s="29"/>
      <c r="I332" s="29">
        <v>3127434852</v>
      </c>
      <c r="J332" s="29"/>
      <c r="K332" s="29"/>
      <c r="L332" s="29"/>
      <c r="M332" s="27" t="s">
        <v>2613</v>
      </c>
      <c r="N332" s="32"/>
      <c r="O332" s="32" t="s">
        <v>2841</v>
      </c>
      <c r="P332" s="32"/>
      <c r="Q332" s="32"/>
      <c r="R332" s="32"/>
      <c r="S332" s="32"/>
      <c r="T332" s="32"/>
      <c r="U332" s="32"/>
      <c r="V332" s="32"/>
      <c r="W332" s="32"/>
      <c r="X332" s="32"/>
      <c r="Y332" s="32"/>
      <c r="Z332" s="32"/>
      <c r="AA332" s="32"/>
      <c r="AB332" s="32"/>
      <c r="AC332" s="32"/>
      <c r="AD332" s="32"/>
      <c r="AE332" s="32"/>
      <c r="AF332" s="32"/>
      <c r="AG332" s="32"/>
      <c r="AH332" s="32"/>
    </row>
    <row r="333" spans="1:34" x14ac:dyDescent="0.2">
      <c r="A333" s="29" t="s">
        <v>3865</v>
      </c>
      <c r="B333" s="29" t="s">
        <v>4144</v>
      </c>
      <c r="C333" s="26"/>
      <c r="D333" s="29">
        <v>3014096627</v>
      </c>
      <c r="E333" s="26" t="s">
        <v>31</v>
      </c>
      <c r="F333" s="32"/>
      <c r="G333" s="29"/>
      <c r="H333" s="29" t="s">
        <v>1319</v>
      </c>
      <c r="I333" s="29">
        <v>3017847288</v>
      </c>
      <c r="J333" s="29"/>
      <c r="K333" s="29"/>
      <c r="L333" s="29"/>
      <c r="M333" s="27" t="s">
        <v>2613</v>
      </c>
      <c r="N333" s="32"/>
      <c r="O333" s="32" t="s">
        <v>2841</v>
      </c>
      <c r="P333" s="32"/>
      <c r="Q333" s="32"/>
      <c r="R333" s="32"/>
      <c r="S333" s="32"/>
      <c r="T333" s="32"/>
      <c r="U333" s="32"/>
      <c r="V333" s="32"/>
      <c r="W333" s="32"/>
      <c r="X333" s="32"/>
      <c r="Y333" s="32"/>
      <c r="Z333" s="32" t="s">
        <v>4145</v>
      </c>
      <c r="AA333" s="32"/>
      <c r="AB333" s="32"/>
      <c r="AC333" s="32"/>
      <c r="AD333" s="32"/>
      <c r="AE333" s="32"/>
      <c r="AF333" s="32"/>
      <c r="AG333" s="32"/>
      <c r="AH333" s="32"/>
    </row>
    <row r="334" spans="1:34" x14ac:dyDescent="0.2">
      <c r="A334" s="114">
        <v>45087</v>
      </c>
      <c r="B334" s="29" t="s">
        <v>4146</v>
      </c>
      <c r="C334" s="26"/>
      <c r="D334" s="29"/>
      <c r="E334" s="26" t="s">
        <v>31</v>
      </c>
      <c r="F334" s="32"/>
      <c r="G334" s="29"/>
      <c r="H334" s="29" t="s">
        <v>4147</v>
      </c>
      <c r="I334" s="29">
        <v>3002293546</v>
      </c>
      <c r="J334" s="29"/>
      <c r="K334" s="29"/>
      <c r="L334" s="29"/>
      <c r="M334" s="27" t="s">
        <v>2613</v>
      </c>
      <c r="N334" s="32"/>
      <c r="O334" s="32" t="s">
        <v>2841</v>
      </c>
      <c r="P334" s="32"/>
      <c r="Q334" s="32"/>
      <c r="R334" s="32"/>
      <c r="S334" s="32"/>
      <c r="T334" s="32"/>
      <c r="U334" s="32"/>
      <c r="V334" s="32"/>
      <c r="W334" s="32"/>
      <c r="X334" s="32"/>
      <c r="Y334" s="32"/>
      <c r="Z334" s="32"/>
      <c r="AA334" s="32" t="s">
        <v>4148</v>
      </c>
      <c r="AB334" s="115">
        <v>45087</v>
      </c>
      <c r="AC334" s="32"/>
      <c r="AD334" s="32"/>
      <c r="AE334" s="32"/>
      <c r="AF334" s="32"/>
      <c r="AG334" s="32"/>
      <c r="AH334" s="32"/>
    </row>
    <row r="335" spans="1:34" x14ac:dyDescent="0.2">
      <c r="A335" s="114">
        <v>44787</v>
      </c>
      <c r="B335" s="29" t="s">
        <v>4149</v>
      </c>
      <c r="C335" s="26"/>
      <c r="D335" s="29">
        <v>3148383578</v>
      </c>
      <c r="E335" s="26" t="s">
        <v>31</v>
      </c>
      <c r="F335" s="32"/>
      <c r="G335" s="29"/>
      <c r="H335" s="29" t="s">
        <v>4150</v>
      </c>
      <c r="I335" s="29">
        <v>3148383578</v>
      </c>
      <c r="J335" s="29"/>
      <c r="K335" s="29"/>
      <c r="L335" s="29"/>
      <c r="M335" s="27" t="s">
        <v>2613</v>
      </c>
      <c r="N335" s="32"/>
      <c r="O335" s="32" t="s">
        <v>2841</v>
      </c>
      <c r="P335" s="32"/>
      <c r="Q335" s="32"/>
      <c r="R335" s="32"/>
      <c r="S335" s="32"/>
      <c r="T335" s="32"/>
      <c r="U335" s="32"/>
      <c r="V335" s="32"/>
      <c r="W335" s="32"/>
      <c r="X335" s="32"/>
      <c r="Y335" s="32"/>
      <c r="Z335" s="32" t="s">
        <v>4151</v>
      </c>
      <c r="AA335" s="32" t="s">
        <v>3907</v>
      </c>
      <c r="AB335" s="115">
        <v>45086</v>
      </c>
      <c r="AC335" s="32"/>
      <c r="AD335" s="32"/>
      <c r="AE335" s="32"/>
      <c r="AF335" s="32"/>
      <c r="AG335" s="32"/>
      <c r="AH335" s="32"/>
    </row>
    <row r="336" spans="1:34" x14ac:dyDescent="0.2">
      <c r="A336" s="114">
        <v>44773</v>
      </c>
      <c r="B336" s="29" t="s">
        <v>469</v>
      </c>
      <c r="C336" s="26"/>
      <c r="D336" s="29" t="s">
        <v>4152</v>
      </c>
      <c r="E336" s="26" t="s">
        <v>31</v>
      </c>
      <c r="F336" s="32"/>
      <c r="G336" s="29"/>
      <c r="H336" s="29" t="s">
        <v>470</v>
      </c>
      <c r="I336" s="29">
        <v>3126023501</v>
      </c>
      <c r="J336" s="29"/>
      <c r="K336" s="29"/>
      <c r="L336" s="29"/>
      <c r="M336" s="27" t="s">
        <v>2613</v>
      </c>
      <c r="N336" s="32"/>
      <c r="O336" s="32" t="s">
        <v>2841</v>
      </c>
      <c r="P336" s="32"/>
      <c r="Q336" s="32"/>
      <c r="R336" s="32"/>
      <c r="S336" s="32"/>
      <c r="T336" s="32"/>
      <c r="U336" s="32"/>
      <c r="V336" s="32"/>
      <c r="W336" s="32"/>
      <c r="X336" s="32"/>
      <c r="Y336" s="32"/>
      <c r="Z336" s="32"/>
      <c r="AA336" s="32" t="s">
        <v>4004</v>
      </c>
      <c r="AB336" s="115">
        <v>45086</v>
      </c>
      <c r="AC336" s="32"/>
      <c r="AD336" s="32"/>
      <c r="AE336" s="32"/>
      <c r="AF336" s="32"/>
      <c r="AG336" s="32"/>
      <c r="AH336" s="32"/>
    </row>
    <row r="337" spans="1:34" x14ac:dyDescent="0.2">
      <c r="A337" s="117">
        <v>45108</v>
      </c>
      <c r="B337" s="29" t="s">
        <v>4153</v>
      </c>
      <c r="C337" s="26">
        <v>5824089</v>
      </c>
      <c r="D337" s="29">
        <v>3146417171</v>
      </c>
      <c r="E337" s="26" t="s">
        <v>31</v>
      </c>
      <c r="F337" s="32"/>
      <c r="G337" s="29"/>
      <c r="H337" s="29" t="s">
        <v>4154</v>
      </c>
      <c r="I337" s="29">
        <v>3115207464</v>
      </c>
      <c r="J337" s="29"/>
      <c r="K337" s="29"/>
      <c r="L337" s="29"/>
      <c r="M337" s="27" t="s">
        <v>2644</v>
      </c>
      <c r="N337" s="116">
        <v>45108</v>
      </c>
      <c r="O337" s="32" t="s">
        <v>2622</v>
      </c>
      <c r="P337" s="32" t="s">
        <v>2646</v>
      </c>
      <c r="Q337" s="115">
        <v>45122</v>
      </c>
      <c r="R337" s="32"/>
      <c r="S337" s="32"/>
      <c r="T337" s="32"/>
      <c r="U337" s="32"/>
      <c r="V337" s="32"/>
      <c r="W337" s="32"/>
      <c r="X337" s="32"/>
      <c r="Y337" s="32"/>
      <c r="Z337" s="32"/>
      <c r="AA337" s="32"/>
      <c r="AB337" s="32"/>
      <c r="AC337" s="32"/>
      <c r="AD337" s="32"/>
      <c r="AE337" s="32"/>
      <c r="AF337" s="32"/>
      <c r="AG337" s="32"/>
      <c r="AH337" s="32"/>
    </row>
    <row r="338" spans="1:34" x14ac:dyDescent="0.2">
      <c r="A338" s="114">
        <v>45074</v>
      </c>
      <c r="B338" s="29" t="s">
        <v>4155</v>
      </c>
      <c r="C338" s="26">
        <v>8320881</v>
      </c>
      <c r="D338" s="29">
        <v>3148934808</v>
      </c>
      <c r="E338" s="26" t="s">
        <v>31</v>
      </c>
      <c r="F338" s="32"/>
      <c r="G338" s="29" t="s">
        <v>4156</v>
      </c>
      <c r="H338" s="29" t="s">
        <v>580</v>
      </c>
      <c r="I338" s="29">
        <v>3226284540</v>
      </c>
      <c r="J338" s="29"/>
      <c r="K338" s="29"/>
      <c r="L338" s="29"/>
      <c r="M338" s="27" t="s">
        <v>2610</v>
      </c>
      <c r="N338" s="116">
        <v>45108</v>
      </c>
      <c r="O338" s="32" t="s">
        <v>2838</v>
      </c>
      <c r="P338" s="32"/>
      <c r="Q338" s="32"/>
      <c r="R338" s="32"/>
      <c r="S338" s="32"/>
      <c r="T338" s="32"/>
      <c r="U338" s="32"/>
      <c r="V338" s="32"/>
      <c r="W338" s="32"/>
      <c r="X338" s="32"/>
      <c r="Y338" s="32"/>
      <c r="Z338" s="32" t="s">
        <v>4157</v>
      </c>
      <c r="AA338" s="32"/>
      <c r="AB338" s="32"/>
      <c r="AC338" s="32"/>
      <c r="AD338" s="32"/>
      <c r="AE338" s="32"/>
      <c r="AF338" s="32"/>
      <c r="AG338" s="32"/>
      <c r="AH338" s="32"/>
    </row>
    <row r="339" spans="1:34" x14ac:dyDescent="0.2">
      <c r="A339" s="117">
        <v>45108</v>
      </c>
      <c r="B339" s="29" t="s">
        <v>4158</v>
      </c>
      <c r="C339" s="26">
        <v>32144566</v>
      </c>
      <c r="D339" s="29">
        <v>3188000525</v>
      </c>
      <c r="E339" s="26" t="s">
        <v>31</v>
      </c>
      <c r="F339" s="32"/>
      <c r="G339" s="29" t="s">
        <v>4159</v>
      </c>
      <c r="H339" s="29" t="s">
        <v>3502</v>
      </c>
      <c r="I339" s="29">
        <v>3008031045</v>
      </c>
      <c r="J339" s="29"/>
      <c r="K339" s="29"/>
      <c r="L339" s="29"/>
      <c r="M339" s="27" t="s">
        <v>2610</v>
      </c>
      <c r="N339" s="116">
        <v>45108</v>
      </c>
      <c r="O339" s="32" t="s">
        <v>2838</v>
      </c>
      <c r="P339" s="32"/>
      <c r="Q339" s="32"/>
      <c r="R339" s="32"/>
      <c r="S339" s="32"/>
      <c r="T339" s="32"/>
      <c r="U339" s="32"/>
      <c r="V339" s="32"/>
      <c r="W339" s="32"/>
      <c r="X339" s="32"/>
      <c r="Y339" s="32"/>
      <c r="Z339" s="32" t="s">
        <v>4160</v>
      </c>
      <c r="AA339" s="32"/>
      <c r="AB339" s="32"/>
      <c r="AC339" s="32"/>
      <c r="AD339" s="32"/>
      <c r="AE339" s="32"/>
      <c r="AF339" s="32"/>
      <c r="AG339" s="32"/>
      <c r="AH339" s="32"/>
    </row>
    <row r="340" spans="1:34" x14ac:dyDescent="0.2">
      <c r="A340" s="117">
        <v>45108</v>
      </c>
      <c r="B340" s="29" t="s">
        <v>4161</v>
      </c>
      <c r="C340" s="26">
        <v>43149600</v>
      </c>
      <c r="D340" s="29">
        <v>3213465968</v>
      </c>
      <c r="E340" s="26" t="s">
        <v>31</v>
      </c>
      <c r="F340" s="32"/>
      <c r="G340" s="29"/>
      <c r="H340" s="29" t="s">
        <v>4162</v>
      </c>
      <c r="I340" s="29">
        <v>3005323190</v>
      </c>
      <c r="J340" s="29"/>
      <c r="K340" s="29"/>
      <c r="L340" s="29"/>
      <c r="M340" s="27" t="s">
        <v>2610</v>
      </c>
      <c r="N340" s="116">
        <v>45108</v>
      </c>
      <c r="O340" s="32" t="s">
        <v>2622</v>
      </c>
      <c r="P340" s="32"/>
      <c r="Q340" s="32"/>
      <c r="R340" s="32"/>
      <c r="S340" s="32"/>
      <c r="T340" s="32"/>
      <c r="U340" s="32"/>
      <c r="V340" s="32"/>
      <c r="W340" s="32"/>
      <c r="X340" s="32"/>
      <c r="Y340" s="32"/>
      <c r="Z340" s="32" t="s">
        <v>4163</v>
      </c>
      <c r="AA340" s="32"/>
      <c r="AB340" s="32"/>
      <c r="AC340" s="32"/>
      <c r="AD340" s="32"/>
      <c r="AE340" s="32"/>
      <c r="AF340" s="32"/>
      <c r="AG340" s="32"/>
      <c r="AH340" s="32"/>
    </row>
    <row r="341" spans="1:34" x14ac:dyDescent="0.2">
      <c r="A341" s="117">
        <v>45108</v>
      </c>
      <c r="B341" s="29" t="s">
        <v>4164</v>
      </c>
      <c r="C341" s="26">
        <v>3608539</v>
      </c>
      <c r="D341" s="29">
        <v>3205667543</v>
      </c>
      <c r="E341" s="26" t="s">
        <v>31</v>
      </c>
      <c r="F341" s="32"/>
      <c r="G341" s="29"/>
      <c r="H341" s="29" t="s">
        <v>4165</v>
      </c>
      <c r="I341" s="29">
        <v>3008031045</v>
      </c>
      <c r="J341" s="29"/>
      <c r="K341" s="29"/>
      <c r="L341" s="29"/>
      <c r="M341" s="27" t="s">
        <v>2610</v>
      </c>
      <c r="N341" s="116">
        <v>45108</v>
      </c>
      <c r="O341" s="32" t="s">
        <v>2622</v>
      </c>
      <c r="P341" s="32"/>
      <c r="Q341" s="32"/>
      <c r="R341" s="32"/>
      <c r="S341" s="32"/>
      <c r="T341" s="32"/>
      <c r="U341" s="32"/>
      <c r="V341" s="32"/>
      <c r="W341" s="32"/>
      <c r="X341" s="32"/>
      <c r="Y341" s="32"/>
      <c r="Z341" s="32" t="s">
        <v>4166</v>
      </c>
      <c r="AA341" s="32"/>
      <c r="AB341" s="32"/>
      <c r="AC341" s="32"/>
      <c r="AD341" s="32"/>
      <c r="AE341" s="32"/>
      <c r="AF341" s="32"/>
      <c r="AG341" s="32"/>
      <c r="AH341" s="32"/>
    </row>
    <row r="342" spans="1:34" x14ac:dyDescent="0.2">
      <c r="A342" s="117">
        <v>45108</v>
      </c>
      <c r="B342" s="29" t="s">
        <v>4167</v>
      </c>
      <c r="C342" s="26">
        <v>1214718626</v>
      </c>
      <c r="D342" s="29">
        <v>3212474448</v>
      </c>
      <c r="E342" s="26" t="s">
        <v>31</v>
      </c>
      <c r="F342" s="32"/>
      <c r="G342" s="29"/>
      <c r="H342" s="29" t="s">
        <v>4168</v>
      </c>
      <c r="I342" s="29">
        <v>3148070828</v>
      </c>
      <c r="J342" s="29"/>
      <c r="K342" s="29"/>
      <c r="L342" s="29"/>
      <c r="M342" s="27" t="s">
        <v>2610</v>
      </c>
      <c r="N342" s="116">
        <v>45108</v>
      </c>
      <c r="O342" s="32" t="s">
        <v>2848</v>
      </c>
      <c r="P342" s="32"/>
      <c r="Q342" s="32"/>
      <c r="R342" s="32"/>
      <c r="S342" s="32"/>
      <c r="T342" s="32"/>
      <c r="U342" s="32"/>
      <c r="V342" s="32"/>
      <c r="W342" s="32"/>
      <c r="X342" s="32"/>
      <c r="Y342" s="32"/>
      <c r="Z342" s="32" t="s">
        <v>4169</v>
      </c>
      <c r="AA342" s="32"/>
      <c r="AB342" s="32"/>
      <c r="AC342" s="32"/>
      <c r="AD342" s="32"/>
      <c r="AE342" s="32"/>
      <c r="AF342" s="32"/>
      <c r="AG342" s="32"/>
      <c r="AH342" s="32"/>
    </row>
    <row r="343" spans="1:34" x14ac:dyDescent="0.2">
      <c r="A343" s="29"/>
      <c r="B343" s="29" t="s">
        <v>4170</v>
      </c>
      <c r="C343" s="26"/>
      <c r="D343" s="29"/>
      <c r="E343" s="26" t="s">
        <v>31</v>
      </c>
      <c r="F343" s="32"/>
      <c r="G343" s="29"/>
      <c r="H343" s="29"/>
      <c r="I343" s="29"/>
      <c r="J343" s="29"/>
      <c r="K343" s="29"/>
      <c r="L343" s="29"/>
      <c r="M343" s="27" t="s">
        <v>2644</v>
      </c>
      <c r="N343" s="32"/>
      <c r="O343" s="32"/>
      <c r="P343" s="32" t="s">
        <v>2646</v>
      </c>
      <c r="Q343" s="115">
        <v>44492</v>
      </c>
      <c r="R343" s="32"/>
      <c r="S343" s="32"/>
      <c r="T343" s="32"/>
      <c r="U343" s="32"/>
      <c r="V343" s="32"/>
      <c r="W343" s="32"/>
      <c r="X343" s="32"/>
      <c r="Y343" s="32"/>
      <c r="Z343" s="32"/>
      <c r="AA343" s="32"/>
      <c r="AB343" s="32"/>
      <c r="AC343" s="32"/>
      <c r="AD343" s="32"/>
      <c r="AE343" s="32"/>
      <c r="AF343" s="32"/>
      <c r="AG343" s="32"/>
      <c r="AH343" s="32"/>
    </row>
    <row r="344" spans="1:34" x14ac:dyDescent="0.2">
      <c r="A344" s="29"/>
      <c r="B344" s="29" t="s">
        <v>4171</v>
      </c>
      <c r="C344" s="26"/>
      <c r="D344" s="29"/>
      <c r="E344" s="26" t="s">
        <v>31</v>
      </c>
      <c r="F344" s="32"/>
      <c r="G344" s="29"/>
      <c r="H344" s="29"/>
      <c r="I344" s="29"/>
      <c r="J344" s="29"/>
      <c r="K344" s="29"/>
      <c r="L344" s="29"/>
      <c r="M344" s="27" t="s">
        <v>2644</v>
      </c>
      <c r="N344" s="32"/>
      <c r="O344" s="32"/>
      <c r="P344" s="32" t="s">
        <v>2646</v>
      </c>
      <c r="Q344" s="115">
        <v>44611</v>
      </c>
      <c r="R344" s="32"/>
      <c r="S344" s="32"/>
      <c r="T344" s="32"/>
      <c r="U344" s="32"/>
      <c r="V344" s="32"/>
      <c r="W344" s="32"/>
      <c r="X344" s="32"/>
      <c r="Y344" s="32"/>
      <c r="Z344" s="32"/>
      <c r="AA344" s="32"/>
      <c r="AB344" s="32"/>
      <c r="AC344" s="32"/>
      <c r="AD344" s="32"/>
      <c r="AE344" s="32"/>
      <c r="AF344" s="32"/>
      <c r="AG344" s="32"/>
      <c r="AH344" s="32"/>
    </row>
    <row r="345" spans="1:34" x14ac:dyDescent="0.2">
      <c r="A345" s="29"/>
      <c r="B345" s="29" t="s">
        <v>4172</v>
      </c>
      <c r="C345" s="26"/>
      <c r="D345" s="29"/>
      <c r="E345" s="26" t="s">
        <v>31</v>
      </c>
      <c r="F345" s="32"/>
      <c r="G345" s="29"/>
      <c r="H345" s="29"/>
      <c r="I345" s="29"/>
      <c r="J345" s="29"/>
      <c r="K345" s="29"/>
      <c r="L345" s="29"/>
      <c r="M345" s="27" t="s">
        <v>2644</v>
      </c>
      <c r="N345" s="32"/>
      <c r="O345" s="32"/>
      <c r="P345" s="32" t="s">
        <v>2646</v>
      </c>
      <c r="Q345" s="115">
        <v>44611</v>
      </c>
      <c r="R345" s="32"/>
      <c r="S345" s="32"/>
      <c r="T345" s="32"/>
      <c r="U345" s="32"/>
      <c r="V345" s="32"/>
      <c r="W345" s="32"/>
      <c r="X345" s="32"/>
      <c r="Y345" s="32"/>
      <c r="Z345" s="32"/>
      <c r="AA345" s="32"/>
      <c r="AB345" s="32"/>
      <c r="AC345" s="32"/>
      <c r="AD345" s="32"/>
      <c r="AE345" s="32"/>
      <c r="AF345" s="32"/>
      <c r="AG345" s="32"/>
      <c r="AH345" s="32"/>
    </row>
    <row r="346" spans="1:34" x14ac:dyDescent="0.2">
      <c r="A346" s="29"/>
      <c r="B346" s="29" t="s">
        <v>4173</v>
      </c>
      <c r="C346" s="26"/>
      <c r="D346" s="29"/>
      <c r="E346" s="26" t="s">
        <v>31</v>
      </c>
      <c r="F346" s="32"/>
      <c r="G346" s="29"/>
      <c r="H346" s="29"/>
      <c r="I346" s="29"/>
      <c r="J346" s="29"/>
      <c r="K346" s="29"/>
      <c r="L346" s="29"/>
      <c r="M346" s="27" t="s">
        <v>2644</v>
      </c>
      <c r="N346" s="32"/>
      <c r="O346" s="32"/>
      <c r="P346" s="32" t="s">
        <v>2646</v>
      </c>
      <c r="Q346" s="115">
        <v>44666</v>
      </c>
      <c r="R346" s="32"/>
      <c r="S346" s="32"/>
      <c r="T346" s="32"/>
      <c r="U346" s="32"/>
      <c r="V346" s="32"/>
      <c r="W346" s="32"/>
      <c r="X346" s="32"/>
      <c r="Y346" s="32"/>
      <c r="Z346" s="32"/>
      <c r="AA346" s="32"/>
      <c r="AB346" s="32"/>
      <c r="AC346" s="32"/>
      <c r="AD346" s="32"/>
      <c r="AE346" s="32"/>
      <c r="AF346" s="32"/>
      <c r="AG346" s="32"/>
      <c r="AH346" s="32"/>
    </row>
    <row r="347" spans="1:34" x14ac:dyDescent="0.2">
      <c r="A347" s="29"/>
      <c r="B347" s="29" t="s">
        <v>4174</v>
      </c>
      <c r="C347" s="26"/>
      <c r="D347" s="29"/>
      <c r="E347" s="26" t="s">
        <v>31</v>
      </c>
      <c r="F347" s="32"/>
      <c r="G347" s="29"/>
      <c r="H347" s="29"/>
      <c r="I347" s="29"/>
      <c r="J347" s="29"/>
      <c r="K347" s="29"/>
      <c r="L347" s="29"/>
      <c r="M347" s="27" t="s">
        <v>2644</v>
      </c>
      <c r="N347" s="32"/>
      <c r="O347" s="32"/>
      <c r="P347" s="32" t="s">
        <v>2646</v>
      </c>
      <c r="Q347" s="115">
        <v>44492</v>
      </c>
      <c r="R347" s="32"/>
      <c r="S347" s="32"/>
      <c r="T347" s="32"/>
      <c r="U347" s="32"/>
      <c r="V347" s="32"/>
      <c r="W347" s="32"/>
      <c r="X347" s="32"/>
      <c r="Y347" s="32"/>
      <c r="Z347" s="32"/>
      <c r="AA347" s="32"/>
      <c r="AB347" s="32"/>
      <c r="AC347" s="32"/>
      <c r="AD347" s="32"/>
      <c r="AE347" s="32"/>
      <c r="AF347" s="32"/>
      <c r="AG347" s="32"/>
      <c r="AH347" s="32"/>
    </row>
    <row r="348" spans="1:34" x14ac:dyDescent="0.2">
      <c r="A348" s="29"/>
      <c r="B348" s="29" t="s">
        <v>4175</v>
      </c>
      <c r="C348" s="26"/>
      <c r="D348" s="29"/>
      <c r="E348" s="26" t="s">
        <v>31</v>
      </c>
      <c r="F348" s="32"/>
      <c r="G348" s="29"/>
      <c r="H348" s="29"/>
      <c r="I348" s="29"/>
      <c r="J348" s="29"/>
      <c r="K348" s="29"/>
      <c r="L348" s="29"/>
      <c r="M348" s="27" t="s">
        <v>2644</v>
      </c>
      <c r="N348" s="32"/>
      <c r="O348" s="32"/>
      <c r="P348" s="32" t="s">
        <v>2646</v>
      </c>
      <c r="Q348" s="116">
        <v>44744</v>
      </c>
      <c r="R348" s="32"/>
      <c r="S348" s="32"/>
      <c r="T348" s="32"/>
      <c r="U348" s="32"/>
      <c r="V348" s="32"/>
      <c r="W348" s="32"/>
      <c r="X348" s="32"/>
      <c r="Y348" s="32"/>
      <c r="Z348" s="32"/>
      <c r="AA348" s="32"/>
      <c r="AB348" s="32"/>
      <c r="AC348" s="32"/>
      <c r="AD348" s="32"/>
      <c r="AE348" s="32"/>
      <c r="AF348" s="32"/>
      <c r="AG348" s="32"/>
      <c r="AH348" s="32"/>
    </row>
    <row r="349" spans="1:34" x14ac:dyDescent="0.2">
      <c r="A349" s="29"/>
      <c r="B349" s="29" t="s">
        <v>4176</v>
      </c>
      <c r="C349" s="26"/>
      <c r="D349" s="29"/>
      <c r="E349" s="26" t="s">
        <v>31</v>
      </c>
      <c r="F349" s="32"/>
      <c r="G349" s="29"/>
      <c r="H349" s="29"/>
      <c r="I349" s="29"/>
      <c r="J349" s="29"/>
      <c r="K349" s="29"/>
      <c r="L349" s="29"/>
      <c r="M349" s="27" t="s">
        <v>2644</v>
      </c>
      <c r="N349" s="32"/>
      <c r="O349" s="32"/>
      <c r="P349" s="32" t="s">
        <v>2646</v>
      </c>
      <c r="Q349" s="115">
        <v>44611</v>
      </c>
      <c r="R349" s="32"/>
      <c r="S349" s="32"/>
      <c r="T349" s="32"/>
      <c r="U349" s="32"/>
      <c r="V349" s="32"/>
      <c r="W349" s="32"/>
      <c r="X349" s="32"/>
      <c r="Y349" s="32"/>
      <c r="Z349" s="32"/>
      <c r="AA349" s="32"/>
      <c r="AB349" s="32"/>
      <c r="AC349" s="32"/>
      <c r="AD349" s="32"/>
      <c r="AE349" s="32"/>
      <c r="AF349" s="32"/>
      <c r="AG349" s="32"/>
      <c r="AH349" s="32"/>
    </row>
    <row r="350" spans="1:34" x14ac:dyDescent="0.2">
      <c r="A350" s="29"/>
      <c r="B350" s="29" t="s">
        <v>4177</v>
      </c>
      <c r="C350" s="26"/>
      <c r="D350" s="29"/>
      <c r="E350" s="26" t="s">
        <v>31</v>
      </c>
      <c r="F350" s="32"/>
      <c r="G350" s="29"/>
      <c r="H350" s="29"/>
      <c r="I350" s="29"/>
      <c r="J350" s="29"/>
      <c r="K350" s="29"/>
      <c r="L350" s="29"/>
      <c r="M350" s="27" t="s">
        <v>2644</v>
      </c>
      <c r="N350" s="32"/>
      <c r="O350" s="32"/>
      <c r="P350" s="32" t="s">
        <v>2646</v>
      </c>
      <c r="Q350" s="115">
        <v>44492</v>
      </c>
      <c r="R350" s="32"/>
      <c r="S350" s="32"/>
      <c r="T350" s="32"/>
      <c r="U350" s="32"/>
      <c r="V350" s="32"/>
      <c r="W350" s="32"/>
      <c r="X350" s="32"/>
      <c r="Y350" s="32"/>
      <c r="Z350" s="32"/>
      <c r="AA350" s="32"/>
      <c r="AB350" s="32"/>
      <c r="AC350" s="32"/>
      <c r="AD350" s="32"/>
      <c r="AE350" s="32"/>
      <c r="AF350" s="32"/>
      <c r="AG350" s="32"/>
      <c r="AH350" s="32"/>
    </row>
    <row r="351" spans="1:34" x14ac:dyDescent="0.2">
      <c r="A351" s="29"/>
      <c r="B351" s="29" t="s">
        <v>4178</v>
      </c>
      <c r="C351" s="26">
        <v>39421044</v>
      </c>
      <c r="D351" s="29"/>
      <c r="E351" s="26" t="s">
        <v>31</v>
      </c>
      <c r="F351" s="32"/>
      <c r="G351" s="29"/>
      <c r="H351" s="29"/>
      <c r="I351" s="29"/>
      <c r="J351" s="29"/>
      <c r="K351" s="29"/>
      <c r="L351" s="29"/>
      <c r="M351" s="27" t="s">
        <v>2644</v>
      </c>
      <c r="N351" s="32"/>
      <c r="O351" s="32"/>
      <c r="P351" s="32" t="s">
        <v>2646</v>
      </c>
      <c r="Q351" s="115">
        <v>44877</v>
      </c>
      <c r="R351" s="32"/>
      <c r="S351" s="32"/>
      <c r="T351" s="32"/>
      <c r="U351" s="32"/>
      <c r="V351" s="32"/>
      <c r="W351" s="32"/>
      <c r="X351" s="32"/>
      <c r="Y351" s="32"/>
      <c r="Z351" s="32"/>
      <c r="AA351" s="32"/>
      <c r="AB351" s="32"/>
      <c r="AC351" s="32"/>
      <c r="AD351" s="32"/>
      <c r="AE351" s="32"/>
      <c r="AF351" s="32"/>
      <c r="AG351" s="32"/>
      <c r="AH351" s="32"/>
    </row>
    <row r="352" spans="1:34" x14ac:dyDescent="0.2">
      <c r="A352" s="29"/>
      <c r="B352" s="29" t="s">
        <v>4179</v>
      </c>
      <c r="C352" s="26"/>
      <c r="D352" s="29"/>
      <c r="E352" s="26" t="s">
        <v>31</v>
      </c>
      <c r="F352" s="32"/>
      <c r="G352" s="29"/>
      <c r="H352" s="29"/>
      <c r="I352" s="29"/>
      <c r="J352" s="29"/>
      <c r="K352" s="29"/>
      <c r="L352" s="29"/>
      <c r="M352" s="27" t="s">
        <v>2644</v>
      </c>
      <c r="N352" s="32"/>
      <c r="O352" s="32"/>
      <c r="P352" s="32" t="s">
        <v>2646</v>
      </c>
      <c r="Q352" s="115">
        <v>44579</v>
      </c>
      <c r="R352" s="32"/>
      <c r="S352" s="32"/>
      <c r="T352" s="32"/>
      <c r="U352" s="32"/>
      <c r="V352" s="32"/>
      <c r="W352" s="32"/>
      <c r="X352" s="32"/>
      <c r="Y352" s="32"/>
      <c r="Z352" s="32"/>
      <c r="AA352" s="32"/>
      <c r="AB352" s="32"/>
      <c r="AC352" s="32"/>
      <c r="AD352" s="32"/>
      <c r="AE352" s="32"/>
      <c r="AF352" s="32"/>
      <c r="AG352" s="32"/>
      <c r="AH352" s="32"/>
    </row>
    <row r="353" spans="1:34" x14ac:dyDescent="0.2">
      <c r="A353" s="29"/>
      <c r="B353" s="29" t="s">
        <v>4180</v>
      </c>
      <c r="C353" s="26"/>
      <c r="D353" s="29"/>
      <c r="E353" s="26" t="s">
        <v>31</v>
      </c>
      <c r="F353" s="32"/>
      <c r="G353" s="29"/>
      <c r="H353" s="29"/>
      <c r="I353" s="29"/>
      <c r="J353" s="29"/>
      <c r="K353" s="29"/>
      <c r="L353" s="29"/>
      <c r="M353" s="27" t="s">
        <v>2644</v>
      </c>
      <c r="N353" s="32"/>
      <c r="O353" s="32"/>
      <c r="P353" s="32" t="s">
        <v>2646</v>
      </c>
      <c r="Q353" s="115">
        <v>44611</v>
      </c>
      <c r="R353" s="32"/>
      <c r="S353" s="32"/>
      <c r="T353" s="32"/>
      <c r="U353" s="32"/>
      <c r="V353" s="32"/>
      <c r="W353" s="32"/>
      <c r="X353" s="32"/>
      <c r="Y353" s="32"/>
      <c r="Z353" s="32"/>
      <c r="AA353" s="32"/>
      <c r="AB353" s="32"/>
      <c r="AC353" s="32"/>
      <c r="AD353" s="32"/>
      <c r="AE353" s="32"/>
      <c r="AF353" s="32"/>
      <c r="AG353" s="32"/>
      <c r="AH353" s="32"/>
    </row>
    <row r="354" spans="1:34" x14ac:dyDescent="0.2">
      <c r="A354" s="29"/>
      <c r="B354" s="29" t="s">
        <v>4181</v>
      </c>
      <c r="C354" s="26"/>
      <c r="D354" s="29"/>
      <c r="E354" s="26" t="s">
        <v>31</v>
      </c>
      <c r="F354" s="32"/>
      <c r="G354" s="29"/>
      <c r="H354" s="29"/>
      <c r="I354" s="29"/>
      <c r="J354" s="29"/>
      <c r="K354" s="29"/>
      <c r="L354" s="29"/>
      <c r="M354" s="27" t="s">
        <v>2644</v>
      </c>
      <c r="N354" s="32"/>
      <c r="O354" s="32"/>
      <c r="P354" s="32" t="s">
        <v>2646</v>
      </c>
      <c r="Q354" s="115">
        <v>44666</v>
      </c>
      <c r="R354" s="32"/>
      <c r="S354" s="32"/>
      <c r="T354" s="32"/>
      <c r="U354" s="32"/>
      <c r="V354" s="32"/>
      <c r="W354" s="32"/>
      <c r="X354" s="32"/>
      <c r="Y354" s="32"/>
      <c r="Z354" s="32"/>
      <c r="AA354" s="32"/>
      <c r="AB354" s="32"/>
      <c r="AC354" s="32"/>
      <c r="AD354" s="32"/>
      <c r="AE354" s="32"/>
      <c r="AF354" s="32"/>
      <c r="AG354" s="32"/>
      <c r="AH354" s="32"/>
    </row>
    <row r="355" spans="1:34" x14ac:dyDescent="0.2">
      <c r="A355" s="29"/>
      <c r="B355" s="29" t="s">
        <v>4182</v>
      </c>
      <c r="C355" s="26"/>
      <c r="D355" s="29"/>
      <c r="E355" s="26" t="s">
        <v>31</v>
      </c>
      <c r="F355" s="32"/>
      <c r="G355" s="29"/>
      <c r="H355" s="29"/>
      <c r="I355" s="29"/>
      <c r="J355" s="29"/>
      <c r="K355" s="29"/>
      <c r="L355" s="29"/>
      <c r="M355" s="27" t="s">
        <v>2644</v>
      </c>
      <c r="N355" s="32"/>
      <c r="O355" s="32"/>
      <c r="P355" s="32" t="s">
        <v>2646</v>
      </c>
      <c r="Q355" s="115">
        <v>44666</v>
      </c>
      <c r="R355" s="32"/>
      <c r="S355" s="32"/>
      <c r="T355" s="32"/>
      <c r="U355" s="32"/>
      <c r="V355" s="32"/>
      <c r="W355" s="32"/>
      <c r="X355" s="32"/>
      <c r="Y355" s="32"/>
      <c r="Z355" s="32"/>
      <c r="AA355" s="32"/>
      <c r="AB355" s="32"/>
      <c r="AC355" s="32"/>
      <c r="AD355" s="32"/>
      <c r="AE355" s="32"/>
      <c r="AF355" s="32"/>
      <c r="AG355" s="32"/>
      <c r="AH355" s="32"/>
    </row>
    <row r="356" spans="1:34" x14ac:dyDescent="0.2">
      <c r="A356" s="29" t="s">
        <v>3865</v>
      </c>
      <c r="B356" s="29" t="s">
        <v>1323</v>
      </c>
      <c r="C356" s="26"/>
      <c r="D356" s="29">
        <v>3015710434</v>
      </c>
      <c r="E356" s="26" t="s">
        <v>31</v>
      </c>
      <c r="F356" s="32"/>
      <c r="G356" s="29"/>
      <c r="H356" s="29" t="s">
        <v>1324</v>
      </c>
      <c r="I356" s="29">
        <v>3106237233</v>
      </c>
      <c r="J356" s="29"/>
      <c r="K356" s="29"/>
      <c r="L356" s="29"/>
      <c r="M356" s="27" t="s">
        <v>2613</v>
      </c>
      <c r="N356" s="32"/>
      <c r="O356" s="32" t="s">
        <v>2841</v>
      </c>
      <c r="P356" s="32"/>
      <c r="Q356" s="32"/>
      <c r="R356" s="32"/>
      <c r="S356" s="32"/>
      <c r="T356" s="32"/>
      <c r="U356" s="32"/>
      <c r="V356" s="32"/>
      <c r="W356" s="32"/>
      <c r="X356" s="32"/>
      <c r="Y356" s="32"/>
      <c r="Z356" s="32" t="s">
        <v>1327</v>
      </c>
      <c r="AA356" s="32"/>
      <c r="AB356" s="32"/>
      <c r="AC356" s="32"/>
      <c r="AD356" s="32"/>
      <c r="AE356" s="32"/>
      <c r="AF356" s="32"/>
      <c r="AG356" s="32"/>
      <c r="AH356" s="32"/>
    </row>
    <row r="357" spans="1:34" x14ac:dyDescent="0.2">
      <c r="A357" s="117">
        <v>44843</v>
      </c>
      <c r="B357" s="29" t="s">
        <v>689</v>
      </c>
      <c r="C357" s="26"/>
      <c r="D357" s="29">
        <v>3013839099</v>
      </c>
      <c r="E357" s="26" t="s">
        <v>31</v>
      </c>
      <c r="F357" s="32"/>
      <c r="G357" s="29"/>
      <c r="H357" s="29" t="s">
        <v>690</v>
      </c>
      <c r="I357" s="29">
        <v>3242884834</v>
      </c>
      <c r="J357" s="29"/>
      <c r="K357" s="29"/>
      <c r="L357" s="29"/>
      <c r="M357" s="27" t="s">
        <v>2613</v>
      </c>
      <c r="N357" s="32"/>
      <c r="O357" s="32" t="s">
        <v>2841</v>
      </c>
      <c r="P357" s="32"/>
      <c r="Q357" s="32"/>
      <c r="R357" s="32"/>
      <c r="S357" s="32"/>
      <c r="T357" s="32"/>
      <c r="U357" s="32"/>
      <c r="V357" s="32"/>
      <c r="W357" s="32"/>
      <c r="X357" s="32"/>
      <c r="Y357" s="32"/>
      <c r="Z357" s="32"/>
      <c r="AA357" s="32"/>
      <c r="AB357" s="32"/>
      <c r="AC357" s="32"/>
      <c r="AD357" s="32"/>
      <c r="AE357" s="32"/>
      <c r="AF357" s="32"/>
      <c r="AG357" s="32"/>
      <c r="AH357" s="32"/>
    </row>
    <row r="358" spans="1:34" x14ac:dyDescent="0.2">
      <c r="A358" s="114">
        <v>44668</v>
      </c>
      <c r="B358" s="29" t="s">
        <v>42</v>
      </c>
      <c r="C358" s="26"/>
      <c r="D358" s="29">
        <v>3238078844</v>
      </c>
      <c r="E358" s="26" t="s">
        <v>31</v>
      </c>
      <c r="F358" s="32"/>
      <c r="G358" s="29"/>
      <c r="H358" s="29" t="s">
        <v>43</v>
      </c>
      <c r="I358" s="29">
        <v>3108445468</v>
      </c>
      <c r="J358" s="29"/>
      <c r="K358" s="29"/>
      <c r="L358" s="29"/>
      <c r="M358" s="27" t="s">
        <v>2613</v>
      </c>
      <c r="N358" s="32"/>
      <c r="O358" s="32" t="s">
        <v>2841</v>
      </c>
      <c r="P358" s="32"/>
      <c r="Q358" s="32"/>
      <c r="R358" s="32"/>
      <c r="S358" s="32"/>
      <c r="T358" s="32"/>
      <c r="U358" s="32"/>
      <c r="V358" s="32"/>
      <c r="W358" s="32"/>
      <c r="X358" s="32"/>
      <c r="Y358" s="32"/>
      <c r="Z358" s="32" t="s">
        <v>48</v>
      </c>
      <c r="AA358" s="32" t="s">
        <v>4183</v>
      </c>
      <c r="AB358" s="115">
        <v>44707</v>
      </c>
      <c r="AC358" s="32"/>
      <c r="AD358" s="32"/>
      <c r="AE358" s="32"/>
      <c r="AF358" s="32"/>
      <c r="AG358" s="32"/>
      <c r="AH358" s="32"/>
    </row>
    <row r="359" spans="1:34" x14ac:dyDescent="0.2">
      <c r="A359" s="114">
        <v>45061</v>
      </c>
      <c r="B359" s="29" t="s">
        <v>4184</v>
      </c>
      <c r="C359" s="26">
        <v>21970181</v>
      </c>
      <c r="D359" s="29">
        <v>3147746287</v>
      </c>
      <c r="E359" s="26" t="s">
        <v>31</v>
      </c>
      <c r="F359" s="32"/>
      <c r="G359" s="29"/>
      <c r="H359" s="29"/>
      <c r="I359" s="29"/>
      <c r="J359" s="29"/>
      <c r="K359" s="29"/>
      <c r="L359" s="29"/>
      <c r="M359" s="27" t="s">
        <v>2613</v>
      </c>
      <c r="N359" s="32"/>
      <c r="O359" s="32" t="s">
        <v>2841</v>
      </c>
      <c r="P359" s="32"/>
      <c r="Q359" s="32"/>
      <c r="R359" s="32"/>
      <c r="S359" s="32"/>
      <c r="T359" s="32"/>
      <c r="U359" s="32"/>
      <c r="V359" s="32"/>
      <c r="W359" s="32"/>
      <c r="X359" s="32"/>
      <c r="Y359" s="32"/>
      <c r="Z359" s="32"/>
      <c r="AA359" s="32"/>
      <c r="AB359" s="32"/>
      <c r="AC359" s="32"/>
      <c r="AD359" s="32"/>
      <c r="AE359" s="32"/>
      <c r="AF359" s="32"/>
      <c r="AG359" s="32"/>
      <c r="AH359" s="32"/>
    </row>
    <row r="360" spans="1:34" x14ac:dyDescent="0.2">
      <c r="A360" s="29" t="s">
        <v>3865</v>
      </c>
      <c r="B360" s="29" t="s">
        <v>1268</v>
      </c>
      <c r="C360" s="26"/>
      <c r="D360" s="29">
        <v>3135534268</v>
      </c>
      <c r="E360" s="26" t="s">
        <v>31</v>
      </c>
      <c r="F360" s="32"/>
      <c r="G360" s="29"/>
      <c r="H360" s="29" t="s">
        <v>1269</v>
      </c>
      <c r="I360" s="29">
        <v>3194795701</v>
      </c>
      <c r="J360" s="29"/>
      <c r="K360" s="29"/>
      <c r="L360" s="29"/>
      <c r="M360" s="27" t="s">
        <v>2613</v>
      </c>
      <c r="N360" s="32"/>
      <c r="O360" s="32" t="s">
        <v>2841</v>
      </c>
      <c r="P360" s="32"/>
      <c r="Q360" s="32"/>
      <c r="R360" s="32"/>
      <c r="S360" s="32"/>
      <c r="T360" s="32"/>
      <c r="U360" s="32"/>
      <c r="V360" s="32"/>
      <c r="W360" s="32"/>
      <c r="X360" s="32"/>
      <c r="Y360" s="32"/>
      <c r="Z360" s="32"/>
      <c r="AA360" s="32"/>
      <c r="AB360" s="32"/>
      <c r="AC360" s="32"/>
      <c r="AD360" s="32"/>
      <c r="AE360" s="32"/>
      <c r="AF360" s="32"/>
      <c r="AG360" s="32"/>
      <c r="AH360" s="32"/>
    </row>
    <row r="361" spans="1:34" x14ac:dyDescent="0.2">
      <c r="A361" s="117">
        <v>44843</v>
      </c>
      <c r="B361" s="29" t="s">
        <v>4185</v>
      </c>
      <c r="C361" s="26"/>
      <c r="D361" s="29">
        <v>3005688113</v>
      </c>
      <c r="E361" s="26" t="s">
        <v>31</v>
      </c>
      <c r="F361" s="32"/>
      <c r="G361" s="29"/>
      <c r="H361" s="29" t="s">
        <v>4186</v>
      </c>
      <c r="I361" s="29">
        <v>3188000525</v>
      </c>
      <c r="J361" s="29"/>
      <c r="K361" s="29"/>
      <c r="L361" s="29"/>
      <c r="M361" s="27" t="s">
        <v>2613</v>
      </c>
      <c r="N361" s="32"/>
      <c r="O361" s="32" t="s">
        <v>2841</v>
      </c>
      <c r="P361" s="32"/>
      <c r="Q361" s="32"/>
      <c r="R361" s="32"/>
      <c r="S361" s="32"/>
      <c r="T361" s="32"/>
      <c r="U361" s="32"/>
      <c r="V361" s="32"/>
      <c r="W361" s="32"/>
      <c r="X361" s="32"/>
      <c r="Y361" s="32"/>
      <c r="Z361" s="32" t="s">
        <v>4187</v>
      </c>
      <c r="AA361" s="32"/>
      <c r="AB361" s="32" t="s">
        <v>1241</v>
      </c>
      <c r="AC361" s="32"/>
      <c r="AD361" s="32"/>
      <c r="AE361" s="32"/>
      <c r="AF361" s="32"/>
      <c r="AG361" s="32"/>
      <c r="AH361" s="32"/>
    </row>
    <row r="362" spans="1:34" x14ac:dyDescent="0.2">
      <c r="A362" s="117">
        <v>44717</v>
      </c>
      <c r="B362" s="29" t="s">
        <v>333</v>
      </c>
      <c r="C362" s="26"/>
      <c r="D362" s="29">
        <v>3008521058</v>
      </c>
      <c r="E362" s="26" t="s">
        <v>31</v>
      </c>
      <c r="F362" s="32"/>
      <c r="G362" s="29"/>
      <c r="H362" s="29" t="s">
        <v>334</v>
      </c>
      <c r="I362" s="29">
        <v>3002315490</v>
      </c>
      <c r="J362" s="29"/>
      <c r="K362" s="29"/>
      <c r="L362" s="29"/>
      <c r="M362" s="27" t="s">
        <v>2613</v>
      </c>
      <c r="N362" s="32"/>
      <c r="O362" s="32" t="s">
        <v>2841</v>
      </c>
      <c r="P362" s="32"/>
      <c r="Q362" s="32"/>
      <c r="R362" s="32"/>
      <c r="S362" s="32"/>
      <c r="T362" s="32"/>
      <c r="U362" s="32"/>
      <c r="V362" s="32"/>
      <c r="W362" s="32"/>
      <c r="X362" s="32"/>
      <c r="Y362" s="32"/>
      <c r="Z362" s="32" t="s">
        <v>4188</v>
      </c>
      <c r="AA362" s="32" t="s">
        <v>4004</v>
      </c>
      <c r="AB362" s="115">
        <v>45072</v>
      </c>
      <c r="AC362" s="32"/>
      <c r="AD362" s="32"/>
      <c r="AE362" s="32"/>
      <c r="AF362" s="32"/>
      <c r="AG362" s="32"/>
      <c r="AH362" s="32"/>
    </row>
    <row r="363" spans="1:34" x14ac:dyDescent="0.2">
      <c r="A363" s="114">
        <v>44757</v>
      </c>
      <c r="B363" s="29" t="s">
        <v>4189</v>
      </c>
      <c r="C363" s="26"/>
      <c r="D363" s="29">
        <v>3016617420</v>
      </c>
      <c r="E363" s="26" t="s">
        <v>31</v>
      </c>
      <c r="F363" s="32"/>
      <c r="G363" s="29"/>
      <c r="H363" s="29"/>
      <c r="I363" s="29"/>
      <c r="J363" s="29"/>
      <c r="K363" s="29"/>
      <c r="L363" s="29"/>
      <c r="M363" s="27" t="s">
        <v>2613</v>
      </c>
      <c r="N363" s="32"/>
      <c r="O363" s="32" t="s">
        <v>2841</v>
      </c>
      <c r="P363" s="32"/>
      <c r="Q363" s="32"/>
      <c r="R363" s="32"/>
      <c r="S363" s="32"/>
      <c r="T363" s="32"/>
      <c r="U363" s="32"/>
      <c r="V363" s="32"/>
      <c r="W363" s="32"/>
      <c r="X363" s="32"/>
      <c r="Y363" s="32"/>
      <c r="Z363" s="32" t="s">
        <v>430</v>
      </c>
      <c r="AA363" s="32" t="s">
        <v>3883</v>
      </c>
      <c r="AB363" s="115">
        <v>45086</v>
      </c>
      <c r="AC363" s="32"/>
      <c r="AD363" s="32"/>
      <c r="AE363" s="32"/>
      <c r="AF363" s="32"/>
      <c r="AG363" s="32"/>
      <c r="AH363" s="32"/>
    </row>
    <row r="364" spans="1:34" x14ac:dyDescent="0.2">
      <c r="A364" s="29" t="s">
        <v>3865</v>
      </c>
      <c r="B364" s="29" t="s">
        <v>1282</v>
      </c>
      <c r="C364" s="26"/>
      <c r="D364" s="29">
        <v>3002411706</v>
      </c>
      <c r="E364" s="26" t="s">
        <v>31</v>
      </c>
      <c r="F364" s="32"/>
      <c r="G364" s="29"/>
      <c r="H364" s="29" t="s">
        <v>1283</v>
      </c>
      <c r="I364" s="29">
        <v>3023161355</v>
      </c>
      <c r="J364" s="29"/>
      <c r="K364" s="29"/>
      <c r="L364" s="29"/>
      <c r="M364" s="27" t="s">
        <v>2613</v>
      </c>
      <c r="N364" s="32"/>
      <c r="O364" s="32" t="s">
        <v>2841</v>
      </c>
      <c r="P364" s="32"/>
      <c r="Q364" s="32"/>
      <c r="R364" s="32"/>
      <c r="S364" s="32"/>
      <c r="T364" s="32"/>
      <c r="U364" s="32"/>
      <c r="V364" s="32"/>
      <c r="W364" s="32"/>
      <c r="X364" s="32"/>
      <c r="Y364" s="32"/>
      <c r="Z364" s="32" t="s">
        <v>1286</v>
      </c>
      <c r="AA364" s="32"/>
      <c r="AB364" s="32"/>
      <c r="AC364" s="32"/>
      <c r="AD364" s="32"/>
      <c r="AE364" s="32"/>
      <c r="AF364" s="32"/>
      <c r="AG364" s="32"/>
      <c r="AH364" s="32"/>
    </row>
    <row r="365" spans="1:34" x14ac:dyDescent="0.2">
      <c r="A365" s="114">
        <v>45151</v>
      </c>
      <c r="B365" s="29" t="s">
        <v>4190</v>
      </c>
      <c r="C365" s="26"/>
      <c r="D365" s="29"/>
      <c r="E365" s="26" t="s">
        <v>31</v>
      </c>
      <c r="F365" s="32"/>
      <c r="G365" s="29"/>
      <c r="H365" s="29"/>
      <c r="I365" s="29"/>
      <c r="J365" s="29"/>
      <c r="K365" s="29"/>
      <c r="L365" s="29"/>
      <c r="M365" s="27" t="s">
        <v>2613</v>
      </c>
      <c r="N365" s="32"/>
      <c r="O365" s="32" t="s">
        <v>2841</v>
      </c>
      <c r="P365" s="32"/>
      <c r="Q365" s="32"/>
      <c r="R365" s="32"/>
      <c r="S365" s="32"/>
      <c r="T365" s="32"/>
      <c r="U365" s="32"/>
      <c r="V365" s="32"/>
      <c r="W365" s="32"/>
      <c r="X365" s="32"/>
      <c r="Y365" s="32"/>
      <c r="Z365" s="32"/>
      <c r="AA365" s="32"/>
      <c r="AB365" s="32"/>
      <c r="AC365" s="32"/>
      <c r="AD365" s="32"/>
      <c r="AE365" s="32"/>
      <c r="AF365" s="32"/>
      <c r="AG365" s="32"/>
      <c r="AH365" s="32"/>
    </row>
    <row r="366" spans="1:34" x14ac:dyDescent="0.2">
      <c r="A366" s="114">
        <v>45094</v>
      </c>
      <c r="B366" s="29" t="s">
        <v>815</v>
      </c>
      <c r="C366" s="26"/>
      <c r="D366" s="29">
        <v>3146417171</v>
      </c>
      <c r="E366" s="26" t="s">
        <v>31</v>
      </c>
      <c r="F366" s="32"/>
      <c r="G366" s="29"/>
      <c r="H366" s="29" t="s">
        <v>4191</v>
      </c>
      <c r="I366" s="29">
        <v>3115207464</v>
      </c>
      <c r="J366" s="29"/>
      <c r="K366" s="29"/>
      <c r="L366" s="29"/>
      <c r="M366" s="27" t="s">
        <v>2613</v>
      </c>
      <c r="N366" s="32"/>
      <c r="O366" s="32" t="s">
        <v>2841</v>
      </c>
      <c r="P366" s="32"/>
      <c r="Q366" s="32"/>
      <c r="R366" s="32"/>
      <c r="S366" s="32"/>
      <c r="T366" s="32"/>
      <c r="U366" s="32"/>
      <c r="V366" s="32"/>
      <c r="W366" s="32"/>
      <c r="X366" s="32"/>
      <c r="Y366" s="32"/>
      <c r="Z366" s="32" t="s">
        <v>4192</v>
      </c>
      <c r="AA366" s="32"/>
      <c r="AB366" s="32"/>
      <c r="AC366" s="32"/>
      <c r="AD366" s="32"/>
      <c r="AE366" s="32"/>
      <c r="AF366" s="32"/>
      <c r="AG366" s="32"/>
      <c r="AH366" s="32"/>
    </row>
    <row r="367" spans="1:34" x14ac:dyDescent="0.2">
      <c r="A367" s="117">
        <v>44717</v>
      </c>
      <c r="B367" s="29" t="s">
        <v>348</v>
      </c>
      <c r="C367" s="26"/>
      <c r="D367" s="29">
        <v>3003261366</v>
      </c>
      <c r="E367" s="26" t="s">
        <v>31</v>
      </c>
      <c r="F367" s="32"/>
      <c r="G367" s="29" t="s">
        <v>4193</v>
      </c>
      <c r="H367" s="29" t="s">
        <v>349</v>
      </c>
      <c r="I367" s="29">
        <v>3122839426</v>
      </c>
      <c r="J367" s="29"/>
      <c r="K367" s="29"/>
      <c r="L367" s="29"/>
      <c r="M367" s="27" t="s">
        <v>2613</v>
      </c>
      <c r="N367" s="32"/>
      <c r="O367" s="32" t="s">
        <v>2841</v>
      </c>
      <c r="P367" s="32"/>
      <c r="Q367" s="32"/>
      <c r="R367" s="32"/>
      <c r="S367" s="32"/>
      <c r="T367" s="32"/>
      <c r="U367" s="32"/>
      <c r="V367" s="32"/>
      <c r="W367" s="32"/>
      <c r="X367" s="32"/>
      <c r="Y367" s="32"/>
      <c r="Z367" s="32" t="s">
        <v>4194</v>
      </c>
      <c r="AA367" s="32" t="s">
        <v>4125</v>
      </c>
      <c r="AB367" s="115">
        <v>45072</v>
      </c>
      <c r="AC367" s="32" t="s">
        <v>4195</v>
      </c>
      <c r="AD367" s="118">
        <v>45208</v>
      </c>
      <c r="AE367" s="32" t="s">
        <v>4195</v>
      </c>
      <c r="AF367" s="120">
        <v>45179</v>
      </c>
      <c r="AG367" s="32" t="s">
        <v>3969</v>
      </c>
      <c r="AH367" s="32"/>
    </row>
    <row r="368" spans="1:34" x14ac:dyDescent="0.2">
      <c r="A368" s="114">
        <v>45032</v>
      </c>
      <c r="B368" s="29" t="s">
        <v>4196</v>
      </c>
      <c r="C368" s="26"/>
      <c r="D368" s="29">
        <v>3243192103</v>
      </c>
      <c r="E368" s="26" t="s">
        <v>31</v>
      </c>
      <c r="F368" s="32"/>
      <c r="G368" s="29"/>
      <c r="H368" s="29"/>
      <c r="I368" s="29"/>
      <c r="J368" s="29"/>
      <c r="K368" s="29"/>
      <c r="L368" s="29"/>
      <c r="M368" s="27" t="s">
        <v>2613</v>
      </c>
      <c r="N368" s="32"/>
      <c r="O368" s="32" t="s">
        <v>2841</v>
      </c>
      <c r="P368" s="32"/>
      <c r="Q368" s="32"/>
      <c r="R368" s="32"/>
      <c r="S368" s="32"/>
      <c r="T368" s="32"/>
      <c r="U368" s="32"/>
      <c r="V368" s="32"/>
      <c r="W368" s="32"/>
      <c r="X368" s="32"/>
      <c r="Y368" s="32"/>
      <c r="Z368" s="32" t="s">
        <v>809</v>
      </c>
      <c r="AA368" s="32"/>
      <c r="AB368" s="32"/>
      <c r="AC368" s="32"/>
      <c r="AD368" s="32"/>
      <c r="AE368" s="32"/>
      <c r="AF368" s="32"/>
      <c r="AG368" s="32"/>
      <c r="AH368" s="32"/>
    </row>
    <row r="369" spans="1:34" x14ac:dyDescent="0.2">
      <c r="A369" s="117">
        <v>44843</v>
      </c>
      <c r="B369" s="29" t="s">
        <v>4197</v>
      </c>
      <c r="C369" s="26"/>
      <c r="D369" s="29">
        <v>3115058108</v>
      </c>
      <c r="E369" s="26" t="s">
        <v>31</v>
      </c>
      <c r="F369" s="32"/>
      <c r="G369" s="29"/>
      <c r="H369" s="29" t="s">
        <v>4198</v>
      </c>
      <c r="I369" s="29">
        <v>3007392844</v>
      </c>
      <c r="J369" s="29"/>
      <c r="K369" s="29"/>
      <c r="L369" s="29"/>
      <c r="M369" s="27" t="s">
        <v>2613</v>
      </c>
      <c r="N369" s="32"/>
      <c r="O369" s="32" t="s">
        <v>2841</v>
      </c>
      <c r="P369" s="32"/>
      <c r="Q369" s="32"/>
      <c r="R369" s="32"/>
      <c r="S369" s="32"/>
      <c r="T369" s="32"/>
      <c r="U369" s="32"/>
      <c r="V369" s="32"/>
      <c r="W369" s="32"/>
      <c r="X369" s="32"/>
      <c r="Y369" s="32"/>
      <c r="Z369" s="32" t="s">
        <v>4199</v>
      </c>
      <c r="AA369" s="32" t="s">
        <v>3883</v>
      </c>
      <c r="AB369" s="115">
        <v>45087</v>
      </c>
      <c r="AC369" s="32"/>
      <c r="AD369" s="32"/>
      <c r="AE369" s="32"/>
      <c r="AF369" s="32"/>
      <c r="AG369" s="32"/>
      <c r="AH369" s="32"/>
    </row>
    <row r="370" spans="1:34" x14ac:dyDescent="0.2">
      <c r="A370" s="114">
        <v>44680</v>
      </c>
      <c r="B370" s="29" t="s">
        <v>4200</v>
      </c>
      <c r="C370" s="26"/>
      <c r="D370" s="29">
        <v>3108445468</v>
      </c>
      <c r="E370" s="26" t="s">
        <v>31</v>
      </c>
      <c r="F370" s="32"/>
      <c r="G370" s="29"/>
      <c r="H370" s="29" t="s">
        <v>42</v>
      </c>
      <c r="I370" s="29">
        <v>3106006379</v>
      </c>
      <c r="J370" s="29"/>
      <c r="K370" s="29"/>
      <c r="L370" s="29"/>
      <c r="M370" s="27" t="s">
        <v>2613</v>
      </c>
      <c r="N370" s="32"/>
      <c r="O370" s="32" t="s">
        <v>2841</v>
      </c>
      <c r="P370" s="32"/>
      <c r="Q370" s="32"/>
      <c r="R370" s="32"/>
      <c r="S370" s="32"/>
      <c r="T370" s="32"/>
      <c r="U370" s="32"/>
      <c r="V370" s="32"/>
      <c r="W370" s="32"/>
      <c r="X370" s="32"/>
      <c r="Y370" s="32"/>
      <c r="Z370" s="32"/>
      <c r="AA370" s="32" t="s">
        <v>4201</v>
      </c>
      <c r="AB370" s="115">
        <v>44707</v>
      </c>
      <c r="AC370" s="32"/>
      <c r="AD370" s="32"/>
      <c r="AE370" s="32"/>
      <c r="AF370" s="32"/>
      <c r="AG370" s="32"/>
      <c r="AH370" s="32"/>
    </row>
    <row r="371" spans="1:34" x14ac:dyDescent="0.2">
      <c r="A371" s="114">
        <v>44680</v>
      </c>
      <c r="B371" s="29" t="s">
        <v>63</v>
      </c>
      <c r="C371" s="26"/>
      <c r="D371" s="29">
        <v>3108258953</v>
      </c>
      <c r="E371" s="26" t="s">
        <v>31</v>
      </c>
      <c r="F371" s="32"/>
      <c r="G371" s="29"/>
      <c r="H371" s="29" t="s">
        <v>64</v>
      </c>
      <c r="I371" s="29">
        <v>3122771199</v>
      </c>
      <c r="J371" s="29"/>
      <c r="K371" s="29"/>
      <c r="L371" s="29"/>
      <c r="M371" s="27" t="s">
        <v>2613</v>
      </c>
      <c r="N371" s="32"/>
      <c r="O371" s="32" t="s">
        <v>2841</v>
      </c>
      <c r="P371" s="32"/>
      <c r="Q371" s="32"/>
      <c r="R371" s="32"/>
      <c r="S371" s="32"/>
      <c r="T371" s="32"/>
      <c r="U371" s="32"/>
      <c r="V371" s="32"/>
      <c r="W371" s="32"/>
      <c r="X371" s="32"/>
      <c r="Y371" s="32"/>
      <c r="Z371" s="32"/>
      <c r="AA371" s="32" t="s">
        <v>4125</v>
      </c>
      <c r="AB371" s="115">
        <v>44707</v>
      </c>
      <c r="AC371" s="32"/>
      <c r="AD371" s="32"/>
      <c r="AE371" s="32"/>
      <c r="AF371" s="32"/>
      <c r="AG371" s="32" t="s">
        <v>3969</v>
      </c>
      <c r="AH371" s="32"/>
    </row>
    <row r="372" spans="1:34" x14ac:dyDescent="0.2">
      <c r="A372" s="29" t="s">
        <v>3865</v>
      </c>
      <c r="B372" s="29" t="s">
        <v>4202</v>
      </c>
      <c r="C372" s="26"/>
      <c r="D372" s="29">
        <v>3014121010</v>
      </c>
      <c r="E372" s="26" t="s">
        <v>31</v>
      </c>
      <c r="F372" s="32"/>
      <c r="G372" s="29"/>
      <c r="H372" s="29" t="s">
        <v>363</v>
      </c>
      <c r="I372" s="29">
        <v>3028428688</v>
      </c>
      <c r="J372" s="29"/>
      <c r="K372" s="29"/>
      <c r="L372" s="29"/>
      <c r="M372" s="27" t="s">
        <v>2613</v>
      </c>
      <c r="N372" s="32"/>
      <c r="O372" s="32" t="s">
        <v>2841</v>
      </c>
      <c r="P372" s="32"/>
      <c r="Q372" s="32"/>
      <c r="R372" s="32"/>
      <c r="S372" s="32"/>
      <c r="T372" s="32"/>
      <c r="U372" s="32"/>
      <c r="V372" s="32"/>
      <c r="W372" s="32"/>
      <c r="X372" s="32"/>
      <c r="Y372" s="32"/>
      <c r="Z372" s="32" t="s">
        <v>1276</v>
      </c>
      <c r="AA372" s="32"/>
      <c r="AB372" s="32"/>
      <c r="AC372" s="32"/>
      <c r="AD372" s="32"/>
      <c r="AE372" s="32"/>
      <c r="AF372" s="32"/>
      <c r="AG372" s="32"/>
      <c r="AH372" s="32"/>
    </row>
    <row r="373" spans="1:34" x14ac:dyDescent="0.2">
      <c r="A373" s="117">
        <v>44843</v>
      </c>
      <c r="B373" s="29" t="s">
        <v>701</v>
      </c>
      <c r="C373" s="26"/>
      <c r="D373" s="29">
        <v>3013729048</v>
      </c>
      <c r="E373" s="26" t="s">
        <v>31</v>
      </c>
      <c r="F373" s="32"/>
      <c r="G373" s="29"/>
      <c r="H373" s="29"/>
      <c r="I373" s="29"/>
      <c r="J373" s="29"/>
      <c r="K373" s="29"/>
      <c r="L373" s="29"/>
      <c r="M373" s="27" t="s">
        <v>2613</v>
      </c>
      <c r="N373" s="32"/>
      <c r="O373" s="32" t="s">
        <v>2841</v>
      </c>
      <c r="P373" s="32"/>
      <c r="Q373" s="32"/>
      <c r="R373" s="32"/>
      <c r="S373" s="32"/>
      <c r="T373" s="32"/>
      <c r="U373" s="32"/>
      <c r="V373" s="32"/>
      <c r="W373" s="32"/>
      <c r="X373" s="32"/>
      <c r="Y373" s="32"/>
      <c r="Z373" s="32"/>
      <c r="AA373" s="32"/>
      <c r="AB373" s="32"/>
      <c r="AC373" s="32"/>
      <c r="AD373" s="32"/>
      <c r="AE373" s="32"/>
      <c r="AF373" s="32"/>
      <c r="AG373" s="32"/>
      <c r="AH373" s="32"/>
    </row>
    <row r="374" spans="1:34" x14ac:dyDescent="0.2">
      <c r="A374" s="29" t="s">
        <v>3865</v>
      </c>
      <c r="B374" s="29" t="s">
        <v>4203</v>
      </c>
      <c r="C374" s="26"/>
      <c r="D374" s="29">
        <v>300724414</v>
      </c>
      <c r="E374" s="26" t="s">
        <v>31</v>
      </c>
      <c r="F374" s="32"/>
      <c r="G374" s="29"/>
      <c r="H374" s="29" t="s">
        <v>4204</v>
      </c>
      <c r="I374" s="29">
        <v>3135534268</v>
      </c>
      <c r="J374" s="29"/>
      <c r="K374" s="29"/>
      <c r="L374" s="29"/>
      <c r="M374" s="27" t="s">
        <v>2613</v>
      </c>
      <c r="N374" s="32"/>
      <c r="O374" s="32" t="s">
        <v>2841</v>
      </c>
      <c r="P374" s="32"/>
      <c r="Q374" s="32"/>
      <c r="R374" s="32"/>
      <c r="S374" s="32"/>
      <c r="T374" s="32"/>
      <c r="U374" s="32"/>
      <c r="V374" s="32"/>
      <c r="W374" s="32"/>
      <c r="X374" s="32"/>
      <c r="Y374" s="32"/>
      <c r="Z374" s="32" t="s">
        <v>4205</v>
      </c>
      <c r="AA374" s="32"/>
      <c r="AB374" s="32"/>
      <c r="AC374" s="32"/>
      <c r="AD374" s="32"/>
      <c r="AE374" s="32"/>
      <c r="AF374" s="32"/>
      <c r="AG374" s="32"/>
      <c r="AH374" s="32"/>
    </row>
    <row r="375" spans="1:34" x14ac:dyDescent="0.2">
      <c r="A375" s="114">
        <v>45151</v>
      </c>
      <c r="B375" s="29" t="s">
        <v>4206</v>
      </c>
      <c r="C375" s="26"/>
      <c r="D375" s="29">
        <v>3014121010</v>
      </c>
      <c r="E375" s="26" t="s">
        <v>31</v>
      </c>
      <c r="F375" s="32"/>
      <c r="G375" s="29"/>
      <c r="H375" s="29"/>
      <c r="I375" s="29"/>
      <c r="J375" s="29"/>
      <c r="K375" s="29"/>
      <c r="L375" s="29"/>
      <c r="M375" s="27" t="s">
        <v>2613</v>
      </c>
      <c r="N375" s="32"/>
      <c r="O375" s="32" t="s">
        <v>2841</v>
      </c>
      <c r="P375" s="32"/>
      <c r="Q375" s="32"/>
      <c r="R375" s="32"/>
      <c r="S375" s="32"/>
      <c r="T375" s="32"/>
      <c r="U375" s="32"/>
      <c r="V375" s="32"/>
      <c r="W375" s="32"/>
      <c r="X375" s="32"/>
      <c r="Y375" s="32"/>
      <c r="Z375" s="32"/>
      <c r="AA375" s="32"/>
      <c r="AB375" s="32"/>
      <c r="AC375" s="32"/>
      <c r="AD375" s="32"/>
      <c r="AE375" s="32"/>
      <c r="AF375" s="32"/>
      <c r="AG375" s="32"/>
      <c r="AH375" s="32"/>
    </row>
    <row r="376" spans="1:34" x14ac:dyDescent="0.2">
      <c r="A376" s="29" t="s">
        <v>3865</v>
      </c>
      <c r="B376" s="29" t="s">
        <v>1243</v>
      </c>
      <c r="C376" s="26"/>
      <c r="D376" s="29">
        <v>3118438243</v>
      </c>
      <c r="E376" s="26" t="s">
        <v>31</v>
      </c>
      <c r="F376" s="32"/>
      <c r="G376" s="29"/>
      <c r="H376" s="29"/>
      <c r="I376" s="29"/>
      <c r="J376" s="29"/>
      <c r="K376" s="29"/>
      <c r="L376" s="29"/>
      <c r="M376" s="27" t="s">
        <v>2613</v>
      </c>
      <c r="N376" s="32"/>
      <c r="O376" s="32" t="s">
        <v>2841</v>
      </c>
      <c r="P376" s="32"/>
      <c r="Q376" s="32"/>
      <c r="R376" s="32"/>
      <c r="S376" s="32"/>
      <c r="T376" s="32"/>
      <c r="U376" s="32"/>
      <c r="V376" s="32"/>
      <c r="W376" s="32"/>
      <c r="X376" s="32"/>
      <c r="Y376" s="32"/>
      <c r="Z376" s="32"/>
      <c r="AA376" s="32"/>
      <c r="AB376" s="32"/>
      <c r="AC376" s="32"/>
      <c r="AD376" s="32"/>
      <c r="AE376" s="32"/>
      <c r="AF376" s="32"/>
      <c r="AG376" s="32"/>
      <c r="AH376" s="32"/>
    </row>
    <row r="377" spans="1:34" x14ac:dyDescent="0.2">
      <c r="A377" s="29" t="s">
        <v>3865</v>
      </c>
      <c r="B377" s="29" t="s">
        <v>4207</v>
      </c>
      <c r="C377" s="26"/>
      <c r="D377" s="29">
        <v>3145690883</v>
      </c>
      <c r="E377" s="26" t="s">
        <v>31</v>
      </c>
      <c r="F377" s="32"/>
      <c r="G377" s="29"/>
      <c r="H377" s="29"/>
      <c r="I377" s="29"/>
      <c r="J377" s="29"/>
      <c r="K377" s="29"/>
      <c r="L377" s="29"/>
      <c r="M377" s="27" t="s">
        <v>2613</v>
      </c>
      <c r="N377" s="32"/>
      <c r="O377" s="32" t="s">
        <v>2841</v>
      </c>
      <c r="P377" s="32"/>
      <c r="Q377" s="32"/>
      <c r="R377" s="32"/>
      <c r="S377" s="32"/>
      <c r="T377" s="32"/>
      <c r="U377" s="32"/>
      <c r="V377" s="32"/>
      <c r="W377" s="32"/>
      <c r="X377" s="32"/>
      <c r="Y377" s="32"/>
      <c r="Z377" s="32"/>
      <c r="AA377" s="32"/>
      <c r="AB377" s="32"/>
      <c r="AC377" s="32"/>
      <c r="AD377" s="32"/>
      <c r="AE377" s="32"/>
      <c r="AF377" s="32"/>
      <c r="AG377" s="32"/>
      <c r="AH377" s="32"/>
    </row>
    <row r="378" spans="1:34" x14ac:dyDescent="0.2">
      <c r="A378" s="29" t="s">
        <v>3865</v>
      </c>
      <c r="B378" s="29" t="s">
        <v>4208</v>
      </c>
      <c r="C378" s="26"/>
      <c r="D378" s="29">
        <v>3006334557</v>
      </c>
      <c r="E378" s="26" t="s">
        <v>31</v>
      </c>
      <c r="F378" s="32"/>
      <c r="G378" s="29"/>
      <c r="H378" s="29" t="s">
        <v>1304</v>
      </c>
      <c r="I378" s="29">
        <v>3137258361</v>
      </c>
      <c r="J378" s="29"/>
      <c r="K378" s="29"/>
      <c r="L378" s="29"/>
      <c r="M378" s="27" t="s">
        <v>2613</v>
      </c>
      <c r="N378" s="32"/>
      <c r="O378" s="32" t="s">
        <v>2841</v>
      </c>
      <c r="P378" s="32"/>
      <c r="Q378" s="32"/>
      <c r="R378" s="32"/>
      <c r="S378" s="32"/>
      <c r="T378" s="32"/>
      <c r="U378" s="32"/>
      <c r="V378" s="32"/>
      <c r="W378" s="32"/>
      <c r="X378" s="32"/>
      <c r="Y378" s="32"/>
      <c r="Z378" s="32"/>
      <c r="AA378" s="32"/>
      <c r="AB378" s="32"/>
      <c r="AC378" s="32"/>
      <c r="AD378" s="32"/>
      <c r="AE378" s="32"/>
      <c r="AF378" s="32"/>
      <c r="AG378" s="32"/>
      <c r="AH378" s="32"/>
    </row>
    <row r="379" spans="1:34" x14ac:dyDescent="0.2">
      <c r="A379" s="29" t="s">
        <v>3865</v>
      </c>
      <c r="B379" s="29" t="s">
        <v>4209</v>
      </c>
      <c r="C379" s="26"/>
      <c r="D379" s="29">
        <v>3011939028</v>
      </c>
      <c r="E379" s="26" t="s">
        <v>31</v>
      </c>
      <c r="F379" s="32"/>
      <c r="G379" s="29"/>
      <c r="H379" s="29"/>
      <c r="I379" s="29"/>
      <c r="J379" s="29"/>
      <c r="K379" s="29"/>
      <c r="L379" s="29"/>
      <c r="M379" s="27" t="s">
        <v>2613</v>
      </c>
      <c r="N379" s="32"/>
      <c r="O379" s="32" t="s">
        <v>2841</v>
      </c>
      <c r="P379" s="32"/>
      <c r="Q379" s="32"/>
      <c r="R379" s="32"/>
      <c r="S379" s="32"/>
      <c r="T379" s="32"/>
      <c r="U379" s="32"/>
      <c r="V379" s="32"/>
      <c r="W379" s="32"/>
      <c r="X379" s="32"/>
      <c r="Y379" s="32"/>
      <c r="Z379" s="32"/>
      <c r="AA379" s="32"/>
      <c r="AB379" s="32"/>
      <c r="AC379" s="32"/>
      <c r="AD379" s="32"/>
      <c r="AE379" s="32"/>
      <c r="AF379" s="32"/>
      <c r="AG379" s="32"/>
      <c r="AH379" s="32"/>
    </row>
    <row r="380" spans="1:34" x14ac:dyDescent="0.2">
      <c r="A380" s="117">
        <v>44843</v>
      </c>
      <c r="B380" s="29" t="s">
        <v>4210</v>
      </c>
      <c r="C380" s="26">
        <v>1128423570</v>
      </c>
      <c r="D380" s="29">
        <v>3137198219</v>
      </c>
      <c r="E380" s="26" t="s">
        <v>31</v>
      </c>
      <c r="F380" s="32"/>
      <c r="G380" s="29"/>
      <c r="H380" s="29" t="s">
        <v>4211</v>
      </c>
      <c r="I380" s="29">
        <v>3014136786</v>
      </c>
      <c r="J380" s="29"/>
      <c r="K380" s="29"/>
      <c r="L380" s="29"/>
      <c r="M380" s="27" t="s">
        <v>2613</v>
      </c>
      <c r="N380" s="32"/>
      <c r="O380" s="32" t="s">
        <v>2841</v>
      </c>
      <c r="P380" s="32"/>
      <c r="Q380" s="32"/>
      <c r="R380" s="32"/>
      <c r="S380" s="32"/>
      <c r="T380" s="32"/>
      <c r="U380" s="32"/>
      <c r="V380" s="32"/>
      <c r="W380" s="32"/>
      <c r="X380" s="32"/>
      <c r="Y380" s="32"/>
      <c r="Z380" s="32" t="s">
        <v>4212</v>
      </c>
      <c r="AA380" s="32" t="s">
        <v>4213</v>
      </c>
      <c r="AB380" s="115">
        <v>45087</v>
      </c>
      <c r="AC380" s="32"/>
      <c r="AD380" s="32"/>
      <c r="AE380" s="32"/>
      <c r="AF380" s="32"/>
      <c r="AG380" s="32"/>
      <c r="AH380" s="32"/>
    </row>
    <row r="381" spans="1:34" x14ac:dyDescent="0.2">
      <c r="A381" s="117">
        <v>44680</v>
      </c>
      <c r="B381" s="29" t="s">
        <v>57</v>
      </c>
      <c r="C381" s="26"/>
      <c r="D381" s="29">
        <v>3106239619</v>
      </c>
      <c r="E381" s="26" t="s">
        <v>31</v>
      </c>
      <c r="F381" s="32"/>
      <c r="G381" s="29"/>
      <c r="H381" s="29"/>
      <c r="I381" s="29"/>
      <c r="J381" s="29"/>
      <c r="K381" s="29"/>
      <c r="L381" s="29"/>
      <c r="M381" s="27" t="s">
        <v>2613</v>
      </c>
      <c r="N381" s="32"/>
      <c r="O381" s="32" t="s">
        <v>2841</v>
      </c>
      <c r="P381" s="32"/>
      <c r="Q381" s="32"/>
      <c r="R381" s="32"/>
      <c r="S381" s="32"/>
      <c r="T381" s="32"/>
      <c r="U381" s="32"/>
      <c r="V381" s="32"/>
      <c r="W381" s="32"/>
      <c r="X381" s="32"/>
      <c r="Y381" s="32"/>
      <c r="Z381" s="32"/>
      <c r="AA381" s="32"/>
      <c r="AB381" s="32"/>
      <c r="AC381" s="32"/>
      <c r="AD381" s="32"/>
      <c r="AE381" s="32"/>
      <c r="AF381" s="32"/>
      <c r="AG381" s="32"/>
      <c r="AH381" s="32"/>
    </row>
    <row r="382" spans="1:34" x14ac:dyDescent="0.2">
      <c r="A382" s="117">
        <v>44696</v>
      </c>
      <c r="B382" s="29" t="s">
        <v>4214</v>
      </c>
      <c r="C382" s="26"/>
      <c r="D382" s="29">
        <v>3016438125</v>
      </c>
      <c r="E382" s="26" t="s">
        <v>31</v>
      </c>
      <c r="F382" s="32"/>
      <c r="G382" s="29"/>
      <c r="H382" s="29" t="s">
        <v>166</v>
      </c>
      <c r="I382" s="29">
        <v>3193833322</v>
      </c>
      <c r="J382" s="29"/>
      <c r="K382" s="29"/>
      <c r="L382" s="29"/>
      <c r="M382" s="27" t="s">
        <v>2613</v>
      </c>
      <c r="N382" s="32"/>
      <c r="O382" s="32" t="s">
        <v>2841</v>
      </c>
      <c r="P382" s="32"/>
      <c r="Q382" s="32"/>
      <c r="R382" s="32"/>
      <c r="S382" s="32"/>
      <c r="T382" s="32"/>
      <c r="U382" s="32"/>
      <c r="V382" s="32"/>
      <c r="W382" s="32"/>
      <c r="X382" s="32"/>
      <c r="Y382" s="32"/>
      <c r="Z382" s="32" t="s">
        <v>3878</v>
      </c>
      <c r="AA382" s="32"/>
      <c r="AB382" s="32"/>
      <c r="AC382" s="32"/>
      <c r="AD382" s="32"/>
      <c r="AE382" s="32"/>
      <c r="AF382" s="32"/>
      <c r="AG382" s="32"/>
      <c r="AH382" s="32"/>
    </row>
    <row r="383" spans="1:34" x14ac:dyDescent="0.2">
      <c r="A383" s="117">
        <v>44696</v>
      </c>
      <c r="B383" s="29" t="s">
        <v>4215</v>
      </c>
      <c r="C383" s="26"/>
      <c r="D383" s="29">
        <v>3125473192</v>
      </c>
      <c r="E383" s="26" t="s">
        <v>31</v>
      </c>
      <c r="F383" s="32"/>
      <c r="G383" s="29"/>
      <c r="H383" s="29" t="s">
        <v>166</v>
      </c>
      <c r="I383" s="29">
        <v>3193833322</v>
      </c>
      <c r="J383" s="29"/>
      <c r="K383" s="29"/>
      <c r="L383" s="29"/>
      <c r="M383" s="27" t="s">
        <v>2613</v>
      </c>
      <c r="N383" s="32"/>
      <c r="O383" s="32" t="s">
        <v>2841</v>
      </c>
      <c r="P383" s="32"/>
      <c r="Q383" s="32"/>
      <c r="R383" s="32"/>
      <c r="S383" s="32"/>
      <c r="T383" s="32"/>
      <c r="U383" s="32"/>
      <c r="V383" s="32"/>
      <c r="W383" s="32"/>
      <c r="X383" s="32"/>
      <c r="Y383" s="32"/>
      <c r="Z383" s="32" t="s">
        <v>171</v>
      </c>
      <c r="AA383" s="32"/>
      <c r="AB383" s="32"/>
      <c r="AC383" s="32"/>
      <c r="AD383" s="32"/>
      <c r="AE383" s="32"/>
      <c r="AF383" s="32"/>
      <c r="AG383" s="32"/>
      <c r="AH383" s="32"/>
    </row>
    <row r="384" spans="1:34" x14ac:dyDescent="0.2">
      <c r="A384" s="117">
        <v>44704</v>
      </c>
      <c r="B384" s="29" t="s">
        <v>254</v>
      </c>
      <c r="C384" s="26"/>
      <c r="D384" s="29">
        <v>3104726362</v>
      </c>
      <c r="E384" s="26" t="s">
        <v>31</v>
      </c>
      <c r="F384" s="32"/>
      <c r="G384" s="29"/>
      <c r="H384" s="29"/>
      <c r="I384" s="29"/>
      <c r="J384" s="29"/>
      <c r="K384" s="29"/>
      <c r="L384" s="29"/>
      <c r="M384" s="27" t="s">
        <v>2613</v>
      </c>
      <c r="N384" s="32"/>
      <c r="O384" s="32" t="s">
        <v>2841</v>
      </c>
      <c r="P384" s="32"/>
      <c r="Q384" s="32"/>
      <c r="R384" s="32"/>
      <c r="S384" s="32"/>
      <c r="T384" s="32"/>
      <c r="U384" s="32"/>
      <c r="V384" s="32"/>
      <c r="W384" s="32"/>
      <c r="X384" s="32"/>
      <c r="Y384" s="32"/>
      <c r="Z384" s="32"/>
      <c r="AA384" s="32"/>
      <c r="AB384" s="32"/>
      <c r="AC384" s="32"/>
      <c r="AD384" s="32"/>
      <c r="AE384" s="32"/>
      <c r="AF384" s="32"/>
      <c r="AG384" s="32"/>
      <c r="AH384" s="32"/>
    </row>
    <row r="385" spans="1:34" x14ac:dyDescent="0.2">
      <c r="A385" s="117">
        <v>44755</v>
      </c>
      <c r="B385" s="29" t="s">
        <v>4216</v>
      </c>
      <c r="C385" s="26"/>
      <c r="D385" s="29">
        <v>3004823138</v>
      </c>
      <c r="E385" s="26" t="s">
        <v>31</v>
      </c>
      <c r="F385" s="32"/>
      <c r="G385" s="29"/>
      <c r="H385" s="29" t="s">
        <v>4217</v>
      </c>
      <c r="I385" s="29">
        <v>3043568002</v>
      </c>
      <c r="J385" s="29"/>
      <c r="K385" s="29"/>
      <c r="L385" s="29"/>
      <c r="M385" s="27" t="s">
        <v>2613</v>
      </c>
      <c r="N385" s="32"/>
      <c r="O385" s="32" t="s">
        <v>2841</v>
      </c>
      <c r="P385" s="32"/>
      <c r="Q385" s="32"/>
      <c r="R385" s="32"/>
      <c r="S385" s="32"/>
      <c r="T385" s="32"/>
      <c r="U385" s="32"/>
      <c r="V385" s="32"/>
      <c r="W385" s="32"/>
      <c r="X385" s="32"/>
      <c r="Y385" s="32"/>
      <c r="Z385" s="32"/>
      <c r="AA385" s="32"/>
      <c r="AB385" s="32"/>
      <c r="AC385" s="32"/>
      <c r="AD385" s="32"/>
      <c r="AE385" s="32"/>
      <c r="AF385" s="32"/>
      <c r="AG385" s="32"/>
      <c r="AH385" s="32"/>
    </row>
    <row r="386" spans="1:34" x14ac:dyDescent="0.2">
      <c r="A386" s="117">
        <v>44757</v>
      </c>
      <c r="B386" s="29" t="s">
        <v>4218</v>
      </c>
      <c r="C386" s="26"/>
      <c r="D386" s="29">
        <v>3007378377</v>
      </c>
      <c r="E386" s="26" t="s">
        <v>31</v>
      </c>
      <c r="F386" s="32"/>
      <c r="G386" s="29"/>
      <c r="H386" s="29"/>
      <c r="I386" s="29">
        <v>3246296014</v>
      </c>
      <c r="J386" s="29"/>
      <c r="K386" s="29"/>
      <c r="L386" s="29"/>
      <c r="M386" s="27" t="s">
        <v>2613</v>
      </c>
      <c r="N386" s="32"/>
      <c r="O386" s="32" t="s">
        <v>2841</v>
      </c>
      <c r="P386" s="32"/>
      <c r="Q386" s="32"/>
      <c r="R386" s="32"/>
      <c r="S386" s="32"/>
      <c r="T386" s="32"/>
      <c r="U386" s="32"/>
      <c r="V386" s="32"/>
      <c r="W386" s="32"/>
      <c r="X386" s="32"/>
      <c r="Y386" s="32"/>
      <c r="Z386" s="32"/>
      <c r="AA386" s="32"/>
      <c r="AB386" s="32"/>
      <c r="AC386" s="32"/>
      <c r="AD386" s="32"/>
      <c r="AE386" s="32"/>
      <c r="AF386" s="32"/>
      <c r="AG386" s="32"/>
      <c r="AH386" s="32"/>
    </row>
    <row r="387" spans="1:34" x14ac:dyDescent="0.2">
      <c r="A387" s="117">
        <v>44771</v>
      </c>
      <c r="B387" s="29" t="s">
        <v>4219</v>
      </c>
      <c r="C387" s="26"/>
      <c r="D387" s="29">
        <v>3012364960</v>
      </c>
      <c r="E387" s="26" t="s">
        <v>31</v>
      </c>
      <c r="F387" s="32"/>
      <c r="G387" s="29"/>
      <c r="H387" s="29"/>
      <c r="I387" s="29"/>
      <c r="J387" s="29"/>
      <c r="K387" s="29"/>
      <c r="L387" s="29"/>
      <c r="M387" s="27" t="s">
        <v>2613</v>
      </c>
      <c r="N387" s="32"/>
      <c r="O387" s="32" t="s">
        <v>2841</v>
      </c>
      <c r="P387" s="32"/>
      <c r="Q387" s="32"/>
      <c r="R387" s="32"/>
      <c r="S387" s="32"/>
      <c r="T387" s="32"/>
      <c r="U387" s="32"/>
      <c r="V387" s="32"/>
      <c r="W387" s="32"/>
      <c r="X387" s="32"/>
      <c r="Y387" s="32"/>
      <c r="Z387" s="32"/>
      <c r="AA387" s="32"/>
      <c r="AB387" s="32"/>
      <c r="AC387" s="32"/>
      <c r="AD387" s="32"/>
      <c r="AE387" s="32"/>
      <c r="AF387" s="32"/>
      <c r="AG387" s="32"/>
      <c r="AH387" s="32"/>
    </row>
    <row r="388" spans="1:34" x14ac:dyDescent="0.2">
      <c r="A388" s="117">
        <v>44771</v>
      </c>
      <c r="B388" s="29" t="s">
        <v>4220</v>
      </c>
      <c r="C388" s="26"/>
      <c r="D388" s="29">
        <v>3216956922</v>
      </c>
      <c r="E388" s="26" t="s">
        <v>31</v>
      </c>
      <c r="F388" s="32"/>
      <c r="G388" s="29"/>
      <c r="H388" s="29" t="s">
        <v>4221</v>
      </c>
      <c r="I388" s="29">
        <v>3214861737</v>
      </c>
      <c r="J388" s="29"/>
      <c r="K388" s="29"/>
      <c r="L388" s="29"/>
      <c r="M388" s="27" t="s">
        <v>2613</v>
      </c>
      <c r="N388" s="32"/>
      <c r="O388" s="32" t="s">
        <v>2841</v>
      </c>
      <c r="P388" s="32"/>
      <c r="Q388" s="32"/>
      <c r="R388" s="32"/>
      <c r="S388" s="32"/>
      <c r="T388" s="32"/>
      <c r="U388" s="32"/>
      <c r="V388" s="32"/>
      <c r="W388" s="32"/>
      <c r="X388" s="32"/>
      <c r="Y388" s="32"/>
      <c r="Z388" s="32"/>
      <c r="AA388" s="32"/>
      <c r="AB388" s="32"/>
      <c r="AC388" s="32"/>
      <c r="AD388" s="32"/>
      <c r="AE388" s="32"/>
      <c r="AF388" s="32"/>
      <c r="AG388" s="32"/>
      <c r="AH388" s="32"/>
    </row>
    <row r="389" spans="1:34" x14ac:dyDescent="0.2">
      <c r="A389" s="117">
        <v>44794</v>
      </c>
      <c r="B389" s="29" t="s">
        <v>4222</v>
      </c>
      <c r="C389" s="26"/>
      <c r="D389" s="29">
        <v>3227300373</v>
      </c>
      <c r="E389" s="26" t="s">
        <v>31</v>
      </c>
      <c r="F389" s="32"/>
      <c r="G389" s="29"/>
      <c r="H389" s="29" t="s">
        <v>580</v>
      </c>
      <c r="I389" s="29">
        <v>3013602786</v>
      </c>
      <c r="J389" s="29"/>
      <c r="K389" s="29"/>
      <c r="L389" s="29"/>
      <c r="M389" s="27" t="s">
        <v>2613</v>
      </c>
      <c r="N389" s="32"/>
      <c r="O389" s="32" t="s">
        <v>2841</v>
      </c>
      <c r="P389" s="32"/>
      <c r="Q389" s="32"/>
      <c r="R389" s="32"/>
      <c r="S389" s="32"/>
      <c r="T389" s="32"/>
      <c r="U389" s="32"/>
      <c r="V389" s="32"/>
      <c r="W389" s="32"/>
      <c r="X389" s="32"/>
      <c r="Y389" s="32"/>
      <c r="Z389" s="32" t="s">
        <v>3967</v>
      </c>
      <c r="AA389" s="32"/>
      <c r="AB389" s="32"/>
      <c r="AC389" s="32"/>
      <c r="AD389" s="32"/>
      <c r="AE389" s="32"/>
      <c r="AF389" s="32"/>
      <c r="AG389" s="32"/>
      <c r="AH389" s="32"/>
    </row>
    <row r="390" spans="1:34" x14ac:dyDescent="0.2">
      <c r="A390" s="117">
        <v>44822</v>
      </c>
      <c r="B390" s="29" t="s">
        <v>4223</v>
      </c>
      <c r="C390" s="26"/>
      <c r="D390" s="29">
        <v>3215046669</v>
      </c>
      <c r="E390" s="26" t="s">
        <v>31</v>
      </c>
      <c r="F390" s="32"/>
      <c r="G390" s="29"/>
      <c r="H390" s="29" t="s">
        <v>647</v>
      </c>
      <c r="I390" s="29">
        <v>3222254045</v>
      </c>
      <c r="J390" s="29"/>
      <c r="K390" s="29"/>
      <c r="L390" s="29"/>
      <c r="M390" s="27" t="s">
        <v>2613</v>
      </c>
      <c r="N390" s="32"/>
      <c r="O390" s="32" t="s">
        <v>2841</v>
      </c>
      <c r="P390" s="32"/>
      <c r="Q390" s="32"/>
      <c r="R390" s="32"/>
      <c r="S390" s="32"/>
      <c r="T390" s="32"/>
      <c r="U390" s="32"/>
      <c r="V390" s="32"/>
      <c r="W390" s="32"/>
      <c r="X390" s="32"/>
      <c r="Y390" s="32"/>
      <c r="Z390" s="32" t="s">
        <v>649</v>
      </c>
      <c r="AA390" s="32"/>
      <c r="AB390" s="32"/>
      <c r="AC390" s="32"/>
      <c r="AD390" s="32"/>
      <c r="AE390" s="32"/>
      <c r="AF390" s="32"/>
      <c r="AG390" s="32"/>
      <c r="AH390" s="32"/>
    </row>
    <row r="391" spans="1:34" x14ac:dyDescent="0.2">
      <c r="A391" s="117">
        <v>44843</v>
      </c>
      <c r="B391" s="29" t="s">
        <v>4224</v>
      </c>
      <c r="C391" s="26"/>
      <c r="D391" s="29">
        <v>3045824087</v>
      </c>
      <c r="E391" s="26" t="s">
        <v>31</v>
      </c>
      <c r="F391" s="32"/>
      <c r="G391" s="29"/>
      <c r="H391" s="29"/>
      <c r="I391" s="29"/>
      <c r="J391" s="29"/>
      <c r="K391" s="29"/>
      <c r="L391" s="29"/>
      <c r="M391" s="27" t="s">
        <v>2613</v>
      </c>
      <c r="N391" s="32"/>
      <c r="O391" s="32" t="s">
        <v>2841</v>
      </c>
      <c r="P391" s="32"/>
      <c r="Q391" s="32"/>
      <c r="R391" s="32"/>
      <c r="S391" s="32"/>
      <c r="T391" s="32"/>
      <c r="U391" s="32"/>
      <c r="V391" s="32"/>
      <c r="W391" s="32"/>
      <c r="X391" s="32"/>
      <c r="Y391" s="32"/>
      <c r="Z391" s="32"/>
      <c r="AA391" s="32"/>
      <c r="AB391" s="32"/>
      <c r="AC391" s="32"/>
      <c r="AD391" s="32"/>
      <c r="AE391" s="32"/>
      <c r="AF391" s="32"/>
      <c r="AG391" s="32"/>
      <c r="AH391" s="32"/>
    </row>
    <row r="392" spans="1:34" x14ac:dyDescent="0.2">
      <c r="A392" s="117">
        <v>44878</v>
      </c>
      <c r="B392" s="29" t="s">
        <v>4225</v>
      </c>
      <c r="C392" s="26"/>
      <c r="D392" s="29">
        <v>3016861124</v>
      </c>
      <c r="E392" s="26" t="s">
        <v>31</v>
      </c>
      <c r="F392" s="32"/>
      <c r="G392" s="29"/>
      <c r="H392" s="29" t="s">
        <v>4226</v>
      </c>
      <c r="I392" s="29">
        <v>3015778664</v>
      </c>
      <c r="J392" s="29"/>
      <c r="K392" s="29"/>
      <c r="L392" s="29"/>
      <c r="M392" s="27" t="s">
        <v>2613</v>
      </c>
      <c r="N392" s="32"/>
      <c r="O392" s="32" t="s">
        <v>2841</v>
      </c>
      <c r="P392" s="32"/>
      <c r="Q392" s="32"/>
      <c r="R392" s="32"/>
      <c r="S392" s="32"/>
      <c r="T392" s="32"/>
      <c r="U392" s="32"/>
      <c r="V392" s="32"/>
      <c r="W392" s="32"/>
      <c r="X392" s="32"/>
      <c r="Y392" s="32"/>
      <c r="Z392" s="32" t="s">
        <v>4227</v>
      </c>
      <c r="AA392" s="32"/>
      <c r="AB392" s="32"/>
      <c r="AC392" s="32"/>
      <c r="AD392" s="32"/>
      <c r="AE392" s="32"/>
      <c r="AF392" s="32"/>
      <c r="AG392" s="32"/>
      <c r="AH392" s="32"/>
    </row>
    <row r="393" spans="1:34" x14ac:dyDescent="0.2">
      <c r="A393" s="117">
        <v>44878</v>
      </c>
      <c r="B393" s="29" t="s">
        <v>4228</v>
      </c>
      <c r="C393" s="26"/>
      <c r="D393" s="29">
        <v>3024428198</v>
      </c>
      <c r="E393" s="26" t="s">
        <v>31</v>
      </c>
      <c r="F393" s="32"/>
      <c r="G393" s="29"/>
      <c r="H393" s="29"/>
      <c r="I393" s="29"/>
      <c r="J393" s="29"/>
      <c r="K393" s="29"/>
      <c r="L393" s="29"/>
      <c r="M393" s="27" t="s">
        <v>2613</v>
      </c>
      <c r="N393" s="32"/>
      <c r="O393" s="32" t="s">
        <v>2841</v>
      </c>
      <c r="P393" s="32"/>
      <c r="Q393" s="32"/>
      <c r="R393" s="32"/>
      <c r="S393" s="32"/>
      <c r="T393" s="32"/>
      <c r="U393" s="32"/>
      <c r="V393" s="32"/>
      <c r="W393" s="32"/>
      <c r="X393" s="32"/>
      <c r="Y393" s="32"/>
      <c r="Z393" s="32"/>
      <c r="AA393" s="32"/>
      <c r="AB393" s="32"/>
      <c r="AC393" s="32"/>
      <c r="AD393" s="32"/>
      <c r="AE393" s="32"/>
      <c r="AF393" s="32"/>
      <c r="AG393" s="32"/>
      <c r="AH393" s="32"/>
    </row>
    <row r="394" spans="1:34" x14ac:dyDescent="0.2">
      <c r="A394" s="117">
        <v>45250</v>
      </c>
      <c r="B394" s="29" t="s">
        <v>779</v>
      </c>
      <c r="C394" s="26"/>
      <c r="D394" s="29">
        <v>3003224631</v>
      </c>
      <c r="E394" s="26" t="s">
        <v>31</v>
      </c>
      <c r="F394" s="32"/>
      <c r="G394" s="29"/>
      <c r="H394" s="29"/>
      <c r="I394" s="29"/>
      <c r="J394" s="29"/>
      <c r="K394" s="29"/>
      <c r="L394" s="29"/>
      <c r="M394" s="27" t="s">
        <v>2613</v>
      </c>
      <c r="N394" s="32"/>
      <c r="O394" s="32" t="s">
        <v>2841</v>
      </c>
      <c r="P394" s="32"/>
      <c r="Q394" s="32"/>
      <c r="R394" s="32"/>
      <c r="S394" s="32"/>
      <c r="T394" s="32"/>
      <c r="U394" s="32"/>
      <c r="V394" s="32"/>
      <c r="W394" s="32"/>
      <c r="X394" s="32"/>
      <c r="Y394" s="32"/>
      <c r="Z394" s="32" t="s">
        <v>781</v>
      </c>
      <c r="AA394" s="32"/>
      <c r="AB394" s="32"/>
      <c r="AC394" s="32"/>
      <c r="AD394" s="32"/>
      <c r="AE394" s="32"/>
      <c r="AF394" s="32"/>
      <c r="AG394" s="32"/>
      <c r="AH394" s="32"/>
    </row>
    <row r="395" spans="1:34" x14ac:dyDescent="0.2">
      <c r="A395" s="117">
        <v>44892</v>
      </c>
      <c r="B395" s="29" t="s">
        <v>4229</v>
      </c>
      <c r="C395" s="26"/>
      <c r="D395" s="29">
        <v>3016479347</v>
      </c>
      <c r="E395" s="26" t="s">
        <v>31</v>
      </c>
      <c r="F395" s="32"/>
      <c r="G395" s="29"/>
      <c r="H395" s="29" t="s">
        <v>4230</v>
      </c>
      <c r="I395" s="29">
        <v>3146705496</v>
      </c>
      <c r="J395" s="29"/>
      <c r="K395" s="29"/>
      <c r="L395" s="29"/>
      <c r="M395" s="27" t="s">
        <v>2613</v>
      </c>
      <c r="N395" s="32"/>
      <c r="O395" s="32" t="s">
        <v>2841</v>
      </c>
      <c r="P395" s="32"/>
      <c r="Q395" s="32"/>
      <c r="R395" s="32"/>
      <c r="S395" s="32"/>
      <c r="T395" s="32"/>
      <c r="U395" s="32"/>
      <c r="V395" s="32"/>
      <c r="W395" s="32"/>
      <c r="X395" s="32"/>
      <c r="Y395" s="32"/>
      <c r="Z395" s="32" t="s">
        <v>787</v>
      </c>
      <c r="AA395" s="32"/>
      <c r="AB395" s="32"/>
      <c r="AC395" s="32"/>
      <c r="AD395" s="32"/>
      <c r="AE395" s="32"/>
      <c r="AF395" s="32"/>
      <c r="AG395" s="32"/>
      <c r="AH395" s="32"/>
    </row>
    <row r="396" spans="1:34" x14ac:dyDescent="0.2">
      <c r="A396" s="117">
        <v>45179</v>
      </c>
      <c r="B396" s="29" t="s">
        <v>4231</v>
      </c>
      <c r="C396" s="26">
        <v>98712363</v>
      </c>
      <c r="D396" s="29">
        <v>3006179719</v>
      </c>
      <c r="E396" s="26" t="s">
        <v>31</v>
      </c>
      <c r="F396" s="32"/>
      <c r="G396" s="29"/>
      <c r="H396" s="29" t="s">
        <v>1346</v>
      </c>
      <c r="I396" s="29">
        <v>3045824087</v>
      </c>
      <c r="J396" s="29"/>
      <c r="K396" s="29"/>
      <c r="L396" s="29"/>
      <c r="M396" s="27" t="s">
        <v>2613</v>
      </c>
      <c r="N396" s="32"/>
      <c r="O396" s="32" t="s">
        <v>2841</v>
      </c>
      <c r="P396" s="32"/>
      <c r="Q396" s="32"/>
      <c r="R396" s="32"/>
      <c r="S396" s="32"/>
      <c r="T396" s="32"/>
      <c r="U396" s="32"/>
      <c r="V396" s="32"/>
      <c r="W396" s="32"/>
      <c r="X396" s="32"/>
      <c r="Y396" s="32"/>
      <c r="Z396" s="32"/>
      <c r="AA396" s="32"/>
      <c r="AB396" s="32"/>
      <c r="AC396" s="32"/>
      <c r="AD396" s="32"/>
      <c r="AE396" s="32"/>
      <c r="AF396" s="32"/>
      <c r="AG396" s="32"/>
      <c r="AH396" s="32"/>
    </row>
    <row r="397" spans="1:34" x14ac:dyDescent="0.2">
      <c r="A397" s="117">
        <v>45179</v>
      </c>
      <c r="B397" s="29" t="s">
        <v>4232</v>
      </c>
      <c r="C397" s="26"/>
      <c r="D397" s="29">
        <v>3006779069</v>
      </c>
      <c r="E397" s="26" t="s">
        <v>31</v>
      </c>
      <c r="F397" s="32"/>
      <c r="G397" s="29"/>
      <c r="H397" s="29" t="s">
        <v>1351</v>
      </c>
      <c r="I397" s="29">
        <v>3013852018</v>
      </c>
      <c r="J397" s="29"/>
      <c r="K397" s="29"/>
      <c r="L397" s="29"/>
      <c r="M397" s="27" t="s">
        <v>2613</v>
      </c>
      <c r="N397" s="32"/>
      <c r="O397" s="32" t="s">
        <v>2841</v>
      </c>
      <c r="P397" s="32"/>
      <c r="Q397" s="32"/>
      <c r="R397" s="32"/>
      <c r="S397" s="32"/>
      <c r="T397" s="32"/>
      <c r="U397" s="32"/>
      <c r="V397" s="32"/>
      <c r="W397" s="32"/>
      <c r="X397" s="32"/>
      <c r="Y397" s="32"/>
      <c r="Z397" s="32"/>
      <c r="AA397" s="32"/>
      <c r="AB397" s="32"/>
      <c r="AC397" s="32"/>
      <c r="AD397" s="32"/>
      <c r="AE397" s="32"/>
      <c r="AF397" s="32"/>
      <c r="AG397" s="32"/>
      <c r="AH397" s="32"/>
    </row>
    <row r="398" spans="1:34" x14ac:dyDescent="0.2">
      <c r="A398" s="117">
        <v>45179</v>
      </c>
      <c r="B398" s="29" t="s">
        <v>4233</v>
      </c>
      <c r="C398" s="26"/>
      <c r="D398" s="29">
        <v>3002676980</v>
      </c>
      <c r="E398" s="26" t="s">
        <v>31</v>
      </c>
      <c r="F398" s="32"/>
      <c r="G398" s="29"/>
      <c r="H398" s="29"/>
      <c r="I398" s="29"/>
      <c r="J398" s="29"/>
      <c r="K398" s="29"/>
      <c r="L398" s="29"/>
      <c r="M398" s="27" t="s">
        <v>2613</v>
      </c>
      <c r="N398" s="32"/>
      <c r="O398" s="32" t="s">
        <v>2841</v>
      </c>
      <c r="P398" s="32"/>
      <c r="Q398" s="32"/>
      <c r="R398" s="32"/>
      <c r="S398" s="32"/>
      <c r="T398" s="32"/>
      <c r="U398" s="32"/>
      <c r="V398" s="32"/>
      <c r="W398" s="32"/>
      <c r="X398" s="32"/>
      <c r="Y398" s="32"/>
      <c r="Z398" s="32"/>
      <c r="AA398" s="32"/>
      <c r="AB398" s="32"/>
      <c r="AC398" s="32"/>
      <c r="AD398" s="32"/>
      <c r="AE398" s="32"/>
      <c r="AF398" s="32"/>
      <c r="AG398" s="32"/>
      <c r="AH398" s="32"/>
    </row>
    <row r="399" spans="1:34" x14ac:dyDescent="0.2">
      <c r="A399" s="117">
        <v>45179</v>
      </c>
      <c r="B399" s="29" t="s">
        <v>4234</v>
      </c>
      <c r="C399" s="26"/>
      <c r="D399" s="29">
        <v>3015289712</v>
      </c>
      <c r="E399" s="26" t="s">
        <v>31</v>
      </c>
      <c r="F399" s="32"/>
      <c r="G399" s="29"/>
      <c r="H399" s="29" t="s">
        <v>1361</v>
      </c>
      <c r="I399" s="29">
        <v>3022399130</v>
      </c>
      <c r="J399" s="29"/>
      <c r="K399" s="29"/>
      <c r="L399" s="29"/>
      <c r="M399" s="27" t="s">
        <v>2613</v>
      </c>
      <c r="N399" s="32"/>
      <c r="O399" s="32" t="s">
        <v>2841</v>
      </c>
      <c r="P399" s="32"/>
      <c r="Q399" s="32"/>
      <c r="R399" s="32"/>
      <c r="S399" s="32"/>
      <c r="T399" s="32"/>
      <c r="U399" s="32"/>
      <c r="V399" s="32"/>
      <c r="W399" s="32"/>
      <c r="X399" s="32"/>
      <c r="Y399" s="32"/>
      <c r="Z399" s="32" t="s">
        <v>4235</v>
      </c>
      <c r="AA399" s="32"/>
      <c r="AB399" s="32"/>
      <c r="AC399" s="32"/>
      <c r="AD399" s="32"/>
      <c r="AE399" s="32"/>
      <c r="AF399" s="32"/>
      <c r="AG399" s="32"/>
      <c r="AH399" s="32"/>
    </row>
    <row r="400" spans="1:34" x14ac:dyDescent="0.2">
      <c r="A400" s="117">
        <v>45179</v>
      </c>
      <c r="B400" s="29" t="s">
        <v>1367</v>
      </c>
      <c r="C400" s="26"/>
      <c r="D400" s="29">
        <v>3015721143</v>
      </c>
      <c r="E400" s="26" t="s">
        <v>31</v>
      </c>
      <c r="F400" s="32"/>
      <c r="G400" s="29"/>
      <c r="H400" s="29"/>
      <c r="I400" s="29"/>
      <c r="J400" s="29"/>
      <c r="K400" s="29"/>
      <c r="L400" s="29"/>
      <c r="M400" s="27" t="s">
        <v>2613</v>
      </c>
      <c r="N400" s="32"/>
      <c r="O400" s="32" t="s">
        <v>2841</v>
      </c>
      <c r="P400" s="32"/>
      <c r="Q400" s="32"/>
      <c r="R400" s="32"/>
      <c r="S400" s="32"/>
      <c r="T400" s="32"/>
      <c r="U400" s="32"/>
      <c r="V400" s="32"/>
      <c r="W400" s="32"/>
      <c r="X400" s="32"/>
      <c r="Y400" s="32"/>
      <c r="Z400" s="32" t="s">
        <v>4236</v>
      </c>
      <c r="AA400" s="32"/>
      <c r="AB400" s="32"/>
      <c r="AC400" s="32"/>
      <c r="AD400" s="32"/>
      <c r="AE400" s="32"/>
      <c r="AF400" s="32"/>
      <c r="AG400" s="32"/>
      <c r="AH400" s="32"/>
    </row>
    <row r="401" spans="1:34" x14ac:dyDescent="0.2">
      <c r="A401" s="117">
        <v>45179</v>
      </c>
      <c r="B401" s="29" t="s">
        <v>4237</v>
      </c>
      <c r="C401" s="26"/>
      <c r="D401" s="29">
        <v>3042032167</v>
      </c>
      <c r="E401" s="26" t="s">
        <v>31</v>
      </c>
      <c r="F401" s="32"/>
      <c r="G401" s="29"/>
      <c r="H401" s="29" t="s">
        <v>1361</v>
      </c>
      <c r="I401" s="29">
        <v>3013176547</v>
      </c>
      <c r="J401" s="29"/>
      <c r="K401" s="29"/>
      <c r="L401" s="29"/>
      <c r="M401" s="27" t="s">
        <v>2613</v>
      </c>
      <c r="N401" s="32"/>
      <c r="O401" s="32" t="s">
        <v>2841</v>
      </c>
      <c r="P401" s="32"/>
      <c r="Q401" s="32"/>
      <c r="R401" s="32"/>
      <c r="S401" s="32"/>
      <c r="T401" s="32"/>
      <c r="U401" s="32"/>
      <c r="V401" s="32"/>
      <c r="W401" s="32"/>
      <c r="X401" s="32"/>
      <c r="Y401" s="32"/>
      <c r="Z401" s="32"/>
      <c r="AA401" s="32"/>
      <c r="AB401" s="32"/>
      <c r="AC401" s="32"/>
      <c r="AD401" s="32"/>
      <c r="AE401" s="32"/>
      <c r="AF401" s="32"/>
      <c r="AG401" s="32"/>
      <c r="AH401" s="32"/>
    </row>
    <row r="402" spans="1:34" x14ac:dyDescent="0.2">
      <c r="A402" s="117">
        <v>45179</v>
      </c>
      <c r="B402" s="29" t="s">
        <v>4238</v>
      </c>
      <c r="C402" s="26"/>
      <c r="D402" s="29">
        <v>3001552850</v>
      </c>
      <c r="E402" s="26" t="s">
        <v>31</v>
      </c>
      <c r="F402" s="32"/>
      <c r="G402" s="29"/>
      <c r="H402" s="29" t="s">
        <v>4239</v>
      </c>
      <c r="I402" s="29">
        <v>3242729374</v>
      </c>
      <c r="J402" s="29"/>
      <c r="K402" s="29"/>
      <c r="L402" s="29"/>
      <c r="M402" s="27" t="s">
        <v>2613</v>
      </c>
      <c r="N402" s="32"/>
      <c r="O402" s="32" t="s">
        <v>2841</v>
      </c>
      <c r="P402" s="32"/>
      <c r="Q402" s="32"/>
      <c r="R402" s="32"/>
      <c r="S402" s="32"/>
      <c r="T402" s="32"/>
      <c r="U402" s="32"/>
      <c r="V402" s="32"/>
      <c r="W402" s="32"/>
      <c r="X402" s="32"/>
      <c r="Y402" s="32"/>
      <c r="Z402" s="32"/>
      <c r="AA402" s="32"/>
      <c r="AB402" s="32"/>
      <c r="AC402" s="32"/>
      <c r="AD402" s="32"/>
      <c r="AE402" s="32"/>
      <c r="AF402" s="32"/>
      <c r="AG402" s="32"/>
      <c r="AH402" s="32"/>
    </row>
    <row r="403" spans="1:34" x14ac:dyDescent="0.2">
      <c r="A403" s="117">
        <v>45179</v>
      </c>
      <c r="B403" s="29" t="s">
        <v>1382</v>
      </c>
      <c r="C403" s="26"/>
      <c r="D403" s="29">
        <v>3117241745</v>
      </c>
      <c r="E403" s="26" t="s">
        <v>31</v>
      </c>
      <c r="F403" s="32"/>
      <c r="G403" s="29"/>
      <c r="H403" s="29"/>
      <c r="I403" s="29"/>
      <c r="J403" s="29"/>
      <c r="K403" s="29"/>
      <c r="L403" s="29"/>
      <c r="M403" s="27" t="s">
        <v>2613</v>
      </c>
      <c r="N403" s="32"/>
      <c r="O403" s="32" t="s">
        <v>2841</v>
      </c>
      <c r="P403" s="32"/>
      <c r="Q403" s="32"/>
      <c r="R403" s="32"/>
      <c r="S403" s="32"/>
      <c r="T403" s="32"/>
      <c r="U403" s="32"/>
      <c r="V403" s="32"/>
      <c r="W403" s="32"/>
      <c r="X403" s="32"/>
      <c r="Y403" s="32"/>
      <c r="Z403" s="32" t="s">
        <v>1384</v>
      </c>
      <c r="AA403" s="32"/>
      <c r="AB403" s="32"/>
      <c r="AC403" s="32"/>
      <c r="AD403" s="32"/>
      <c r="AE403" s="32"/>
      <c r="AF403" s="32"/>
      <c r="AG403" s="32"/>
      <c r="AH403" s="32"/>
    </row>
    <row r="404" spans="1:34" x14ac:dyDescent="0.2">
      <c r="A404" s="117">
        <v>45186</v>
      </c>
      <c r="B404" s="29" t="s">
        <v>1400</v>
      </c>
      <c r="C404" s="26"/>
      <c r="D404" s="29">
        <v>3122617249</v>
      </c>
      <c r="E404" s="26" t="s">
        <v>31</v>
      </c>
      <c r="F404" s="32"/>
      <c r="G404" s="29" t="s">
        <v>4240</v>
      </c>
      <c r="H404" s="29"/>
      <c r="I404" s="29"/>
      <c r="J404" s="29"/>
      <c r="K404" s="29"/>
      <c r="L404" s="29"/>
      <c r="M404" s="27" t="s">
        <v>2613</v>
      </c>
      <c r="N404" s="32"/>
      <c r="O404" s="32" t="s">
        <v>2841</v>
      </c>
      <c r="P404" s="32"/>
      <c r="Q404" s="32"/>
      <c r="R404" s="32"/>
      <c r="S404" s="32"/>
      <c r="T404" s="32"/>
      <c r="U404" s="32"/>
      <c r="V404" s="32"/>
      <c r="W404" s="32"/>
      <c r="X404" s="32"/>
      <c r="Y404" s="32"/>
      <c r="Z404" s="32" t="s">
        <v>1402</v>
      </c>
      <c r="AA404" s="32"/>
      <c r="AB404" s="32"/>
      <c r="AC404" s="32"/>
      <c r="AD404" s="32"/>
      <c r="AE404" s="32"/>
      <c r="AF404" s="32"/>
      <c r="AG404" s="32"/>
      <c r="AH404" s="32"/>
    </row>
    <row r="405" spans="1:34" x14ac:dyDescent="0.2">
      <c r="A405" s="117">
        <v>45186</v>
      </c>
      <c r="B405" s="29" t="s">
        <v>1404</v>
      </c>
      <c r="C405" s="26"/>
      <c r="D405" s="29">
        <v>3116114332</v>
      </c>
      <c r="E405" s="26" t="s">
        <v>31</v>
      </c>
      <c r="F405" s="32"/>
      <c r="G405" s="29"/>
      <c r="H405" s="29" t="s">
        <v>2694</v>
      </c>
      <c r="I405" s="29">
        <v>3013839099</v>
      </c>
      <c r="J405" s="29"/>
      <c r="K405" s="29"/>
      <c r="L405" s="29"/>
      <c r="M405" s="27" t="s">
        <v>2613</v>
      </c>
      <c r="N405" s="32"/>
      <c r="O405" s="32" t="s">
        <v>2841</v>
      </c>
      <c r="P405" s="32"/>
      <c r="Q405" s="32"/>
      <c r="R405" s="32"/>
      <c r="S405" s="32"/>
      <c r="T405" s="32"/>
      <c r="U405" s="32"/>
      <c r="V405" s="32"/>
      <c r="W405" s="32"/>
      <c r="X405" s="32"/>
      <c r="Y405" s="32"/>
      <c r="Z405" s="32" t="s">
        <v>4241</v>
      </c>
      <c r="AA405" s="32"/>
      <c r="AB405" s="32"/>
      <c r="AC405" s="32"/>
      <c r="AD405" s="32"/>
      <c r="AE405" s="32"/>
      <c r="AF405" s="32"/>
      <c r="AG405" s="32"/>
      <c r="AH405" s="32"/>
    </row>
    <row r="406" spans="1:34" x14ac:dyDescent="0.2">
      <c r="A406" s="117">
        <v>45256</v>
      </c>
      <c r="B406" s="29" t="s">
        <v>1705</v>
      </c>
      <c r="C406" s="26">
        <v>1038812335</v>
      </c>
      <c r="D406" s="29">
        <v>3135757219</v>
      </c>
      <c r="E406" s="26" t="s">
        <v>31</v>
      </c>
      <c r="F406" s="32"/>
      <c r="G406" s="29"/>
      <c r="H406" s="29" t="s">
        <v>4242</v>
      </c>
      <c r="I406" s="29">
        <v>3234322190</v>
      </c>
      <c r="J406" s="29"/>
      <c r="K406" s="29"/>
      <c r="L406" s="29"/>
      <c r="M406" s="27" t="s">
        <v>2613</v>
      </c>
      <c r="N406" s="32"/>
      <c r="O406" s="32" t="s">
        <v>2841</v>
      </c>
      <c r="P406" s="32"/>
      <c r="Q406" s="32"/>
      <c r="R406" s="32"/>
      <c r="S406" s="32"/>
      <c r="T406" s="32"/>
      <c r="U406" s="32"/>
      <c r="V406" s="32"/>
      <c r="W406" s="32"/>
      <c r="X406" s="32"/>
      <c r="Y406" s="32"/>
      <c r="Z406" s="32"/>
      <c r="AA406" s="32"/>
      <c r="AB406" s="32"/>
      <c r="AC406" s="32"/>
      <c r="AD406" s="32"/>
      <c r="AE406" s="32"/>
      <c r="AF406" s="32"/>
      <c r="AG406" s="32"/>
      <c r="AH406" s="32"/>
    </row>
    <row r="407" spans="1:34" x14ac:dyDescent="0.2">
      <c r="A407" s="117">
        <v>45232</v>
      </c>
      <c r="B407" s="29" t="s">
        <v>4243</v>
      </c>
      <c r="C407" s="26">
        <v>21812704</v>
      </c>
      <c r="D407" s="29">
        <v>3216574572</v>
      </c>
      <c r="E407" s="26" t="s">
        <v>31</v>
      </c>
      <c r="F407" s="32"/>
      <c r="G407" s="29"/>
      <c r="H407" s="29"/>
      <c r="I407" s="29"/>
      <c r="J407" s="29"/>
      <c r="K407" s="29"/>
      <c r="L407" s="29"/>
      <c r="M407" s="27" t="s">
        <v>2613</v>
      </c>
      <c r="N407" s="32"/>
      <c r="O407" s="32" t="s">
        <v>2841</v>
      </c>
      <c r="P407" s="32"/>
      <c r="Q407" s="32"/>
      <c r="R407" s="32"/>
      <c r="S407" s="32"/>
      <c r="T407" s="32"/>
      <c r="U407" s="32"/>
      <c r="V407" s="32"/>
      <c r="W407" s="32"/>
      <c r="X407" s="32"/>
      <c r="Y407" s="32"/>
      <c r="Z407" s="32"/>
      <c r="AA407" s="32"/>
      <c r="AB407" s="32"/>
      <c r="AC407" s="32"/>
      <c r="AD407" s="32"/>
      <c r="AE407" s="32"/>
      <c r="AF407" s="32"/>
      <c r="AG407" s="32"/>
      <c r="AH407" s="32"/>
    </row>
    <row r="408" spans="1:34" x14ac:dyDescent="0.2">
      <c r="A408" s="117">
        <v>45232</v>
      </c>
      <c r="B408" s="29" t="s">
        <v>4244</v>
      </c>
      <c r="C408" s="26">
        <v>1017135681</v>
      </c>
      <c r="D408" s="29">
        <v>3245687365</v>
      </c>
      <c r="E408" s="26" t="s">
        <v>31</v>
      </c>
      <c r="F408" s="32"/>
      <c r="G408" s="29" t="s">
        <v>4240</v>
      </c>
      <c r="H408" s="29" t="s">
        <v>1808</v>
      </c>
      <c r="I408" s="29">
        <v>3124108677</v>
      </c>
      <c r="J408" s="29"/>
      <c r="K408" s="29"/>
      <c r="L408" s="29"/>
      <c r="M408" s="27" t="s">
        <v>2613</v>
      </c>
      <c r="N408" s="32"/>
      <c r="O408" s="32" t="s">
        <v>2841</v>
      </c>
      <c r="P408" s="32"/>
      <c r="Q408" s="32"/>
      <c r="R408" s="32"/>
      <c r="S408" s="32"/>
      <c r="T408" s="32"/>
      <c r="U408" s="32"/>
      <c r="V408" s="32"/>
      <c r="W408" s="32"/>
      <c r="X408" s="32"/>
      <c r="Y408" s="32"/>
      <c r="Z408" s="32"/>
      <c r="AA408" s="32"/>
      <c r="AB408" s="32"/>
      <c r="AC408" s="32"/>
      <c r="AD408" s="32"/>
      <c r="AE408" s="32"/>
      <c r="AF408" s="32"/>
      <c r="AG408" s="32"/>
      <c r="AH408" s="32"/>
    </row>
    <row r="409" spans="1:34" x14ac:dyDescent="0.2">
      <c r="A409" s="117">
        <v>45354</v>
      </c>
      <c r="B409" s="29" t="s">
        <v>4245</v>
      </c>
      <c r="C409" s="26">
        <v>43666385</v>
      </c>
      <c r="D409" s="29">
        <v>3024641766</v>
      </c>
      <c r="E409" s="26" t="s">
        <v>31</v>
      </c>
      <c r="F409" s="32"/>
      <c r="G409" s="29" t="s">
        <v>4246</v>
      </c>
      <c r="H409" s="29" t="s">
        <v>363</v>
      </c>
      <c r="I409" s="29">
        <v>3142197550</v>
      </c>
      <c r="J409" s="29"/>
      <c r="K409" s="29"/>
      <c r="L409" s="29"/>
      <c r="M409" s="27" t="s">
        <v>2613</v>
      </c>
      <c r="N409" s="32"/>
      <c r="O409" s="32" t="s">
        <v>2841</v>
      </c>
      <c r="P409" s="32"/>
      <c r="Q409" s="32"/>
      <c r="R409" s="32"/>
      <c r="S409" s="32"/>
      <c r="T409" s="32"/>
      <c r="U409" s="32"/>
      <c r="V409" s="32"/>
      <c r="W409" s="32"/>
      <c r="X409" s="32"/>
      <c r="Y409" s="32"/>
      <c r="Z409" s="32" t="s">
        <v>1885</v>
      </c>
      <c r="AA409" s="32"/>
      <c r="AB409" s="32"/>
      <c r="AC409" s="32"/>
      <c r="AD409" s="32"/>
      <c r="AE409" s="32"/>
      <c r="AF409" s="32"/>
      <c r="AG409" s="32"/>
      <c r="AH409" s="32"/>
    </row>
    <row r="410" spans="1:34" x14ac:dyDescent="0.2">
      <c r="A410" s="29" t="s">
        <v>4247</v>
      </c>
      <c r="B410" s="29" t="s">
        <v>4248</v>
      </c>
      <c r="C410" s="26">
        <v>1002065552</v>
      </c>
      <c r="D410" s="29">
        <v>3013865335</v>
      </c>
      <c r="E410" s="26" t="s">
        <v>31</v>
      </c>
      <c r="F410" s="32"/>
      <c r="G410" s="29" t="s">
        <v>4249</v>
      </c>
      <c r="H410" s="29"/>
      <c r="I410" s="29"/>
      <c r="J410" s="29"/>
      <c r="K410" s="29"/>
      <c r="L410" s="29"/>
      <c r="M410" s="27" t="s">
        <v>2610</v>
      </c>
      <c r="N410" s="32" t="s">
        <v>4247</v>
      </c>
      <c r="O410" s="32" t="s">
        <v>2841</v>
      </c>
      <c r="P410" s="32"/>
      <c r="Q410" s="32"/>
      <c r="R410" s="32"/>
      <c r="S410" s="32"/>
      <c r="T410" s="32"/>
      <c r="U410" s="32"/>
      <c r="V410" s="32"/>
      <c r="W410" s="32"/>
      <c r="X410" s="32"/>
      <c r="Y410" s="32"/>
      <c r="Z410" s="32" t="s">
        <v>4250</v>
      </c>
      <c r="AA410" s="32"/>
      <c r="AB410" s="32"/>
      <c r="AC410" s="32"/>
      <c r="AD410" s="32"/>
      <c r="AE410" s="32"/>
      <c r="AF410" s="32"/>
      <c r="AG410" s="32"/>
      <c r="AH410" s="32"/>
    </row>
    <row r="411" spans="1:34" x14ac:dyDescent="0.2">
      <c r="A411" s="29" t="s">
        <v>4247</v>
      </c>
      <c r="B411" s="29" t="s">
        <v>4251</v>
      </c>
      <c r="C411" s="26">
        <v>43102028</v>
      </c>
      <c r="D411" s="29">
        <v>3075710434</v>
      </c>
      <c r="E411" s="26" t="s">
        <v>31</v>
      </c>
      <c r="F411" s="32"/>
      <c r="G411" s="29" t="s">
        <v>4252</v>
      </c>
      <c r="H411" s="29"/>
      <c r="I411" s="29"/>
      <c r="J411" s="29"/>
      <c r="K411" s="29"/>
      <c r="L411" s="29"/>
      <c r="M411" s="27" t="s">
        <v>2610</v>
      </c>
      <c r="N411" s="32" t="s">
        <v>4247</v>
      </c>
      <c r="O411" s="32" t="s">
        <v>2841</v>
      </c>
      <c r="P411" s="32"/>
      <c r="Q411" s="32"/>
      <c r="R411" s="32"/>
      <c r="S411" s="32"/>
      <c r="T411" s="32"/>
      <c r="U411" s="32"/>
      <c r="V411" s="32"/>
      <c r="W411" s="32"/>
      <c r="X411" s="32"/>
      <c r="Y411" s="32"/>
      <c r="Z411" s="32" t="s">
        <v>4253</v>
      </c>
      <c r="AA411" s="32"/>
      <c r="AB411" s="32"/>
      <c r="AC411" s="32"/>
      <c r="AD411" s="32"/>
      <c r="AE411" s="32"/>
      <c r="AF411" s="32"/>
      <c r="AG411" s="32"/>
      <c r="AH411" s="32"/>
    </row>
    <row r="412" spans="1:34" x14ac:dyDescent="0.2">
      <c r="A412" s="29" t="s">
        <v>4247</v>
      </c>
      <c r="B412" s="29" t="s">
        <v>3938</v>
      </c>
      <c r="C412" s="26">
        <v>43097384</v>
      </c>
      <c r="D412" s="29">
        <v>3136661455</v>
      </c>
      <c r="E412" s="26" t="s">
        <v>31</v>
      </c>
      <c r="F412" s="32"/>
      <c r="G412" s="29" t="s">
        <v>4254</v>
      </c>
      <c r="H412" s="29"/>
      <c r="I412" s="29"/>
      <c r="J412" s="29"/>
      <c r="K412" s="29"/>
      <c r="L412" s="29"/>
      <c r="M412" s="27" t="s">
        <v>2610</v>
      </c>
      <c r="N412" s="32" t="s">
        <v>4247</v>
      </c>
      <c r="O412" s="32" t="s">
        <v>2841</v>
      </c>
      <c r="P412" s="32"/>
      <c r="Q412" s="32"/>
      <c r="R412" s="32"/>
      <c r="S412" s="32"/>
      <c r="T412" s="32"/>
      <c r="U412" s="32"/>
      <c r="V412" s="32"/>
      <c r="W412" s="32"/>
      <c r="X412" s="32"/>
      <c r="Y412" s="32"/>
      <c r="Z412" s="32" t="s">
        <v>4255</v>
      </c>
      <c r="AA412" s="32"/>
      <c r="AB412" s="32"/>
      <c r="AC412" s="32"/>
      <c r="AD412" s="32"/>
      <c r="AE412" s="32"/>
      <c r="AF412" s="32"/>
      <c r="AG412" s="32"/>
      <c r="AH412" s="32"/>
    </row>
    <row r="413" spans="1:34" x14ac:dyDescent="0.2">
      <c r="A413" s="29" t="s">
        <v>4247</v>
      </c>
      <c r="B413" s="29" t="s">
        <v>205</v>
      </c>
      <c r="C413" s="26">
        <v>5851007</v>
      </c>
      <c r="D413" s="29">
        <v>3103777629</v>
      </c>
      <c r="E413" s="26" t="s">
        <v>31</v>
      </c>
      <c r="F413" s="32"/>
      <c r="G413" s="29" t="s">
        <v>4256</v>
      </c>
      <c r="H413" s="29"/>
      <c r="I413" s="29"/>
      <c r="J413" s="29"/>
      <c r="K413" s="29"/>
      <c r="L413" s="29"/>
      <c r="M413" s="27" t="s">
        <v>2610</v>
      </c>
      <c r="N413" s="32" t="s">
        <v>4247</v>
      </c>
      <c r="O413" s="32" t="s">
        <v>2841</v>
      </c>
      <c r="P413" s="32"/>
      <c r="Q413" s="32"/>
      <c r="R413" s="32"/>
      <c r="S413" s="32"/>
      <c r="T413" s="32"/>
      <c r="U413" s="32"/>
      <c r="V413" s="32"/>
      <c r="W413" s="32"/>
      <c r="X413" s="32"/>
      <c r="Y413" s="32"/>
      <c r="Z413" s="32" t="s">
        <v>4257</v>
      </c>
      <c r="AA413" s="32"/>
      <c r="AB413" s="32"/>
      <c r="AC413" s="32"/>
      <c r="AD413" s="32"/>
      <c r="AE413" s="32"/>
      <c r="AF413" s="32"/>
      <c r="AG413" s="32"/>
      <c r="AH413" s="32"/>
    </row>
    <row r="414" spans="1:34" x14ac:dyDescent="0.2">
      <c r="A414" s="29" t="s">
        <v>4247</v>
      </c>
      <c r="B414" s="29" t="s">
        <v>4258</v>
      </c>
      <c r="C414" s="26">
        <v>43485307</v>
      </c>
      <c r="D414" s="29">
        <v>3013046781</v>
      </c>
      <c r="E414" s="26" t="s">
        <v>31</v>
      </c>
      <c r="F414" s="32"/>
      <c r="G414" s="29" t="s">
        <v>4259</v>
      </c>
      <c r="H414" s="29"/>
      <c r="I414" s="29"/>
      <c r="J414" s="29"/>
      <c r="K414" s="29"/>
      <c r="L414" s="29"/>
      <c r="M414" s="27" t="s">
        <v>2610</v>
      </c>
      <c r="N414" s="32" t="s">
        <v>4247</v>
      </c>
      <c r="O414" s="32" t="s">
        <v>2841</v>
      </c>
      <c r="P414" s="32"/>
      <c r="Q414" s="32"/>
      <c r="R414" s="32"/>
      <c r="S414" s="32"/>
      <c r="T414" s="32"/>
      <c r="U414" s="32"/>
      <c r="V414" s="32"/>
      <c r="W414" s="32"/>
      <c r="X414" s="32"/>
      <c r="Y414" s="32"/>
      <c r="Z414" s="32" t="s">
        <v>4260</v>
      </c>
      <c r="AA414" s="32"/>
      <c r="AB414" s="32"/>
      <c r="AC414" s="32"/>
      <c r="AD414" s="32"/>
      <c r="AE414" s="32"/>
      <c r="AF414" s="32"/>
      <c r="AG414" s="32"/>
      <c r="AH414" s="32"/>
    </row>
    <row r="415" spans="1:34" x14ac:dyDescent="0.2">
      <c r="A415" s="29" t="s">
        <v>4247</v>
      </c>
      <c r="B415" s="29" t="s">
        <v>4261</v>
      </c>
      <c r="C415" s="26">
        <v>7792404</v>
      </c>
      <c r="D415" s="29">
        <v>3006237043</v>
      </c>
      <c r="E415" s="26" t="s">
        <v>31</v>
      </c>
      <c r="F415" s="32"/>
      <c r="G415" s="29" t="s">
        <v>4262</v>
      </c>
      <c r="H415" s="29"/>
      <c r="I415" s="29"/>
      <c r="J415" s="29"/>
      <c r="K415" s="29"/>
      <c r="L415" s="29"/>
      <c r="M415" s="27" t="s">
        <v>2610</v>
      </c>
      <c r="N415" s="32" t="s">
        <v>4247</v>
      </c>
      <c r="O415" s="32" t="s">
        <v>2841</v>
      </c>
      <c r="P415" s="32"/>
      <c r="Q415" s="32"/>
      <c r="R415" s="32"/>
      <c r="S415" s="32"/>
      <c r="T415" s="32"/>
      <c r="U415" s="32"/>
      <c r="V415" s="32"/>
      <c r="W415" s="32"/>
      <c r="X415" s="32"/>
      <c r="Y415" s="32"/>
      <c r="Z415" s="32" t="s">
        <v>4263</v>
      </c>
      <c r="AA415" s="32"/>
      <c r="AB415" s="32"/>
      <c r="AC415" s="32"/>
      <c r="AD415" s="32"/>
      <c r="AE415" s="32"/>
      <c r="AF415" s="32"/>
      <c r="AG415" s="32"/>
      <c r="AH415" s="32"/>
    </row>
    <row r="416" spans="1:34" x14ac:dyDescent="0.2">
      <c r="A416" s="29" t="s">
        <v>4247</v>
      </c>
      <c r="B416" s="29" t="s">
        <v>4264</v>
      </c>
      <c r="C416" s="26">
        <v>1152184156</v>
      </c>
      <c r="D416" s="29">
        <v>3002881615</v>
      </c>
      <c r="E416" s="26" t="s">
        <v>31</v>
      </c>
      <c r="F416" s="32"/>
      <c r="G416" s="29" t="s">
        <v>4265</v>
      </c>
      <c r="H416" s="29"/>
      <c r="I416" s="29"/>
      <c r="J416" s="29"/>
      <c r="K416" s="29"/>
      <c r="L416" s="29"/>
      <c r="M416" s="27" t="s">
        <v>2610</v>
      </c>
      <c r="N416" s="32" t="s">
        <v>4247</v>
      </c>
      <c r="O416" s="32" t="s">
        <v>2841</v>
      </c>
      <c r="P416" s="32"/>
      <c r="Q416" s="32"/>
      <c r="R416" s="32"/>
      <c r="S416" s="32"/>
      <c r="T416" s="32"/>
      <c r="U416" s="32"/>
      <c r="V416" s="32"/>
      <c r="W416" s="32"/>
      <c r="X416" s="32"/>
      <c r="Y416" s="32"/>
      <c r="Z416" s="32" t="s">
        <v>4266</v>
      </c>
      <c r="AA416" s="32"/>
      <c r="AB416" s="32"/>
      <c r="AC416" s="32"/>
      <c r="AD416" s="32"/>
      <c r="AE416" s="32"/>
      <c r="AF416" s="32"/>
      <c r="AG416" s="32"/>
      <c r="AH416" s="32"/>
    </row>
    <row r="417" spans="1:34" x14ac:dyDescent="0.2">
      <c r="A417" s="114">
        <v>45333</v>
      </c>
      <c r="B417" s="29" t="s">
        <v>4267</v>
      </c>
      <c r="C417" s="26">
        <v>83963859</v>
      </c>
      <c r="D417" s="29">
        <v>3222254045</v>
      </c>
      <c r="E417" s="26" t="s">
        <v>31</v>
      </c>
      <c r="F417" s="32"/>
      <c r="G417" s="29" t="s">
        <v>4268</v>
      </c>
      <c r="H417" s="29"/>
      <c r="I417" s="29"/>
      <c r="J417" s="29"/>
      <c r="K417" s="29"/>
      <c r="L417" s="29"/>
      <c r="M417" s="27" t="s">
        <v>2610</v>
      </c>
      <c r="N417" s="115">
        <v>45333</v>
      </c>
      <c r="O417" s="32" t="s">
        <v>2841</v>
      </c>
      <c r="P417" s="32"/>
      <c r="Q417" s="32"/>
      <c r="R417" s="32"/>
      <c r="S417" s="32"/>
      <c r="T417" s="32"/>
      <c r="U417" s="32"/>
      <c r="V417" s="32"/>
      <c r="W417" s="32"/>
      <c r="X417" s="32"/>
      <c r="Y417" s="32"/>
      <c r="Z417" s="32"/>
      <c r="AA417" s="32"/>
      <c r="AB417" s="32"/>
      <c r="AC417" s="32"/>
      <c r="AD417" s="32"/>
      <c r="AE417" s="32"/>
      <c r="AF417" s="32"/>
      <c r="AG417" s="32"/>
      <c r="AH417" s="32"/>
    </row>
    <row r="418" spans="1:34" x14ac:dyDescent="0.2">
      <c r="A418" s="114">
        <v>45333</v>
      </c>
      <c r="B418" s="29" t="s">
        <v>4269</v>
      </c>
      <c r="C418" s="26">
        <v>43751027</v>
      </c>
      <c r="D418" s="29">
        <v>3117167421</v>
      </c>
      <c r="E418" s="26" t="s">
        <v>31</v>
      </c>
      <c r="F418" s="32"/>
      <c r="G418" s="29" t="s">
        <v>4270</v>
      </c>
      <c r="H418" s="29" t="s">
        <v>3890</v>
      </c>
      <c r="I418" s="29">
        <v>3226699464</v>
      </c>
      <c r="J418" s="29"/>
      <c r="K418" s="29"/>
      <c r="L418" s="29"/>
      <c r="M418" s="27" t="s">
        <v>2610</v>
      </c>
      <c r="N418" s="115">
        <v>45333</v>
      </c>
      <c r="O418" s="32" t="s">
        <v>2841</v>
      </c>
      <c r="P418" s="32"/>
      <c r="Q418" s="32"/>
      <c r="R418" s="32"/>
      <c r="S418" s="32"/>
      <c r="T418" s="32"/>
      <c r="U418" s="32"/>
      <c r="V418" s="32"/>
      <c r="W418" s="32"/>
      <c r="X418" s="32"/>
      <c r="Y418" s="32"/>
      <c r="Z418" s="32" t="s">
        <v>4271</v>
      </c>
      <c r="AA418" s="32"/>
      <c r="AB418" s="32"/>
      <c r="AC418" s="32"/>
      <c r="AD418" s="32"/>
      <c r="AE418" s="32"/>
      <c r="AF418" s="32"/>
      <c r="AG418" s="32"/>
      <c r="AH418" s="32"/>
    </row>
    <row r="419" spans="1:34" x14ac:dyDescent="0.2">
      <c r="A419" s="114">
        <v>45333</v>
      </c>
      <c r="B419" s="29" t="s">
        <v>4272</v>
      </c>
      <c r="C419" s="26">
        <v>8418281</v>
      </c>
      <c r="D419" s="29">
        <v>3010000000</v>
      </c>
      <c r="E419" s="26" t="s">
        <v>31</v>
      </c>
      <c r="F419" s="32"/>
      <c r="G419" s="29" t="s">
        <v>4273</v>
      </c>
      <c r="H419" s="29"/>
      <c r="I419" s="29"/>
      <c r="J419" s="29"/>
      <c r="K419" s="29"/>
      <c r="L419" s="29"/>
      <c r="M419" s="27" t="s">
        <v>2610</v>
      </c>
      <c r="N419" s="115">
        <v>45333</v>
      </c>
      <c r="O419" s="32" t="s">
        <v>2841</v>
      </c>
      <c r="P419" s="32"/>
      <c r="Q419" s="32"/>
      <c r="R419" s="32"/>
      <c r="S419" s="32"/>
      <c r="T419" s="32"/>
      <c r="U419" s="32"/>
      <c r="V419" s="32"/>
      <c r="W419" s="32"/>
      <c r="X419" s="32"/>
      <c r="Y419" s="32"/>
      <c r="Z419" s="32" t="s">
        <v>4274</v>
      </c>
      <c r="AA419" s="32"/>
      <c r="AB419" s="32"/>
      <c r="AC419" s="32"/>
      <c r="AD419" s="32"/>
      <c r="AE419" s="32"/>
      <c r="AF419" s="32"/>
      <c r="AG419" s="32"/>
      <c r="AH419" s="32"/>
    </row>
    <row r="420" spans="1:34" x14ac:dyDescent="0.2">
      <c r="A420" s="114">
        <v>45333</v>
      </c>
      <c r="B420" s="29" t="s">
        <v>4275</v>
      </c>
      <c r="C420" s="26">
        <v>21910362</v>
      </c>
      <c r="D420" s="29">
        <v>3052603574</v>
      </c>
      <c r="E420" s="26" t="s">
        <v>31</v>
      </c>
      <c r="F420" s="32"/>
      <c r="G420" s="29" t="s">
        <v>4276</v>
      </c>
      <c r="H420" s="29"/>
      <c r="I420" s="29"/>
      <c r="J420" s="29"/>
      <c r="K420" s="29"/>
      <c r="L420" s="29"/>
      <c r="M420" s="27" t="s">
        <v>2610</v>
      </c>
      <c r="N420" s="115">
        <v>45333</v>
      </c>
      <c r="O420" s="32" t="s">
        <v>2841</v>
      </c>
      <c r="P420" s="32"/>
      <c r="Q420" s="32"/>
      <c r="R420" s="32"/>
      <c r="S420" s="32"/>
      <c r="T420" s="32"/>
      <c r="U420" s="32"/>
      <c r="V420" s="32"/>
      <c r="W420" s="32"/>
      <c r="X420" s="32"/>
      <c r="Y420" s="32"/>
      <c r="Z420" s="32" t="s">
        <v>4277</v>
      </c>
      <c r="AA420" s="32"/>
      <c r="AB420" s="32"/>
      <c r="AC420" s="32"/>
      <c r="AD420" s="32"/>
      <c r="AE420" s="32"/>
      <c r="AF420" s="32"/>
      <c r="AG420" s="32"/>
      <c r="AH420" s="32"/>
    </row>
    <row r="421" spans="1:34" x14ac:dyDescent="0.2">
      <c r="A421" s="114">
        <v>45333</v>
      </c>
      <c r="B421" s="29" t="s">
        <v>4278</v>
      </c>
      <c r="C421" s="26">
        <v>1003084348</v>
      </c>
      <c r="D421" s="29">
        <v>3216574572</v>
      </c>
      <c r="E421" s="26" t="s">
        <v>31</v>
      </c>
      <c r="F421" s="32"/>
      <c r="G421" s="29" t="s">
        <v>4279</v>
      </c>
      <c r="H421" s="29"/>
      <c r="I421" s="29"/>
      <c r="J421" s="29"/>
      <c r="K421" s="29"/>
      <c r="L421" s="29"/>
      <c r="M421" s="27" t="s">
        <v>2610</v>
      </c>
      <c r="N421" s="115">
        <v>45333</v>
      </c>
      <c r="O421" s="32" t="s">
        <v>2841</v>
      </c>
      <c r="P421" s="32"/>
      <c r="Q421" s="32"/>
      <c r="R421" s="32"/>
      <c r="S421" s="32"/>
      <c r="T421" s="32"/>
      <c r="U421" s="32"/>
      <c r="V421" s="32"/>
      <c r="W421" s="32"/>
      <c r="X421" s="32"/>
      <c r="Y421" s="32"/>
      <c r="Z421" s="32" t="s">
        <v>4280</v>
      </c>
      <c r="AA421" s="32"/>
      <c r="AB421" s="32"/>
      <c r="AC421" s="32"/>
      <c r="AD421" s="32"/>
      <c r="AE421" s="32"/>
      <c r="AF421" s="32"/>
      <c r="AG421" s="32"/>
      <c r="AH421" s="32"/>
    </row>
    <row r="422" spans="1:34" x14ac:dyDescent="0.2">
      <c r="A422" s="114">
        <v>45333</v>
      </c>
      <c r="B422" s="29" t="s">
        <v>4281</v>
      </c>
      <c r="C422" s="26">
        <v>32536984</v>
      </c>
      <c r="D422" s="29">
        <v>3005688113</v>
      </c>
      <c r="E422" s="26" t="s">
        <v>31</v>
      </c>
      <c r="F422" s="32"/>
      <c r="G422" s="29" t="s">
        <v>164</v>
      </c>
      <c r="H422" s="29"/>
      <c r="I422" s="29"/>
      <c r="J422" s="29"/>
      <c r="K422" s="29"/>
      <c r="L422" s="29"/>
      <c r="M422" s="27" t="s">
        <v>2610</v>
      </c>
      <c r="N422" s="115">
        <v>45333</v>
      </c>
      <c r="O422" s="32" t="s">
        <v>2841</v>
      </c>
      <c r="P422" s="32"/>
      <c r="Q422" s="32"/>
      <c r="R422" s="32"/>
      <c r="S422" s="32"/>
      <c r="T422" s="32"/>
      <c r="U422" s="32"/>
      <c r="V422" s="32"/>
      <c r="W422" s="32"/>
      <c r="X422" s="32"/>
      <c r="Y422" s="32"/>
      <c r="Z422" s="32"/>
      <c r="AA422" s="32"/>
      <c r="AB422" s="32"/>
      <c r="AC422" s="32"/>
      <c r="AD422" s="32"/>
      <c r="AE422" s="32"/>
      <c r="AF422" s="32"/>
      <c r="AG422" s="32"/>
      <c r="AH422" s="32"/>
    </row>
    <row r="423" spans="1:34" x14ac:dyDescent="0.2">
      <c r="A423" s="114">
        <v>45333</v>
      </c>
      <c r="B423" s="29" t="s">
        <v>4282</v>
      </c>
      <c r="C423" s="26">
        <v>43808480</v>
      </c>
      <c r="D423" s="29">
        <v>3059370059</v>
      </c>
      <c r="E423" s="26" t="s">
        <v>31</v>
      </c>
      <c r="F423" s="32"/>
      <c r="G423" s="29" t="s">
        <v>4283</v>
      </c>
      <c r="H423" s="29"/>
      <c r="I423" s="29"/>
      <c r="J423" s="29"/>
      <c r="K423" s="29"/>
      <c r="L423" s="29"/>
      <c r="M423" s="27" t="s">
        <v>2610</v>
      </c>
      <c r="N423" s="115">
        <v>45333</v>
      </c>
      <c r="O423" s="32" t="s">
        <v>2841</v>
      </c>
      <c r="P423" s="32"/>
      <c r="Q423" s="32"/>
      <c r="R423" s="32"/>
      <c r="S423" s="32"/>
      <c r="T423" s="32"/>
      <c r="U423" s="32"/>
      <c r="V423" s="32"/>
      <c r="W423" s="32"/>
      <c r="X423" s="32"/>
      <c r="Y423" s="32"/>
      <c r="Z423" s="32" t="s">
        <v>4284</v>
      </c>
      <c r="AA423" s="32"/>
      <c r="AB423" s="32"/>
      <c r="AC423" s="32"/>
      <c r="AD423" s="32"/>
      <c r="AE423" s="32"/>
      <c r="AF423" s="32"/>
      <c r="AG423" s="32"/>
      <c r="AH423" s="32"/>
    </row>
    <row r="424" spans="1:34" x14ac:dyDescent="0.2">
      <c r="A424" s="114">
        <v>45333</v>
      </c>
      <c r="B424" s="29" t="s">
        <v>4285</v>
      </c>
      <c r="C424" s="26">
        <v>1018376922</v>
      </c>
      <c r="D424" s="29">
        <v>3104553006</v>
      </c>
      <c r="E424" s="26" t="s">
        <v>31</v>
      </c>
      <c r="F424" s="32"/>
      <c r="G424" s="29" t="s">
        <v>4286</v>
      </c>
      <c r="H424" s="29"/>
      <c r="I424" s="29"/>
      <c r="J424" s="29"/>
      <c r="K424" s="29"/>
      <c r="L424" s="29"/>
      <c r="M424" s="27" t="s">
        <v>2610</v>
      </c>
      <c r="N424" s="115">
        <v>45333</v>
      </c>
      <c r="O424" s="32" t="s">
        <v>2841</v>
      </c>
      <c r="P424" s="32"/>
      <c r="Q424" s="32"/>
      <c r="R424" s="32"/>
      <c r="S424" s="32"/>
      <c r="T424" s="32"/>
      <c r="U424" s="32"/>
      <c r="V424" s="32"/>
      <c r="W424" s="32"/>
      <c r="X424" s="32"/>
      <c r="Y424" s="32"/>
      <c r="Z424" s="32" t="s">
        <v>4287</v>
      </c>
      <c r="AA424" s="32"/>
      <c r="AB424" s="32"/>
      <c r="AC424" s="32"/>
      <c r="AD424" s="32"/>
      <c r="AE424" s="32"/>
      <c r="AF424" s="32"/>
      <c r="AG424" s="32"/>
      <c r="AH424" s="32"/>
    </row>
    <row r="425" spans="1:34" x14ac:dyDescent="0.2">
      <c r="A425" s="114">
        <v>45102</v>
      </c>
      <c r="B425" s="29" t="s">
        <v>4200</v>
      </c>
      <c r="C425" s="26">
        <v>32118678</v>
      </c>
      <c r="D425" s="29">
        <v>3108445468</v>
      </c>
      <c r="E425" s="26" t="s">
        <v>31</v>
      </c>
      <c r="F425" s="32"/>
      <c r="G425" s="29" t="s">
        <v>4288</v>
      </c>
      <c r="H425" s="29"/>
      <c r="I425" s="29"/>
      <c r="J425" s="29"/>
      <c r="K425" s="29"/>
      <c r="L425" s="29"/>
      <c r="M425" s="27" t="s">
        <v>2610</v>
      </c>
      <c r="N425" s="115">
        <v>45102</v>
      </c>
      <c r="O425" s="32" t="s">
        <v>2841</v>
      </c>
      <c r="P425" s="32"/>
      <c r="Q425" s="32"/>
      <c r="R425" s="32"/>
      <c r="S425" s="32"/>
      <c r="T425" s="32"/>
      <c r="U425" s="32"/>
      <c r="V425" s="32"/>
      <c r="W425" s="32"/>
      <c r="X425" s="32"/>
      <c r="Y425" s="32"/>
      <c r="Z425" s="32"/>
      <c r="AA425" s="32"/>
      <c r="AB425" s="32"/>
      <c r="AC425" s="32"/>
      <c r="AD425" s="32"/>
      <c r="AE425" s="32"/>
      <c r="AF425" s="32"/>
      <c r="AG425" s="32"/>
      <c r="AH425" s="32"/>
    </row>
    <row r="426" spans="1:34" x14ac:dyDescent="0.2">
      <c r="A426" s="114">
        <v>45102</v>
      </c>
      <c r="B426" s="29" t="s">
        <v>42</v>
      </c>
      <c r="C426" s="26">
        <v>70541050</v>
      </c>
      <c r="D426" s="29">
        <v>3106555461</v>
      </c>
      <c r="E426" s="26" t="s">
        <v>31</v>
      </c>
      <c r="F426" s="32"/>
      <c r="G426" s="29" t="s">
        <v>4289</v>
      </c>
      <c r="H426" s="29"/>
      <c r="I426" s="29"/>
      <c r="J426" s="29"/>
      <c r="K426" s="29"/>
      <c r="L426" s="29"/>
      <c r="M426" s="27" t="s">
        <v>2610</v>
      </c>
      <c r="N426" s="115">
        <v>45102</v>
      </c>
      <c r="O426" s="32" t="s">
        <v>2841</v>
      </c>
      <c r="P426" s="32"/>
      <c r="Q426" s="32"/>
      <c r="R426" s="32"/>
      <c r="S426" s="32"/>
      <c r="T426" s="32"/>
      <c r="U426" s="32"/>
      <c r="V426" s="32"/>
      <c r="W426" s="32"/>
      <c r="X426" s="32"/>
      <c r="Y426" s="32"/>
      <c r="Z426" s="32"/>
      <c r="AA426" s="32"/>
      <c r="AB426" s="32"/>
      <c r="AC426" s="32"/>
      <c r="AD426" s="32"/>
      <c r="AE426" s="32"/>
      <c r="AF426" s="32"/>
      <c r="AG426" s="32"/>
      <c r="AH426" s="32"/>
    </row>
    <row r="427" spans="1:34" x14ac:dyDescent="0.2">
      <c r="A427" s="114">
        <v>45102</v>
      </c>
      <c r="B427" s="29" t="s">
        <v>4290</v>
      </c>
      <c r="C427" s="26">
        <v>6463475</v>
      </c>
      <c r="D427" s="29">
        <v>3215046669</v>
      </c>
      <c r="E427" s="26" t="s">
        <v>31</v>
      </c>
      <c r="F427" s="32"/>
      <c r="G427" s="29" t="s">
        <v>4291</v>
      </c>
      <c r="H427" s="29"/>
      <c r="I427" s="29"/>
      <c r="J427" s="29"/>
      <c r="K427" s="29"/>
      <c r="L427" s="29"/>
      <c r="M427" s="27" t="s">
        <v>2610</v>
      </c>
      <c r="N427" s="115">
        <v>45102</v>
      </c>
      <c r="O427" s="32" t="s">
        <v>2841</v>
      </c>
      <c r="P427" s="32"/>
      <c r="Q427" s="32"/>
      <c r="R427" s="32"/>
      <c r="S427" s="32"/>
      <c r="T427" s="32"/>
      <c r="U427" s="32"/>
      <c r="V427" s="32"/>
      <c r="W427" s="32"/>
      <c r="X427" s="32"/>
      <c r="Y427" s="32"/>
      <c r="Z427" s="32"/>
      <c r="AA427" s="32"/>
      <c r="AB427" s="32"/>
      <c r="AC427" s="32"/>
      <c r="AD427" s="32"/>
      <c r="AE427" s="32"/>
      <c r="AF427" s="32"/>
      <c r="AG427" s="32"/>
      <c r="AH427" s="32"/>
    </row>
    <row r="428" spans="1:34" x14ac:dyDescent="0.2">
      <c r="A428" s="29"/>
      <c r="B428" s="29"/>
      <c r="C428" s="26"/>
      <c r="D428" s="29"/>
      <c r="E428" s="26"/>
      <c r="F428" s="32"/>
      <c r="G428" s="29"/>
      <c r="H428" s="29"/>
      <c r="I428" s="29"/>
      <c r="J428" s="29"/>
      <c r="K428" s="29"/>
      <c r="L428" s="29"/>
      <c r="M428" s="27"/>
      <c r="N428" s="32"/>
      <c r="O428" s="32"/>
      <c r="P428" s="32"/>
      <c r="Q428" s="32"/>
      <c r="R428" s="32"/>
      <c r="S428" s="32"/>
      <c r="T428" s="32"/>
      <c r="U428" s="32"/>
      <c r="V428" s="32"/>
      <c r="W428" s="32"/>
      <c r="X428" s="32"/>
      <c r="Y428" s="32"/>
      <c r="Z428" s="32"/>
      <c r="AA428" s="32"/>
      <c r="AB428" s="32"/>
      <c r="AC428" s="32"/>
      <c r="AD428" s="32"/>
      <c r="AE428" s="32"/>
      <c r="AF428" s="32"/>
      <c r="AG428" s="32"/>
      <c r="AH428" s="32"/>
    </row>
    <row r="429" spans="1:34" x14ac:dyDescent="0.25">
      <c r="A429" s="35"/>
      <c r="B429" s="35"/>
      <c r="C429" s="35"/>
      <c r="D429" s="35"/>
      <c r="E429" s="35"/>
      <c r="F429" s="35"/>
      <c r="G429" s="35"/>
      <c r="H429" s="35"/>
      <c r="I429" s="35"/>
      <c r="J429" s="35"/>
      <c r="K429" s="35"/>
      <c r="L429" s="36"/>
      <c r="M429" s="35"/>
      <c r="N429" s="35"/>
      <c r="O429" s="35"/>
      <c r="P429" s="35"/>
      <c r="Q429" s="35"/>
      <c r="R429" s="35"/>
      <c r="S429" s="35"/>
      <c r="T429" s="35"/>
      <c r="U429" s="35"/>
      <c r="V429" s="35"/>
      <c r="W429" s="35"/>
      <c r="X429" s="35"/>
      <c r="Y429" s="35"/>
      <c r="Z429" s="35"/>
      <c r="AA429" s="35"/>
      <c r="AB429" s="35"/>
      <c r="AC429" s="35"/>
      <c r="AD429" s="35"/>
    </row>
    <row r="430" spans="1:34" x14ac:dyDescent="0.25">
      <c r="A430" s="35"/>
      <c r="B430" s="35"/>
      <c r="C430" s="35"/>
      <c r="D430" s="35"/>
      <c r="E430" s="35"/>
      <c r="F430" s="35"/>
      <c r="G430" s="35"/>
      <c r="H430" s="35"/>
      <c r="I430" s="35"/>
      <c r="J430" s="35"/>
      <c r="K430" s="35"/>
      <c r="L430" s="36"/>
      <c r="M430" s="35"/>
      <c r="N430" s="35"/>
      <c r="O430" s="35"/>
      <c r="P430" s="35"/>
      <c r="Q430" s="35"/>
      <c r="R430" s="35"/>
      <c r="S430" s="35"/>
      <c r="T430" s="35"/>
      <c r="U430" s="35"/>
      <c r="V430" s="35"/>
      <c r="W430" s="35"/>
      <c r="X430" s="35"/>
      <c r="Y430" s="35"/>
      <c r="Z430" s="35"/>
      <c r="AA430" s="35"/>
      <c r="AB430" s="35"/>
      <c r="AC430" s="35"/>
      <c r="AD430" s="35"/>
    </row>
    <row r="431" spans="1:34" x14ac:dyDescent="0.25">
      <c r="A431" s="35"/>
      <c r="B431" s="35"/>
      <c r="C431" s="35"/>
      <c r="D431" s="35"/>
      <c r="E431" s="35"/>
      <c r="F431" s="35"/>
      <c r="G431" s="35"/>
      <c r="H431" s="35"/>
      <c r="I431" s="35"/>
      <c r="J431" s="35"/>
      <c r="K431" s="35"/>
      <c r="L431" s="36"/>
      <c r="M431" s="35"/>
      <c r="N431" s="35"/>
      <c r="O431" s="35"/>
      <c r="P431" s="35"/>
      <c r="Q431" s="35"/>
      <c r="R431" s="35"/>
      <c r="S431" s="35"/>
      <c r="T431" s="35"/>
      <c r="U431" s="35"/>
      <c r="V431" s="35"/>
      <c r="W431" s="35"/>
      <c r="X431" s="35"/>
      <c r="Y431" s="35"/>
      <c r="Z431" s="35"/>
      <c r="AA431" s="35"/>
      <c r="AB431" s="35"/>
      <c r="AC431" s="35"/>
      <c r="AD431" s="35"/>
    </row>
    <row r="432" spans="1:34" x14ac:dyDescent="0.25">
      <c r="A432" s="35"/>
      <c r="B432" s="35"/>
      <c r="C432" s="35"/>
      <c r="D432" s="35"/>
      <c r="E432" s="35"/>
      <c r="F432" s="35"/>
      <c r="G432" s="35"/>
      <c r="H432" s="35"/>
      <c r="I432" s="35"/>
      <c r="J432" s="35"/>
      <c r="K432" s="35"/>
      <c r="L432" s="36"/>
      <c r="M432" s="35"/>
      <c r="N432" s="35"/>
      <c r="O432" s="35"/>
      <c r="P432" s="35"/>
      <c r="Q432" s="35"/>
      <c r="R432" s="35"/>
      <c r="S432" s="35"/>
      <c r="T432" s="35"/>
      <c r="U432" s="35"/>
      <c r="V432" s="35"/>
      <c r="W432" s="35"/>
      <c r="X432" s="35"/>
      <c r="Y432" s="35"/>
      <c r="Z432" s="35"/>
      <c r="AA432" s="35"/>
      <c r="AB432" s="35"/>
      <c r="AC432" s="35"/>
      <c r="AD432" s="35"/>
    </row>
    <row r="433" spans="1:30" x14ac:dyDescent="0.25">
      <c r="A433" s="35"/>
      <c r="B433" s="35"/>
      <c r="C433" s="35"/>
      <c r="D433" s="35"/>
      <c r="E433" s="35"/>
      <c r="F433" s="35"/>
      <c r="G433" s="35"/>
      <c r="H433" s="35"/>
      <c r="I433" s="35"/>
      <c r="J433" s="35"/>
      <c r="K433" s="35"/>
      <c r="L433" s="36"/>
      <c r="M433" s="35"/>
      <c r="N433" s="35"/>
      <c r="O433" s="35"/>
      <c r="P433" s="35"/>
      <c r="Q433" s="35"/>
      <c r="R433" s="35"/>
      <c r="S433" s="35"/>
      <c r="T433" s="35"/>
      <c r="U433" s="35"/>
      <c r="V433" s="35"/>
      <c r="W433" s="35"/>
      <c r="X433" s="35"/>
      <c r="Y433" s="35"/>
      <c r="Z433" s="35"/>
      <c r="AA433" s="35"/>
      <c r="AB433" s="35"/>
      <c r="AC433" s="35"/>
      <c r="AD433" s="35"/>
    </row>
    <row r="434" spans="1:30" x14ac:dyDescent="0.25">
      <c r="A434" s="35"/>
      <c r="B434" s="35"/>
      <c r="C434" s="35"/>
      <c r="D434" s="35"/>
      <c r="E434" s="35"/>
      <c r="F434" s="35"/>
      <c r="G434" s="35"/>
      <c r="H434" s="35"/>
      <c r="I434" s="35"/>
      <c r="J434" s="35"/>
      <c r="K434" s="35"/>
      <c r="L434" s="36"/>
      <c r="M434" s="35"/>
      <c r="N434" s="35"/>
      <c r="O434" s="35"/>
      <c r="P434" s="35"/>
      <c r="Q434" s="35"/>
      <c r="R434" s="35"/>
      <c r="S434" s="35"/>
      <c r="T434" s="35"/>
      <c r="U434" s="35"/>
      <c r="V434" s="35"/>
      <c r="W434" s="35"/>
      <c r="X434" s="35"/>
      <c r="Y434" s="35"/>
      <c r="Z434" s="35"/>
      <c r="AA434" s="35"/>
      <c r="AB434" s="35"/>
      <c r="AC434" s="35"/>
      <c r="AD434" s="35"/>
    </row>
    <row r="435" spans="1:30" x14ac:dyDescent="0.25">
      <c r="A435" s="35"/>
      <c r="B435" s="35"/>
      <c r="C435" s="35"/>
      <c r="D435" s="35"/>
      <c r="E435" s="35"/>
      <c r="F435" s="35"/>
      <c r="G435" s="35"/>
      <c r="H435" s="35"/>
      <c r="I435" s="35"/>
      <c r="J435" s="35"/>
      <c r="K435" s="35"/>
      <c r="L435" s="36"/>
      <c r="M435" s="35"/>
      <c r="N435" s="35"/>
      <c r="O435" s="35"/>
      <c r="P435" s="35"/>
      <c r="Q435" s="35"/>
      <c r="R435" s="35"/>
      <c r="S435" s="35"/>
      <c r="T435" s="35"/>
      <c r="U435" s="35"/>
      <c r="V435" s="35"/>
      <c r="W435" s="35"/>
      <c r="X435" s="35"/>
      <c r="Y435" s="35"/>
      <c r="Z435" s="35"/>
      <c r="AA435" s="35"/>
      <c r="AB435" s="35"/>
      <c r="AC435" s="35"/>
      <c r="AD435" s="35"/>
    </row>
    <row r="436" spans="1:30" x14ac:dyDescent="0.25">
      <c r="A436" s="35"/>
      <c r="B436" s="35"/>
      <c r="C436" s="35"/>
      <c r="D436" s="35"/>
      <c r="E436" s="35"/>
      <c r="F436" s="35"/>
      <c r="G436" s="35"/>
      <c r="H436" s="35"/>
      <c r="I436" s="35"/>
      <c r="J436" s="35"/>
      <c r="K436" s="35"/>
      <c r="L436" s="36"/>
      <c r="M436" s="35"/>
      <c r="N436" s="35"/>
      <c r="O436" s="35"/>
      <c r="P436" s="35"/>
      <c r="Q436" s="35"/>
      <c r="R436" s="35"/>
      <c r="S436" s="35"/>
      <c r="T436" s="35"/>
      <c r="U436" s="35"/>
      <c r="V436" s="35"/>
      <c r="W436" s="35"/>
      <c r="X436" s="35"/>
      <c r="Y436" s="35"/>
      <c r="Z436" s="35"/>
      <c r="AA436" s="35"/>
      <c r="AB436" s="35"/>
      <c r="AC436" s="35"/>
      <c r="AD436" s="35"/>
    </row>
    <row r="437" spans="1:30" x14ac:dyDescent="0.25">
      <c r="A437" s="35"/>
      <c r="B437" s="35"/>
      <c r="C437" s="35"/>
      <c r="D437" s="35"/>
      <c r="E437" s="35"/>
      <c r="F437" s="35"/>
      <c r="G437" s="35"/>
      <c r="H437" s="35"/>
      <c r="I437" s="35"/>
      <c r="J437" s="35"/>
      <c r="K437" s="35"/>
      <c r="L437" s="36"/>
      <c r="M437" s="35"/>
      <c r="N437" s="35"/>
      <c r="O437" s="35"/>
      <c r="P437" s="35"/>
      <c r="Q437" s="35"/>
      <c r="R437" s="35"/>
      <c r="S437" s="35"/>
      <c r="T437" s="35"/>
      <c r="U437" s="35"/>
      <c r="V437" s="35"/>
      <c r="W437" s="35"/>
      <c r="X437" s="35"/>
      <c r="Y437" s="35"/>
      <c r="Z437" s="35"/>
      <c r="AA437" s="35"/>
      <c r="AB437" s="35"/>
      <c r="AC437" s="35"/>
      <c r="AD437" s="35"/>
    </row>
    <row r="438" spans="1:30" x14ac:dyDescent="0.25">
      <c r="A438" s="35"/>
      <c r="B438" s="35"/>
      <c r="C438" s="35"/>
      <c r="D438" s="35"/>
      <c r="E438" s="35"/>
      <c r="F438" s="35"/>
      <c r="G438" s="35"/>
      <c r="H438" s="35"/>
      <c r="I438" s="35"/>
      <c r="J438" s="35"/>
      <c r="K438" s="35"/>
      <c r="L438" s="36"/>
      <c r="M438" s="35"/>
      <c r="N438" s="35"/>
      <c r="O438" s="35"/>
      <c r="P438" s="35"/>
      <c r="Q438" s="35"/>
      <c r="R438" s="35"/>
      <c r="S438" s="35"/>
      <c r="T438" s="35"/>
      <c r="U438" s="35"/>
      <c r="V438" s="35"/>
      <c r="W438" s="35"/>
      <c r="X438" s="35"/>
      <c r="Y438" s="35"/>
      <c r="Z438" s="35"/>
      <c r="AA438" s="35"/>
      <c r="AB438" s="35"/>
      <c r="AC438" s="35"/>
      <c r="AD438" s="35"/>
    </row>
    <row r="439" spans="1:30" x14ac:dyDescent="0.25">
      <c r="A439" s="35"/>
      <c r="B439" s="35"/>
      <c r="C439" s="35"/>
      <c r="D439" s="35"/>
      <c r="E439" s="35"/>
      <c r="F439" s="35"/>
      <c r="G439" s="35"/>
      <c r="H439" s="35"/>
      <c r="I439" s="35"/>
      <c r="J439" s="35"/>
      <c r="K439" s="35"/>
      <c r="L439" s="36"/>
      <c r="M439" s="35"/>
      <c r="N439" s="35"/>
      <c r="O439" s="35"/>
      <c r="P439" s="35"/>
      <c r="Q439" s="35"/>
      <c r="R439" s="35"/>
      <c r="S439" s="35"/>
      <c r="T439" s="35"/>
      <c r="U439" s="35"/>
      <c r="V439" s="35"/>
      <c r="W439" s="35"/>
      <c r="X439" s="35"/>
      <c r="Y439" s="35"/>
      <c r="Z439" s="35"/>
      <c r="AA439" s="35"/>
      <c r="AB439" s="35"/>
      <c r="AC439" s="35"/>
      <c r="AD439" s="35"/>
    </row>
    <row r="440" spans="1:30" x14ac:dyDescent="0.25">
      <c r="A440" s="35"/>
      <c r="B440" s="35"/>
      <c r="C440" s="35"/>
      <c r="D440" s="35"/>
      <c r="E440" s="35"/>
      <c r="F440" s="35"/>
      <c r="G440" s="35"/>
      <c r="H440" s="35"/>
      <c r="I440" s="35"/>
      <c r="J440" s="35"/>
      <c r="K440" s="35"/>
      <c r="L440" s="36"/>
      <c r="M440" s="35"/>
      <c r="N440" s="35"/>
      <c r="O440" s="35"/>
      <c r="P440" s="35"/>
      <c r="Q440" s="35"/>
      <c r="R440" s="35"/>
      <c r="S440" s="35"/>
      <c r="T440" s="35"/>
      <c r="U440" s="35"/>
      <c r="V440" s="35"/>
      <c r="W440" s="35"/>
      <c r="X440" s="35"/>
      <c r="Y440" s="35"/>
      <c r="Z440" s="35"/>
      <c r="AA440" s="35"/>
      <c r="AB440" s="35"/>
      <c r="AC440" s="35"/>
      <c r="AD440" s="35"/>
    </row>
    <row r="441" spans="1:30" x14ac:dyDescent="0.25">
      <c r="A441" s="35"/>
      <c r="B441" s="35"/>
      <c r="C441" s="35"/>
      <c r="D441" s="35"/>
      <c r="E441" s="35"/>
      <c r="F441" s="35"/>
      <c r="G441" s="35"/>
      <c r="H441" s="35"/>
      <c r="I441" s="35"/>
      <c r="J441" s="35"/>
      <c r="K441" s="35"/>
      <c r="L441" s="36"/>
      <c r="M441" s="35"/>
      <c r="N441" s="35"/>
      <c r="O441" s="35"/>
      <c r="P441" s="35"/>
      <c r="Q441" s="35"/>
      <c r="R441" s="35"/>
      <c r="S441" s="35"/>
      <c r="T441" s="35"/>
      <c r="U441" s="35"/>
      <c r="V441" s="35"/>
      <c r="W441" s="35"/>
      <c r="X441" s="35"/>
      <c r="Y441" s="35"/>
      <c r="Z441" s="35"/>
      <c r="AA441" s="35"/>
      <c r="AB441" s="35"/>
      <c r="AC441" s="35"/>
      <c r="AD441" s="35"/>
    </row>
    <row r="442" spans="1:30" x14ac:dyDescent="0.25">
      <c r="A442" s="35"/>
      <c r="B442" s="35"/>
      <c r="C442" s="35"/>
      <c r="D442" s="35"/>
      <c r="E442" s="35"/>
      <c r="F442" s="35"/>
      <c r="G442" s="35"/>
      <c r="H442" s="35"/>
      <c r="I442" s="35"/>
      <c r="J442" s="35"/>
      <c r="K442" s="35"/>
      <c r="L442" s="36"/>
      <c r="M442" s="35"/>
      <c r="N442" s="35"/>
      <c r="O442" s="35"/>
      <c r="P442" s="35"/>
      <c r="Q442" s="35"/>
      <c r="R442" s="35"/>
      <c r="S442" s="35"/>
      <c r="T442" s="35"/>
      <c r="U442" s="35"/>
      <c r="V442" s="35"/>
      <c r="W442" s="35"/>
      <c r="X442" s="35"/>
      <c r="Y442" s="35"/>
      <c r="Z442" s="35"/>
      <c r="AA442" s="35"/>
      <c r="AB442" s="35"/>
      <c r="AC442" s="35"/>
      <c r="AD442" s="35"/>
    </row>
    <row r="443" spans="1:30" x14ac:dyDescent="0.25">
      <c r="A443" s="35"/>
      <c r="B443" s="35"/>
      <c r="C443" s="35"/>
      <c r="D443" s="35"/>
      <c r="E443" s="35"/>
      <c r="F443" s="35"/>
      <c r="G443" s="35"/>
      <c r="H443" s="35"/>
      <c r="I443" s="35"/>
      <c r="J443" s="35"/>
      <c r="K443" s="35"/>
      <c r="L443" s="36"/>
      <c r="M443" s="35"/>
      <c r="N443" s="35"/>
      <c r="O443" s="35"/>
      <c r="P443" s="35"/>
      <c r="Q443" s="35"/>
      <c r="R443" s="35"/>
      <c r="S443" s="35"/>
      <c r="T443" s="35"/>
      <c r="U443" s="35"/>
      <c r="V443" s="35"/>
      <c r="W443" s="35"/>
      <c r="X443" s="35"/>
      <c r="Y443" s="35"/>
      <c r="Z443" s="35"/>
      <c r="AA443" s="35"/>
      <c r="AB443" s="35"/>
      <c r="AC443" s="35"/>
      <c r="AD443" s="35"/>
    </row>
    <row r="444" spans="1:30" x14ac:dyDescent="0.25">
      <c r="A444" s="35"/>
      <c r="B444" s="35"/>
      <c r="C444" s="35"/>
      <c r="D444" s="35"/>
      <c r="E444" s="35"/>
      <c r="F444" s="35"/>
      <c r="G444" s="35"/>
      <c r="H444" s="35"/>
      <c r="I444" s="35"/>
      <c r="J444" s="35"/>
      <c r="K444" s="35"/>
      <c r="L444" s="36"/>
      <c r="M444" s="35"/>
      <c r="N444" s="35"/>
      <c r="O444" s="35"/>
      <c r="P444" s="35"/>
      <c r="Q444" s="35"/>
      <c r="R444" s="35"/>
      <c r="S444" s="35"/>
      <c r="T444" s="35"/>
      <c r="U444" s="35"/>
      <c r="V444" s="35"/>
      <c r="W444" s="35"/>
      <c r="X444" s="35"/>
      <c r="Y444" s="35"/>
      <c r="Z444" s="35"/>
      <c r="AA444" s="35"/>
      <c r="AB444" s="35"/>
      <c r="AC444" s="35"/>
      <c r="AD444" s="35"/>
    </row>
    <row r="445" spans="1:30" x14ac:dyDescent="0.25">
      <c r="A445" s="35"/>
      <c r="B445" s="35"/>
      <c r="C445" s="35"/>
      <c r="D445" s="35"/>
      <c r="E445" s="35"/>
      <c r="F445" s="35"/>
      <c r="G445" s="35"/>
      <c r="H445" s="35"/>
      <c r="I445" s="35"/>
      <c r="J445" s="35"/>
      <c r="K445" s="35"/>
      <c r="L445" s="36"/>
      <c r="M445" s="35"/>
      <c r="N445" s="35"/>
      <c r="O445" s="35"/>
      <c r="P445" s="35"/>
      <c r="Q445" s="35"/>
      <c r="R445" s="35"/>
      <c r="S445" s="35"/>
      <c r="T445" s="35"/>
      <c r="U445" s="35"/>
      <c r="V445" s="35"/>
      <c r="W445" s="35"/>
      <c r="X445" s="35"/>
      <c r="Y445" s="35"/>
      <c r="Z445" s="35"/>
      <c r="AA445" s="35"/>
      <c r="AB445" s="35"/>
      <c r="AC445" s="35"/>
      <c r="AD445" s="35"/>
    </row>
    <row r="446" spans="1:30" x14ac:dyDescent="0.25">
      <c r="A446" s="35"/>
      <c r="B446" s="35"/>
      <c r="C446" s="35"/>
      <c r="D446" s="35"/>
      <c r="E446" s="35"/>
      <c r="F446" s="35"/>
      <c r="G446" s="35"/>
      <c r="H446" s="35"/>
      <c r="I446" s="35"/>
      <c r="J446" s="35"/>
      <c r="K446" s="35"/>
      <c r="L446" s="36"/>
      <c r="M446" s="35"/>
      <c r="N446" s="35"/>
      <c r="O446" s="35"/>
      <c r="P446" s="35"/>
      <c r="Q446" s="35"/>
      <c r="R446" s="35"/>
      <c r="S446" s="35"/>
      <c r="T446" s="35"/>
      <c r="U446" s="35"/>
      <c r="V446" s="35"/>
      <c r="W446" s="35"/>
      <c r="X446" s="35"/>
      <c r="Y446" s="35"/>
      <c r="Z446" s="35"/>
      <c r="AA446" s="35"/>
      <c r="AB446" s="35"/>
      <c r="AC446" s="35"/>
      <c r="AD446" s="35"/>
    </row>
    <row r="447" spans="1:30" x14ac:dyDescent="0.25">
      <c r="A447" s="35"/>
      <c r="B447" s="35"/>
      <c r="C447" s="35"/>
      <c r="D447" s="35"/>
      <c r="E447" s="35"/>
      <c r="F447" s="35"/>
      <c r="G447" s="35"/>
      <c r="H447" s="35"/>
      <c r="I447" s="35"/>
      <c r="J447" s="35"/>
      <c r="K447" s="35"/>
      <c r="L447" s="36"/>
      <c r="M447" s="35"/>
      <c r="N447" s="35"/>
      <c r="O447" s="35"/>
      <c r="P447" s="35"/>
      <c r="Q447" s="35"/>
      <c r="R447" s="35"/>
      <c r="S447" s="35"/>
      <c r="T447" s="35"/>
      <c r="U447" s="35"/>
      <c r="V447" s="35"/>
      <c r="W447" s="35"/>
      <c r="X447" s="35"/>
      <c r="Y447" s="35"/>
      <c r="Z447" s="35"/>
      <c r="AA447" s="35"/>
      <c r="AB447" s="35"/>
      <c r="AC447" s="35"/>
      <c r="AD447" s="35"/>
    </row>
    <row r="448" spans="1:30" x14ac:dyDescent="0.25">
      <c r="A448" s="35"/>
      <c r="B448" s="35"/>
      <c r="C448" s="35"/>
      <c r="D448" s="35"/>
      <c r="E448" s="35"/>
      <c r="F448" s="35"/>
      <c r="G448" s="35"/>
      <c r="H448" s="35"/>
      <c r="I448" s="35"/>
      <c r="J448" s="35"/>
      <c r="K448" s="35"/>
      <c r="L448" s="36"/>
      <c r="M448" s="35"/>
      <c r="N448" s="35"/>
      <c r="O448" s="35"/>
      <c r="P448" s="35"/>
      <c r="Q448" s="35"/>
      <c r="R448" s="35"/>
      <c r="S448" s="35"/>
      <c r="T448" s="35"/>
      <c r="U448" s="35"/>
      <c r="V448" s="35"/>
      <c r="W448" s="35"/>
      <c r="X448" s="35"/>
      <c r="Y448" s="35"/>
      <c r="Z448" s="35"/>
      <c r="AA448" s="35"/>
      <c r="AB448" s="35"/>
      <c r="AC448" s="35"/>
      <c r="AD448" s="35"/>
    </row>
    <row r="449" spans="1:30" x14ac:dyDescent="0.25">
      <c r="A449" s="35"/>
      <c r="B449" s="35"/>
      <c r="C449" s="35"/>
      <c r="D449" s="35"/>
      <c r="E449" s="35"/>
      <c r="F449" s="35"/>
      <c r="G449" s="35"/>
      <c r="H449" s="35"/>
      <c r="I449" s="35"/>
      <c r="J449" s="35"/>
      <c r="K449" s="35"/>
      <c r="L449" s="36"/>
      <c r="M449" s="35"/>
      <c r="N449" s="35"/>
      <c r="O449" s="35"/>
      <c r="P449" s="35"/>
      <c r="Q449" s="35"/>
      <c r="R449" s="35"/>
      <c r="S449" s="35"/>
      <c r="T449" s="35"/>
      <c r="U449" s="35"/>
      <c r="V449" s="35"/>
      <c r="W449" s="35"/>
      <c r="X449" s="35"/>
      <c r="Y449" s="35"/>
      <c r="Z449" s="35"/>
      <c r="AA449" s="35"/>
      <c r="AB449" s="35"/>
      <c r="AC449" s="35"/>
      <c r="AD449" s="35"/>
    </row>
    <row r="450" spans="1:30" x14ac:dyDescent="0.25">
      <c r="A450" s="35"/>
      <c r="B450" s="35"/>
      <c r="C450" s="35"/>
      <c r="D450" s="35"/>
      <c r="E450" s="35"/>
      <c r="F450" s="35"/>
      <c r="G450" s="35"/>
      <c r="H450" s="35"/>
      <c r="I450" s="35"/>
      <c r="J450" s="35"/>
      <c r="K450" s="35"/>
      <c r="L450" s="36"/>
      <c r="M450" s="35"/>
      <c r="N450" s="35"/>
      <c r="O450" s="35"/>
      <c r="P450" s="35"/>
      <c r="Q450" s="35"/>
      <c r="R450" s="35"/>
      <c r="S450" s="35"/>
      <c r="T450" s="35"/>
      <c r="U450" s="35"/>
      <c r="V450" s="35"/>
      <c r="W450" s="35"/>
      <c r="X450" s="35"/>
      <c r="Y450" s="35"/>
      <c r="Z450" s="35"/>
      <c r="AA450" s="35"/>
      <c r="AB450" s="35"/>
      <c r="AC450" s="35"/>
      <c r="AD450" s="35"/>
    </row>
    <row r="451" spans="1:30" x14ac:dyDescent="0.25">
      <c r="A451" s="35"/>
      <c r="B451" s="35"/>
      <c r="C451" s="35"/>
      <c r="D451" s="35"/>
      <c r="E451" s="35"/>
      <c r="F451" s="35"/>
      <c r="G451" s="35"/>
      <c r="H451" s="35"/>
      <c r="I451" s="35"/>
      <c r="J451" s="35"/>
      <c r="K451" s="35"/>
      <c r="L451" s="36"/>
      <c r="M451" s="35"/>
      <c r="N451" s="35"/>
      <c r="O451" s="35"/>
      <c r="P451" s="35"/>
      <c r="Q451" s="35"/>
      <c r="R451" s="35"/>
      <c r="S451" s="35"/>
      <c r="T451" s="35"/>
      <c r="U451" s="35"/>
      <c r="V451" s="35"/>
      <c r="W451" s="35"/>
      <c r="X451" s="35"/>
      <c r="Y451" s="35"/>
      <c r="Z451" s="35"/>
      <c r="AA451" s="35"/>
      <c r="AB451" s="35"/>
      <c r="AC451" s="35"/>
      <c r="AD451" s="35"/>
    </row>
    <row r="452" spans="1:30" x14ac:dyDescent="0.25">
      <c r="A452" s="35"/>
      <c r="B452" s="35"/>
      <c r="C452" s="35"/>
      <c r="D452" s="35"/>
      <c r="E452" s="35"/>
      <c r="F452" s="35"/>
      <c r="G452" s="35"/>
      <c r="H452" s="35"/>
      <c r="I452" s="35"/>
      <c r="J452" s="35"/>
      <c r="K452" s="35"/>
      <c r="L452" s="36"/>
      <c r="M452" s="35"/>
      <c r="N452" s="35"/>
      <c r="O452" s="35"/>
      <c r="P452" s="35"/>
      <c r="Q452" s="35"/>
      <c r="R452" s="35"/>
      <c r="S452" s="35"/>
      <c r="T452" s="35"/>
      <c r="U452" s="35"/>
      <c r="V452" s="35"/>
      <c r="W452" s="35"/>
      <c r="X452" s="35"/>
      <c r="Y452" s="35"/>
      <c r="Z452" s="35"/>
      <c r="AA452" s="35"/>
      <c r="AB452" s="35"/>
      <c r="AC452" s="35"/>
      <c r="AD452" s="35"/>
    </row>
    <row r="453" spans="1:30" x14ac:dyDescent="0.25">
      <c r="A453" s="35"/>
      <c r="B453" s="35"/>
      <c r="C453" s="35"/>
      <c r="D453" s="35"/>
      <c r="E453" s="35"/>
      <c r="F453" s="35"/>
      <c r="G453" s="35"/>
      <c r="H453" s="35"/>
      <c r="I453" s="35"/>
      <c r="J453" s="35"/>
      <c r="K453" s="35"/>
      <c r="L453" s="36"/>
      <c r="M453" s="35"/>
      <c r="N453" s="35"/>
      <c r="O453" s="35"/>
      <c r="P453" s="35"/>
      <c r="Q453" s="35"/>
      <c r="R453" s="35"/>
      <c r="S453" s="35"/>
      <c r="T453" s="35"/>
      <c r="U453" s="35"/>
      <c r="V453" s="35"/>
      <c r="W453" s="35"/>
      <c r="X453" s="35"/>
      <c r="Y453" s="35"/>
      <c r="Z453" s="35"/>
      <c r="AA453" s="35"/>
      <c r="AB453" s="35"/>
      <c r="AC453" s="35"/>
      <c r="AD453" s="35"/>
    </row>
    <row r="454" spans="1:30" x14ac:dyDescent="0.25">
      <c r="A454" s="35"/>
      <c r="B454" s="35"/>
      <c r="C454" s="35"/>
      <c r="D454" s="35"/>
      <c r="E454" s="35"/>
      <c r="F454" s="35"/>
      <c r="G454" s="35"/>
      <c r="H454" s="35"/>
      <c r="I454" s="35"/>
      <c r="J454" s="35"/>
      <c r="K454" s="35"/>
      <c r="L454" s="36"/>
      <c r="M454" s="35"/>
      <c r="N454" s="35"/>
      <c r="O454" s="35"/>
      <c r="P454" s="35"/>
      <c r="Q454" s="35"/>
      <c r="R454" s="35"/>
      <c r="S454" s="35"/>
      <c r="T454" s="35"/>
      <c r="U454" s="35"/>
      <c r="V454" s="35"/>
      <c r="W454" s="35"/>
      <c r="X454" s="35"/>
      <c r="Y454" s="35"/>
      <c r="Z454" s="35"/>
      <c r="AA454" s="35"/>
      <c r="AB454" s="35"/>
      <c r="AC454" s="35"/>
      <c r="AD454" s="35"/>
    </row>
    <row r="455" spans="1:30" x14ac:dyDescent="0.25">
      <c r="A455" s="35"/>
      <c r="B455" s="35"/>
      <c r="C455" s="35"/>
      <c r="D455" s="35"/>
      <c r="E455" s="35"/>
      <c r="F455" s="35"/>
      <c r="G455" s="35"/>
      <c r="H455" s="35"/>
      <c r="I455" s="35"/>
      <c r="J455" s="35"/>
      <c r="K455" s="35"/>
      <c r="L455" s="36"/>
      <c r="M455" s="35"/>
      <c r="N455" s="35"/>
      <c r="O455" s="35"/>
      <c r="P455" s="35"/>
      <c r="Q455" s="35"/>
      <c r="R455" s="35"/>
      <c r="S455" s="35"/>
      <c r="T455" s="35"/>
      <c r="U455" s="35"/>
      <c r="V455" s="35"/>
      <c r="W455" s="35"/>
      <c r="X455" s="35"/>
      <c r="Y455" s="35"/>
      <c r="Z455" s="35"/>
      <c r="AA455" s="35"/>
      <c r="AB455" s="35"/>
      <c r="AC455" s="35"/>
      <c r="AD455" s="35"/>
    </row>
    <row r="456" spans="1:30" x14ac:dyDescent="0.25">
      <c r="A456" s="35"/>
      <c r="B456" s="35"/>
      <c r="C456" s="35"/>
      <c r="D456" s="35"/>
      <c r="E456" s="35"/>
      <c r="F456" s="35"/>
      <c r="G456" s="35"/>
      <c r="H456" s="35"/>
      <c r="I456" s="35"/>
      <c r="J456" s="35"/>
      <c r="K456" s="35"/>
      <c r="L456" s="36"/>
      <c r="M456" s="35"/>
      <c r="N456" s="35"/>
      <c r="O456" s="35"/>
      <c r="P456" s="35"/>
      <c r="Q456" s="35"/>
      <c r="R456" s="35"/>
      <c r="S456" s="35"/>
      <c r="T456" s="35"/>
      <c r="U456" s="35"/>
      <c r="V456" s="35"/>
      <c r="W456" s="35"/>
      <c r="X456" s="35"/>
      <c r="Y456" s="35"/>
      <c r="Z456" s="35"/>
      <c r="AA456" s="35"/>
      <c r="AB456" s="35"/>
      <c r="AC456" s="35"/>
      <c r="AD456" s="35"/>
    </row>
    <row r="457" spans="1:30" x14ac:dyDescent="0.25">
      <c r="A457" s="35"/>
      <c r="B457" s="35"/>
      <c r="C457" s="35"/>
      <c r="D457" s="35"/>
      <c r="E457" s="35"/>
      <c r="F457" s="35"/>
      <c r="G457" s="35"/>
      <c r="H457" s="35"/>
      <c r="I457" s="35"/>
      <c r="J457" s="35"/>
      <c r="K457" s="35"/>
      <c r="L457" s="36"/>
      <c r="M457" s="35"/>
      <c r="N457" s="35"/>
      <c r="O457" s="35"/>
      <c r="P457" s="35"/>
      <c r="Q457" s="35"/>
      <c r="R457" s="35"/>
      <c r="S457" s="35"/>
      <c r="T457" s="35"/>
      <c r="U457" s="35"/>
      <c r="V457" s="35"/>
      <c r="W457" s="35"/>
      <c r="X457" s="35"/>
      <c r="Y457" s="35"/>
      <c r="Z457" s="35"/>
      <c r="AA457" s="35"/>
      <c r="AB457" s="35"/>
      <c r="AC457" s="35"/>
      <c r="AD457" s="35"/>
    </row>
    <row r="458" spans="1:30" x14ac:dyDescent="0.25">
      <c r="A458" s="35"/>
      <c r="B458" s="35"/>
      <c r="C458" s="35"/>
      <c r="D458" s="35"/>
      <c r="E458" s="35"/>
      <c r="F458" s="35"/>
      <c r="G458" s="35"/>
      <c r="H458" s="35"/>
      <c r="I458" s="35"/>
      <c r="J458" s="35"/>
      <c r="K458" s="35"/>
      <c r="L458" s="36"/>
      <c r="M458" s="35"/>
      <c r="N458" s="35"/>
      <c r="O458" s="35"/>
      <c r="P458" s="35"/>
      <c r="Q458" s="35"/>
      <c r="R458" s="35"/>
      <c r="S458" s="35"/>
      <c r="T458" s="35"/>
      <c r="U458" s="35"/>
      <c r="V458" s="35"/>
      <c r="W458" s="35"/>
      <c r="X458" s="35"/>
      <c r="Y458" s="35"/>
      <c r="Z458" s="35"/>
      <c r="AA458" s="35"/>
      <c r="AB458" s="35"/>
      <c r="AC458" s="35"/>
      <c r="AD458" s="35"/>
    </row>
    <row r="459" spans="1:30" x14ac:dyDescent="0.25">
      <c r="A459" s="35"/>
      <c r="B459" s="35"/>
      <c r="C459" s="35"/>
      <c r="D459" s="35"/>
      <c r="E459" s="35"/>
      <c r="F459" s="35"/>
      <c r="G459" s="35"/>
      <c r="H459" s="35"/>
      <c r="I459" s="35"/>
      <c r="J459" s="35"/>
      <c r="K459" s="35"/>
      <c r="L459" s="36"/>
      <c r="M459" s="35"/>
      <c r="N459" s="35"/>
      <c r="O459" s="35"/>
      <c r="P459" s="35"/>
      <c r="Q459" s="35"/>
      <c r="R459" s="35"/>
      <c r="S459" s="35"/>
      <c r="T459" s="35"/>
      <c r="U459" s="35"/>
      <c r="V459" s="35"/>
      <c r="W459" s="35"/>
      <c r="X459" s="35"/>
      <c r="Y459" s="35"/>
      <c r="Z459" s="35"/>
      <c r="AA459" s="35"/>
      <c r="AB459" s="35"/>
      <c r="AC459" s="35"/>
      <c r="AD459" s="35"/>
    </row>
    <row r="460" spans="1:30" x14ac:dyDescent="0.25">
      <c r="A460" s="35"/>
      <c r="B460" s="35"/>
      <c r="C460" s="35"/>
      <c r="D460" s="35"/>
      <c r="E460" s="35"/>
      <c r="F460" s="35"/>
      <c r="G460" s="35"/>
      <c r="H460" s="35"/>
      <c r="I460" s="35"/>
      <c r="J460" s="35"/>
      <c r="K460" s="35"/>
      <c r="L460" s="36"/>
      <c r="M460" s="35"/>
      <c r="N460" s="35"/>
      <c r="O460" s="35"/>
      <c r="P460" s="35"/>
      <c r="Q460" s="35"/>
      <c r="R460" s="35"/>
      <c r="S460" s="35"/>
      <c r="T460" s="35"/>
      <c r="U460" s="35"/>
      <c r="V460" s="35"/>
      <c r="W460" s="35"/>
      <c r="X460" s="35"/>
      <c r="Y460" s="35"/>
      <c r="Z460" s="35"/>
      <c r="AA460" s="35"/>
      <c r="AB460" s="35"/>
      <c r="AC460" s="35"/>
      <c r="AD460" s="35"/>
    </row>
    <row r="461" spans="1:30" x14ac:dyDescent="0.25">
      <c r="A461" s="35"/>
      <c r="B461" s="35"/>
      <c r="C461" s="35"/>
      <c r="D461" s="35"/>
      <c r="E461" s="35"/>
      <c r="F461" s="35"/>
      <c r="G461" s="35"/>
      <c r="H461" s="35"/>
      <c r="I461" s="35"/>
      <c r="J461" s="35"/>
      <c r="K461" s="35"/>
      <c r="L461" s="36"/>
      <c r="M461" s="35"/>
      <c r="N461" s="35"/>
      <c r="O461" s="35"/>
      <c r="P461" s="35"/>
      <c r="Q461" s="35"/>
      <c r="R461" s="35"/>
      <c r="S461" s="35"/>
      <c r="T461" s="35"/>
      <c r="U461" s="35"/>
      <c r="V461" s="35"/>
      <c r="W461" s="35"/>
      <c r="X461" s="35"/>
      <c r="Y461" s="35"/>
      <c r="Z461" s="35"/>
      <c r="AA461" s="35"/>
      <c r="AB461" s="35"/>
      <c r="AC461" s="35"/>
      <c r="AD461" s="35"/>
    </row>
    <row r="462" spans="1:30" x14ac:dyDescent="0.25">
      <c r="A462" s="35"/>
      <c r="B462" s="35"/>
      <c r="C462" s="35"/>
      <c r="D462" s="35"/>
      <c r="E462" s="35"/>
      <c r="F462" s="35"/>
      <c r="G462" s="35"/>
      <c r="H462" s="35"/>
      <c r="I462" s="35"/>
      <c r="J462" s="35"/>
      <c r="K462" s="35"/>
      <c r="L462" s="36"/>
      <c r="M462" s="35"/>
      <c r="N462" s="35"/>
      <c r="O462" s="35"/>
      <c r="P462" s="35"/>
      <c r="Q462" s="35"/>
      <c r="R462" s="35"/>
      <c r="S462" s="35"/>
      <c r="T462" s="35"/>
      <c r="U462" s="35"/>
      <c r="V462" s="35"/>
      <c r="W462" s="35"/>
      <c r="X462" s="35"/>
      <c r="Y462" s="35"/>
      <c r="Z462" s="35"/>
      <c r="AA462" s="35"/>
      <c r="AB462" s="35"/>
      <c r="AC462" s="35"/>
      <c r="AD462" s="35"/>
    </row>
    <row r="463" spans="1:30" x14ac:dyDescent="0.25">
      <c r="A463" s="35"/>
      <c r="B463" s="35"/>
      <c r="C463" s="35"/>
      <c r="D463" s="35"/>
      <c r="E463" s="35"/>
      <c r="F463" s="35"/>
      <c r="G463" s="35"/>
      <c r="H463" s="35"/>
      <c r="I463" s="35"/>
      <c r="J463" s="35"/>
      <c r="K463" s="35"/>
      <c r="L463" s="36"/>
      <c r="M463" s="35"/>
      <c r="N463" s="35"/>
      <c r="O463" s="35"/>
      <c r="P463" s="35"/>
      <c r="Q463" s="35"/>
      <c r="R463" s="35"/>
      <c r="S463" s="35"/>
      <c r="T463" s="35"/>
      <c r="U463" s="35"/>
      <c r="V463" s="35"/>
      <c r="W463" s="35"/>
      <c r="X463" s="35"/>
      <c r="Y463" s="35"/>
      <c r="Z463" s="35"/>
      <c r="AA463" s="35"/>
      <c r="AB463" s="35"/>
      <c r="AC463" s="35"/>
      <c r="AD463" s="35"/>
    </row>
    <row r="464" spans="1:30" x14ac:dyDescent="0.25">
      <c r="A464" s="35"/>
      <c r="B464" s="35"/>
      <c r="C464" s="35"/>
      <c r="D464" s="35"/>
      <c r="E464" s="35"/>
      <c r="F464" s="35"/>
      <c r="G464" s="35"/>
      <c r="H464" s="35"/>
      <c r="I464" s="35"/>
      <c r="J464" s="35"/>
      <c r="K464" s="35"/>
      <c r="L464" s="36"/>
      <c r="M464" s="35"/>
      <c r="N464" s="35"/>
      <c r="O464" s="35"/>
      <c r="P464" s="35"/>
      <c r="Q464" s="35"/>
      <c r="R464" s="35"/>
      <c r="S464" s="35"/>
      <c r="T464" s="35"/>
      <c r="U464" s="35"/>
      <c r="V464" s="35"/>
      <c r="W464" s="35"/>
      <c r="X464" s="35"/>
      <c r="Y464" s="35"/>
      <c r="Z464" s="35"/>
      <c r="AA464" s="35"/>
      <c r="AB464" s="35"/>
      <c r="AC464" s="35"/>
      <c r="AD464" s="35"/>
    </row>
    <row r="465" spans="1:30" x14ac:dyDescent="0.25">
      <c r="A465" s="35"/>
      <c r="B465" s="35"/>
      <c r="C465" s="35"/>
      <c r="D465" s="35"/>
      <c r="E465" s="35"/>
      <c r="F465" s="35"/>
      <c r="G465" s="35"/>
      <c r="H465" s="35"/>
      <c r="I465" s="35"/>
      <c r="J465" s="35"/>
      <c r="K465" s="35"/>
      <c r="L465" s="36"/>
      <c r="M465" s="35"/>
      <c r="N465" s="35"/>
      <c r="O465" s="35"/>
      <c r="P465" s="35"/>
      <c r="Q465" s="35"/>
      <c r="R465" s="35"/>
      <c r="S465" s="35"/>
      <c r="T465" s="35"/>
      <c r="U465" s="35"/>
      <c r="V465" s="35"/>
      <c r="W465" s="35"/>
      <c r="X465" s="35"/>
      <c r="Y465" s="35"/>
      <c r="Z465" s="35"/>
      <c r="AA465" s="35"/>
      <c r="AB465" s="35"/>
      <c r="AC465" s="35"/>
      <c r="AD465" s="35"/>
    </row>
    <row r="466" spans="1:30" x14ac:dyDescent="0.25">
      <c r="A466" s="35"/>
      <c r="B466" s="35"/>
      <c r="C466" s="35"/>
      <c r="D466" s="35"/>
      <c r="E466" s="35"/>
      <c r="F466" s="35"/>
      <c r="G466" s="35"/>
      <c r="H466" s="35"/>
      <c r="I466" s="35"/>
      <c r="J466" s="35"/>
      <c r="K466" s="35"/>
      <c r="L466" s="36"/>
      <c r="M466" s="35"/>
      <c r="N466" s="35"/>
      <c r="O466" s="35"/>
      <c r="P466" s="35"/>
      <c r="Q466" s="35"/>
      <c r="R466" s="35"/>
      <c r="S466" s="35"/>
      <c r="T466" s="35"/>
      <c r="U466" s="35"/>
      <c r="V466" s="35"/>
      <c r="W466" s="35"/>
      <c r="X466" s="35"/>
      <c r="Y466" s="35"/>
      <c r="Z466" s="35"/>
      <c r="AA466" s="35"/>
      <c r="AB466" s="35"/>
      <c r="AC466" s="35"/>
      <c r="AD466" s="35"/>
    </row>
    <row r="467" spans="1:30" x14ac:dyDescent="0.25">
      <c r="A467" s="35"/>
      <c r="B467" s="35"/>
      <c r="C467" s="35"/>
      <c r="D467" s="35"/>
      <c r="E467" s="35"/>
      <c r="F467" s="35"/>
      <c r="G467" s="35"/>
      <c r="H467" s="35"/>
      <c r="I467" s="35"/>
      <c r="J467" s="35"/>
      <c r="K467" s="35"/>
      <c r="L467" s="36"/>
      <c r="M467" s="35"/>
      <c r="N467" s="35"/>
      <c r="O467" s="35"/>
      <c r="P467" s="35"/>
      <c r="Q467" s="35"/>
      <c r="R467" s="35"/>
      <c r="S467" s="35"/>
      <c r="T467" s="35"/>
      <c r="U467" s="35"/>
      <c r="V467" s="35"/>
      <c r="W467" s="35"/>
      <c r="X467" s="35"/>
      <c r="Y467" s="35"/>
      <c r="Z467" s="35"/>
      <c r="AA467" s="35"/>
      <c r="AB467" s="35"/>
      <c r="AC467" s="35"/>
      <c r="AD467" s="35"/>
    </row>
    <row r="468" spans="1:30" x14ac:dyDescent="0.25">
      <c r="A468" s="35"/>
      <c r="B468" s="35"/>
      <c r="C468" s="35"/>
      <c r="D468" s="35"/>
      <c r="E468" s="35"/>
      <c r="F468" s="35"/>
      <c r="G468" s="35"/>
      <c r="H468" s="35"/>
      <c r="I468" s="35"/>
      <c r="J468" s="35"/>
      <c r="K468" s="35"/>
      <c r="L468" s="36"/>
      <c r="M468" s="35"/>
      <c r="N468" s="35"/>
      <c r="O468" s="35"/>
      <c r="P468" s="35"/>
      <c r="Q468" s="35"/>
      <c r="R468" s="35"/>
      <c r="S468" s="35"/>
      <c r="T468" s="35"/>
      <c r="U468" s="35"/>
      <c r="V468" s="35"/>
      <c r="W468" s="35"/>
      <c r="X468" s="35"/>
      <c r="Y468" s="35"/>
      <c r="Z468" s="35"/>
      <c r="AA468" s="35"/>
      <c r="AB468" s="35"/>
      <c r="AC468" s="35"/>
      <c r="AD468" s="35"/>
    </row>
    <row r="469" spans="1:30" x14ac:dyDescent="0.25">
      <c r="A469" s="35"/>
      <c r="B469" s="35"/>
      <c r="C469" s="35"/>
      <c r="D469" s="35"/>
      <c r="E469" s="35"/>
      <c r="F469" s="35"/>
      <c r="G469" s="35"/>
      <c r="H469" s="35"/>
      <c r="I469" s="35"/>
      <c r="J469" s="35"/>
      <c r="K469" s="35"/>
      <c r="L469" s="36"/>
      <c r="M469" s="35"/>
      <c r="N469" s="35"/>
      <c r="O469" s="35"/>
      <c r="P469" s="35"/>
      <c r="Q469" s="35"/>
      <c r="R469" s="35"/>
      <c r="S469" s="35"/>
      <c r="T469" s="35"/>
      <c r="U469" s="35"/>
      <c r="V469" s="35"/>
      <c r="W469" s="35"/>
      <c r="X469" s="35"/>
      <c r="Y469" s="35"/>
      <c r="Z469" s="35"/>
      <c r="AA469" s="35"/>
      <c r="AB469" s="35"/>
      <c r="AC469" s="35"/>
      <c r="AD469" s="35"/>
    </row>
    <row r="470" spans="1:30" x14ac:dyDescent="0.25">
      <c r="A470" s="35"/>
      <c r="B470" s="35"/>
      <c r="C470" s="35"/>
      <c r="D470" s="35"/>
      <c r="E470" s="35"/>
      <c r="F470" s="35"/>
      <c r="G470" s="35"/>
      <c r="H470" s="35"/>
      <c r="I470" s="35"/>
      <c r="J470" s="35"/>
      <c r="K470" s="35"/>
      <c r="L470" s="36"/>
      <c r="M470" s="35"/>
      <c r="N470" s="35"/>
      <c r="O470" s="35"/>
      <c r="P470" s="35"/>
      <c r="Q470" s="35"/>
      <c r="R470" s="35"/>
      <c r="S470" s="35"/>
      <c r="T470" s="35"/>
      <c r="U470" s="35"/>
      <c r="V470" s="35"/>
      <c r="W470" s="35"/>
      <c r="X470" s="35"/>
      <c r="Y470" s="35"/>
      <c r="Z470" s="35"/>
      <c r="AA470" s="35"/>
      <c r="AB470" s="35"/>
      <c r="AC470" s="35"/>
      <c r="AD470" s="35"/>
    </row>
    <row r="471" spans="1:30" x14ac:dyDescent="0.25">
      <c r="A471" s="35"/>
      <c r="B471" s="35"/>
      <c r="C471" s="35"/>
      <c r="D471" s="35"/>
      <c r="E471" s="35"/>
      <c r="F471" s="35"/>
      <c r="G471" s="35"/>
      <c r="H471" s="35"/>
      <c r="I471" s="35"/>
      <c r="J471" s="35"/>
      <c r="K471" s="35"/>
      <c r="L471" s="36"/>
      <c r="M471" s="35"/>
      <c r="N471" s="35"/>
      <c r="O471" s="35"/>
      <c r="P471" s="35"/>
      <c r="Q471" s="35"/>
      <c r="R471" s="35"/>
      <c r="S471" s="35"/>
      <c r="T471" s="35"/>
      <c r="U471" s="35"/>
      <c r="V471" s="35"/>
      <c r="W471" s="35"/>
      <c r="X471" s="35"/>
      <c r="Y471" s="35"/>
      <c r="Z471" s="35"/>
      <c r="AA471" s="35"/>
      <c r="AB471" s="35"/>
      <c r="AC471" s="35"/>
      <c r="AD471" s="35"/>
    </row>
    <row r="472" spans="1:30" x14ac:dyDescent="0.25">
      <c r="A472" s="35"/>
      <c r="B472" s="35"/>
      <c r="C472" s="35"/>
      <c r="D472" s="35"/>
      <c r="E472" s="35"/>
      <c r="F472" s="35"/>
      <c r="G472" s="35"/>
      <c r="H472" s="35"/>
      <c r="I472" s="35"/>
      <c r="J472" s="35"/>
      <c r="K472" s="35"/>
      <c r="L472" s="36"/>
      <c r="M472" s="35"/>
      <c r="N472" s="35"/>
      <c r="O472" s="35"/>
      <c r="P472" s="35"/>
      <c r="Q472" s="35"/>
      <c r="R472" s="35"/>
      <c r="S472" s="35"/>
      <c r="T472" s="35"/>
      <c r="U472" s="35"/>
      <c r="V472" s="35"/>
      <c r="W472" s="35"/>
      <c r="X472" s="35"/>
      <c r="Y472" s="35"/>
      <c r="Z472" s="35"/>
      <c r="AA472" s="35"/>
      <c r="AB472" s="35"/>
      <c r="AC472" s="35"/>
      <c r="AD472" s="35"/>
    </row>
    <row r="473" spans="1:30" x14ac:dyDescent="0.25">
      <c r="A473" s="35"/>
      <c r="B473" s="35"/>
      <c r="C473" s="35"/>
      <c r="D473" s="35"/>
      <c r="E473" s="35"/>
      <c r="F473" s="35"/>
      <c r="G473" s="35"/>
      <c r="H473" s="35"/>
      <c r="I473" s="35"/>
      <c r="J473" s="35"/>
      <c r="K473" s="35"/>
      <c r="L473" s="36"/>
      <c r="M473" s="35"/>
      <c r="N473" s="35"/>
      <c r="O473" s="35"/>
      <c r="P473" s="35"/>
      <c r="Q473" s="35"/>
      <c r="R473" s="35"/>
      <c r="S473" s="35"/>
      <c r="T473" s="35"/>
      <c r="U473" s="35"/>
      <c r="V473" s="35"/>
      <c r="W473" s="35"/>
      <c r="X473" s="35"/>
      <c r="Y473" s="35"/>
      <c r="Z473" s="35"/>
      <c r="AA473" s="35"/>
      <c r="AB473" s="35"/>
      <c r="AC473" s="35"/>
      <c r="AD473" s="35"/>
    </row>
    <row r="474" spans="1:30" x14ac:dyDescent="0.25">
      <c r="A474" s="35"/>
      <c r="B474" s="35"/>
      <c r="C474" s="35"/>
      <c r="D474" s="35"/>
      <c r="E474" s="35"/>
      <c r="F474" s="35"/>
      <c r="G474" s="35"/>
      <c r="H474" s="35"/>
      <c r="I474" s="35"/>
      <c r="J474" s="35"/>
      <c r="K474" s="35"/>
      <c r="L474" s="36"/>
      <c r="M474" s="35"/>
      <c r="N474" s="35"/>
      <c r="O474" s="35"/>
      <c r="P474" s="35"/>
      <c r="Q474" s="35"/>
      <c r="R474" s="35"/>
      <c r="S474" s="35"/>
      <c r="T474" s="35"/>
      <c r="U474" s="35"/>
      <c r="V474" s="35"/>
      <c r="W474" s="35"/>
      <c r="X474" s="35"/>
      <c r="Y474" s="35"/>
      <c r="Z474" s="35"/>
      <c r="AA474" s="35"/>
      <c r="AB474" s="35"/>
      <c r="AC474" s="35"/>
      <c r="AD474" s="35"/>
    </row>
    <row r="475" spans="1:30" x14ac:dyDescent="0.25">
      <c r="A475" s="35"/>
      <c r="B475" s="35"/>
      <c r="C475" s="35"/>
      <c r="D475" s="35"/>
      <c r="E475" s="35"/>
      <c r="F475" s="35"/>
      <c r="G475" s="35"/>
      <c r="H475" s="35"/>
      <c r="I475" s="35"/>
      <c r="J475" s="35"/>
      <c r="K475" s="35"/>
      <c r="L475" s="36"/>
      <c r="M475" s="35"/>
      <c r="N475" s="35"/>
      <c r="O475" s="35"/>
      <c r="P475" s="35"/>
      <c r="Q475" s="35"/>
      <c r="R475" s="35"/>
      <c r="S475" s="35"/>
      <c r="T475" s="35"/>
      <c r="U475" s="35"/>
      <c r="V475" s="35"/>
      <c r="W475" s="35"/>
      <c r="X475" s="35"/>
      <c r="Y475" s="35"/>
      <c r="Z475" s="35"/>
      <c r="AA475" s="35"/>
      <c r="AB475" s="35"/>
      <c r="AC475" s="35"/>
      <c r="AD475" s="35"/>
    </row>
    <row r="476" spans="1:30" x14ac:dyDescent="0.25">
      <c r="A476" s="35"/>
      <c r="B476" s="35"/>
      <c r="C476" s="35"/>
      <c r="D476" s="35"/>
      <c r="E476" s="35"/>
      <c r="F476" s="35"/>
      <c r="G476" s="35"/>
      <c r="H476" s="35"/>
      <c r="I476" s="35"/>
      <c r="J476" s="35"/>
      <c r="K476" s="35"/>
      <c r="L476" s="36"/>
      <c r="M476" s="35"/>
      <c r="N476" s="35"/>
      <c r="O476" s="35"/>
      <c r="P476" s="35"/>
      <c r="Q476" s="35"/>
      <c r="R476" s="35"/>
      <c r="S476" s="35"/>
      <c r="T476" s="35"/>
      <c r="U476" s="35"/>
      <c r="V476" s="35"/>
      <c r="W476" s="35"/>
      <c r="X476" s="35"/>
      <c r="Y476" s="35"/>
      <c r="Z476" s="35"/>
      <c r="AA476" s="35"/>
      <c r="AB476" s="35"/>
      <c r="AC476" s="35"/>
      <c r="AD476" s="35"/>
    </row>
    <row r="477" spans="1:30" x14ac:dyDescent="0.25">
      <c r="A477" s="35"/>
      <c r="B477" s="35"/>
      <c r="C477" s="35"/>
      <c r="D477" s="35"/>
      <c r="E477" s="35"/>
      <c r="F477" s="35"/>
      <c r="G477" s="35"/>
      <c r="H477" s="35"/>
      <c r="I477" s="35"/>
      <c r="J477" s="35"/>
      <c r="K477" s="35"/>
      <c r="L477" s="36"/>
      <c r="M477" s="35"/>
      <c r="N477" s="35"/>
      <c r="O477" s="35"/>
      <c r="P477" s="35"/>
      <c r="Q477" s="35"/>
      <c r="R477" s="35"/>
      <c r="S477" s="35"/>
      <c r="T477" s="35"/>
      <c r="U477" s="35"/>
      <c r="V477" s="35"/>
      <c r="W477" s="35"/>
      <c r="X477" s="35"/>
      <c r="Y477" s="35"/>
      <c r="Z477" s="35"/>
      <c r="AA477" s="35"/>
      <c r="AB477" s="35"/>
      <c r="AC477" s="35"/>
      <c r="AD477" s="35"/>
    </row>
    <row r="478" spans="1:30" x14ac:dyDescent="0.25">
      <c r="A478" s="35"/>
      <c r="B478" s="35"/>
      <c r="C478" s="35"/>
      <c r="D478" s="35"/>
      <c r="E478" s="35"/>
      <c r="F478" s="35"/>
      <c r="G478" s="35"/>
      <c r="H478" s="35"/>
      <c r="I478" s="35"/>
      <c r="J478" s="35"/>
      <c r="K478" s="35"/>
      <c r="L478" s="36"/>
      <c r="M478" s="35"/>
      <c r="N478" s="35"/>
      <c r="O478" s="35"/>
      <c r="P478" s="35"/>
      <c r="Q478" s="35"/>
      <c r="R478" s="35"/>
      <c r="S478" s="35"/>
      <c r="T478" s="35"/>
      <c r="U478" s="35"/>
      <c r="V478" s="35"/>
      <c r="W478" s="35"/>
      <c r="X478" s="35"/>
      <c r="Y478" s="35"/>
      <c r="Z478" s="35"/>
      <c r="AA478" s="35"/>
      <c r="AB478" s="35"/>
      <c r="AC478" s="35"/>
      <c r="AD478" s="35"/>
    </row>
    <row r="479" spans="1:30" x14ac:dyDescent="0.25">
      <c r="A479" s="35"/>
      <c r="B479" s="35"/>
      <c r="C479" s="35"/>
      <c r="D479" s="35"/>
      <c r="E479" s="35"/>
      <c r="F479" s="35"/>
      <c r="G479" s="35"/>
      <c r="H479" s="35"/>
      <c r="I479" s="35"/>
      <c r="J479" s="35"/>
      <c r="K479" s="35"/>
      <c r="L479" s="36"/>
      <c r="M479" s="35"/>
      <c r="N479" s="35"/>
      <c r="O479" s="35"/>
      <c r="P479" s="35"/>
      <c r="Q479" s="35"/>
      <c r="R479" s="35"/>
      <c r="S479" s="35"/>
      <c r="T479" s="35"/>
      <c r="U479" s="35"/>
      <c r="V479" s="35"/>
      <c r="W479" s="35"/>
      <c r="X479" s="35"/>
      <c r="Y479" s="35"/>
      <c r="Z479" s="35"/>
      <c r="AA479" s="35"/>
      <c r="AB479" s="35"/>
      <c r="AC479" s="35"/>
      <c r="AD479" s="35"/>
    </row>
    <row r="480" spans="1:30" x14ac:dyDescent="0.25">
      <c r="A480" s="35"/>
      <c r="B480" s="35"/>
      <c r="C480" s="35"/>
      <c r="D480" s="35"/>
      <c r="E480" s="35"/>
      <c r="F480" s="35"/>
      <c r="G480" s="35"/>
      <c r="H480" s="35"/>
      <c r="I480" s="35"/>
      <c r="J480" s="35"/>
      <c r="K480" s="35"/>
      <c r="L480" s="36"/>
      <c r="M480" s="35"/>
      <c r="N480" s="35"/>
      <c r="O480" s="35"/>
      <c r="P480" s="35"/>
      <c r="Q480" s="35"/>
      <c r="R480" s="35"/>
      <c r="S480" s="35"/>
      <c r="T480" s="35"/>
      <c r="U480" s="35"/>
      <c r="V480" s="35"/>
      <c r="W480" s="35"/>
      <c r="X480" s="35"/>
      <c r="Y480" s="35"/>
      <c r="Z480" s="35"/>
      <c r="AA480" s="35"/>
      <c r="AB480" s="35"/>
      <c r="AC480" s="35"/>
      <c r="AD480" s="35"/>
    </row>
    <row r="481" spans="1:30" x14ac:dyDescent="0.25">
      <c r="A481" s="35"/>
      <c r="B481" s="35"/>
      <c r="C481" s="35"/>
      <c r="D481" s="35"/>
      <c r="E481" s="35"/>
      <c r="F481" s="35"/>
      <c r="G481" s="35"/>
      <c r="H481" s="35"/>
      <c r="I481" s="35"/>
      <c r="J481" s="35"/>
      <c r="K481" s="35"/>
      <c r="L481" s="36"/>
      <c r="M481" s="35"/>
      <c r="N481" s="35"/>
      <c r="O481" s="35"/>
      <c r="P481" s="35"/>
      <c r="Q481" s="35"/>
      <c r="R481" s="35"/>
      <c r="S481" s="35"/>
      <c r="T481" s="35"/>
      <c r="U481" s="35"/>
      <c r="V481" s="35"/>
      <c r="W481" s="35"/>
      <c r="X481" s="35"/>
      <c r="Y481" s="35"/>
      <c r="Z481" s="35"/>
      <c r="AA481" s="35"/>
      <c r="AB481" s="35"/>
      <c r="AC481" s="35"/>
      <c r="AD481" s="35"/>
    </row>
    <row r="482" spans="1:30" x14ac:dyDescent="0.25">
      <c r="A482" s="35"/>
      <c r="B482" s="35"/>
      <c r="C482" s="35"/>
      <c r="D482" s="35"/>
      <c r="E482" s="35"/>
      <c r="F482" s="35"/>
      <c r="G482" s="35"/>
      <c r="H482" s="35"/>
      <c r="I482" s="35"/>
      <c r="J482" s="35"/>
      <c r="K482" s="35"/>
      <c r="L482" s="36"/>
      <c r="M482" s="35"/>
      <c r="N482" s="35"/>
      <c r="O482" s="35"/>
      <c r="P482" s="35"/>
      <c r="Q482" s="35"/>
      <c r="R482" s="35"/>
      <c r="S482" s="35"/>
      <c r="T482" s="35"/>
      <c r="U482" s="35"/>
      <c r="V482" s="35"/>
      <c r="W482" s="35"/>
      <c r="X482" s="35"/>
      <c r="Y482" s="35"/>
      <c r="Z482" s="35"/>
      <c r="AA482" s="35"/>
      <c r="AB482" s="35"/>
      <c r="AC482" s="35"/>
      <c r="AD482" s="35"/>
    </row>
    <row r="483" spans="1:30" x14ac:dyDescent="0.25">
      <c r="A483" s="35"/>
      <c r="B483" s="35"/>
      <c r="C483" s="35"/>
      <c r="D483" s="35"/>
      <c r="E483" s="35"/>
      <c r="F483" s="35"/>
      <c r="G483" s="35"/>
      <c r="H483" s="35"/>
      <c r="I483" s="35"/>
      <c r="J483" s="35"/>
      <c r="K483" s="35"/>
      <c r="L483" s="36"/>
      <c r="M483" s="35"/>
      <c r="N483" s="35"/>
      <c r="O483" s="35"/>
      <c r="P483" s="35"/>
      <c r="Q483" s="35"/>
      <c r="R483" s="35"/>
      <c r="S483" s="35"/>
      <c r="T483" s="35"/>
      <c r="U483" s="35"/>
      <c r="V483" s="35"/>
      <c r="W483" s="35"/>
      <c r="X483" s="35"/>
      <c r="Y483" s="35"/>
      <c r="Z483" s="35"/>
      <c r="AA483" s="35"/>
      <c r="AB483" s="35"/>
      <c r="AC483" s="35"/>
      <c r="AD483" s="35"/>
    </row>
    <row r="484" spans="1:30" x14ac:dyDescent="0.25">
      <c r="A484" s="35"/>
      <c r="B484" s="35"/>
      <c r="C484" s="35"/>
      <c r="D484" s="35"/>
      <c r="E484" s="35"/>
      <c r="F484" s="35"/>
      <c r="G484" s="35"/>
      <c r="H484" s="35"/>
      <c r="I484" s="35"/>
      <c r="J484" s="35"/>
      <c r="K484" s="35"/>
      <c r="L484" s="36"/>
      <c r="M484" s="35"/>
      <c r="N484" s="35"/>
      <c r="O484" s="35"/>
      <c r="P484" s="35"/>
      <c r="Q484" s="35"/>
      <c r="R484" s="35"/>
      <c r="S484" s="35"/>
      <c r="T484" s="35"/>
      <c r="U484" s="35"/>
      <c r="V484" s="35"/>
      <c r="W484" s="35"/>
      <c r="X484" s="35"/>
      <c r="Y484" s="35"/>
      <c r="Z484" s="35"/>
      <c r="AA484" s="35"/>
      <c r="AB484" s="35"/>
      <c r="AC484" s="35"/>
      <c r="AD484" s="35"/>
    </row>
    <row r="485" spans="1:30" x14ac:dyDescent="0.25">
      <c r="A485" s="35"/>
      <c r="B485" s="35"/>
      <c r="C485" s="35"/>
      <c r="D485" s="35"/>
      <c r="E485" s="35"/>
      <c r="F485" s="35"/>
      <c r="G485" s="35"/>
      <c r="H485" s="35"/>
      <c r="I485" s="35"/>
      <c r="J485" s="35"/>
      <c r="K485" s="35"/>
      <c r="L485" s="36"/>
      <c r="M485" s="35"/>
      <c r="N485" s="35"/>
      <c r="O485" s="35"/>
      <c r="P485" s="35"/>
      <c r="Q485" s="35"/>
      <c r="R485" s="35"/>
      <c r="S485" s="35"/>
      <c r="T485" s="35"/>
      <c r="U485" s="35"/>
      <c r="V485" s="35"/>
      <c r="W485" s="35"/>
      <c r="X485" s="35"/>
      <c r="Y485" s="35"/>
      <c r="Z485" s="35"/>
      <c r="AA485" s="35"/>
      <c r="AB485" s="35"/>
      <c r="AC485" s="35"/>
      <c r="AD485" s="35"/>
    </row>
    <row r="486" spans="1:30" x14ac:dyDescent="0.25">
      <c r="A486" s="35"/>
      <c r="B486" s="35"/>
      <c r="C486" s="35"/>
      <c r="D486" s="35"/>
      <c r="E486" s="35"/>
      <c r="F486" s="35"/>
      <c r="G486" s="35"/>
      <c r="H486" s="35"/>
      <c r="I486" s="35"/>
      <c r="J486" s="35"/>
      <c r="K486" s="35"/>
      <c r="L486" s="36"/>
      <c r="M486" s="35"/>
      <c r="N486" s="35"/>
      <c r="O486" s="35"/>
      <c r="P486" s="35"/>
      <c r="Q486" s="35"/>
      <c r="R486" s="35"/>
      <c r="S486" s="35"/>
      <c r="T486" s="35"/>
      <c r="U486" s="35"/>
      <c r="V486" s="35"/>
      <c r="W486" s="35"/>
      <c r="X486" s="35"/>
      <c r="Y486" s="35"/>
      <c r="Z486" s="35"/>
      <c r="AA486" s="35"/>
      <c r="AB486" s="35"/>
      <c r="AC486" s="35"/>
      <c r="AD486" s="35"/>
    </row>
    <row r="487" spans="1:30" x14ac:dyDescent="0.25">
      <c r="A487" s="35"/>
      <c r="B487" s="35"/>
      <c r="C487" s="35"/>
      <c r="D487" s="35"/>
      <c r="E487" s="35"/>
      <c r="F487" s="35"/>
      <c r="G487" s="35"/>
      <c r="H487" s="35"/>
      <c r="I487" s="35"/>
      <c r="J487" s="35"/>
      <c r="K487" s="35"/>
      <c r="L487" s="36"/>
      <c r="M487" s="35"/>
      <c r="N487" s="35"/>
      <c r="O487" s="35"/>
      <c r="P487" s="35"/>
      <c r="Q487" s="35"/>
      <c r="R487" s="35"/>
      <c r="S487" s="35"/>
      <c r="T487" s="35"/>
      <c r="U487" s="35"/>
      <c r="V487" s="35"/>
      <c r="W487" s="35"/>
      <c r="X487" s="35"/>
      <c r="Y487" s="35"/>
      <c r="Z487" s="35"/>
      <c r="AA487" s="35"/>
      <c r="AB487" s="35"/>
      <c r="AC487" s="35"/>
      <c r="AD487" s="35"/>
    </row>
    <row r="488" spans="1:30" x14ac:dyDescent="0.25">
      <c r="A488" s="35"/>
      <c r="B488" s="35"/>
      <c r="C488" s="35"/>
      <c r="D488" s="35"/>
      <c r="E488" s="35"/>
      <c r="F488" s="35"/>
      <c r="G488" s="35"/>
      <c r="H488" s="35"/>
      <c r="I488" s="35"/>
      <c r="J488" s="35"/>
      <c r="K488" s="35"/>
      <c r="L488" s="36"/>
      <c r="M488" s="35"/>
      <c r="N488" s="35"/>
      <c r="O488" s="35"/>
      <c r="P488" s="35"/>
      <c r="Q488" s="35"/>
      <c r="R488" s="35"/>
      <c r="S488" s="35"/>
      <c r="T488" s="35"/>
      <c r="U488" s="35"/>
      <c r="V488" s="35"/>
      <c r="W488" s="35"/>
      <c r="X488" s="35"/>
      <c r="Y488" s="35"/>
      <c r="Z488" s="35"/>
      <c r="AA488" s="35"/>
      <c r="AB488" s="35"/>
      <c r="AC488" s="35"/>
      <c r="AD488" s="35"/>
    </row>
    <row r="489" spans="1:30" x14ac:dyDescent="0.25">
      <c r="A489" s="35"/>
      <c r="B489" s="35"/>
      <c r="C489" s="35"/>
      <c r="D489" s="35"/>
      <c r="E489" s="35"/>
      <c r="F489" s="35"/>
      <c r="G489" s="35"/>
      <c r="H489" s="35"/>
      <c r="I489" s="35"/>
      <c r="J489" s="35"/>
      <c r="K489" s="35"/>
      <c r="L489" s="36"/>
      <c r="M489" s="35"/>
      <c r="N489" s="35"/>
      <c r="O489" s="35"/>
      <c r="P489" s="35"/>
      <c r="Q489" s="35"/>
      <c r="R489" s="35"/>
      <c r="S489" s="35"/>
      <c r="T489" s="35"/>
      <c r="U489" s="35"/>
      <c r="V489" s="35"/>
      <c r="W489" s="35"/>
      <c r="X489" s="35"/>
      <c r="Y489" s="35"/>
      <c r="Z489" s="35"/>
      <c r="AA489" s="35"/>
      <c r="AB489" s="35"/>
      <c r="AC489" s="35"/>
      <c r="AD489" s="35"/>
    </row>
    <row r="490" spans="1:30" x14ac:dyDescent="0.25">
      <c r="A490" s="35"/>
      <c r="B490" s="35"/>
      <c r="C490" s="35"/>
      <c r="D490" s="35"/>
      <c r="E490" s="35"/>
      <c r="F490" s="35"/>
      <c r="G490" s="35"/>
      <c r="H490" s="35"/>
      <c r="I490" s="35"/>
      <c r="J490" s="35"/>
      <c r="K490" s="35"/>
      <c r="L490" s="36"/>
      <c r="M490" s="35"/>
      <c r="N490" s="35"/>
      <c r="O490" s="35"/>
      <c r="P490" s="35"/>
      <c r="Q490" s="35"/>
      <c r="R490" s="35"/>
      <c r="S490" s="35"/>
      <c r="T490" s="35"/>
      <c r="U490" s="35"/>
      <c r="V490" s="35"/>
      <c r="W490" s="35"/>
      <c r="X490" s="35"/>
      <c r="Y490" s="35"/>
      <c r="Z490" s="35"/>
      <c r="AA490" s="35"/>
      <c r="AB490" s="35"/>
      <c r="AC490" s="35"/>
      <c r="AD490" s="35"/>
    </row>
    <row r="491" spans="1:30" x14ac:dyDescent="0.25">
      <c r="A491" s="35"/>
      <c r="B491" s="35"/>
      <c r="C491" s="35"/>
      <c r="D491" s="35"/>
      <c r="E491" s="35"/>
      <c r="F491" s="35"/>
      <c r="G491" s="35"/>
      <c r="H491" s="35"/>
      <c r="I491" s="35"/>
      <c r="J491" s="35"/>
      <c r="K491" s="35"/>
      <c r="L491" s="36"/>
      <c r="M491" s="35"/>
      <c r="N491" s="35"/>
      <c r="O491" s="35"/>
      <c r="P491" s="35"/>
      <c r="Q491" s="35"/>
      <c r="R491" s="35"/>
      <c r="S491" s="35"/>
      <c r="T491" s="35"/>
      <c r="U491" s="35"/>
      <c r="V491" s="35"/>
      <c r="W491" s="35"/>
      <c r="X491" s="35"/>
      <c r="Y491" s="35"/>
      <c r="Z491" s="35"/>
      <c r="AA491" s="35"/>
      <c r="AB491" s="35"/>
      <c r="AC491" s="35"/>
      <c r="AD491" s="35"/>
    </row>
    <row r="492" spans="1:30" x14ac:dyDescent="0.25">
      <c r="A492" s="35"/>
      <c r="B492" s="35"/>
      <c r="C492" s="35"/>
      <c r="D492" s="35"/>
      <c r="E492" s="35"/>
      <c r="F492" s="35"/>
      <c r="G492" s="35"/>
      <c r="H492" s="35"/>
      <c r="I492" s="35"/>
      <c r="J492" s="35"/>
      <c r="K492" s="35"/>
      <c r="L492" s="36"/>
      <c r="M492" s="35"/>
      <c r="N492" s="35"/>
      <c r="O492" s="35"/>
      <c r="P492" s="35"/>
      <c r="Q492" s="35"/>
      <c r="R492" s="35"/>
      <c r="S492" s="35"/>
      <c r="T492" s="35"/>
      <c r="U492" s="35"/>
      <c r="V492" s="35"/>
      <c r="W492" s="35"/>
      <c r="X492" s="35"/>
      <c r="Y492" s="35"/>
      <c r="Z492" s="35"/>
      <c r="AA492" s="35"/>
      <c r="AB492" s="35"/>
      <c r="AC492" s="35"/>
      <c r="AD492" s="35"/>
    </row>
    <row r="493" spans="1:30" x14ac:dyDescent="0.25">
      <c r="A493" s="35"/>
      <c r="B493" s="35"/>
      <c r="C493" s="35"/>
      <c r="D493" s="35"/>
      <c r="E493" s="35"/>
      <c r="F493" s="35"/>
      <c r="G493" s="35"/>
      <c r="H493" s="35"/>
      <c r="I493" s="35"/>
      <c r="J493" s="35"/>
      <c r="K493" s="35"/>
      <c r="L493" s="36"/>
      <c r="M493" s="35"/>
      <c r="N493" s="35"/>
      <c r="O493" s="35"/>
      <c r="P493" s="35"/>
      <c r="Q493" s="35"/>
      <c r="R493" s="35"/>
      <c r="S493" s="35"/>
      <c r="T493" s="35"/>
      <c r="U493" s="35"/>
      <c r="V493" s="35"/>
      <c r="W493" s="35"/>
      <c r="X493" s="35"/>
      <c r="Y493" s="35"/>
      <c r="Z493" s="35"/>
      <c r="AA493" s="35"/>
      <c r="AB493" s="35"/>
      <c r="AC493" s="35"/>
      <c r="AD493" s="35"/>
    </row>
    <row r="494" spans="1:30" x14ac:dyDescent="0.25">
      <c r="A494" s="35"/>
      <c r="B494" s="35"/>
      <c r="C494" s="35"/>
      <c r="D494" s="35"/>
      <c r="E494" s="35"/>
      <c r="F494" s="35"/>
      <c r="G494" s="35"/>
      <c r="H494" s="35"/>
      <c r="I494" s="35"/>
      <c r="J494" s="35"/>
      <c r="K494" s="35"/>
      <c r="L494" s="36"/>
      <c r="M494" s="35"/>
      <c r="N494" s="35"/>
      <c r="O494" s="35"/>
      <c r="P494" s="35"/>
      <c r="Q494" s="35"/>
      <c r="R494" s="35"/>
      <c r="S494" s="35"/>
      <c r="T494" s="35"/>
      <c r="U494" s="35"/>
      <c r="V494" s="35"/>
      <c r="W494" s="35"/>
      <c r="X494" s="35"/>
      <c r="Y494" s="35"/>
      <c r="Z494" s="35"/>
      <c r="AA494" s="35"/>
      <c r="AB494" s="35"/>
      <c r="AC494" s="35"/>
      <c r="AD494" s="35"/>
    </row>
    <row r="495" spans="1:30" x14ac:dyDescent="0.25">
      <c r="A495" s="35"/>
      <c r="B495" s="35"/>
      <c r="C495" s="35"/>
      <c r="D495" s="35"/>
      <c r="E495" s="35"/>
      <c r="F495" s="35"/>
      <c r="G495" s="35"/>
      <c r="H495" s="35"/>
      <c r="I495" s="35"/>
      <c r="J495" s="35"/>
      <c r="K495" s="35"/>
      <c r="L495" s="36"/>
      <c r="M495" s="35"/>
      <c r="N495" s="35"/>
      <c r="O495" s="35"/>
      <c r="P495" s="35"/>
      <c r="Q495" s="35"/>
      <c r="R495" s="35"/>
      <c r="S495" s="35"/>
      <c r="T495" s="35"/>
      <c r="U495" s="35"/>
      <c r="V495" s="35"/>
      <c r="W495" s="35"/>
      <c r="X495" s="35"/>
      <c r="Y495" s="35"/>
      <c r="Z495" s="35"/>
      <c r="AA495" s="35"/>
      <c r="AB495" s="35"/>
      <c r="AC495" s="35"/>
      <c r="AD495" s="35"/>
    </row>
    <row r="496" spans="1:30" x14ac:dyDescent="0.25">
      <c r="A496" s="35"/>
      <c r="B496" s="35"/>
      <c r="C496" s="35"/>
      <c r="D496" s="35"/>
      <c r="E496" s="35"/>
      <c r="F496" s="35"/>
      <c r="G496" s="35"/>
      <c r="H496" s="35"/>
      <c r="I496" s="35"/>
      <c r="J496" s="35"/>
      <c r="K496" s="35"/>
      <c r="L496" s="36"/>
      <c r="M496" s="35"/>
      <c r="N496" s="35"/>
      <c r="O496" s="35"/>
      <c r="P496" s="35"/>
      <c r="Q496" s="35"/>
      <c r="R496" s="35"/>
      <c r="S496" s="35"/>
      <c r="T496" s="35"/>
      <c r="U496" s="35"/>
      <c r="V496" s="35"/>
      <c r="W496" s="35"/>
      <c r="X496" s="35"/>
      <c r="Y496" s="35"/>
      <c r="Z496" s="35"/>
      <c r="AA496" s="35"/>
      <c r="AB496" s="35"/>
      <c r="AC496" s="35"/>
      <c r="AD496" s="35"/>
    </row>
    <row r="497" spans="1:30" x14ac:dyDescent="0.25">
      <c r="A497" s="35"/>
      <c r="B497" s="35"/>
      <c r="C497" s="35"/>
      <c r="D497" s="35"/>
      <c r="E497" s="35"/>
      <c r="F497" s="35"/>
      <c r="G497" s="35"/>
      <c r="H497" s="35"/>
      <c r="I497" s="35"/>
      <c r="J497" s="35"/>
      <c r="K497" s="35"/>
      <c r="L497" s="36"/>
      <c r="M497" s="35"/>
      <c r="N497" s="35"/>
      <c r="O497" s="35"/>
      <c r="P497" s="35"/>
      <c r="Q497" s="35"/>
      <c r="R497" s="35"/>
      <c r="S497" s="35"/>
      <c r="T497" s="35"/>
      <c r="U497" s="35"/>
      <c r="V497" s="35"/>
      <c r="W497" s="35"/>
      <c r="X497" s="35"/>
      <c r="Y497" s="35"/>
      <c r="Z497" s="35"/>
      <c r="AA497" s="35"/>
      <c r="AB497" s="35"/>
      <c r="AC497" s="35"/>
      <c r="AD497" s="35"/>
    </row>
    <row r="498" spans="1:30" x14ac:dyDescent="0.25">
      <c r="A498" s="35"/>
      <c r="B498" s="35"/>
      <c r="C498" s="35"/>
      <c r="D498" s="35"/>
      <c r="E498" s="35"/>
      <c r="F498" s="35"/>
      <c r="G498" s="35"/>
      <c r="H498" s="35"/>
      <c r="I498" s="35"/>
      <c r="J498" s="35"/>
      <c r="K498" s="35"/>
      <c r="L498" s="36"/>
      <c r="M498" s="35"/>
      <c r="N498" s="35"/>
      <c r="O498" s="35"/>
      <c r="P498" s="35"/>
      <c r="Q498" s="35"/>
      <c r="R498" s="35"/>
      <c r="S498" s="35"/>
      <c r="T498" s="35"/>
      <c r="U498" s="35"/>
      <c r="V498" s="35"/>
      <c r="W498" s="35"/>
      <c r="X498" s="35"/>
      <c r="Y498" s="35"/>
      <c r="Z498" s="35"/>
      <c r="AA498" s="35"/>
      <c r="AB498" s="35"/>
      <c r="AC498" s="35"/>
      <c r="AD498" s="35"/>
    </row>
    <row r="499" spans="1:30" x14ac:dyDescent="0.25">
      <c r="A499" s="35"/>
      <c r="B499" s="35"/>
      <c r="C499" s="35"/>
      <c r="D499" s="35"/>
      <c r="E499" s="35"/>
      <c r="F499" s="35"/>
      <c r="G499" s="35"/>
      <c r="H499" s="35"/>
      <c r="I499" s="35"/>
      <c r="J499" s="35"/>
      <c r="K499" s="35"/>
      <c r="L499" s="36"/>
      <c r="M499" s="35"/>
      <c r="N499" s="35"/>
      <c r="O499" s="35"/>
      <c r="P499" s="35"/>
      <c r="Q499" s="35"/>
      <c r="R499" s="35"/>
      <c r="S499" s="35"/>
      <c r="T499" s="35"/>
      <c r="U499" s="35"/>
      <c r="V499" s="35"/>
      <c r="W499" s="35"/>
      <c r="X499" s="35"/>
      <c r="Y499" s="35"/>
      <c r="Z499" s="35"/>
      <c r="AA499" s="35"/>
      <c r="AB499" s="35"/>
      <c r="AC499" s="35"/>
      <c r="AD499" s="35"/>
    </row>
    <row r="500" spans="1:30" x14ac:dyDescent="0.25">
      <c r="A500" s="35"/>
      <c r="B500" s="35"/>
      <c r="C500" s="35"/>
      <c r="D500" s="35"/>
      <c r="E500" s="35"/>
      <c r="F500" s="35"/>
      <c r="G500" s="35"/>
      <c r="H500" s="35"/>
      <c r="I500" s="35"/>
      <c r="J500" s="35"/>
      <c r="K500" s="35"/>
      <c r="L500" s="36"/>
      <c r="M500" s="35"/>
      <c r="N500" s="35"/>
      <c r="O500" s="35"/>
      <c r="P500" s="35"/>
      <c r="Q500" s="35"/>
      <c r="R500" s="35"/>
      <c r="S500" s="35"/>
      <c r="T500" s="35"/>
      <c r="U500" s="35"/>
      <c r="V500" s="35"/>
      <c r="W500" s="35"/>
      <c r="X500" s="35"/>
      <c r="Y500" s="35"/>
      <c r="Z500" s="35"/>
      <c r="AA500" s="35"/>
      <c r="AB500" s="35"/>
      <c r="AC500" s="35"/>
      <c r="AD500" s="35"/>
    </row>
    <row r="501" spans="1:30" x14ac:dyDescent="0.25">
      <c r="A501" s="35"/>
      <c r="B501" s="35"/>
      <c r="C501" s="35"/>
      <c r="D501" s="35"/>
      <c r="E501" s="35"/>
      <c r="F501" s="35"/>
      <c r="G501" s="35"/>
      <c r="H501" s="35"/>
      <c r="I501" s="35"/>
      <c r="J501" s="35"/>
      <c r="K501" s="35"/>
      <c r="L501" s="36"/>
      <c r="M501" s="35"/>
      <c r="N501" s="35"/>
      <c r="O501" s="35"/>
      <c r="P501" s="35"/>
      <c r="Q501" s="35"/>
      <c r="R501" s="35"/>
      <c r="S501" s="35"/>
      <c r="T501" s="35"/>
      <c r="U501" s="35"/>
      <c r="V501" s="35"/>
      <c r="W501" s="35"/>
      <c r="X501" s="35"/>
      <c r="Y501" s="35"/>
      <c r="Z501" s="35"/>
      <c r="AA501" s="35"/>
      <c r="AB501" s="35"/>
      <c r="AC501" s="35"/>
      <c r="AD501" s="35"/>
    </row>
    <row r="502" spans="1:30" x14ac:dyDescent="0.25">
      <c r="A502" s="35"/>
      <c r="B502" s="35"/>
      <c r="C502" s="35"/>
      <c r="D502" s="35"/>
      <c r="E502" s="35"/>
      <c r="F502" s="35"/>
      <c r="G502" s="35"/>
      <c r="H502" s="35"/>
      <c r="I502" s="35"/>
      <c r="J502" s="35"/>
      <c r="K502" s="35"/>
      <c r="L502" s="36"/>
      <c r="M502" s="35"/>
      <c r="N502" s="35"/>
      <c r="O502" s="35"/>
      <c r="P502" s="35"/>
      <c r="Q502" s="35"/>
      <c r="R502" s="35"/>
      <c r="S502" s="35"/>
      <c r="T502" s="35"/>
      <c r="U502" s="35"/>
      <c r="V502" s="35"/>
      <c r="W502" s="35"/>
      <c r="X502" s="35"/>
      <c r="Y502" s="35"/>
      <c r="Z502" s="35"/>
      <c r="AA502" s="35"/>
      <c r="AB502" s="35"/>
      <c r="AC502" s="35"/>
      <c r="AD502" s="35"/>
    </row>
    <row r="503" spans="1:30" x14ac:dyDescent="0.25">
      <c r="A503" s="35"/>
      <c r="B503" s="35"/>
      <c r="C503" s="35"/>
      <c r="D503" s="35"/>
      <c r="E503" s="35"/>
      <c r="F503" s="35"/>
      <c r="G503" s="35"/>
      <c r="H503" s="35"/>
      <c r="I503" s="35"/>
      <c r="J503" s="35"/>
      <c r="K503" s="35"/>
      <c r="L503" s="36"/>
      <c r="M503" s="35"/>
      <c r="N503" s="35"/>
      <c r="O503" s="35"/>
      <c r="P503" s="35"/>
      <c r="Q503" s="35"/>
      <c r="R503" s="35"/>
      <c r="S503" s="35"/>
      <c r="T503" s="35"/>
      <c r="U503" s="35"/>
      <c r="V503" s="35"/>
      <c r="W503" s="35"/>
      <c r="X503" s="35"/>
      <c r="Y503" s="35"/>
      <c r="Z503" s="35"/>
      <c r="AA503" s="35"/>
      <c r="AB503" s="35"/>
      <c r="AC503" s="35"/>
      <c r="AD503" s="35"/>
    </row>
    <row r="504" spans="1:30" x14ac:dyDescent="0.25">
      <c r="A504" s="35"/>
      <c r="B504" s="35"/>
      <c r="C504" s="35"/>
      <c r="D504" s="35"/>
      <c r="E504" s="35"/>
      <c r="F504" s="35"/>
      <c r="G504" s="35"/>
      <c r="H504" s="35"/>
      <c r="I504" s="35"/>
      <c r="J504" s="35"/>
      <c r="K504" s="35"/>
      <c r="L504" s="36"/>
      <c r="M504" s="35"/>
      <c r="N504" s="35"/>
      <c r="O504" s="35"/>
      <c r="P504" s="35"/>
      <c r="Q504" s="35"/>
      <c r="R504" s="35"/>
      <c r="S504" s="35"/>
      <c r="T504" s="35"/>
      <c r="U504" s="35"/>
      <c r="V504" s="35"/>
      <c r="W504" s="35"/>
      <c r="X504" s="35"/>
      <c r="Y504" s="35"/>
      <c r="Z504" s="35"/>
      <c r="AA504" s="35"/>
      <c r="AB504" s="35"/>
      <c r="AC504" s="35"/>
      <c r="AD504" s="35"/>
    </row>
    <row r="505" spans="1:30" x14ac:dyDescent="0.25">
      <c r="A505" s="35"/>
      <c r="B505" s="35"/>
      <c r="C505" s="35"/>
      <c r="D505" s="35"/>
      <c r="E505" s="35"/>
      <c r="F505" s="35"/>
      <c r="G505" s="35"/>
      <c r="H505" s="35"/>
      <c r="I505" s="35"/>
      <c r="J505" s="35"/>
      <c r="K505" s="35"/>
      <c r="L505" s="36"/>
      <c r="M505" s="35"/>
      <c r="N505" s="35"/>
      <c r="O505" s="35"/>
      <c r="P505" s="35"/>
      <c r="Q505" s="35"/>
      <c r="R505" s="35"/>
      <c r="S505" s="35"/>
      <c r="T505" s="35"/>
      <c r="U505" s="35"/>
      <c r="V505" s="35"/>
      <c r="W505" s="35"/>
      <c r="X505" s="35"/>
      <c r="Y505" s="35"/>
      <c r="Z505" s="35"/>
      <c r="AA505" s="35"/>
      <c r="AB505" s="35"/>
      <c r="AC505" s="35"/>
      <c r="AD505" s="35"/>
    </row>
    <row r="506" spans="1:30" x14ac:dyDescent="0.25">
      <c r="A506" s="35"/>
      <c r="B506" s="35"/>
      <c r="C506" s="35"/>
      <c r="D506" s="35"/>
      <c r="E506" s="35"/>
      <c r="F506" s="35"/>
      <c r="G506" s="35"/>
      <c r="H506" s="35"/>
      <c r="I506" s="35"/>
      <c r="J506" s="35"/>
      <c r="K506" s="35"/>
      <c r="L506" s="36"/>
      <c r="M506" s="35"/>
      <c r="N506" s="35"/>
      <c r="O506" s="35"/>
      <c r="P506" s="35"/>
      <c r="Q506" s="35"/>
      <c r="R506" s="35"/>
      <c r="S506" s="35"/>
      <c r="T506" s="35"/>
      <c r="U506" s="35"/>
      <c r="V506" s="35"/>
      <c r="W506" s="35"/>
      <c r="X506" s="35"/>
      <c r="Y506" s="35"/>
      <c r="Z506" s="35"/>
      <c r="AA506" s="35"/>
      <c r="AB506" s="35"/>
      <c r="AC506" s="35"/>
      <c r="AD506" s="35"/>
    </row>
    <row r="507" spans="1:30" x14ac:dyDescent="0.25">
      <c r="A507" s="35"/>
      <c r="B507" s="35"/>
      <c r="C507" s="35"/>
      <c r="D507" s="35"/>
      <c r="E507" s="35"/>
      <c r="F507" s="35"/>
      <c r="G507" s="35"/>
      <c r="H507" s="35"/>
      <c r="I507" s="35"/>
      <c r="J507" s="35"/>
      <c r="K507" s="35"/>
      <c r="L507" s="36"/>
      <c r="M507" s="35"/>
      <c r="N507" s="35"/>
      <c r="O507" s="35"/>
      <c r="P507" s="35"/>
      <c r="Q507" s="35"/>
      <c r="R507" s="35"/>
      <c r="S507" s="35"/>
      <c r="T507" s="35"/>
      <c r="U507" s="35"/>
      <c r="V507" s="35"/>
      <c r="W507" s="35"/>
      <c r="X507" s="35"/>
      <c r="Y507" s="35"/>
      <c r="Z507" s="35"/>
      <c r="AA507" s="35"/>
      <c r="AB507" s="35"/>
      <c r="AC507" s="35"/>
      <c r="AD507" s="35"/>
    </row>
    <row r="508" spans="1:30" x14ac:dyDescent="0.25">
      <c r="A508" s="35"/>
      <c r="B508" s="35"/>
      <c r="C508" s="35"/>
      <c r="D508" s="35"/>
      <c r="E508" s="35"/>
      <c r="F508" s="35"/>
      <c r="G508" s="35"/>
      <c r="H508" s="35"/>
      <c r="I508" s="35"/>
      <c r="J508" s="35"/>
      <c r="K508" s="35"/>
      <c r="L508" s="36"/>
      <c r="M508" s="35"/>
      <c r="N508" s="35"/>
      <c r="O508" s="35"/>
      <c r="P508" s="35"/>
      <c r="Q508" s="35"/>
      <c r="R508" s="35"/>
      <c r="S508" s="35"/>
      <c r="T508" s="35"/>
      <c r="U508" s="35"/>
      <c r="V508" s="35"/>
      <c r="W508" s="35"/>
      <c r="X508" s="35"/>
      <c r="Y508" s="35"/>
      <c r="Z508" s="35"/>
      <c r="AA508" s="35"/>
      <c r="AB508" s="35"/>
      <c r="AC508" s="35"/>
      <c r="AD508" s="35"/>
    </row>
    <row r="509" spans="1:30" x14ac:dyDescent="0.25">
      <c r="A509" s="35"/>
      <c r="B509" s="35"/>
      <c r="C509" s="35"/>
      <c r="D509" s="35"/>
      <c r="E509" s="35"/>
      <c r="F509" s="35"/>
      <c r="G509" s="35"/>
      <c r="H509" s="35"/>
      <c r="I509" s="35"/>
      <c r="J509" s="35"/>
      <c r="K509" s="35"/>
      <c r="L509" s="36"/>
      <c r="M509" s="35"/>
      <c r="N509" s="35"/>
      <c r="O509" s="35"/>
      <c r="P509" s="35"/>
      <c r="Q509" s="35"/>
      <c r="R509" s="35"/>
      <c r="S509" s="35"/>
      <c r="T509" s="35"/>
      <c r="U509" s="35"/>
      <c r="V509" s="35"/>
      <c r="W509" s="35"/>
      <c r="X509" s="35"/>
      <c r="Y509" s="35"/>
      <c r="Z509" s="35"/>
      <c r="AA509" s="35"/>
      <c r="AB509" s="35"/>
      <c r="AC509" s="35"/>
      <c r="AD509" s="35"/>
    </row>
    <row r="510" spans="1:30" x14ac:dyDescent="0.25">
      <c r="A510" s="35"/>
      <c r="B510" s="35"/>
      <c r="C510" s="35"/>
      <c r="D510" s="35"/>
      <c r="E510" s="35"/>
      <c r="F510" s="35"/>
      <c r="G510" s="35"/>
      <c r="H510" s="35"/>
      <c r="I510" s="35"/>
      <c r="J510" s="35"/>
      <c r="K510" s="35"/>
      <c r="L510" s="36"/>
      <c r="M510" s="35"/>
      <c r="N510" s="35"/>
      <c r="O510" s="35"/>
      <c r="P510" s="35"/>
      <c r="Q510" s="35"/>
      <c r="R510" s="35"/>
      <c r="S510" s="35"/>
      <c r="T510" s="35"/>
      <c r="U510" s="35"/>
      <c r="V510" s="35"/>
      <c r="W510" s="35"/>
      <c r="X510" s="35"/>
      <c r="Y510" s="35"/>
      <c r="Z510" s="35"/>
      <c r="AA510" s="35"/>
      <c r="AB510" s="35"/>
      <c r="AC510" s="35"/>
      <c r="AD510" s="35"/>
    </row>
    <row r="511" spans="1:30" x14ac:dyDescent="0.25">
      <c r="A511" s="35"/>
      <c r="B511" s="35"/>
      <c r="C511" s="35"/>
      <c r="D511" s="35"/>
      <c r="E511" s="35"/>
      <c r="F511" s="35"/>
      <c r="G511" s="35"/>
      <c r="H511" s="35"/>
      <c r="I511" s="35"/>
      <c r="J511" s="35"/>
      <c r="K511" s="35"/>
      <c r="L511" s="36"/>
      <c r="M511" s="35"/>
      <c r="N511" s="35"/>
      <c r="O511" s="35"/>
      <c r="P511" s="35"/>
      <c r="Q511" s="35"/>
      <c r="R511" s="35"/>
      <c r="S511" s="35"/>
      <c r="T511" s="35"/>
      <c r="U511" s="35"/>
      <c r="V511" s="35"/>
      <c r="W511" s="35"/>
      <c r="X511" s="35"/>
      <c r="Y511" s="35"/>
      <c r="Z511" s="35"/>
      <c r="AA511" s="35"/>
      <c r="AB511" s="35"/>
      <c r="AC511" s="35"/>
      <c r="AD511" s="35"/>
    </row>
    <row r="512" spans="1:30" x14ac:dyDescent="0.25">
      <c r="A512" s="35"/>
      <c r="B512" s="35"/>
      <c r="C512" s="35"/>
      <c r="D512" s="35"/>
      <c r="E512" s="35"/>
      <c r="F512" s="35"/>
      <c r="G512" s="35"/>
      <c r="H512" s="35"/>
      <c r="I512" s="35"/>
      <c r="J512" s="35"/>
      <c r="K512" s="35"/>
      <c r="L512" s="36"/>
      <c r="M512" s="35"/>
      <c r="N512" s="35"/>
      <c r="O512" s="35"/>
      <c r="P512" s="35"/>
      <c r="Q512" s="35"/>
      <c r="R512" s="35"/>
      <c r="S512" s="35"/>
      <c r="T512" s="35"/>
      <c r="U512" s="35"/>
      <c r="V512" s="35"/>
      <c r="W512" s="35"/>
      <c r="X512" s="35"/>
      <c r="Y512" s="35"/>
      <c r="Z512" s="35"/>
      <c r="AA512" s="35"/>
      <c r="AB512" s="35"/>
      <c r="AC512" s="35"/>
      <c r="AD512" s="35"/>
    </row>
    <row r="513" spans="1:30" x14ac:dyDescent="0.25">
      <c r="A513" s="35"/>
      <c r="B513" s="35"/>
      <c r="C513" s="35"/>
      <c r="D513" s="35"/>
      <c r="E513" s="35"/>
      <c r="F513" s="35"/>
      <c r="G513" s="35"/>
      <c r="H513" s="35"/>
      <c r="I513" s="35"/>
      <c r="J513" s="35"/>
      <c r="K513" s="35"/>
      <c r="L513" s="36"/>
      <c r="M513" s="35"/>
      <c r="N513" s="35"/>
      <c r="O513" s="35"/>
      <c r="P513" s="35"/>
      <c r="Q513" s="35"/>
      <c r="R513" s="35"/>
      <c r="S513" s="35"/>
      <c r="T513" s="35"/>
      <c r="U513" s="35"/>
      <c r="V513" s="35"/>
      <c r="W513" s="35"/>
      <c r="X513" s="35"/>
      <c r="Y513" s="35"/>
      <c r="Z513" s="35"/>
      <c r="AA513" s="35"/>
      <c r="AB513" s="35"/>
      <c r="AC513" s="35"/>
      <c r="AD513" s="35"/>
    </row>
    <row r="514" spans="1:30" x14ac:dyDescent="0.25">
      <c r="A514" s="35"/>
      <c r="B514" s="35"/>
      <c r="C514" s="35"/>
      <c r="D514" s="35"/>
      <c r="E514" s="35"/>
      <c r="F514" s="35"/>
      <c r="G514" s="35"/>
      <c r="H514" s="35"/>
      <c r="I514" s="35"/>
      <c r="J514" s="35"/>
      <c r="K514" s="35"/>
      <c r="L514" s="36"/>
      <c r="M514" s="35"/>
      <c r="N514" s="35"/>
      <c r="O514" s="35"/>
      <c r="P514" s="35"/>
      <c r="Q514" s="35"/>
      <c r="R514" s="35"/>
      <c r="S514" s="35"/>
      <c r="T514" s="35"/>
      <c r="U514" s="35"/>
      <c r="V514" s="35"/>
      <c r="W514" s="35"/>
      <c r="X514" s="35"/>
      <c r="Y514" s="35"/>
      <c r="Z514" s="35"/>
      <c r="AA514" s="35"/>
      <c r="AB514" s="35"/>
      <c r="AC514" s="35"/>
      <c r="AD514" s="35"/>
    </row>
    <row r="515" spans="1:30" x14ac:dyDescent="0.25">
      <c r="A515" s="35"/>
      <c r="B515" s="35"/>
      <c r="C515" s="35"/>
      <c r="D515" s="35"/>
      <c r="E515" s="35"/>
      <c r="F515" s="35"/>
      <c r="G515" s="35"/>
      <c r="H515" s="35"/>
      <c r="I515" s="35"/>
      <c r="J515" s="35"/>
      <c r="K515" s="35"/>
      <c r="L515" s="36"/>
      <c r="M515" s="35"/>
      <c r="N515" s="35"/>
      <c r="O515" s="35"/>
      <c r="P515" s="35"/>
      <c r="Q515" s="35"/>
      <c r="R515" s="35"/>
      <c r="S515" s="35"/>
      <c r="T515" s="35"/>
      <c r="U515" s="35"/>
      <c r="V515" s="35"/>
      <c r="W515" s="35"/>
      <c r="X515" s="35"/>
      <c r="Y515" s="35"/>
      <c r="Z515" s="35"/>
      <c r="AA515" s="35"/>
      <c r="AB515" s="35"/>
      <c r="AC515" s="35"/>
      <c r="AD515" s="35"/>
    </row>
    <row r="516" spans="1:30" x14ac:dyDescent="0.25">
      <c r="A516" s="35"/>
      <c r="B516" s="35"/>
      <c r="C516" s="35"/>
      <c r="D516" s="35"/>
      <c r="E516" s="35"/>
      <c r="F516" s="35"/>
      <c r="G516" s="35"/>
      <c r="H516" s="35"/>
      <c r="I516" s="35"/>
      <c r="J516" s="35"/>
      <c r="K516" s="35"/>
      <c r="L516" s="36"/>
      <c r="M516" s="35"/>
      <c r="N516" s="35"/>
      <c r="O516" s="35"/>
      <c r="P516" s="35"/>
      <c r="Q516" s="35"/>
      <c r="R516" s="35"/>
      <c r="S516" s="35"/>
      <c r="T516" s="35"/>
      <c r="U516" s="35"/>
      <c r="V516" s="35"/>
      <c r="W516" s="35"/>
      <c r="X516" s="35"/>
      <c r="Y516" s="35"/>
      <c r="Z516" s="35"/>
      <c r="AA516" s="35"/>
      <c r="AB516" s="35"/>
      <c r="AC516" s="35"/>
      <c r="AD516" s="35"/>
    </row>
    <row r="517" spans="1:30" x14ac:dyDescent="0.25">
      <c r="A517" s="35"/>
      <c r="B517" s="35"/>
      <c r="C517" s="35"/>
      <c r="D517" s="35"/>
      <c r="E517" s="35"/>
      <c r="F517" s="35"/>
      <c r="G517" s="35"/>
      <c r="H517" s="35"/>
      <c r="I517" s="35"/>
      <c r="J517" s="35"/>
      <c r="K517" s="35"/>
      <c r="L517" s="36"/>
      <c r="M517" s="35"/>
      <c r="N517" s="35"/>
      <c r="O517" s="35"/>
      <c r="P517" s="35"/>
      <c r="Q517" s="35"/>
      <c r="R517" s="35"/>
      <c r="S517" s="35"/>
      <c r="T517" s="35"/>
      <c r="U517" s="35"/>
      <c r="V517" s="35"/>
      <c r="W517" s="35"/>
      <c r="X517" s="35"/>
      <c r="Y517" s="35"/>
      <c r="Z517" s="35"/>
      <c r="AA517" s="35"/>
      <c r="AB517" s="35"/>
      <c r="AC517" s="35"/>
      <c r="AD517" s="35"/>
    </row>
    <row r="518" spans="1:30" x14ac:dyDescent="0.25">
      <c r="A518" s="35"/>
      <c r="B518" s="35"/>
      <c r="C518" s="35"/>
      <c r="D518" s="35"/>
      <c r="E518" s="35"/>
      <c r="F518" s="35"/>
      <c r="G518" s="35"/>
      <c r="H518" s="35"/>
      <c r="I518" s="35"/>
      <c r="J518" s="35"/>
      <c r="K518" s="35"/>
      <c r="L518" s="36"/>
      <c r="M518" s="35"/>
      <c r="N518" s="35"/>
      <c r="O518" s="35"/>
      <c r="P518" s="35"/>
      <c r="Q518" s="35"/>
      <c r="R518" s="35"/>
      <c r="S518" s="35"/>
      <c r="T518" s="35"/>
      <c r="U518" s="35"/>
      <c r="V518" s="35"/>
      <c r="W518" s="35"/>
      <c r="X518" s="35"/>
      <c r="Y518" s="35"/>
      <c r="Z518" s="35"/>
      <c r="AA518" s="35"/>
      <c r="AB518" s="35"/>
      <c r="AC518" s="35"/>
      <c r="AD518" s="35"/>
    </row>
    <row r="519" spans="1:30" x14ac:dyDescent="0.25">
      <c r="A519" s="35"/>
      <c r="B519" s="35"/>
      <c r="C519" s="35"/>
      <c r="D519" s="35"/>
      <c r="E519" s="35"/>
      <c r="F519" s="35"/>
      <c r="G519" s="35"/>
      <c r="H519" s="35"/>
      <c r="I519" s="35"/>
      <c r="J519" s="35"/>
      <c r="K519" s="35"/>
      <c r="L519" s="36"/>
      <c r="M519" s="35"/>
      <c r="N519" s="35"/>
      <c r="O519" s="35"/>
      <c r="P519" s="35"/>
      <c r="Q519" s="35"/>
      <c r="R519" s="35"/>
      <c r="S519" s="35"/>
      <c r="T519" s="35"/>
      <c r="U519" s="35"/>
      <c r="V519" s="35"/>
      <c r="W519" s="35"/>
      <c r="X519" s="35"/>
      <c r="Y519" s="35"/>
      <c r="Z519" s="35"/>
      <c r="AA519" s="35"/>
      <c r="AB519" s="35"/>
      <c r="AC519" s="35"/>
      <c r="AD519" s="35"/>
    </row>
    <row r="520" spans="1:30" x14ac:dyDescent="0.25">
      <c r="A520" s="35"/>
      <c r="B520" s="35"/>
      <c r="C520" s="35"/>
      <c r="D520" s="35"/>
      <c r="E520" s="35"/>
      <c r="F520" s="35"/>
      <c r="G520" s="35"/>
      <c r="H520" s="35"/>
      <c r="I520" s="35"/>
      <c r="J520" s="35"/>
      <c r="K520" s="35"/>
      <c r="L520" s="36"/>
      <c r="M520" s="35"/>
      <c r="N520" s="35"/>
      <c r="O520" s="35"/>
      <c r="P520" s="35"/>
      <c r="Q520" s="35"/>
      <c r="R520" s="35"/>
      <c r="S520" s="35"/>
      <c r="T520" s="35"/>
      <c r="U520" s="35"/>
      <c r="V520" s="35"/>
      <c r="W520" s="35"/>
      <c r="X520" s="35"/>
      <c r="Y520" s="35"/>
      <c r="Z520" s="35"/>
      <c r="AA520" s="35"/>
      <c r="AB520" s="35"/>
      <c r="AC520" s="35"/>
      <c r="AD520" s="35"/>
    </row>
    <row r="521" spans="1:30" x14ac:dyDescent="0.25">
      <c r="A521" s="35"/>
      <c r="B521" s="35"/>
      <c r="C521" s="35"/>
      <c r="D521" s="35"/>
      <c r="E521" s="35"/>
      <c r="F521" s="35"/>
      <c r="G521" s="35"/>
      <c r="H521" s="35"/>
      <c r="I521" s="35"/>
      <c r="J521" s="35"/>
      <c r="K521" s="35"/>
      <c r="L521" s="36"/>
      <c r="M521" s="35"/>
      <c r="N521" s="35"/>
      <c r="O521" s="35"/>
      <c r="P521" s="35"/>
      <c r="Q521" s="35"/>
      <c r="R521" s="35"/>
      <c r="S521" s="35"/>
      <c r="T521" s="35"/>
      <c r="U521" s="35"/>
      <c r="V521" s="35"/>
      <c r="W521" s="35"/>
      <c r="X521" s="35"/>
      <c r="Y521" s="35"/>
      <c r="Z521" s="35"/>
      <c r="AA521" s="35"/>
      <c r="AB521" s="35"/>
      <c r="AC521" s="35"/>
      <c r="AD521" s="35"/>
    </row>
    <row r="522" spans="1:30" x14ac:dyDescent="0.25">
      <c r="A522" s="35"/>
      <c r="B522" s="35"/>
      <c r="C522" s="35"/>
      <c r="D522" s="35"/>
      <c r="E522" s="35"/>
      <c r="F522" s="35"/>
      <c r="G522" s="35"/>
      <c r="H522" s="35"/>
      <c r="I522" s="35"/>
      <c r="J522" s="35"/>
      <c r="K522" s="35"/>
      <c r="L522" s="36"/>
      <c r="M522" s="35"/>
      <c r="N522" s="35"/>
      <c r="O522" s="35"/>
      <c r="P522" s="35"/>
      <c r="Q522" s="35"/>
      <c r="R522" s="35"/>
      <c r="S522" s="35"/>
      <c r="T522" s="35"/>
      <c r="U522" s="35"/>
      <c r="V522" s="35"/>
      <c r="W522" s="35"/>
      <c r="X522" s="35"/>
      <c r="Y522" s="35"/>
      <c r="Z522" s="35"/>
      <c r="AA522" s="35"/>
      <c r="AB522" s="35"/>
      <c r="AC522" s="35"/>
      <c r="AD522" s="35"/>
    </row>
    <row r="523" spans="1:30" x14ac:dyDescent="0.25">
      <c r="A523" s="35"/>
      <c r="B523" s="35"/>
      <c r="C523" s="35"/>
      <c r="D523" s="35"/>
      <c r="E523" s="35"/>
      <c r="F523" s="35"/>
      <c r="G523" s="35"/>
      <c r="H523" s="35"/>
      <c r="I523" s="35"/>
      <c r="J523" s="35"/>
      <c r="K523" s="35"/>
      <c r="L523" s="36"/>
      <c r="M523" s="35"/>
      <c r="N523" s="35"/>
      <c r="O523" s="35"/>
      <c r="P523" s="35"/>
      <c r="Q523" s="35"/>
      <c r="R523" s="35"/>
      <c r="S523" s="35"/>
      <c r="T523" s="35"/>
      <c r="U523" s="35"/>
      <c r="V523" s="35"/>
      <c r="W523" s="35"/>
      <c r="X523" s="35"/>
      <c r="Y523" s="35"/>
      <c r="Z523" s="35"/>
      <c r="AA523" s="35"/>
      <c r="AB523" s="35"/>
      <c r="AC523" s="35"/>
      <c r="AD523" s="35"/>
    </row>
    <row r="524" spans="1:30" x14ac:dyDescent="0.25">
      <c r="A524" s="35"/>
      <c r="B524" s="35"/>
      <c r="C524" s="35"/>
      <c r="D524" s="35"/>
      <c r="E524" s="35"/>
      <c r="F524" s="35"/>
      <c r="G524" s="35"/>
      <c r="H524" s="35"/>
      <c r="I524" s="35"/>
      <c r="J524" s="35"/>
      <c r="K524" s="35"/>
      <c r="L524" s="36"/>
      <c r="M524" s="35"/>
      <c r="N524" s="35"/>
      <c r="O524" s="35"/>
      <c r="P524" s="35"/>
      <c r="Q524" s="35"/>
      <c r="R524" s="35"/>
      <c r="S524" s="35"/>
      <c r="T524" s="35"/>
      <c r="U524" s="35"/>
      <c r="V524" s="35"/>
      <c r="W524" s="35"/>
      <c r="X524" s="35"/>
      <c r="Y524" s="35"/>
      <c r="Z524" s="35"/>
      <c r="AA524" s="35"/>
      <c r="AB524" s="35"/>
      <c r="AC524" s="35"/>
      <c r="AD524" s="35"/>
    </row>
    <row r="525" spans="1:30" x14ac:dyDescent="0.25">
      <c r="A525" s="35"/>
      <c r="B525" s="35"/>
      <c r="C525" s="35"/>
      <c r="D525" s="35"/>
      <c r="E525" s="35"/>
      <c r="F525" s="35"/>
      <c r="G525" s="35"/>
      <c r="H525" s="35"/>
      <c r="I525" s="35"/>
      <c r="J525" s="35"/>
      <c r="K525" s="35"/>
      <c r="L525" s="36"/>
      <c r="M525" s="35"/>
      <c r="N525" s="35"/>
      <c r="O525" s="35"/>
      <c r="P525" s="35"/>
      <c r="Q525" s="35"/>
      <c r="R525" s="35"/>
      <c r="S525" s="35"/>
      <c r="T525" s="35"/>
      <c r="U525" s="35"/>
      <c r="V525" s="35"/>
      <c r="W525" s="35"/>
      <c r="X525" s="35"/>
      <c r="Y525" s="35"/>
      <c r="Z525" s="35"/>
      <c r="AA525" s="35"/>
      <c r="AB525" s="35"/>
      <c r="AC525" s="35"/>
      <c r="AD525" s="35"/>
    </row>
    <row r="526" spans="1:30" x14ac:dyDescent="0.25">
      <c r="A526" s="35"/>
      <c r="B526" s="35"/>
      <c r="C526" s="35"/>
      <c r="D526" s="35"/>
      <c r="E526" s="35"/>
      <c r="F526" s="35"/>
      <c r="G526" s="35"/>
      <c r="H526" s="35"/>
      <c r="I526" s="35"/>
      <c r="J526" s="35"/>
      <c r="K526" s="35"/>
      <c r="L526" s="36"/>
      <c r="M526" s="35"/>
      <c r="N526" s="35"/>
      <c r="O526" s="35"/>
      <c r="P526" s="35"/>
      <c r="Q526" s="35"/>
      <c r="R526" s="35"/>
      <c r="S526" s="35"/>
      <c r="T526" s="35"/>
      <c r="U526" s="35"/>
      <c r="V526" s="35"/>
      <c r="W526" s="35"/>
      <c r="X526" s="35"/>
      <c r="Y526" s="35"/>
      <c r="Z526" s="35"/>
      <c r="AA526" s="35"/>
      <c r="AB526" s="35"/>
      <c r="AC526" s="35"/>
      <c r="AD526" s="35"/>
    </row>
    <row r="527" spans="1:30" x14ac:dyDescent="0.25">
      <c r="A527" s="35"/>
      <c r="B527" s="35"/>
      <c r="C527" s="35"/>
      <c r="D527" s="35"/>
      <c r="E527" s="35"/>
      <c r="F527" s="35"/>
      <c r="G527" s="35"/>
      <c r="H527" s="35"/>
      <c r="I527" s="35"/>
      <c r="J527" s="35"/>
      <c r="K527" s="35"/>
      <c r="L527" s="36"/>
      <c r="M527" s="35"/>
      <c r="N527" s="35"/>
      <c r="O527" s="35"/>
      <c r="P527" s="35"/>
      <c r="Q527" s="35"/>
      <c r="R527" s="35"/>
      <c r="S527" s="35"/>
      <c r="T527" s="35"/>
      <c r="U527" s="35"/>
      <c r="V527" s="35"/>
      <c r="W527" s="35"/>
      <c r="X527" s="35"/>
      <c r="Y527" s="35"/>
      <c r="Z527" s="35"/>
      <c r="AA527" s="35"/>
      <c r="AB527" s="35"/>
      <c r="AC527" s="35"/>
      <c r="AD527" s="35"/>
    </row>
    <row r="528" spans="1:30" x14ac:dyDescent="0.25">
      <c r="A528" s="35"/>
      <c r="B528" s="35"/>
      <c r="C528" s="35"/>
      <c r="D528" s="35"/>
      <c r="E528" s="35"/>
      <c r="F528" s="35"/>
      <c r="G528" s="35"/>
      <c r="H528" s="35"/>
      <c r="I528" s="35"/>
      <c r="J528" s="35"/>
      <c r="K528" s="35"/>
      <c r="L528" s="36"/>
      <c r="M528" s="35"/>
      <c r="N528" s="35"/>
      <c r="O528" s="35"/>
      <c r="P528" s="35"/>
      <c r="Q528" s="35"/>
      <c r="R528" s="35"/>
      <c r="S528" s="35"/>
      <c r="T528" s="35"/>
      <c r="U528" s="35"/>
      <c r="V528" s="35"/>
      <c r="W528" s="35"/>
      <c r="X528" s="35"/>
      <c r="Y528" s="35"/>
      <c r="Z528" s="35"/>
      <c r="AA528" s="35"/>
      <c r="AB528" s="35"/>
      <c r="AC528" s="35"/>
      <c r="AD528" s="35"/>
    </row>
    <row r="529" spans="1:30" x14ac:dyDescent="0.25">
      <c r="A529" s="35"/>
      <c r="B529" s="35"/>
      <c r="C529" s="35"/>
      <c r="D529" s="35"/>
      <c r="E529" s="35"/>
      <c r="F529" s="35"/>
      <c r="G529" s="35"/>
      <c r="H529" s="35"/>
      <c r="I529" s="35"/>
      <c r="J529" s="35"/>
      <c r="K529" s="35"/>
      <c r="L529" s="36"/>
      <c r="M529" s="35"/>
      <c r="N529" s="35"/>
      <c r="O529" s="35"/>
      <c r="P529" s="35"/>
      <c r="Q529" s="35"/>
      <c r="R529" s="35"/>
      <c r="S529" s="35"/>
      <c r="T529" s="35"/>
      <c r="U529" s="35"/>
      <c r="V529" s="35"/>
      <c r="W529" s="35"/>
      <c r="X529" s="35"/>
      <c r="Y529" s="35"/>
      <c r="Z529" s="35"/>
      <c r="AA529" s="35"/>
      <c r="AB529" s="35"/>
      <c r="AC529" s="35"/>
      <c r="AD529" s="35"/>
    </row>
    <row r="530" spans="1:30" x14ac:dyDescent="0.25">
      <c r="A530" s="35"/>
      <c r="B530" s="35"/>
      <c r="C530" s="35"/>
      <c r="D530" s="35"/>
      <c r="E530" s="35"/>
      <c r="F530" s="35"/>
      <c r="G530" s="35"/>
      <c r="H530" s="35"/>
      <c r="I530" s="35"/>
      <c r="J530" s="35"/>
      <c r="K530" s="35"/>
      <c r="L530" s="36"/>
      <c r="M530" s="35"/>
      <c r="N530" s="35"/>
      <c r="O530" s="35"/>
      <c r="P530" s="35"/>
      <c r="Q530" s="35"/>
      <c r="R530" s="35"/>
      <c r="S530" s="35"/>
      <c r="T530" s="35"/>
      <c r="U530" s="35"/>
      <c r="V530" s="35"/>
      <c r="W530" s="35"/>
      <c r="X530" s="35"/>
      <c r="Y530" s="35"/>
      <c r="Z530" s="35"/>
      <c r="AA530" s="35"/>
      <c r="AB530" s="35"/>
      <c r="AC530" s="35"/>
      <c r="AD530" s="35"/>
    </row>
    <row r="531" spans="1:30" x14ac:dyDescent="0.25">
      <c r="A531" s="35"/>
      <c r="B531" s="35"/>
      <c r="C531" s="35"/>
      <c r="D531" s="35"/>
      <c r="E531" s="35"/>
      <c r="F531" s="35"/>
      <c r="G531" s="35"/>
      <c r="H531" s="35"/>
      <c r="I531" s="35"/>
      <c r="J531" s="35"/>
      <c r="K531" s="35"/>
      <c r="L531" s="36"/>
      <c r="M531" s="35"/>
      <c r="N531" s="35"/>
      <c r="O531" s="35"/>
      <c r="P531" s="35"/>
      <c r="Q531" s="35"/>
      <c r="R531" s="35"/>
      <c r="S531" s="35"/>
      <c r="T531" s="35"/>
      <c r="U531" s="35"/>
      <c r="V531" s="35"/>
      <c r="W531" s="35"/>
      <c r="X531" s="35"/>
      <c r="Y531" s="35"/>
      <c r="Z531" s="35"/>
      <c r="AA531" s="35"/>
      <c r="AB531" s="35"/>
      <c r="AC531" s="35"/>
      <c r="AD531" s="35"/>
    </row>
    <row r="532" spans="1:30" x14ac:dyDescent="0.25">
      <c r="A532" s="35"/>
      <c r="B532" s="35"/>
      <c r="C532" s="35"/>
      <c r="D532" s="35"/>
      <c r="E532" s="35"/>
      <c r="F532" s="35"/>
      <c r="G532" s="35"/>
      <c r="H532" s="35"/>
      <c r="I532" s="35"/>
      <c r="J532" s="35"/>
      <c r="K532" s="35"/>
      <c r="L532" s="36"/>
      <c r="M532" s="35"/>
      <c r="N532" s="35"/>
      <c r="O532" s="35"/>
      <c r="P532" s="35"/>
      <c r="Q532" s="35"/>
      <c r="R532" s="35"/>
      <c r="S532" s="35"/>
      <c r="T532" s="35"/>
      <c r="U532" s="35"/>
      <c r="V532" s="35"/>
      <c r="W532" s="35"/>
      <c r="X532" s="35"/>
      <c r="Y532" s="35"/>
      <c r="Z532" s="35"/>
      <c r="AA532" s="35"/>
      <c r="AB532" s="35"/>
      <c r="AC532" s="35"/>
      <c r="AD532" s="35"/>
    </row>
    <row r="533" spans="1:30" x14ac:dyDescent="0.25">
      <c r="A533" s="35"/>
      <c r="B533" s="35"/>
      <c r="C533" s="35"/>
      <c r="D533" s="35"/>
      <c r="E533" s="35"/>
      <c r="F533" s="35"/>
      <c r="G533" s="35"/>
      <c r="H533" s="35"/>
      <c r="I533" s="35"/>
      <c r="J533" s="35"/>
      <c r="K533" s="35"/>
      <c r="L533" s="36"/>
      <c r="M533" s="35"/>
      <c r="N533" s="35"/>
      <c r="O533" s="35"/>
      <c r="P533" s="35"/>
      <c r="Q533" s="35"/>
      <c r="R533" s="35"/>
      <c r="S533" s="35"/>
      <c r="T533" s="35"/>
      <c r="U533" s="35"/>
      <c r="V533" s="35"/>
      <c r="W533" s="35"/>
      <c r="X533" s="35"/>
      <c r="Y533" s="35"/>
      <c r="Z533" s="35"/>
      <c r="AA533" s="35"/>
      <c r="AB533" s="35"/>
      <c r="AC533" s="35"/>
      <c r="AD533" s="35"/>
    </row>
    <row r="534" spans="1:30" x14ac:dyDescent="0.25">
      <c r="A534" s="35"/>
      <c r="B534" s="35"/>
      <c r="C534" s="35"/>
      <c r="D534" s="35"/>
      <c r="E534" s="35"/>
      <c r="F534" s="35"/>
      <c r="G534" s="35"/>
      <c r="H534" s="35"/>
      <c r="I534" s="35"/>
      <c r="J534" s="35"/>
      <c r="K534" s="35"/>
      <c r="L534" s="36"/>
      <c r="M534" s="35"/>
      <c r="N534" s="35"/>
      <c r="O534" s="35"/>
      <c r="P534" s="35"/>
      <c r="Q534" s="35"/>
      <c r="R534" s="35"/>
      <c r="S534" s="35"/>
      <c r="T534" s="35"/>
      <c r="U534" s="35"/>
      <c r="V534" s="35"/>
      <c r="W534" s="35"/>
      <c r="X534" s="35"/>
      <c r="Y534" s="35"/>
      <c r="Z534" s="35"/>
      <c r="AA534" s="35"/>
      <c r="AB534" s="35"/>
      <c r="AC534" s="35"/>
      <c r="AD534" s="35"/>
    </row>
    <row r="535" spans="1:30" x14ac:dyDescent="0.25">
      <c r="A535" s="35"/>
      <c r="B535" s="35"/>
      <c r="C535" s="35"/>
      <c r="D535" s="35"/>
      <c r="E535" s="35"/>
      <c r="F535" s="35"/>
      <c r="G535" s="35"/>
      <c r="H535" s="35"/>
      <c r="I535" s="35"/>
      <c r="J535" s="35"/>
      <c r="K535" s="35"/>
      <c r="L535" s="36"/>
      <c r="M535" s="35"/>
      <c r="N535" s="35"/>
      <c r="O535" s="35"/>
      <c r="P535" s="35"/>
      <c r="Q535" s="35"/>
      <c r="R535" s="35"/>
      <c r="S535" s="35"/>
      <c r="T535" s="35"/>
      <c r="U535" s="35"/>
      <c r="V535" s="35"/>
      <c r="W535" s="35"/>
      <c r="X535" s="35"/>
      <c r="Y535" s="35"/>
      <c r="Z535" s="35"/>
      <c r="AA535" s="35"/>
      <c r="AB535" s="35"/>
      <c r="AC535" s="35"/>
      <c r="AD535" s="35"/>
    </row>
    <row r="536" spans="1:30" x14ac:dyDescent="0.25">
      <c r="A536" s="35"/>
      <c r="B536" s="35"/>
      <c r="C536" s="35"/>
      <c r="D536" s="35"/>
      <c r="E536" s="35"/>
      <c r="F536" s="35"/>
      <c r="G536" s="35"/>
      <c r="H536" s="35"/>
      <c r="I536" s="35"/>
      <c r="J536" s="35"/>
      <c r="K536" s="35"/>
      <c r="L536" s="36"/>
      <c r="M536" s="35"/>
      <c r="N536" s="35"/>
      <c r="O536" s="35"/>
      <c r="P536" s="35"/>
      <c r="Q536" s="35"/>
      <c r="R536" s="35"/>
      <c r="S536" s="35"/>
      <c r="T536" s="35"/>
      <c r="U536" s="35"/>
      <c r="V536" s="35"/>
      <c r="W536" s="35"/>
      <c r="X536" s="35"/>
      <c r="Y536" s="35"/>
      <c r="Z536" s="35"/>
      <c r="AA536" s="35"/>
      <c r="AB536" s="35"/>
      <c r="AC536" s="35"/>
      <c r="AD536" s="35"/>
    </row>
    <row r="537" spans="1:30" x14ac:dyDescent="0.25">
      <c r="A537" s="35"/>
      <c r="B537" s="35"/>
      <c r="C537" s="35"/>
      <c r="D537" s="35"/>
      <c r="E537" s="35"/>
      <c r="F537" s="35"/>
      <c r="G537" s="35"/>
      <c r="H537" s="35"/>
      <c r="I537" s="35"/>
      <c r="J537" s="35"/>
      <c r="K537" s="35"/>
      <c r="L537" s="36"/>
      <c r="M537" s="35"/>
      <c r="N537" s="35"/>
      <c r="O537" s="35"/>
      <c r="P537" s="35"/>
      <c r="Q537" s="35"/>
      <c r="R537" s="35"/>
      <c r="S537" s="35"/>
      <c r="T537" s="35"/>
      <c r="U537" s="35"/>
      <c r="V537" s="35"/>
      <c r="W537" s="35"/>
      <c r="X537" s="35"/>
      <c r="Y537" s="35"/>
      <c r="Z537" s="35"/>
      <c r="AA537" s="35"/>
      <c r="AB537" s="35"/>
      <c r="AC537" s="35"/>
      <c r="AD537" s="35"/>
    </row>
    <row r="538" spans="1:30" x14ac:dyDescent="0.25">
      <c r="A538" s="35"/>
      <c r="B538" s="35"/>
      <c r="C538" s="35"/>
      <c r="D538" s="35"/>
      <c r="E538" s="35"/>
      <c r="F538" s="35"/>
      <c r="G538" s="35"/>
      <c r="H538" s="35"/>
      <c r="I538" s="35"/>
      <c r="J538" s="35"/>
      <c r="K538" s="35"/>
      <c r="L538" s="36"/>
      <c r="M538" s="35"/>
      <c r="N538" s="35"/>
      <c r="O538" s="35"/>
      <c r="P538" s="35"/>
      <c r="Q538" s="35"/>
      <c r="R538" s="35"/>
      <c r="S538" s="35"/>
      <c r="T538" s="35"/>
      <c r="U538" s="35"/>
      <c r="V538" s="35"/>
      <c r="W538" s="35"/>
      <c r="X538" s="35"/>
      <c r="Y538" s="35"/>
      <c r="Z538" s="35"/>
      <c r="AA538" s="35"/>
      <c r="AB538" s="35"/>
      <c r="AC538" s="35"/>
      <c r="AD538" s="35"/>
    </row>
    <row r="539" spans="1:30" x14ac:dyDescent="0.25">
      <c r="A539" s="35"/>
      <c r="B539" s="35"/>
      <c r="C539" s="35"/>
      <c r="D539" s="35"/>
      <c r="E539" s="35"/>
      <c r="F539" s="35"/>
      <c r="G539" s="35"/>
      <c r="H539" s="35"/>
      <c r="I539" s="35"/>
      <c r="J539" s="35"/>
      <c r="K539" s="35"/>
      <c r="L539" s="36"/>
      <c r="M539" s="35"/>
      <c r="N539" s="35"/>
      <c r="O539" s="35"/>
      <c r="P539" s="35"/>
      <c r="Q539" s="35"/>
      <c r="R539" s="35"/>
      <c r="S539" s="35"/>
      <c r="T539" s="35"/>
      <c r="U539" s="35"/>
      <c r="V539" s="35"/>
      <c r="W539" s="35"/>
      <c r="X539" s="35"/>
      <c r="Y539" s="35"/>
      <c r="Z539" s="35"/>
      <c r="AA539" s="35"/>
      <c r="AB539" s="35"/>
      <c r="AC539" s="35"/>
      <c r="AD539" s="35"/>
    </row>
    <row r="540" spans="1:30" x14ac:dyDescent="0.25">
      <c r="A540" s="35"/>
      <c r="B540" s="35"/>
      <c r="C540" s="35"/>
      <c r="D540" s="35"/>
      <c r="E540" s="35"/>
      <c r="F540" s="35"/>
      <c r="G540" s="35"/>
      <c r="H540" s="35"/>
      <c r="I540" s="35"/>
      <c r="J540" s="35"/>
      <c r="K540" s="35"/>
      <c r="L540" s="36"/>
      <c r="M540" s="35"/>
      <c r="N540" s="35"/>
      <c r="O540" s="35"/>
      <c r="P540" s="35"/>
      <c r="Q540" s="35"/>
      <c r="R540" s="35"/>
      <c r="S540" s="35"/>
      <c r="T540" s="35"/>
      <c r="U540" s="35"/>
      <c r="V540" s="35"/>
      <c r="W540" s="35"/>
      <c r="X540" s="35"/>
      <c r="Y540" s="35"/>
      <c r="Z540" s="35"/>
      <c r="AA540" s="35"/>
      <c r="AB540" s="35"/>
      <c r="AC540" s="35"/>
      <c r="AD540" s="35"/>
    </row>
    <row r="541" spans="1:30" x14ac:dyDescent="0.25">
      <c r="A541" s="35"/>
      <c r="B541" s="35"/>
      <c r="C541" s="35"/>
      <c r="D541" s="35"/>
      <c r="E541" s="35"/>
      <c r="F541" s="35"/>
      <c r="G541" s="35"/>
      <c r="H541" s="35"/>
      <c r="I541" s="35"/>
      <c r="J541" s="35"/>
      <c r="K541" s="35"/>
      <c r="L541" s="36"/>
      <c r="M541" s="35"/>
      <c r="N541" s="35"/>
      <c r="O541" s="35"/>
      <c r="P541" s="35"/>
      <c r="Q541" s="35"/>
      <c r="R541" s="35"/>
      <c r="S541" s="35"/>
      <c r="T541" s="35"/>
      <c r="U541" s="35"/>
      <c r="V541" s="35"/>
      <c r="W541" s="35"/>
      <c r="X541" s="35"/>
      <c r="Y541" s="35"/>
      <c r="Z541" s="35"/>
      <c r="AA541" s="35"/>
      <c r="AB541" s="35"/>
      <c r="AC541" s="35"/>
      <c r="AD541" s="35"/>
    </row>
    <row r="542" spans="1:30" x14ac:dyDescent="0.25">
      <c r="A542" s="35"/>
      <c r="B542" s="35"/>
      <c r="C542" s="35"/>
      <c r="D542" s="35"/>
      <c r="E542" s="35"/>
      <c r="F542" s="35"/>
      <c r="G542" s="35"/>
      <c r="H542" s="35"/>
      <c r="I542" s="35"/>
      <c r="J542" s="35"/>
      <c r="K542" s="35"/>
      <c r="L542" s="36"/>
      <c r="M542" s="35"/>
      <c r="N542" s="35"/>
      <c r="O542" s="35"/>
      <c r="P542" s="35"/>
      <c r="Q542" s="35"/>
      <c r="R542" s="35"/>
      <c r="S542" s="35"/>
      <c r="T542" s="35"/>
      <c r="U542" s="35"/>
      <c r="V542" s="35"/>
      <c r="W542" s="35"/>
      <c r="X542" s="35"/>
      <c r="Y542" s="35"/>
      <c r="Z542" s="35"/>
      <c r="AA542" s="35"/>
      <c r="AB542" s="35"/>
      <c r="AC542" s="35"/>
      <c r="AD542" s="35"/>
    </row>
    <row r="543" spans="1:30" x14ac:dyDescent="0.25">
      <c r="A543" s="35"/>
      <c r="B543" s="35"/>
      <c r="C543" s="35"/>
      <c r="D543" s="35"/>
      <c r="E543" s="35"/>
      <c r="F543" s="35"/>
      <c r="G543" s="35"/>
      <c r="H543" s="35"/>
      <c r="I543" s="35"/>
      <c r="J543" s="35"/>
      <c r="K543" s="35"/>
      <c r="L543" s="36"/>
      <c r="M543" s="35"/>
      <c r="N543" s="35"/>
      <c r="O543" s="35"/>
      <c r="P543" s="35"/>
      <c r="Q543" s="35"/>
      <c r="R543" s="35"/>
      <c r="S543" s="35"/>
      <c r="T543" s="35"/>
      <c r="U543" s="35"/>
      <c r="V543" s="35"/>
      <c r="W543" s="35"/>
      <c r="X543" s="35"/>
      <c r="Y543" s="35"/>
      <c r="Z543" s="35"/>
      <c r="AA543" s="35"/>
      <c r="AB543" s="35"/>
      <c r="AC543" s="35"/>
      <c r="AD543" s="35"/>
    </row>
    <row r="544" spans="1:30" x14ac:dyDescent="0.25">
      <c r="A544" s="35"/>
      <c r="B544" s="35"/>
      <c r="C544" s="35"/>
      <c r="D544" s="35"/>
      <c r="E544" s="35"/>
      <c r="F544" s="35"/>
      <c r="G544" s="35"/>
      <c r="H544" s="35"/>
      <c r="I544" s="35"/>
      <c r="J544" s="35"/>
      <c r="K544" s="35"/>
      <c r="L544" s="36"/>
      <c r="M544" s="35"/>
      <c r="N544" s="35"/>
      <c r="O544" s="35"/>
      <c r="P544" s="35"/>
      <c r="Q544" s="35"/>
      <c r="R544" s="35"/>
      <c r="S544" s="35"/>
      <c r="T544" s="35"/>
      <c r="U544" s="35"/>
      <c r="V544" s="35"/>
      <c r="W544" s="35"/>
      <c r="X544" s="35"/>
      <c r="Y544" s="35"/>
      <c r="Z544" s="35"/>
      <c r="AA544" s="35"/>
      <c r="AB544" s="35"/>
      <c r="AC544" s="35"/>
      <c r="AD544" s="35"/>
    </row>
    <row r="545" spans="1:30" x14ac:dyDescent="0.25">
      <c r="A545" s="35"/>
      <c r="B545" s="35"/>
      <c r="C545" s="35"/>
      <c r="D545" s="35"/>
      <c r="E545" s="35"/>
      <c r="F545" s="35"/>
      <c r="G545" s="35"/>
      <c r="H545" s="35"/>
      <c r="I545" s="35"/>
      <c r="J545" s="35"/>
      <c r="K545" s="35"/>
      <c r="L545" s="36"/>
      <c r="M545" s="35"/>
      <c r="N545" s="35"/>
      <c r="O545" s="35"/>
      <c r="P545" s="35"/>
      <c r="Q545" s="35"/>
      <c r="R545" s="35"/>
      <c r="S545" s="35"/>
      <c r="T545" s="35"/>
      <c r="U545" s="35"/>
      <c r="V545" s="35"/>
      <c r="W545" s="35"/>
      <c r="X545" s="35"/>
      <c r="Y545" s="35"/>
      <c r="Z545" s="35"/>
      <c r="AA545" s="35"/>
      <c r="AB545" s="35"/>
      <c r="AC545" s="35"/>
      <c r="AD545" s="35"/>
    </row>
    <row r="546" spans="1:30" x14ac:dyDescent="0.25">
      <c r="A546" s="35"/>
      <c r="B546" s="35"/>
      <c r="C546" s="35"/>
      <c r="D546" s="35"/>
      <c r="E546" s="35"/>
      <c r="F546" s="35"/>
      <c r="G546" s="35"/>
      <c r="H546" s="35"/>
      <c r="I546" s="35"/>
      <c r="J546" s="35"/>
      <c r="K546" s="35"/>
      <c r="L546" s="36"/>
      <c r="M546" s="35"/>
      <c r="N546" s="35"/>
      <c r="O546" s="35"/>
      <c r="P546" s="35"/>
      <c r="Q546" s="35"/>
      <c r="R546" s="35"/>
      <c r="S546" s="35"/>
      <c r="T546" s="35"/>
      <c r="U546" s="35"/>
      <c r="V546" s="35"/>
      <c r="W546" s="35"/>
      <c r="X546" s="35"/>
      <c r="Y546" s="35"/>
      <c r="Z546" s="35"/>
      <c r="AA546" s="35"/>
      <c r="AB546" s="35"/>
      <c r="AC546" s="35"/>
      <c r="AD546" s="35"/>
    </row>
    <row r="547" spans="1:30" x14ac:dyDescent="0.25">
      <c r="A547" s="35"/>
      <c r="B547" s="35"/>
      <c r="C547" s="35"/>
      <c r="D547" s="35"/>
      <c r="E547" s="35"/>
      <c r="F547" s="35"/>
      <c r="G547" s="35"/>
      <c r="H547" s="35"/>
      <c r="I547" s="35"/>
      <c r="J547" s="35"/>
      <c r="K547" s="35"/>
      <c r="L547" s="36"/>
      <c r="M547" s="35"/>
      <c r="N547" s="35"/>
      <c r="O547" s="35"/>
      <c r="P547" s="35"/>
      <c r="Q547" s="35"/>
      <c r="R547" s="35"/>
      <c r="S547" s="35"/>
      <c r="T547" s="35"/>
      <c r="U547" s="35"/>
      <c r="V547" s="35"/>
      <c r="W547" s="35"/>
      <c r="X547" s="35"/>
      <c r="Y547" s="35"/>
      <c r="Z547" s="35"/>
      <c r="AA547" s="35"/>
      <c r="AB547" s="35"/>
      <c r="AC547" s="35"/>
      <c r="AD547" s="35"/>
    </row>
    <row r="548" spans="1:30" x14ac:dyDescent="0.25">
      <c r="A548" s="35"/>
      <c r="B548" s="35"/>
      <c r="C548" s="35"/>
      <c r="D548" s="35"/>
      <c r="E548" s="35"/>
      <c r="F548" s="35"/>
      <c r="G548" s="35"/>
      <c r="H548" s="35"/>
      <c r="I548" s="35"/>
      <c r="J548" s="35"/>
      <c r="K548" s="35"/>
      <c r="L548" s="36"/>
      <c r="M548" s="35"/>
      <c r="N548" s="35"/>
      <c r="O548" s="35"/>
      <c r="P548" s="35"/>
      <c r="Q548" s="35"/>
      <c r="R548" s="35"/>
      <c r="S548" s="35"/>
      <c r="T548" s="35"/>
      <c r="U548" s="35"/>
      <c r="V548" s="35"/>
      <c r="W548" s="35"/>
      <c r="X548" s="35"/>
      <c r="Y548" s="35"/>
      <c r="Z548" s="35"/>
      <c r="AA548" s="35"/>
      <c r="AB548" s="35"/>
      <c r="AC548" s="35"/>
      <c r="AD548" s="35"/>
    </row>
    <row r="549" spans="1:30" x14ac:dyDescent="0.25">
      <c r="A549" s="35"/>
      <c r="B549" s="35"/>
      <c r="C549" s="35"/>
      <c r="D549" s="35"/>
      <c r="E549" s="35"/>
      <c r="F549" s="35"/>
      <c r="G549" s="35"/>
      <c r="H549" s="35"/>
      <c r="I549" s="35"/>
      <c r="J549" s="35"/>
      <c r="K549" s="35"/>
      <c r="L549" s="36"/>
      <c r="M549" s="35"/>
      <c r="N549" s="35"/>
      <c r="O549" s="35"/>
      <c r="P549" s="35"/>
      <c r="Q549" s="35"/>
      <c r="R549" s="35"/>
      <c r="S549" s="35"/>
      <c r="T549" s="35"/>
      <c r="U549" s="35"/>
      <c r="V549" s="35"/>
      <c r="W549" s="35"/>
      <c r="X549" s="35"/>
      <c r="Y549" s="35"/>
      <c r="Z549" s="35"/>
      <c r="AA549" s="35"/>
      <c r="AB549" s="35"/>
      <c r="AC549" s="35"/>
      <c r="AD549" s="35"/>
    </row>
    <row r="550" spans="1:30" x14ac:dyDescent="0.25">
      <c r="A550" s="35"/>
      <c r="B550" s="35"/>
      <c r="C550" s="35"/>
      <c r="D550" s="35"/>
      <c r="E550" s="35"/>
      <c r="F550" s="35"/>
      <c r="G550" s="35"/>
      <c r="H550" s="35"/>
      <c r="I550" s="35"/>
      <c r="J550" s="35"/>
      <c r="K550" s="35"/>
      <c r="L550" s="36"/>
      <c r="M550" s="35"/>
      <c r="N550" s="35"/>
      <c r="O550" s="35"/>
      <c r="P550" s="35"/>
      <c r="Q550" s="35"/>
      <c r="R550" s="35"/>
      <c r="S550" s="35"/>
      <c r="T550" s="35"/>
      <c r="U550" s="35"/>
      <c r="V550" s="35"/>
      <c r="W550" s="35"/>
      <c r="X550" s="35"/>
      <c r="Y550" s="35"/>
      <c r="Z550" s="35"/>
      <c r="AA550" s="35"/>
      <c r="AB550" s="35"/>
      <c r="AC550" s="35"/>
      <c r="AD550" s="35"/>
    </row>
    <row r="551" spans="1:30" x14ac:dyDescent="0.25">
      <c r="A551" s="35"/>
      <c r="B551" s="35"/>
      <c r="C551" s="35"/>
      <c r="D551" s="35"/>
      <c r="E551" s="35"/>
      <c r="F551" s="35"/>
      <c r="G551" s="35"/>
      <c r="H551" s="35"/>
      <c r="I551" s="35"/>
      <c r="J551" s="35"/>
      <c r="K551" s="35"/>
      <c r="L551" s="36"/>
      <c r="M551" s="35"/>
      <c r="N551" s="35"/>
      <c r="O551" s="35"/>
      <c r="P551" s="35"/>
      <c r="Q551" s="35"/>
      <c r="R551" s="35"/>
      <c r="S551" s="35"/>
      <c r="T551" s="35"/>
      <c r="U551" s="35"/>
      <c r="V551" s="35"/>
      <c r="W551" s="35"/>
      <c r="X551" s="35"/>
      <c r="Y551" s="35"/>
      <c r="Z551" s="35"/>
      <c r="AA551" s="35"/>
      <c r="AB551" s="35"/>
      <c r="AC551" s="35"/>
      <c r="AD551" s="35"/>
    </row>
    <row r="552" spans="1:30" x14ac:dyDescent="0.25">
      <c r="A552" s="35"/>
      <c r="B552" s="35"/>
      <c r="C552" s="35"/>
      <c r="D552" s="35"/>
      <c r="E552" s="35"/>
      <c r="F552" s="35"/>
      <c r="G552" s="35"/>
      <c r="H552" s="35"/>
      <c r="I552" s="35"/>
      <c r="J552" s="35"/>
      <c r="K552" s="35"/>
      <c r="L552" s="36"/>
      <c r="M552" s="35"/>
      <c r="N552" s="35"/>
      <c r="O552" s="35"/>
      <c r="P552" s="35"/>
      <c r="Q552" s="35"/>
      <c r="R552" s="35"/>
      <c r="S552" s="35"/>
      <c r="T552" s="35"/>
      <c r="U552" s="35"/>
      <c r="V552" s="35"/>
      <c r="W552" s="35"/>
      <c r="X552" s="35"/>
      <c r="Y552" s="35"/>
      <c r="Z552" s="35"/>
      <c r="AA552" s="35"/>
      <c r="AB552" s="35"/>
      <c r="AC552" s="35"/>
      <c r="AD552" s="35"/>
    </row>
    <row r="553" spans="1:30" x14ac:dyDescent="0.25">
      <c r="A553" s="35"/>
      <c r="B553" s="35"/>
      <c r="C553" s="35"/>
      <c r="D553" s="35"/>
      <c r="E553" s="35"/>
      <c r="F553" s="35"/>
      <c r="G553" s="35"/>
      <c r="H553" s="35"/>
      <c r="I553" s="35"/>
      <c r="J553" s="35"/>
      <c r="K553" s="35"/>
      <c r="L553" s="36"/>
      <c r="M553" s="35"/>
      <c r="N553" s="35"/>
      <c r="O553" s="35"/>
      <c r="P553" s="35"/>
      <c r="Q553" s="35"/>
      <c r="R553" s="35"/>
      <c r="S553" s="35"/>
      <c r="T553" s="35"/>
      <c r="U553" s="35"/>
      <c r="V553" s="35"/>
      <c r="W553" s="35"/>
      <c r="X553" s="35"/>
      <c r="Y553" s="35"/>
      <c r="Z553" s="35"/>
      <c r="AA553" s="35"/>
      <c r="AB553" s="35"/>
      <c r="AC553" s="35"/>
      <c r="AD553" s="35"/>
    </row>
    <row r="554" spans="1:30" x14ac:dyDescent="0.25">
      <c r="A554" s="35"/>
      <c r="B554" s="35"/>
      <c r="C554" s="35"/>
      <c r="D554" s="35"/>
      <c r="E554" s="35"/>
      <c r="F554" s="35"/>
      <c r="G554" s="35"/>
      <c r="H554" s="35"/>
      <c r="I554" s="35"/>
      <c r="J554" s="35"/>
      <c r="K554" s="35"/>
      <c r="L554" s="36"/>
      <c r="M554" s="35"/>
      <c r="N554" s="35"/>
      <c r="O554" s="35"/>
      <c r="P554" s="35"/>
      <c r="Q554" s="35"/>
      <c r="R554" s="35"/>
      <c r="S554" s="35"/>
      <c r="T554" s="35"/>
      <c r="U554" s="35"/>
      <c r="V554" s="35"/>
      <c r="W554" s="35"/>
      <c r="X554" s="35"/>
      <c r="Y554" s="35"/>
      <c r="Z554" s="35"/>
      <c r="AA554" s="35"/>
      <c r="AB554" s="35"/>
      <c r="AC554" s="35"/>
      <c r="AD554" s="35"/>
    </row>
    <row r="555" spans="1:30" x14ac:dyDescent="0.25">
      <c r="A555" s="35"/>
      <c r="B555" s="35"/>
      <c r="C555" s="35"/>
      <c r="D555" s="35"/>
      <c r="E555" s="35"/>
      <c r="F555" s="35"/>
      <c r="G555" s="35"/>
      <c r="H555" s="35"/>
      <c r="I555" s="35"/>
      <c r="J555" s="35"/>
      <c r="K555" s="35"/>
      <c r="L555" s="36"/>
      <c r="M555" s="35"/>
      <c r="N555" s="35"/>
      <c r="O555" s="35"/>
      <c r="P555" s="35"/>
      <c r="Q555" s="35"/>
      <c r="R555" s="35"/>
      <c r="S555" s="35"/>
      <c r="T555" s="35"/>
      <c r="U555" s="35"/>
      <c r="V555" s="35"/>
      <c r="W555" s="35"/>
      <c r="X555" s="35"/>
      <c r="Y555" s="35"/>
      <c r="Z555" s="35"/>
      <c r="AA555" s="35"/>
      <c r="AB555" s="35"/>
      <c r="AC555" s="35"/>
      <c r="AD555" s="35"/>
    </row>
    <row r="556" spans="1:30" x14ac:dyDescent="0.25">
      <c r="A556" s="35"/>
      <c r="B556" s="35"/>
      <c r="C556" s="35"/>
      <c r="D556" s="35"/>
      <c r="E556" s="35"/>
      <c r="F556" s="35"/>
      <c r="G556" s="35"/>
      <c r="H556" s="35"/>
      <c r="I556" s="35"/>
      <c r="J556" s="35"/>
      <c r="K556" s="35"/>
      <c r="L556" s="36"/>
      <c r="M556" s="35"/>
      <c r="N556" s="35"/>
      <c r="O556" s="35"/>
      <c r="P556" s="35"/>
      <c r="Q556" s="35"/>
      <c r="R556" s="35"/>
      <c r="S556" s="35"/>
      <c r="T556" s="35"/>
      <c r="U556" s="35"/>
      <c r="V556" s="35"/>
      <c r="W556" s="35"/>
      <c r="X556" s="35"/>
      <c r="Y556" s="35"/>
      <c r="Z556" s="35"/>
      <c r="AA556" s="35"/>
      <c r="AB556" s="35"/>
      <c r="AC556" s="35"/>
      <c r="AD556" s="35"/>
    </row>
    <row r="557" spans="1:30" x14ac:dyDescent="0.25">
      <c r="A557" s="35"/>
      <c r="B557" s="35"/>
      <c r="C557" s="35"/>
      <c r="D557" s="35"/>
      <c r="E557" s="35"/>
      <c r="F557" s="35"/>
      <c r="G557" s="35"/>
      <c r="H557" s="35"/>
      <c r="I557" s="35"/>
      <c r="J557" s="35"/>
      <c r="K557" s="35"/>
      <c r="L557" s="36"/>
      <c r="M557" s="35"/>
      <c r="N557" s="35"/>
      <c r="O557" s="35"/>
      <c r="P557" s="35"/>
      <c r="Q557" s="35"/>
      <c r="R557" s="35"/>
      <c r="S557" s="35"/>
      <c r="T557" s="35"/>
      <c r="U557" s="35"/>
      <c r="V557" s="35"/>
      <c r="W557" s="35"/>
      <c r="X557" s="35"/>
      <c r="Y557" s="35"/>
      <c r="Z557" s="35"/>
      <c r="AA557" s="35"/>
      <c r="AB557" s="35"/>
      <c r="AC557" s="35"/>
      <c r="AD557" s="35"/>
    </row>
    <row r="558" spans="1:30" x14ac:dyDescent="0.25">
      <c r="A558" s="35"/>
      <c r="B558" s="35"/>
      <c r="C558" s="35"/>
      <c r="D558" s="35"/>
      <c r="E558" s="35"/>
      <c r="F558" s="35"/>
      <c r="G558" s="35"/>
      <c r="H558" s="35"/>
      <c r="I558" s="35"/>
      <c r="J558" s="35"/>
      <c r="K558" s="35"/>
      <c r="L558" s="36"/>
      <c r="M558" s="35"/>
      <c r="N558" s="35"/>
      <c r="O558" s="35"/>
      <c r="P558" s="35"/>
      <c r="Q558" s="35"/>
      <c r="R558" s="35"/>
      <c r="S558" s="35"/>
      <c r="T558" s="35"/>
      <c r="U558" s="35"/>
      <c r="V558" s="35"/>
      <c r="W558" s="35"/>
      <c r="X558" s="35"/>
      <c r="Y558" s="35"/>
      <c r="Z558" s="35"/>
      <c r="AA558" s="35"/>
      <c r="AB558" s="35"/>
      <c r="AC558" s="35"/>
      <c r="AD558" s="35"/>
    </row>
    <row r="559" spans="1:30" x14ac:dyDescent="0.25">
      <c r="A559" s="35"/>
      <c r="B559" s="35"/>
      <c r="C559" s="35"/>
      <c r="D559" s="35"/>
      <c r="E559" s="35"/>
      <c r="F559" s="35"/>
      <c r="G559" s="35"/>
      <c r="H559" s="35"/>
      <c r="I559" s="35"/>
      <c r="J559" s="35"/>
      <c r="K559" s="35"/>
      <c r="L559" s="36"/>
      <c r="M559" s="35"/>
      <c r="N559" s="35"/>
      <c r="O559" s="35"/>
      <c r="P559" s="35"/>
      <c r="Q559" s="35"/>
      <c r="R559" s="35"/>
      <c r="S559" s="35"/>
      <c r="T559" s="35"/>
      <c r="U559" s="35"/>
      <c r="V559" s="35"/>
      <c r="W559" s="35"/>
      <c r="X559" s="35"/>
      <c r="Y559" s="35"/>
      <c r="Z559" s="35"/>
      <c r="AA559" s="35"/>
      <c r="AB559" s="35"/>
      <c r="AC559" s="35"/>
      <c r="AD559" s="35"/>
    </row>
    <row r="560" spans="1:30" x14ac:dyDescent="0.25">
      <c r="A560" s="35"/>
      <c r="B560" s="35"/>
      <c r="C560" s="35"/>
      <c r="D560" s="35"/>
      <c r="E560" s="35"/>
      <c r="F560" s="35"/>
      <c r="G560" s="35"/>
      <c r="H560" s="35"/>
      <c r="I560" s="35"/>
      <c r="J560" s="35"/>
      <c r="K560" s="35"/>
      <c r="L560" s="36"/>
      <c r="M560" s="35"/>
      <c r="N560" s="35"/>
      <c r="O560" s="35"/>
      <c r="P560" s="35"/>
      <c r="Q560" s="35"/>
      <c r="R560" s="35"/>
      <c r="S560" s="35"/>
      <c r="T560" s="35"/>
      <c r="U560" s="35"/>
      <c r="V560" s="35"/>
      <c r="W560" s="35"/>
      <c r="X560" s="35"/>
      <c r="Y560" s="35"/>
      <c r="Z560" s="35"/>
      <c r="AA560" s="35"/>
      <c r="AB560" s="35"/>
      <c r="AC560" s="35"/>
      <c r="AD560" s="35"/>
    </row>
    <row r="561" spans="1:30" x14ac:dyDescent="0.25">
      <c r="A561" s="35"/>
      <c r="B561" s="35"/>
      <c r="C561" s="35"/>
      <c r="D561" s="35"/>
      <c r="E561" s="35"/>
      <c r="F561" s="35"/>
      <c r="G561" s="35"/>
      <c r="H561" s="35"/>
      <c r="I561" s="35"/>
      <c r="J561" s="35"/>
      <c r="K561" s="35"/>
      <c r="L561" s="36"/>
      <c r="M561" s="35"/>
      <c r="N561" s="35"/>
      <c r="O561" s="35"/>
      <c r="P561" s="35"/>
      <c r="Q561" s="35"/>
      <c r="R561" s="35"/>
      <c r="S561" s="35"/>
      <c r="T561" s="35"/>
      <c r="U561" s="35"/>
      <c r="V561" s="35"/>
      <c r="W561" s="35"/>
      <c r="X561" s="35"/>
      <c r="Y561" s="35"/>
      <c r="Z561" s="35"/>
      <c r="AA561" s="35"/>
      <c r="AB561" s="35"/>
      <c r="AC561" s="35"/>
      <c r="AD561" s="35"/>
    </row>
    <row r="562" spans="1:30" x14ac:dyDescent="0.25">
      <c r="A562" s="35"/>
      <c r="B562" s="35"/>
      <c r="C562" s="35"/>
      <c r="D562" s="35"/>
      <c r="E562" s="35"/>
      <c r="F562" s="35"/>
      <c r="G562" s="35"/>
      <c r="H562" s="35"/>
      <c r="I562" s="35"/>
      <c r="J562" s="35"/>
      <c r="K562" s="35"/>
      <c r="L562" s="36"/>
      <c r="M562" s="35"/>
      <c r="N562" s="35"/>
      <c r="O562" s="35"/>
      <c r="P562" s="35"/>
      <c r="Q562" s="35"/>
      <c r="R562" s="35"/>
      <c r="S562" s="35"/>
      <c r="T562" s="35"/>
      <c r="U562" s="35"/>
      <c r="V562" s="35"/>
      <c r="W562" s="35"/>
      <c r="X562" s="35"/>
      <c r="Y562" s="35"/>
      <c r="Z562" s="35"/>
      <c r="AA562" s="35"/>
      <c r="AB562" s="35"/>
      <c r="AC562" s="35"/>
      <c r="AD562" s="35"/>
    </row>
    <row r="563" spans="1:30" x14ac:dyDescent="0.25">
      <c r="A563" s="35"/>
      <c r="B563" s="35"/>
      <c r="C563" s="35"/>
      <c r="D563" s="35"/>
      <c r="E563" s="35"/>
      <c r="F563" s="35"/>
      <c r="G563" s="35"/>
      <c r="H563" s="35"/>
      <c r="I563" s="35"/>
      <c r="J563" s="35"/>
      <c r="K563" s="35"/>
      <c r="L563" s="36"/>
      <c r="M563" s="35"/>
      <c r="N563" s="35"/>
      <c r="O563" s="35"/>
      <c r="P563" s="35"/>
      <c r="Q563" s="35"/>
      <c r="R563" s="35"/>
      <c r="S563" s="35"/>
      <c r="T563" s="35"/>
      <c r="U563" s="35"/>
      <c r="V563" s="35"/>
      <c r="W563" s="35"/>
      <c r="X563" s="35"/>
      <c r="Y563" s="35"/>
      <c r="Z563" s="35"/>
      <c r="AA563" s="35"/>
      <c r="AB563" s="35"/>
      <c r="AC563" s="35"/>
      <c r="AD563" s="35"/>
    </row>
    <row r="564" spans="1:30" x14ac:dyDescent="0.25">
      <c r="A564" s="35"/>
      <c r="B564" s="35"/>
      <c r="C564" s="35"/>
      <c r="D564" s="35"/>
      <c r="E564" s="35"/>
      <c r="F564" s="35"/>
      <c r="G564" s="35"/>
      <c r="H564" s="35"/>
      <c r="I564" s="35"/>
      <c r="J564" s="35"/>
      <c r="K564" s="35"/>
      <c r="L564" s="36"/>
      <c r="M564" s="35"/>
      <c r="N564" s="35"/>
      <c r="O564" s="35"/>
      <c r="P564" s="35"/>
      <c r="Q564" s="35"/>
      <c r="R564" s="35"/>
      <c r="S564" s="35"/>
      <c r="T564" s="35"/>
      <c r="U564" s="35"/>
      <c r="V564" s="35"/>
      <c r="W564" s="35"/>
      <c r="X564" s="35"/>
      <c r="Y564" s="35"/>
      <c r="Z564" s="35"/>
      <c r="AA564" s="35"/>
      <c r="AB564" s="35"/>
      <c r="AC564" s="35"/>
      <c r="AD564" s="35"/>
    </row>
    <row r="565" spans="1:30" x14ac:dyDescent="0.25">
      <c r="A565" s="35"/>
      <c r="B565" s="35"/>
      <c r="C565" s="35"/>
      <c r="D565" s="35"/>
      <c r="E565" s="35"/>
      <c r="F565" s="35"/>
      <c r="G565" s="35"/>
      <c r="H565" s="35"/>
      <c r="I565" s="35"/>
      <c r="J565" s="35"/>
      <c r="K565" s="35"/>
      <c r="L565" s="36"/>
      <c r="M565" s="35"/>
      <c r="N565" s="35"/>
      <c r="O565" s="35"/>
      <c r="P565" s="35"/>
      <c r="Q565" s="35"/>
      <c r="R565" s="35"/>
      <c r="S565" s="35"/>
      <c r="T565" s="35"/>
      <c r="U565" s="35"/>
      <c r="V565" s="35"/>
      <c r="W565" s="35"/>
      <c r="X565" s="35"/>
      <c r="Y565" s="35"/>
      <c r="Z565" s="35"/>
      <c r="AA565" s="35"/>
      <c r="AB565" s="35"/>
      <c r="AC565" s="35"/>
      <c r="AD565" s="35"/>
    </row>
    <row r="566" spans="1:30" x14ac:dyDescent="0.25">
      <c r="A566" s="35"/>
      <c r="B566" s="35"/>
      <c r="C566" s="35"/>
      <c r="D566" s="35"/>
      <c r="E566" s="35"/>
      <c r="F566" s="35"/>
      <c r="G566" s="35"/>
      <c r="H566" s="35"/>
      <c r="I566" s="35"/>
      <c r="J566" s="35"/>
      <c r="K566" s="35"/>
      <c r="L566" s="36"/>
      <c r="M566" s="35"/>
      <c r="N566" s="35"/>
      <c r="O566" s="35"/>
      <c r="P566" s="35"/>
      <c r="Q566" s="35"/>
      <c r="R566" s="35"/>
      <c r="S566" s="35"/>
      <c r="T566" s="35"/>
      <c r="U566" s="35"/>
      <c r="V566" s="35"/>
      <c r="W566" s="35"/>
      <c r="X566" s="35"/>
      <c r="Y566" s="35"/>
      <c r="Z566" s="35"/>
      <c r="AA566" s="35"/>
      <c r="AB566" s="35"/>
      <c r="AC566" s="35"/>
      <c r="AD566" s="35"/>
    </row>
    <row r="567" spans="1:30" x14ac:dyDescent="0.25">
      <c r="A567" s="35"/>
      <c r="B567" s="35"/>
      <c r="C567" s="35"/>
      <c r="D567" s="35"/>
      <c r="E567" s="35"/>
      <c r="F567" s="35"/>
      <c r="G567" s="35"/>
      <c r="H567" s="35"/>
      <c r="I567" s="35"/>
      <c r="J567" s="35"/>
      <c r="K567" s="35"/>
      <c r="L567" s="36"/>
      <c r="M567" s="35"/>
      <c r="N567" s="35"/>
      <c r="O567" s="35"/>
      <c r="P567" s="35"/>
      <c r="Q567" s="35"/>
      <c r="R567" s="35"/>
      <c r="S567" s="35"/>
      <c r="T567" s="35"/>
      <c r="U567" s="35"/>
      <c r="V567" s="35"/>
      <c r="W567" s="35"/>
      <c r="X567" s="35"/>
      <c r="Y567" s="35"/>
      <c r="Z567" s="35"/>
      <c r="AA567" s="35"/>
      <c r="AB567" s="35"/>
      <c r="AC567" s="35"/>
      <c r="AD567" s="35"/>
    </row>
    <row r="568" spans="1:30" x14ac:dyDescent="0.25">
      <c r="A568" s="35"/>
      <c r="B568" s="35"/>
      <c r="C568" s="35"/>
      <c r="D568" s="35"/>
      <c r="E568" s="35"/>
      <c r="F568" s="35"/>
      <c r="G568" s="35"/>
      <c r="H568" s="35"/>
      <c r="I568" s="35"/>
      <c r="J568" s="35"/>
      <c r="K568" s="35"/>
      <c r="L568" s="36"/>
      <c r="M568" s="35"/>
      <c r="N568" s="35"/>
      <c r="O568" s="35"/>
      <c r="P568" s="35"/>
      <c r="Q568" s="35"/>
      <c r="R568" s="35"/>
      <c r="S568" s="35"/>
      <c r="T568" s="35"/>
      <c r="U568" s="35"/>
      <c r="V568" s="35"/>
      <c r="W568" s="35"/>
      <c r="X568" s="35"/>
      <c r="Y568" s="35"/>
      <c r="Z568" s="35"/>
      <c r="AA568" s="35"/>
      <c r="AB568" s="35"/>
      <c r="AC568" s="35"/>
      <c r="AD568" s="35"/>
    </row>
    <row r="569" spans="1:30" x14ac:dyDescent="0.25">
      <c r="A569" s="35"/>
      <c r="B569" s="35"/>
      <c r="C569" s="35"/>
      <c r="D569" s="35"/>
      <c r="E569" s="35"/>
      <c r="F569" s="35"/>
      <c r="G569" s="35"/>
      <c r="H569" s="35"/>
      <c r="I569" s="35"/>
      <c r="J569" s="35"/>
      <c r="K569" s="35"/>
      <c r="L569" s="36"/>
      <c r="M569" s="35"/>
      <c r="N569" s="35"/>
      <c r="O569" s="35"/>
      <c r="P569" s="35"/>
      <c r="Q569" s="35"/>
      <c r="R569" s="35"/>
      <c r="S569" s="35"/>
      <c r="T569" s="35"/>
      <c r="U569" s="35"/>
      <c r="V569" s="35"/>
      <c r="W569" s="35"/>
      <c r="X569" s="35"/>
      <c r="Y569" s="35"/>
      <c r="Z569" s="35"/>
      <c r="AA569" s="35"/>
      <c r="AB569" s="35"/>
      <c r="AC569" s="35"/>
      <c r="AD569" s="35"/>
    </row>
    <row r="570" spans="1:30" x14ac:dyDescent="0.25">
      <c r="A570" s="35"/>
      <c r="B570" s="35"/>
      <c r="C570" s="35"/>
      <c r="D570" s="35"/>
      <c r="E570" s="35"/>
      <c r="F570" s="35"/>
      <c r="G570" s="35"/>
      <c r="H570" s="35"/>
      <c r="I570" s="35"/>
      <c r="J570" s="35"/>
      <c r="K570" s="35"/>
      <c r="L570" s="36"/>
      <c r="M570" s="35"/>
      <c r="N570" s="35"/>
      <c r="O570" s="35"/>
      <c r="P570" s="35"/>
      <c r="Q570" s="35"/>
      <c r="R570" s="35"/>
      <c r="S570" s="35"/>
      <c r="T570" s="35"/>
      <c r="U570" s="35"/>
      <c r="V570" s="35"/>
      <c r="W570" s="35"/>
      <c r="X570" s="35"/>
      <c r="Y570" s="35"/>
      <c r="Z570" s="35"/>
      <c r="AA570" s="35"/>
      <c r="AB570" s="35"/>
      <c r="AC570" s="35"/>
      <c r="AD570" s="35"/>
    </row>
    <row r="571" spans="1:30" x14ac:dyDescent="0.25">
      <c r="A571" s="35"/>
      <c r="B571" s="35"/>
      <c r="C571" s="35"/>
      <c r="D571" s="35"/>
      <c r="E571" s="35"/>
      <c r="F571" s="35"/>
      <c r="G571" s="35"/>
      <c r="H571" s="35"/>
      <c r="I571" s="35"/>
      <c r="J571" s="35"/>
      <c r="K571" s="35"/>
      <c r="L571" s="36"/>
      <c r="M571" s="35"/>
      <c r="N571" s="35"/>
      <c r="O571" s="35"/>
      <c r="P571" s="35"/>
      <c r="Q571" s="35"/>
      <c r="R571" s="35"/>
      <c r="S571" s="35"/>
      <c r="T571" s="35"/>
      <c r="U571" s="35"/>
      <c r="V571" s="35"/>
      <c r="W571" s="35"/>
      <c r="X571" s="35"/>
      <c r="Y571" s="35"/>
      <c r="Z571" s="35"/>
      <c r="AA571" s="35"/>
      <c r="AB571" s="35"/>
      <c r="AC571" s="35"/>
      <c r="AD571" s="35"/>
    </row>
    <row r="572" spans="1:30" x14ac:dyDescent="0.25">
      <c r="A572" s="35"/>
      <c r="B572" s="35"/>
      <c r="C572" s="35"/>
      <c r="D572" s="35"/>
      <c r="E572" s="35"/>
      <c r="F572" s="35"/>
      <c r="G572" s="35"/>
      <c r="H572" s="35"/>
      <c r="I572" s="35"/>
      <c r="J572" s="35"/>
      <c r="K572" s="35"/>
      <c r="L572" s="36"/>
      <c r="M572" s="35"/>
      <c r="N572" s="35"/>
      <c r="O572" s="35"/>
      <c r="P572" s="35"/>
      <c r="Q572" s="35"/>
      <c r="R572" s="35"/>
      <c r="S572" s="35"/>
      <c r="T572" s="35"/>
      <c r="U572" s="35"/>
      <c r="V572" s="35"/>
      <c r="W572" s="35"/>
      <c r="X572" s="35"/>
      <c r="Y572" s="35"/>
      <c r="Z572" s="35"/>
      <c r="AA572" s="35"/>
      <c r="AB572" s="35"/>
      <c r="AC572" s="35"/>
      <c r="AD572" s="35"/>
    </row>
    <row r="573" spans="1:30" x14ac:dyDescent="0.25">
      <c r="A573" s="35"/>
      <c r="B573" s="35"/>
      <c r="C573" s="35"/>
      <c r="D573" s="35"/>
      <c r="E573" s="35"/>
      <c r="F573" s="35"/>
      <c r="G573" s="35"/>
      <c r="H573" s="35"/>
      <c r="I573" s="35"/>
      <c r="J573" s="35"/>
      <c r="K573" s="35"/>
      <c r="L573" s="36"/>
      <c r="M573" s="35"/>
      <c r="N573" s="35"/>
      <c r="O573" s="35"/>
      <c r="P573" s="35"/>
      <c r="Q573" s="35"/>
      <c r="R573" s="35"/>
      <c r="S573" s="35"/>
      <c r="T573" s="35"/>
      <c r="U573" s="35"/>
      <c r="V573" s="35"/>
      <c r="W573" s="35"/>
      <c r="X573" s="35"/>
      <c r="Y573" s="35"/>
      <c r="Z573" s="35"/>
      <c r="AA573" s="35"/>
      <c r="AB573" s="35"/>
      <c r="AC573" s="35"/>
      <c r="AD573" s="35"/>
    </row>
    <row r="574" spans="1:30" x14ac:dyDescent="0.25">
      <c r="A574" s="35"/>
      <c r="B574" s="35"/>
      <c r="C574" s="35"/>
      <c r="D574" s="35"/>
      <c r="E574" s="35"/>
      <c r="F574" s="35"/>
      <c r="G574" s="35"/>
      <c r="H574" s="35"/>
      <c r="I574" s="35"/>
      <c r="J574" s="35"/>
      <c r="K574" s="35"/>
      <c r="L574" s="36"/>
      <c r="M574" s="35"/>
      <c r="N574" s="35"/>
      <c r="O574" s="35"/>
      <c r="P574" s="35"/>
      <c r="Q574" s="35"/>
      <c r="R574" s="35"/>
      <c r="S574" s="35"/>
      <c r="T574" s="35"/>
      <c r="U574" s="35"/>
      <c r="V574" s="35"/>
      <c r="W574" s="35"/>
      <c r="X574" s="35"/>
      <c r="Y574" s="35"/>
      <c r="Z574" s="35"/>
      <c r="AA574" s="35"/>
      <c r="AB574" s="35"/>
      <c r="AC574" s="35"/>
      <c r="AD574" s="35"/>
    </row>
    <row r="575" spans="1:30" x14ac:dyDescent="0.25">
      <c r="A575" s="35"/>
      <c r="B575" s="35"/>
      <c r="C575" s="35"/>
      <c r="D575" s="35"/>
      <c r="E575" s="35"/>
      <c r="F575" s="35"/>
      <c r="G575" s="35"/>
      <c r="H575" s="35"/>
      <c r="I575" s="35"/>
      <c r="J575" s="35"/>
      <c r="K575" s="35"/>
      <c r="L575" s="36"/>
      <c r="M575" s="35"/>
      <c r="N575" s="35"/>
      <c r="O575" s="35"/>
      <c r="P575" s="35"/>
      <c r="Q575" s="35"/>
      <c r="R575" s="35"/>
      <c r="S575" s="35"/>
      <c r="T575" s="35"/>
      <c r="U575" s="35"/>
      <c r="V575" s="35"/>
      <c r="W575" s="35"/>
      <c r="X575" s="35"/>
      <c r="Y575" s="35"/>
      <c r="Z575" s="35"/>
      <c r="AA575" s="35"/>
      <c r="AB575" s="35"/>
      <c r="AC575" s="35"/>
      <c r="AD575" s="35"/>
    </row>
    <row r="576" spans="1:30" x14ac:dyDescent="0.25">
      <c r="A576" s="35"/>
      <c r="B576" s="35"/>
      <c r="C576" s="35"/>
      <c r="D576" s="35"/>
      <c r="E576" s="35"/>
      <c r="F576" s="35"/>
      <c r="G576" s="35"/>
      <c r="H576" s="35"/>
      <c r="I576" s="35"/>
      <c r="J576" s="35"/>
      <c r="K576" s="35"/>
      <c r="L576" s="36"/>
      <c r="M576" s="35"/>
      <c r="N576" s="35"/>
      <c r="O576" s="35"/>
      <c r="P576" s="35"/>
      <c r="Q576" s="35"/>
      <c r="R576" s="35"/>
      <c r="S576" s="35"/>
      <c r="T576" s="35"/>
      <c r="U576" s="35"/>
      <c r="V576" s="35"/>
      <c r="W576" s="35"/>
      <c r="X576" s="35"/>
      <c r="Y576" s="35"/>
      <c r="Z576" s="35"/>
      <c r="AA576" s="35"/>
      <c r="AB576" s="35"/>
      <c r="AC576" s="35"/>
      <c r="AD576" s="35"/>
    </row>
    <row r="577" spans="1:30" x14ac:dyDescent="0.25">
      <c r="A577" s="35"/>
      <c r="B577" s="35"/>
      <c r="C577" s="35"/>
      <c r="D577" s="35"/>
      <c r="E577" s="35"/>
      <c r="F577" s="35"/>
      <c r="G577" s="35"/>
      <c r="H577" s="35"/>
      <c r="I577" s="35"/>
      <c r="J577" s="35"/>
      <c r="K577" s="35"/>
      <c r="L577" s="36"/>
      <c r="M577" s="35"/>
      <c r="N577" s="35"/>
      <c r="O577" s="35"/>
      <c r="P577" s="35"/>
      <c r="Q577" s="35"/>
      <c r="R577" s="35"/>
      <c r="S577" s="35"/>
      <c r="T577" s="35"/>
      <c r="U577" s="35"/>
      <c r="V577" s="35"/>
      <c r="W577" s="35"/>
      <c r="X577" s="35"/>
      <c r="Y577" s="35"/>
      <c r="Z577" s="35"/>
      <c r="AA577" s="35"/>
      <c r="AB577" s="35"/>
      <c r="AC577" s="35"/>
      <c r="AD577" s="35"/>
    </row>
    <row r="578" spans="1:30" x14ac:dyDescent="0.25">
      <c r="A578" s="35"/>
      <c r="B578" s="35"/>
      <c r="C578" s="35"/>
      <c r="D578" s="35"/>
      <c r="E578" s="35"/>
      <c r="F578" s="35"/>
      <c r="G578" s="35"/>
      <c r="H578" s="35"/>
      <c r="I578" s="35"/>
      <c r="J578" s="35"/>
      <c r="K578" s="35"/>
      <c r="L578" s="36"/>
      <c r="M578" s="35"/>
      <c r="N578" s="35"/>
      <c r="O578" s="35"/>
      <c r="P578" s="35"/>
      <c r="Q578" s="35"/>
      <c r="R578" s="35"/>
      <c r="S578" s="35"/>
      <c r="T578" s="35"/>
      <c r="U578" s="35"/>
      <c r="V578" s="35"/>
      <c r="W578" s="35"/>
      <c r="X578" s="35"/>
      <c r="Y578" s="35"/>
      <c r="Z578" s="35"/>
      <c r="AA578" s="35"/>
      <c r="AB578" s="35"/>
      <c r="AC578" s="35"/>
      <c r="AD578" s="35"/>
    </row>
    <row r="579" spans="1:30" x14ac:dyDescent="0.25">
      <c r="A579" s="35"/>
      <c r="B579" s="35"/>
      <c r="C579" s="35"/>
      <c r="D579" s="35"/>
      <c r="E579" s="35"/>
      <c r="F579" s="35"/>
      <c r="G579" s="35"/>
      <c r="H579" s="35"/>
      <c r="I579" s="35"/>
      <c r="J579" s="35"/>
      <c r="K579" s="35"/>
      <c r="L579" s="36"/>
      <c r="M579" s="35"/>
      <c r="N579" s="35"/>
      <c r="O579" s="35"/>
      <c r="P579" s="35"/>
      <c r="Q579" s="35"/>
      <c r="R579" s="35"/>
      <c r="S579" s="35"/>
      <c r="T579" s="35"/>
      <c r="U579" s="35"/>
      <c r="V579" s="35"/>
      <c r="W579" s="35"/>
      <c r="X579" s="35"/>
      <c r="Y579" s="35"/>
      <c r="Z579" s="35"/>
      <c r="AA579" s="35"/>
      <c r="AB579" s="35"/>
      <c r="AC579" s="35"/>
      <c r="AD579" s="35"/>
    </row>
    <row r="580" spans="1:30" x14ac:dyDescent="0.25">
      <c r="A580" s="35"/>
      <c r="B580" s="35"/>
      <c r="C580" s="35"/>
      <c r="D580" s="35"/>
      <c r="E580" s="35"/>
      <c r="F580" s="35"/>
      <c r="G580" s="35"/>
      <c r="H580" s="35"/>
      <c r="I580" s="35"/>
      <c r="J580" s="35"/>
      <c r="K580" s="35"/>
      <c r="L580" s="36"/>
      <c r="M580" s="35"/>
      <c r="N580" s="35"/>
      <c r="O580" s="35"/>
      <c r="P580" s="35"/>
      <c r="Q580" s="35"/>
      <c r="R580" s="35"/>
      <c r="S580" s="35"/>
      <c r="T580" s="35"/>
      <c r="U580" s="35"/>
      <c r="V580" s="35"/>
      <c r="W580" s="35"/>
      <c r="X580" s="35"/>
      <c r="Y580" s="35"/>
      <c r="Z580" s="35"/>
      <c r="AA580" s="35"/>
      <c r="AB580" s="35"/>
      <c r="AC580" s="35"/>
      <c r="AD580" s="35"/>
    </row>
    <row r="581" spans="1:30" x14ac:dyDescent="0.25">
      <c r="A581" s="35"/>
      <c r="B581" s="35"/>
      <c r="C581" s="35"/>
      <c r="D581" s="35"/>
      <c r="E581" s="35"/>
      <c r="F581" s="35"/>
      <c r="G581" s="35"/>
      <c r="H581" s="35"/>
      <c r="I581" s="35"/>
      <c r="J581" s="35"/>
      <c r="K581" s="35"/>
      <c r="L581" s="36"/>
      <c r="M581" s="35"/>
      <c r="N581" s="35"/>
      <c r="O581" s="35"/>
      <c r="P581" s="35"/>
      <c r="Q581" s="35"/>
      <c r="R581" s="35"/>
      <c r="S581" s="35"/>
      <c r="T581" s="35"/>
      <c r="U581" s="35"/>
      <c r="V581" s="35"/>
      <c r="W581" s="35"/>
      <c r="X581" s="35"/>
      <c r="Y581" s="35"/>
      <c r="Z581" s="35"/>
      <c r="AA581" s="35"/>
      <c r="AB581" s="35"/>
      <c r="AC581" s="35"/>
      <c r="AD581" s="35"/>
    </row>
    <row r="582" spans="1:30" x14ac:dyDescent="0.25">
      <c r="A582" s="35"/>
      <c r="B582" s="35"/>
      <c r="C582" s="35"/>
      <c r="D582" s="35"/>
      <c r="E582" s="35"/>
      <c r="F582" s="35"/>
      <c r="G582" s="35"/>
      <c r="H582" s="35"/>
      <c r="I582" s="35"/>
      <c r="J582" s="35"/>
      <c r="K582" s="35"/>
      <c r="L582" s="36"/>
      <c r="M582" s="35"/>
      <c r="N582" s="35"/>
      <c r="O582" s="35"/>
      <c r="P582" s="35"/>
      <c r="Q582" s="35"/>
      <c r="R582" s="35"/>
      <c r="S582" s="35"/>
      <c r="T582" s="35"/>
      <c r="U582" s="35"/>
      <c r="V582" s="35"/>
      <c r="W582" s="35"/>
      <c r="X582" s="35"/>
      <c r="Y582" s="35"/>
      <c r="Z582" s="35"/>
      <c r="AA582" s="35"/>
      <c r="AB582" s="35"/>
      <c r="AC582" s="35"/>
      <c r="AD582" s="35"/>
    </row>
    <row r="583" spans="1:30" x14ac:dyDescent="0.25">
      <c r="A583" s="35"/>
      <c r="B583" s="35"/>
      <c r="C583" s="35"/>
      <c r="D583" s="35"/>
      <c r="E583" s="35"/>
      <c r="F583" s="35"/>
      <c r="G583" s="35"/>
      <c r="H583" s="35"/>
      <c r="I583" s="35"/>
      <c r="J583" s="35"/>
      <c r="K583" s="35"/>
      <c r="L583" s="36"/>
      <c r="M583" s="35"/>
      <c r="N583" s="35"/>
      <c r="O583" s="35"/>
      <c r="P583" s="35"/>
      <c r="Q583" s="35"/>
      <c r="R583" s="35"/>
      <c r="S583" s="35"/>
      <c r="T583" s="35"/>
      <c r="U583" s="35"/>
      <c r="V583" s="35"/>
      <c r="W583" s="35"/>
      <c r="X583" s="35"/>
      <c r="Y583" s="35"/>
      <c r="Z583" s="35"/>
      <c r="AA583" s="35"/>
      <c r="AB583" s="35"/>
      <c r="AC583" s="35"/>
      <c r="AD583" s="35"/>
    </row>
    <row r="584" spans="1:30" x14ac:dyDescent="0.25">
      <c r="A584" s="35"/>
      <c r="B584" s="35"/>
      <c r="C584" s="35"/>
      <c r="D584" s="35"/>
      <c r="E584" s="35"/>
      <c r="F584" s="35"/>
      <c r="G584" s="35"/>
      <c r="H584" s="35"/>
      <c r="I584" s="35"/>
      <c r="J584" s="35"/>
      <c r="K584" s="35"/>
      <c r="L584" s="36"/>
      <c r="M584" s="35"/>
      <c r="N584" s="35"/>
      <c r="O584" s="35"/>
      <c r="P584" s="35"/>
      <c r="Q584" s="35"/>
      <c r="R584" s="35"/>
      <c r="S584" s="35"/>
      <c r="T584" s="35"/>
      <c r="U584" s="35"/>
      <c r="V584" s="35"/>
      <c r="W584" s="35"/>
      <c r="X584" s="35"/>
      <c r="Y584" s="35"/>
      <c r="Z584" s="35"/>
      <c r="AA584" s="35"/>
      <c r="AB584" s="35"/>
      <c r="AC584" s="35"/>
      <c r="AD584" s="35"/>
    </row>
    <row r="585" spans="1:30" x14ac:dyDescent="0.25">
      <c r="A585" s="35"/>
      <c r="B585" s="35"/>
      <c r="C585" s="35"/>
      <c r="D585" s="35"/>
      <c r="E585" s="35"/>
      <c r="F585" s="35"/>
      <c r="G585" s="35"/>
      <c r="H585" s="35"/>
      <c r="I585" s="35"/>
      <c r="J585" s="35"/>
      <c r="K585" s="35"/>
      <c r="L585" s="36"/>
      <c r="M585" s="35"/>
      <c r="N585" s="35"/>
      <c r="O585" s="35"/>
      <c r="P585" s="35"/>
      <c r="Q585" s="35"/>
      <c r="R585" s="35"/>
      <c r="S585" s="35"/>
      <c r="T585" s="35"/>
      <c r="U585" s="35"/>
      <c r="V585" s="35"/>
      <c r="W585" s="35"/>
      <c r="X585" s="35"/>
      <c r="Y585" s="35"/>
      <c r="Z585" s="35"/>
      <c r="AA585" s="35"/>
      <c r="AB585" s="35"/>
      <c r="AC585" s="35"/>
      <c r="AD585" s="35"/>
    </row>
    <row r="586" spans="1:30" x14ac:dyDescent="0.25">
      <c r="A586" s="35"/>
      <c r="B586" s="35"/>
      <c r="C586" s="35"/>
      <c r="D586" s="35"/>
      <c r="E586" s="35"/>
      <c r="F586" s="35"/>
      <c r="G586" s="35"/>
      <c r="H586" s="35"/>
      <c r="I586" s="35"/>
      <c r="J586" s="35"/>
      <c r="K586" s="35"/>
      <c r="L586" s="36"/>
      <c r="M586" s="35"/>
      <c r="N586" s="35"/>
      <c r="O586" s="35"/>
      <c r="P586" s="35"/>
      <c r="Q586" s="35"/>
      <c r="R586" s="35"/>
      <c r="S586" s="35"/>
      <c r="T586" s="35"/>
      <c r="U586" s="35"/>
      <c r="V586" s="35"/>
      <c r="W586" s="35"/>
      <c r="X586" s="35"/>
      <c r="Y586" s="35"/>
      <c r="Z586" s="35"/>
      <c r="AA586" s="35"/>
      <c r="AB586" s="35"/>
      <c r="AC586" s="35"/>
      <c r="AD586" s="35"/>
    </row>
    <row r="587" spans="1:30" x14ac:dyDescent="0.25">
      <c r="A587" s="35"/>
      <c r="B587" s="35"/>
      <c r="C587" s="35"/>
      <c r="D587" s="35"/>
      <c r="E587" s="35"/>
      <c r="F587" s="35"/>
      <c r="G587" s="35"/>
      <c r="H587" s="35"/>
      <c r="I587" s="35"/>
      <c r="J587" s="35"/>
      <c r="K587" s="35"/>
      <c r="L587" s="36"/>
      <c r="M587" s="35"/>
      <c r="N587" s="35"/>
      <c r="O587" s="35"/>
      <c r="P587" s="35"/>
      <c r="Q587" s="35"/>
      <c r="R587" s="35"/>
      <c r="S587" s="35"/>
      <c r="T587" s="35"/>
      <c r="U587" s="35"/>
      <c r="V587" s="35"/>
      <c r="W587" s="35"/>
      <c r="X587" s="35"/>
      <c r="Y587" s="35"/>
      <c r="Z587" s="35"/>
      <c r="AA587" s="35"/>
      <c r="AB587" s="35"/>
      <c r="AC587" s="35"/>
      <c r="AD587" s="35"/>
    </row>
    <row r="588" spans="1:30" x14ac:dyDescent="0.25">
      <c r="A588" s="35"/>
      <c r="B588" s="35"/>
      <c r="C588" s="35"/>
      <c r="D588" s="35"/>
      <c r="E588" s="35"/>
      <c r="F588" s="35"/>
      <c r="G588" s="35"/>
      <c r="H588" s="35"/>
      <c r="I588" s="35"/>
      <c r="J588" s="35"/>
      <c r="K588" s="35"/>
      <c r="L588" s="36"/>
      <c r="M588" s="35"/>
      <c r="N588" s="35"/>
      <c r="O588" s="35"/>
      <c r="P588" s="35"/>
      <c r="Q588" s="35"/>
      <c r="R588" s="35"/>
      <c r="S588" s="35"/>
      <c r="T588" s="35"/>
      <c r="U588" s="35"/>
      <c r="V588" s="35"/>
      <c r="W588" s="35"/>
      <c r="X588" s="35"/>
      <c r="Y588" s="35"/>
      <c r="Z588" s="35"/>
      <c r="AA588" s="35"/>
      <c r="AB588" s="35"/>
      <c r="AC588" s="35"/>
      <c r="AD588" s="35"/>
    </row>
    <row r="589" spans="1:30" x14ac:dyDescent="0.25">
      <c r="A589" s="35"/>
      <c r="B589" s="35"/>
      <c r="C589" s="35"/>
      <c r="D589" s="35"/>
      <c r="E589" s="35"/>
      <c r="F589" s="35"/>
      <c r="G589" s="35"/>
      <c r="H589" s="35"/>
      <c r="I589" s="35"/>
      <c r="J589" s="35"/>
      <c r="K589" s="35"/>
      <c r="L589" s="36"/>
      <c r="M589" s="35"/>
      <c r="N589" s="35"/>
      <c r="O589" s="35"/>
      <c r="P589" s="35"/>
      <c r="Q589" s="35"/>
      <c r="R589" s="35"/>
      <c r="S589" s="35"/>
      <c r="T589" s="35"/>
      <c r="U589" s="35"/>
      <c r="V589" s="35"/>
      <c r="W589" s="35"/>
      <c r="X589" s="35"/>
      <c r="Y589" s="35"/>
      <c r="Z589" s="35"/>
      <c r="AA589" s="35"/>
      <c r="AB589" s="35"/>
      <c r="AC589" s="35"/>
      <c r="AD589" s="35"/>
    </row>
    <row r="590" spans="1:30" x14ac:dyDescent="0.25">
      <c r="A590" s="35"/>
      <c r="B590" s="35"/>
      <c r="C590" s="35"/>
      <c r="D590" s="35"/>
      <c r="E590" s="35"/>
      <c r="F590" s="35"/>
      <c r="G590" s="35"/>
      <c r="H590" s="35"/>
      <c r="I590" s="35"/>
      <c r="J590" s="35"/>
      <c r="K590" s="35"/>
      <c r="L590" s="36"/>
      <c r="M590" s="35"/>
      <c r="N590" s="35"/>
      <c r="O590" s="35"/>
      <c r="P590" s="35"/>
      <c r="Q590" s="35"/>
      <c r="R590" s="35"/>
      <c r="S590" s="35"/>
      <c r="T590" s="35"/>
      <c r="U590" s="35"/>
      <c r="V590" s="35"/>
      <c r="W590" s="35"/>
      <c r="X590" s="35"/>
      <c r="Y590" s="35"/>
      <c r="Z590" s="35"/>
      <c r="AA590" s="35"/>
      <c r="AB590" s="35"/>
      <c r="AC590" s="35"/>
      <c r="AD590" s="35"/>
    </row>
    <row r="591" spans="1:30" x14ac:dyDescent="0.25">
      <c r="A591" s="35"/>
      <c r="B591" s="35"/>
      <c r="C591" s="35"/>
      <c r="D591" s="35"/>
      <c r="E591" s="35"/>
      <c r="F591" s="35"/>
      <c r="G591" s="35"/>
      <c r="H591" s="35"/>
      <c r="I591" s="35"/>
      <c r="J591" s="35"/>
      <c r="K591" s="35"/>
      <c r="L591" s="36"/>
      <c r="M591" s="35"/>
      <c r="N591" s="35"/>
      <c r="O591" s="35"/>
      <c r="P591" s="35"/>
      <c r="Q591" s="35"/>
      <c r="R591" s="35"/>
      <c r="S591" s="35"/>
      <c r="T591" s="35"/>
      <c r="U591" s="35"/>
      <c r="V591" s="35"/>
      <c r="W591" s="35"/>
      <c r="X591" s="35"/>
      <c r="Y591" s="35"/>
      <c r="Z591" s="35"/>
      <c r="AA591" s="35"/>
      <c r="AB591" s="35"/>
      <c r="AC591" s="35"/>
      <c r="AD591" s="35"/>
    </row>
    <row r="592" spans="1:30" x14ac:dyDescent="0.25">
      <c r="A592" s="35"/>
      <c r="B592" s="35"/>
      <c r="C592" s="35"/>
      <c r="D592" s="35"/>
      <c r="E592" s="35"/>
      <c r="F592" s="35"/>
      <c r="G592" s="35"/>
      <c r="H592" s="35"/>
      <c r="I592" s="35"/>
      <c r="J592" s="35"/>
      <c r="K592" s="35"/>
      <c r="L592" s="36"/>
      <c r="M592" s="35"/>
      <c r="N592" s="35"/>
      <c r="O592" s="35"/>
      <c r="P592" s="35"/>
      <c r="Q592" s="35"/>
      <c r="R592" s="35"/>
      <c r="S592" s="35"/>
      <c r="T592" s="35"/>
      <c r="U592" s="35"/>
      <c r="V592" s="35"/>
      <c r="W592" s="35"/>
      <c r="X592" s="35"/>
      <c r="Y592" s="35"/>
      <c r="Z592" s="35"/>
      <c r="AA592" s="35"/>
      <c r="AB592" s="35"/>
      <c r="AC592" s="35"/>
      <c r="AD592" s="35"/>
    </row>
    <row r="593" spans="1:30" x14ac:dyDescent="0.25">
      <c r="A593" s="35"/>
      <c r="B593" s="35"/>
      <c r="C593" s="35"/>
      <c r="D593" s="35"/>
      <c r="E593" s="35"/>
      <c r="F593" s="35"/>
      <c r="G593" s="35"/>
      <c r="H593" s="35"/>
      <c r="I593" s="35"/>
      <c r="J593" s="35"/>
      <c r="K593" s="35"/>
      <c r="L593" s="36"/>
      <c r="M593" s="35"/>
      <c r="N593" s="35"/>
      <c r="O593" s="35"/>
      <c r="P593" s="35"/>
      <c r="Q593" s="35"/>
      <c r="R593" s="35"/>
      <c r="S593" s="35"/>
      <c r="T593" s="35"/>
      <c r="U593" s="35"/>
      <c r="V593" s="35"/>
      <c r="W593" s="35"/>
      <c r="X593" s="35"/>
      <c r="Y593" s="35"/>
      <c r="Z593" s="35"/>
      <c r="AA593" s="35"/>
      <c r="AB593" s="35"/>
      <c r="AC593" s="35"/>
      <c r="AD593" s="35"/>
    </row>
    <row r="594" spans="1:30" x14ac:dyDescent="0.25">
      <c r="A594" s="35"/>
      <c r="B594" s="35"/>
      <c r="C594" s="35"/>
      <c r="D594" s="35"/>
      <c r="E594" s="35"/>
      <c r="F594" s="35"/>
      <c r="G594" s="35"/>
      <c r="H594" s="35"/>
      <c r="I594" s="35"/>
      <c r="J594" s="35"/>
      <c r="K594" s="35"/>
      <c r="L594" s="36"/>
      <c r="M594" s="35"/>
      <c r="N594" s="35"/>
      <c r="O594" s="35"/>
      <c r="P594" s="35"/>
      <c r="Q594" s="35"/>
      <c r="R594" s="35"/>
      <c r="S594" s="35"/>
      <c r="T594" s="35"/>
      <c r="U594" s="35"/>
      <c r="V594" s="35"/>
      <c r="W594" s="35"/>
      <c r="X594" s="35"/>
      <c r="Y594" s="35"/>
      <c r="Z594" s="35"/>
      <c r="AA594" s="35"/>
      <c r="AB594" s="35"/>
      <c r="AC594" s="35"/>
      <c r="AD594" s="35"/>
    </row>
    <row r="595" spans="1:30" x14ac:dyDescent="0.25">
      <c r="A595" s="35"/>
      <c r="B595" s="35"/>
      <c r="C595" s="35"/>
      <c r="D595" s="35"/>
      <c r="E595" s="35"/>
      <c r="F595" s="35"/>
      <c r="G595" s="35"/>
      <c r="H595" s="35"/>
      <c r="I595" s="35"/>
      <c r="J595" s="35"/>
      <c r="K595" s="35"/>
      <c r="L595" s="36"/>
      <c r="M595" s="35"/>
      <c r="N595" s="35"/>
      <c r="O595" s="35"/>
      <c r="P595" s="35"/>
      <c r="Q595" s="35"/>
      <c r="R595" s="35"/>
      <c r="S595" s="35"/>
      <c r="T595" s="35"/>
      <c r="U595" s="35"/>
      <c r="V595" s="35"/>
      <c r="W595" s="35"/>
      <c r="X595" s="35"/>
      <c r="Y595" s="35"/>
      <c r="Z595" s="35"/>
      <c r="AA595" s="35"/>
      <c r="AB595" s="35"/>
      <c r="AC595" s="35"/>
      <c r="AD595" s="35"/>
    </row>
    <row r="596" spans="1:30" x14ac:dyDescent="0.25">
      <c r="A596" s="35"/>
      <c r="B596" s="35"/>
      <c r="C596" s="35"/>
      <c r="D596" s="35"/>
      <c r="E596" s="35"/>
      <c r="F596" s="35"/>
      <c r="G596" s="35"/>
      <c r="H596" s="35"/>
      <c r="I596" s="35"/>
      <c r="J596" s="35"/>
      <c r="K596" s="35"/>
      <c r="L596" s="36"/>
      <c r="M596" s="35"/>
      <c r="N596" s="35"/>
      <c r="O596" s="35"/>
      <c r="P596" s="35"/>
      <c r="Q596" s="35"/>
      <c r="R596" s="35"/>
      <c r="S596" s="35"/>
      <c r="T596" s="35"/>
      <c r="U596" s="35"/>
      <c r="V596" s="35"/>
      <c r="W596" s="35"/>
      <c r="X596" s="35"/>
      <c r="Y596" s="35"/>
      <c r="Z596" s="35"/>
      <c r="AA596" s="35"/>
      <c r="AB596" s="35"/>
      <c r="AC596" s="35"/>
      <c r="AD596" s="35"/>
    </row>
    <row r="597" spans="1:30" x14ac:dyDescent="0.25">
      <c r="A597" s="35"/>
      <c r="B597" s="35"/>
      <c r="C597" s="35"/>
      <c r="D597" s="35"/>
      <c r="E597" s="35"/>
      <c r="F597" s="35"/>
      <c r="G597" s="35"/>
      <c r="H597" s="35"/>
      <c r="I597" s="35"/>
      <c r="J597" s="35"/>
      <c r="K597" s="35"/>
      <c r="L597" s="36"/>
      <c r="M597" s="35"/>
      <c r="N597" s="35"/>
      <c r="O597" s="35"/>
      <c r="P597" s="35"/>
      <c r="Q597" s="35"/>
      <c r="R597" s="35"/>
      <c r="S597" s="35"/>
      <c r="T597" s="35"/>
      <c r="U597" s="35"/>
      <c r="V597" s="35"/>
      <c r="W597" s="35"/>
      <c r="X597" s="35"/>
      <c r="Y597" s="35"/>
      <c r="Z597" s="35"/>
      <c r="AA597" s="35"/>
      <c r="AB597" s="35"/>
      <c r="AC597" s="35"/>
      <c r="AD597" s="35"/>
    </row>
    <row r="598" spans="1:30" x14ac:dyDescent="0.25">
      <c r="A598" s="35"/>
      <c r="B598" s="35"/>
      <c r="C598" s="35"/>
      <c r="D598" s="35"/>
      <c r="E598" s="35"/>
      <c r="F598" s="35"/>
      <c r="G598" s="35"/>
      <c r="H598" s="35"/>
      <c r="I598" s="35"/>
      <c r="J598" s="35"/>
      <c r="K598" s="35"/>
      <c r="L598" s="36"/>
      <c r="M598" s="35"/>
      <c r="N598" s="35"/>
      <c r="O598" s="35"/>
      <c r="P598" s="35"/>
      <c r="Q598" s="35"/>
      <c r="R598" s="35"/>
      <c r="S598" s="35"/>
      <c r="T598" s="35"/>
      <c r="U598" s="35"/>
      <c r="V598" s="35"/>
      <c r="W598" s="35"/>
      <c r="X598" s="35"/>
      <c r="Y598" s="35"/>
      <c r="Z598" s="35"/>
      <c r="AA598" s="35"/>
      <c r="AB598" s="35"/>
      <c r="AC598" s="35"/>
      <c r="AD598" s="35"/>
    </row>
    <row r="599" spans="1:30" x14ac:dyDescent="0.25">
      <c r="A599" s="35"/>
      <c r="B599" s="35"/>
      <c r="C599" s="35"/>
      <c r="D599" s="35"/>
      <c r="E599" s="35"/>
      <c r="F599" s="35"/>
      <c r="G599" s="35"/>
      <c r="H599" s="35"/>
      <c r="I599" s="35"/>
      <c r="J599" s="35"/>
      <c r="K599" s="35"/>
      <c r="L599" s="36"/>
      <c r="M599" s="35"/>
      <c r="N599" s="35"/>
      <c r="O599" s="35"/>
      <c r="P599" s="35"/>
      <c r="Q599" s="35"/>
      <c r="R599" s="35"/>
      <c r="S599" s="35"/>
      <c r="T599" s="35"/>
      <c r="U599" s="35"/>
      <c r="V599" s="35"/>
      <c r="W599" s="35"/>
      <c r="X599" s="35"/>
      <c r="Y599" s="35"/>
      <c r="Z599" s="35"/>
      <c r="AA599" s="35"/>
      <c r="AB599" s="35"/>
      <c r="AC599" s="35"/>
      <c r="AD599" s="35"/>
    </row>
    <row r="600" spans="1:30" x14ac:dyDescent="0.25">
      <c r="A600" s="35"/>
      <c r="B600" s="35"/>
      <c r="C600" s="35"/>
      <c r="D600" s="35"/>
      <c r="E600" s="35"/>
      <c r="F600" s="35"/>
      <c r="G600" s="35"/>
      <c r="H600" s="35"/>
      <c r="I600" s="35"/>
      <c r="J600" s="35"/>
      <c r="K600" s="35"/>
      <c r="L600" s="36"/>
      <c r="M600" s="35"/>
      <c r="N600" s="35"/>
      <c r="O600" s="35"/>
      <c r="P600" s="35"/>
      <c r="Q600" s="35"/>
      <c r="R600" s="35"/>
      <c r="S600" s="35"/>
      <c r="T600" s="35"/>
      <c r="U600" s="35"/>
      <c r="V600" s="35"/>
      <c r="W600" s="35"/>
      <c r="X600" s="35"/>
      <c r="Y600" s="35"/>
      <c r="Z600" s="35"/>
      <c r="AA600" s="35"/>
      <c r="AB600" s="35"/>
      <c r="AC600" s="35"/>
      <c r="AD600" s="35"/>
    </row>
    <row r="601" spans="1:30" x14ac:dyDescent="0.25">
      <c r="A601" s="35"/>
      <c r="B601" s="35"/>
      <c r="C601" s="35"/>
      <c r="D601" s="35"/>
      <c r="E601" s="35"/>
      <c r="F601" s="35"/>
      <c r="G601" s="35"/>
      <c r="H601" s="35"/>
      <c r="I601" s="35"/>
      <c r="J601" s="35"/>
      <c r="K601" s="35"/>
      <c r="L601" s="36"/>
      <c r="M601" s="35"/>
      <c r="N601" s="35"/>
      <c r="O601" s="35"/>
      <c r="P601" s="35"/>
      <c r="Q601" s="35"/>
      <c r="R601" s="35"/>
      <c r="S601" s="35"/>
      <c r="T601" s="35"/>
      <c r="U601" s="35"/>
      <c r="V601" s="35"/>
      <c r="W601" s="35"/>
      <c r="X601" s="35"/>
      <c r="Y601" s="35"/>
      <c r="Z601" s="35"/>
      <c r="AA601" s="35"/>
      <c r="AB601" s="35"/>
      <c r="AC601" s="35"/>
      <c r="AD601" s="35"/>
    </row>
    <row r="602" spans="1:30" x14ac:dyDescent="0.25">
      <c r="A602" s="35"/>
      <c r="B602" s="35"/>
      <c r="C602" s="35"/>
      <c r="D602" s="35"/>
      <c r="E602" s="35"/>
      <c r="F602" s="35"/>
      <c r="G602" s="35"/>
      <c r="H602" s="35"/>
      <c r="I602" s="35"/>
      <c r="J602" s="35"/>
      <c r="K602" s="35"/>
      <c r="L602" s="36"/>
      <c r="M602" s="35"/>
      <c r="N602" s="35"/>
      <c r="O602" s="35"/>
      <c r="P602" s="35"/>
      <c r="Q602" s="35"/>
      <c r="R602" s="35"/>
      <c r="S602" s="35"/>
      <c r="T602" s="35"/>
      <c r="U602" s="35"/>
      <c r="V602" s="35"/>
      <c r="W602" s="35"/>
      <c r="X602" s="35"/>
      <c r="Y602" s="35"/>
      <c r="Z602" s="35"/>
      <c r="AA602" s="35"/>
      <c r="AB602" s="35"/>
      <c r="AC602" s="35"/>
      <c r="AD602" s="35"/>
    </row>
    <row r="603" spans="1:30" x14ac:dyDescent="0.25">
      <c r="A603" s="35"/>
      <c r="B603" s="35"/>
      <c r="C603" s="35"/>
      <c r="D603" s="35"/>
      <c r="E603" s="35"/>
      <c r="F603" s="35"/>
      <c r="G603" s="35"/>
      <c r="H603" s="35"/>
      <c r="I603" s="35"/>
      <c r="J603" s="35"/>
      <c r="K603" s="35"/>
      <c r="L603" s="36"/>
      <c r="M603" s="35"/>
      <c r="N603" s="35"/>
      <c r="O603" s="35"/>
      <c r="P603" s="35"/>
      <c r="Q603" s="35"/>
      <c r="R603" s="35"/>
      <c r="S603" s="35"/>
      <c r="T603" s="35"/>
      <c r="U603" s="35"/>
      <c r="V603" s="35"/>
      <c r="W603" s="35"/>
      <c r="X603" s="35"/>
      <c r="Y603" s="35"/>
      <c r="Z603" s="35"/>
      <c r="AA603" s="35"/>
      <c r="AB603" s="35"/>
      <c r="AC603" s="35"/>
      <c r="AD603" s="35"/>
    </row>
    <row r="604" spans="1:30" x14ac:dyDescent="0.25">
      <c r="A604" s="35"/>
      <c r="B604" s="35"/>
      <c r="C604" s="35"/>
      <c r="D604" s="35"/>
      <c r="E604" s="35"/>
      <c r="F604" s="35"/>
      <c r="G604" s="35"/>
      <c r="H604" s="35"/>
      <c r="I604" s="35"/>
      <c r="J604" s="35"/>
      <c r="K604" s="35"/>
      <c r="L604" s="36"/>
      <c r="M604" s="35"/>
      <c r="N604" s="35"/>
      <c r="O604" s="35"/>
      <c r="P604" s="35"/>
      <c r="Q604" s="35"/>
      <c r="R604" s="35"/>
      <c r="S604" s="35"/>
      <c r="T604" s="35"/>
      <c r="U604" s="35"/>
      <c r="V604" s="35"/>
      <c r="W604" s="35"/>
      <c r="X604" s="35"/>
      <c r="Y604" s="35"/>
      <c r="Z604" s="35"/>
      <c r="AA604" s="35"/>
      <c r="AB604" s="35"/>
      <c r="AC604" s="35"/>
      <c r="AD604" s="35"/>
    </row>
    <row r="605" spans="1:30" x14ac:dyDescent="0.25">
      <c r="A605" s="35"/>
      <c r="B605" s="35"/>
      <c r="C605" s="35"/>
      <c r="D605" s="35"/>
      <c r="E605" s="35"/>
      <c r="F605" s="35"/>
      <c r="G605" s="35"/>
      <c r="H605" s="35"/>
      <c r="I605" s="35"/>
      <c r="J605" s="35"/>
      <c r="K605" s="35"/>
      <c r="L605" s="36"/>
      <c r="M605" s="35"/>
      <c r="N605" s="35"/>
      <c r="O605" s="35"/>
      <c r="P605" s="35"/>
      <c r="Q605" s="35"/>
      <c r="R605" s="35"/>
      <c r="S605" s="35"/>
      <c r="T605" s="35"/>
      <c r="U605" s="35"/>
      <c r="V605" s="35"/>
      <c r="W605" s="35"/>
      <c r="X605" s="35"/>
      <c r="Y605" s="35"/>
      <c r="Z605" s="35"/>
      <c r="AA605" s="35"/>
      <c r="AB605" s="35"/>
      <c r="AC605" s="35"/>
      <c r="AD605" s="35"/>
    </row>
    <row r="606" spans="1:30" x14ac:dyDescent="0.25">
      <c r="A606" s="35"/>
      <c r="B606" s="35"/>
      <c r="C606" s="35"/>
      <c r="D606" s="35"/>
      <c r="E606" s="35"/>
      <c r="F606" s="35"/>
      <c r="G606" s="35"/>
      <c r="H606" s="35"/>
      <c r="I606" s="35"/>
      <c r="J606" s="35"/>
      <c r="K606" s="35"/>
      <c r="L606" s="36"/>
      <c r="M606" s="35"/>
      <c r="N606" s="35"/>
      <c r="O606" s="35"/>
      <c r="P606" s="35"/>
      <c r="Q606" s="35"/>
      <c r="R606" s="35"/>
      <c r="S606" s="35"/>
      <c r="T606" s="35"/>
      <c r="U606" s="35"/>
      <c r="V606" s="35"/>
      <c r="W606" s="35"/>
      <c r="X606" s="35"/>
      <c r="Y606" s="35"/>
      <c r="Z606" s="35"/>
      <c r="AA606" s="35"/>
      <c r="AB606" s="35"/>
      <c r="AC606" s="35"/>
      <c r="AD606" s="35"/>
    </row>
    <row r="607" spans="1:30" x14ac:dyDescent="0.25">
      <c r="A607" s="35"/>
      <c r="B607" s="35"/>
      <c r="C607" s="35"/>
      <c r="D607" s="35"/>
      <c r="E607" s="35"/>
      <c r="F607" s="35"/>
      <c r="G607" s="35"/>
      <c r="H607" s="35"/>
      <c r="I607" s="35"/>
      <c r="J607" s="35"/>
      <c r="K607" s="35"/>
      <c r="L607" s="36"/>
      <c r="M607" s="35"/>
      <c r="N607" s="35"/>
      <c r="O607" s="35"/>
      <c r="P607" s="35"/>
      <c r="Q607" s="35"/>
      <c r="R607" s="35"/>
      <c r="S607" s="35"/>
      <c r="T607" s="35"/>
      <c r="U607" s="35"/>
      <c r="V607" s="35"/>
      <c r="W607" s="35"/>
      <c r="X607" s="35"/>
      <c r="Y607" s="35"/>
      <c r="Z607" s="35"/>
      <c r="AA607" s="35"/>
      <c r="AB607" s="35"/>
      <c r="AC607" s="35"/>
      <c r="AD607" s="35"/>
    </row>
    <row r="608" spans="1:30" x14ac:dyDescent="0.25">
      <c r="A608" s="35"/>
      <c r="B608" s="35"/>
      <c r="C608" s="35"/>
      <c r="D608" s="35"/>
      <c r="E608" s="35"/>
      <c r="F608" s="35"/>
      <c r="G608" s="35"/>
      <c r="H608" s="35"/>
      <c r="I608" s="35"/>
      <c r="J608" s="35"/>
      <c r="K608" s="35"/>
      <c r="L608" s="36"/>
      <c r="M608" s="35"/>
      <c r="N608" s="35"/>
      <c r="O608" s="35"/>
      <c r="P608" s="35"/>
      <c r="Q608" s="35"/>
      <c r="R608" s="35"/>
      <c r="S608" s="35"/>
      <c r="T608" s="35"/>
      <c r="U608" s="35"/>
      <c r="V608" s="35"/>
      <c r="W608" s="35"/>
      <c r="X608" s="35"/>
      <c r="Y608" s="35"/>
      <c r="Z608" s="35"/>
      <c r="AA608" s="35"/>
      <c r="AB608" s="35"/>
      <c r="AC608" s="35"/>
      <c r="AD608" s="35"/>
    </row>
    <row r="609" spans="1:30" x14ac:dyDescent="0.25">
      <c r="A609" s="35"/>
      <c r="B609" s="35"/>
      <c r="C609" s="35"/>
      <c r="D609" s="35"/>
      <c r="E609" s="35"/>
      <c r="F609" s="35"/>
      <c r="G609" s="35"/>
      <c r="H609" s="35"/>
      <c r="I609" s="35"/>
      <c r="J609" s="35"/>
      <c r="K609" s="35"/>
      <c r="L609" s="36"/>
      <c r="M609" s="35"/>
      <c r="N609" s="35"/>
      <c r="O609" s="35"/>
      <c r="P609" s="35"/>
      <c r="Q609" s="35"/>
      <c r="R609" s="35"/>
      <c r="S609" s="35"/>
      <c r="T609" s="35"/>
      <c r="U609" s="35"/>
      <c r="V609" s="35"/>
      <c r="W609" s="35"/>
      <c r="X609" s="35"/>
      <c r="Y609" s="35"/>
      <c r="Z609" s="35"/>
      <c r="AA609" s="35"/>
      <c r="AB609" s="35"/>
      <c r="AC609" s="35"/>
      <c r="AD609" s="35"/>
    </row>
    <row r="610" spans="1:30" x14ac:dyDescent="0.25">
      <c r="A610" s="35"/>
      <c r="B610" s="35"/>
      <c r="C610" s="35"/>
      <c r="D610" s="35"/>
      <c r="E610" s="35"/>
      <c r="F610" s="35"/>
      <c r="G610" s="35"/>
      <c r="H610" s="35"/>
      <c r="I610" s="35"/>
      <c r="J610" s="35"/>
      <c r="K610" s="35"/>
      <c r="L610" s="36"/>
      <c r="M610" s="35"/>
      <c r="N610" s="35"/>
      <c r="O610" s="35"/>
      <c r="P610" s="35"/>
      <c r="Q610" s="35"/>
      <c r="R610" s="35"/>
      <c r="S610" s="35"/>
      <c r="T610" s="35"/>
      <c r="U610" s="35"/>
      <c r="V610" s="35"/>
      <c r="W610" s="35"/>
      <c r="X610" s="35"/>
      <c r="Y610" s="35"/>
      <c r="Z610" s="35"/>
      <c r="AA610" s="35"/>
      <c r="AB610" s="35"/>
      <c r="AC610" s="35"/>
      <c r="AD610" s="35"/>
    </row>
    <row r="611" spans="1:30" x14ac:dyDescent="0.25">
      <c r="A611" s="35"/>
      <c r="B611" s="35"/>
      <c r="C611" s="35"/>
      <c r="D611" s="35"/>
      <c r="E611" s="35"/>
      <c r="F611" s="35"/>
      <c r="G611" s="35"/>
      <c r="H611" s="35"/>
      <c r="I611" s="35"/>
      <c r="J611" s="35"/>
      <c r="K611" s="35"/>
      <c r="L611" s="36"/>
      <c r="M611" s="35"/>
      <c r="N611" s="35"/>
      <c r="O611" s="35"/>
      <c r="P611" s="35"/>
      <c r="Q611" s="35"/>
      <c r="R611" s="35"/>
      <c r="S611" s="35"/>
      <c r="T611" s="35"/>
      <c r="U611" s="35"/>
      <c r="V611" s="35"/>
      <c r="W611" s="35"/>
      <c r="X611" s="35"/>
      <c r="Y611" s="35"/>
      <c r="Z611" s="35"/>
      <c r="AA611" s="35"/>
      <c r="AB611" s="35"/>
      <c r="AC611" s="35"/>
      <c r="AD611" s="35"/>
    </row>
    <row r="612" spans="1:30" x14ac:dyDescent="0.25">
      <c r="A612" s="35"/>
      <c r="B612" s="35"/>
      <c r="C612" s="35"/>
      <c r="D612" s="35"/>
      <c r="E612" s="35"/>
      <c r="F612" s="35"/>
      <c r="G612" s="35"/>
      <c r="H612" s="35"/>
      <c r="I612" s="35"/>
      <c r="J612" s="35"/>
      <c r="K612" s="35"/>
      <c r="L612" s="36"/>
      <c r="M612" s="35"/>
      <c r="N612" s="35"/>
      <c r="O612" s="35"/>
      <c r="P612" s="35"/>
      <c r="Q612" s="35"/>
      <c r="R612" s="35"/>
      <c r="S612" s="35"/>
      <c r="T612" s="35"/>
      <c r="U612" s="35"/>
      <c r="V612" s="35"/>
      <c r="W612" s="35"/>
      <c r="X612" s="35"/>
      <c r="Y612" s="35"/>
      <c r="Z612" s="35"/>
      <c r="AA612" s="35"/>
      <c r="AB612" s="35"/>
      <c r="AC612" s="35"/>
      <c r="AD612" s="35"/>
    </row>
    <row r="613" spans="1:30" x14ac:dyDescent="0.25">
      <c r="A613" s="35"/>
      <c r="B613" s="35"/>
      <c r="C613" s="35"/>
      <c r="D613" s="35"/>
      <c r="E613" s="35"/>
      <c r="F613" s="35"/>
      <c r="G613" s="35"/>
      <c r="H613" s="35"/>
      <c r="I613" s="35"/>
      <c r="J613" s="35"/>
      <c r="K613" s="35"/>
      <c r="L613" s="36"/>
      <c r="M613" s="35"/>
      <c r="N613" s="35"/>
      <c r="O613" s="35"/>
      <c r="P613" s="35"/>
      <c r="Q613" s="35"/>
      <c r="R613" s="35"/>
      <c r="S613" s="35"/>
      <c r="T613" s="35"/>
      <c r="U613" s="35"/>
      <c r="V613" s="35"/>
      <c r="W613" s="35"/>
      <c r="X613" s="35"/>
      <c r="Y613" s="35"/>
      <c r="Z613" s="35"/>
      <c r="AA613" s="35"/>
      <c r="AB613" s="35"/>
      <c r="AC613" s="35"/>
      <c r="AD613" s="35"/>
    </row>
    <row r="614" spans="1:30" x14ac:dyDescent="0.25">
      <c r="A614" s="35"/>
      <c r="B614" s="35"/>
      <c r="C614" s="35"/>
      <c r="D614" s="35"/>
      <c r="E614" s="35"/>
      <c r="F614" s="35"/>
      <c r="G614" s="35"/>
      <c r="H614" s="35"/>
      <c r="I614" s="35"/>
      <c r="J614" s="35"/>
      <c r="K614" s="35"/>
      <c r="L614" s="36"/>
      <c r="M614" s="35"/>
      <c r="N614" s="35"/>
      <c r="O614" s="35"/>
      <c r="P614" s="35"/>
      <c r="Q614" s="35"/>
      <c r="R614" s="35"/>
      <c r="S614" s="35"/>
      <c r="T614" s="35"/>
      <c r="U614" s="35"/>
      <c r="V614" s="35"/>
      <c r="W614" s="35"/>
      <c r="X614" s="35"/>
      <c r="Y614" s="35"/>
      <c r="Z614" s="35"/>
      <c r="AA614" s="35"/>
      <c r="AB614" s="35"/>
      <c r="AC614" s="35"/>
      <c r="AD614" s="35"/>
    </row>
    <row r="615" spans="1:30" x14ac:dyDescent="0.25">
      <c r="A615" s="35"/>
      <c r="B615" s="35"/>
      <c r="C615" s="35"/>
      <c r="D615" s="35"/>
      <c r="E615" s="35"/>
      <c r="F615" s="35"/>
      <c r="G615" s="35"/>
      <c r="H615" s="35"/>
      <c r="I615" s="35"/>
      <c r="J615" s="35"/>
      <c r="K615" s="35"/>
      <c r="L615" s="36"/>
      <c r="M615" s="35"/>
      <c r="N615" s="35"/>
      <c r="O615" s="35"/>
      <c r="P615" s="35"/>
      <c r="Q615" s="35"/>
      <c r="R615" s="35"/>
      <c r="S615" s="35"/>
      <c r="T615" s="35"/>
      <c r="U615" s="35"/>
      <c r="V615" s="35"/>
      <c r="W615" s="35"/>
      <c r="X615" s="35"/>
      <c r="Y615" s="35"/>
      <c r="Z615" s="35"/>
      <c r="AA615" s="35"/>
      <c r="AB615" s="35"/>
      <c r="AC615" s="35"/>
      <c r="AD615" s="35"/>
    </row>
    <row r="616" spans="1:30" x14ac:dyDescent="0.25">
      <c r="A616" s="35"/>
      <c r="B616" s="35"/>
      <c r="C616" s="35"/>
      <c r="D616" s="35"/>
      <c r="E616" s="35"/>
      <c r="F616" s="35"/>
      <c r="G616" s="35"/>
      <c r="H616" s="35"/>
      <c r="I616" s="35"/>
      <c r="J616" s="35"/>
      <c r="K616" s="35"/>
      <c r="L616" s="36"/>
      <c r="M616" s="35"/>
      <c r="N616" s="35"/>
      <c r="O616" s="35"/>
      <c r="P616" s="35"/>
      <c r="Q616" s="35"/>
      <c r="R616" s="35"/>
      <c r="S616" s="35"/>
      <c r="T616" s="35"/>
      <c r="U616" s="35"/>
      <c r="V616" s="35"/>
      <c r="W616" s="35"/>
      <c r="X616" s="35"/>
      <c r="Y616" s="35"/>
      <c r="Z616" s="35"/>
      <c r="AA616" s="35"/>
      <c r="AB616" s="35"/>
      <c r="AC616" s="35"/>
      <c r="AD616" s="35"/>
    </row>
    <row r="617" spans="1:30" x14ac:dyDescent="0.25">
      <c r="A617" s="35"/>
      <c r="B617" s="35"/>
      <c r="C617" s="35"/>
      <c r="D617" s="35"/>
      <c r="E617" s="35"/>
      <c r="F617" s="35"/>
      <c r="G617" s="35"/>
      <c r="H617" s="35"/>
      <c r="I617" s="35"/>
      <c r="J617" s="35"/>
      <c r="K617" s="35"/>
      <c r="L617" s="36"/>
      <c r="M617" s="35"/>
      <c r="N617" s="35"/>
      <c r="O617" s="35"/>
      <c r="P617" s="35"/>
      <c r="Q617" s="35"/>
      <c r="R617" s="35"/>
      <c r="S617" s="35"/>
      <c r="T617" s="35"/>
      <c r="U617" s="35"/>
      <c r="V617" s="35"/>
      <c r="W617" s="35"/>
      <c r="X617" s="35"/>
      <c r="Y617" s="35"/>
      <c r="Z617" s="35"/>
      <c r="AA617" s="35"/>
      <c r="AB617" s="35"/>
      <c r="AC617" s="35"/>
      <c r="AD617" s="35"/>
    </row>
    <row r="618" spans="1:30" x14ac:dyDescent="0.25">
      <c r="A618" s="35"/>
      <c r="B618" s="35"/>
      <c r="C618" s="35"/>
      <c r="D618" s="35"/>
      <c r="E618" s="35"/>
      <c r="F618" s="35"/>
      <c r="G618" s="35"/>
      <c r="H618" s="35"/>
      <c r="I618" s="35"/>
      <c r="J618" s="35"/>
      <c r="K618" s="35"/>
      <c r="L618" s="36"/>
      <c r="M618" s="35"/>
      <c r="N618" s="35"/>
      <c r="O618" s="35"/>
      <c r="P618" s="35"/>
      <c r="Q618" s="35"/>
      <c r="R618" s="35"/>
      <c r="S618" s="35"/>
      <c r="T618" s="35"/>
      <c r="U618" s="35"/>
      <c r="V618" s="35"/>
      <c r="W618" s="35"/>
      <c r="X618" s="35"/>
      <c r="Y618" s="35"/>
      <c r="Z618" s="35"/>
      <c r="AA618" s="35"/>
      <c r="AB618" s="35"/>
      <c r="AC618" s="35"/>
      <c r="AD618" s="35"/>
    </row>
    <row r="619" spans="1:30" x14ac:dyDescent="0.25">
      <c r="A619" s="35"/>
      <c r="B619" s="35"/>
      <c r="C619" s="35"/>
      <c r="D619" s="35"/>
      <c r="E619" s="35"/>
      <c r="F619" s="35"/>
      <c r="G619" s="35"/>
      <c r="H619" s="35"/>
      <c r="I619" s="35"/>
      <c r="J619" s="35"/>
      <c r="K619" s="35"/>
      <c r="L619" s="36"/>
      <c r="M619" s="35"/>
      <c r="N619" s="35"/>
      <c r="O619" s="35"/>
      <c r="P619" s="35"/>
      <c r="Q619" s="35"/>
      <c r="R619" s="35"/>
      <c r="S619" s="35"/>
      <c r="T619" s="35"/>
      <c r="U619" s="35"/>
      <c r="V619" s="35"/>
      <c r="W619" s="35"/>
      <c r="X619" s="35"/>
      <c r="Y619" s="35"/>
      <c r="Z619" s="35"/>
      <c r="AA619" s="35"/>
      <c r="AB619" s="35"/>
      <c r="AC619" s="35"/>
      <c r="AD619" s="35"/>
    </row>
    <row r="620" spans="1:30" x14ac:dyDescent="0.25">
      <c r="A620" s="35"/>
      <c r="B620" s="35"/>
      <c r="C620" s="35"/>
      <c r="D620" s="35"/>
      <c r="E620" s="35"/>
      <c r="F620" s="35"/>
      <c r="G620" s="35"/>
      <c r="H620" s="35"/>
      <c r="I620" s="35"/>
      <c r="J620" s="35"/>
      <c r="K620" s="35"/>
      <c r="L620" s="36"/>
      <c r="M620" s="35"/>
      <c r="N620" s="35"/>
      <c r="O620" s="35"/>
      <c r="P620" s="35"/>
      <c r="Q620" s="35"/>
      <c r="R620" s="35"/>
      <c r="S620" s="35"/>
      <c r="T620" s="35"/>
      <c r="U620" s="35"/>
      <c r="V620" s="35"/>
      <c r="W620" s="35"/>
      <c r="X620" s="35"/>
      <c r="Y620" s="35"/>
      <c r="Z620" s="35"/>
      <c r="AA620" s="35"/>
      <c r="AB620" s="35"/>
      <c r="AC620" s="35"/>
      <c r="AD620" s="35"/>
    </row>
    <row r="621" spans="1:30" x14ac:dyDescent="0.25">
      <c r="A621" s="35"/>
      <c r="B621" s="35"/>
      <c r="C621" s="35"/>
      <c r="D621" s="35"/>
      <c r="E621" s="35"/>
      <c r="F621" s="35"/>
      <c r="G621" s="35"/>
      <c r="H621" s="35"/>
      <c r="I621" s="35"/>
      <c r="J621" s="35"/>
      <c r="K621" s="35"/>
      <c r="L621" s="36"/>
      <c r="M621" s="35"/>
      <c r="N621" s="35"/>
      <c r="O621" s="35"/>
      <c r="P621" s="35"/>
      <c r="Q621" s="35"/>
      <c r="R621" s="35"/>
      <c r="S621" s="35"/>
      <c r="T621" s="35"/>
      <c r="U621" s="35"/>
      <c r="V621" s="35"/>
      <c r="W621" s="35"/>
      <c r="X621" s="35"/>
      <c r="Y621" s="35"/>
      <c r="Z621" s="35"/>
      <c r="AA621" s="35"/>
      <c r="AB621" s="35"/>
      <c r="AC621" s="35"/>
      <c r="AD621" s="35"/>
    </row>
    <row r="622" spans="1:30" x14ac:dyDescent="0.25">
      <c r="A622" s="35"/>
      <c r="B622" s="35"/>
      <c r="C622" s="35"/>
      <c r="D622" s="35"/>
      <c r="E622" s="35"/>
      <c r="F622" s="35"/>
      <c r="G622" s="35"/>
      <c r="H622" s="35"/>
      <c r="I622" s="35"/>
      <c r="J622" s="35"/>
      <c r="K622" s="35"/>
      <c r="L622" s="36"/>
      <c r="M622" s="35"/>
      <c r="N622" s="35"/>
      <c r="O622" s="35"/>
      <c r="P622" s="35"/>
      <c r="Q622" s="35"/>
      <c r="R622" s="35"/>
      <c r="S622" s="35"/>
      <c r="T622" s="35"/>
      <c r="U622" s="35"/>
      <c r="V622" s="35"/>
      <c r="W622" s="35"/>
      <c r="X622" s="35"/>
      <c r="Y622" s="35"/>
      <c r="Z622" s="35"/>
      <c r="AA622" s="35"/>
      <c r="AB622" s="35"/>
      <c r="AC622" s="35"/>
      <c r="AD622" s="35"/>
    </row>
    <row r="623" spans="1:30" x14ac:dyDescent="0.25">
      <c r="A623" s="35"/>
      <c r="B623" s="35"/>
      <c r="C623" s="35"/>
      <c r="D623" s="35"/>
      <c r="E623" s="35"/>
      <c r="F623" s="35"/>
      <c r="G623" s="35"/>
      <c r="H623" s="35"/>
      <c r="I623" s="35"/>
      <c r="J623" s="35"/>
      <c r="K623" s="35"/>
      <c r="L623" s="36"/>
      <c r="M623" s="35"/>
      <c r="N623" s="35"/>
      <c r="O623" s="35"/>
      <c r="P623" s="35"/>
      <c r="Q623" s="35"/>
      <c r="R623" s="35"/>
      <c r="S623" s="35"/>
      <c r="T623" s="35"/>
      <c r="U623" s="35"/>
      <c r="V623" s="35"/>
      <c r="W623" s="35"/>
      <c r="X623" s="35"/>
      <c r="Y623" s="35"/>
      <c r="Z623" s="35"/>
      <c r="AA623" s="35"/>
      <c r="AB623" s="35"/>
      <c r="AC623" s="35"/>
      <c r="AD623" s="35"/>
    </row>
    <row r="624" spans="1:30" x14ac:dyDescent="0.25">
      <c r="A624" s="35"/>
      <c r="B624" s="35"/>
      <c r="C624" s="35"/>
      <c r="D624" s="35"/>
      <c r="E624" s="35"/>
      <c r="F624" s="35"/>
      <c r="G624" s="35"/>
      <c r="H624" s="35"/>
      <c r="I624" s="35"/>
      <c r="J624" s="35"/>
      <c r="K624" s="35"/>
      <c r="L624" s="36"/>
      <c r="M624" s="35"/>
      <c r="N624" s="35"/>
      <c r="O624" s="35"/>
      <c r="P624" s="35"/>
      <c r="Q624" s="35"/>
      <c r="R624" s="35"/>
      <c r="S624" s="35"/>
      <c r="T624" s="35"/>
      <c r="U624" s="35"/>
      <c r="V624" s="35"/>
      <c r="W624" s="35"/>
      <c r="X624" s="35"/>
      <c r="Y624" s="35"/>
      <c r="Z624" s="35"/>
      <c r="AA624" s="35"/>
      <c r="AB624" s="35"/>
      <c r="AC624" s="35"/>
      <c r="AD624" s="35"/>
    </row>
    <row r="625" spans="1:30" x14ac:dyDescent="0.25">
      <c r="A625" s="35"/>
      <c r="B625" s="35"/>
      <c r="C625" s="35"/>
      <c r="D625" s="35"/>
      <c r="E625" s="35"/>
      <c r="F625" s="35"/>
      <c r="G625" s="35"/>
      <c r="H625" s="35"/>
      <c r="I625" s="35"/>
      <c r="J625" s="35"/>
      <c r="K625" s="35"/>
      <c r="L625" s="36"/>
      <c r="M625" s="35"/>
      <c r="N625" s="35"/>
      <c r="O625" s="35"/>
      <c r="P625" s="35"/>
      <c r="Q625" s="35"/>
      <c r="R625" s="35"/>
      <c r="S625" s="35"/>
      <c r="T625" s="35"/>
      <c r="U625" s="35"/>
      <c r="V625" s="35"/>
      <c r="W625" s="35"/>
      <c r="X625" s="35"/>
      <c r="Y625" s="35"/>
      <c r="Z625" s="35"/>
      <c r="AA625" s="35"/>
      <c r="AB625" s="35"/>
      <c r="AC625" s="35"/>
      <c r="AD625" s="35"/>
    </row>
    <row r="626" spans="1:30" x14ac:dyDescent="0.25">
      <c r="A626" s="35"/>
      <c r="B626" s="35"/>
      <c r="C626" s="35"/>
      <c r="D626" s="35"/>
      <c r="E626" s="35"/>
      <c r="F626" s="35"/>
      <c r="G626" s="35"/>
      <c r="H626" s="35"/>
      <c r="I626" s="35"/>
      <c r="J626" s="35"/>
      <c r="K626" s="35"/>
      <c r="L626" s="36"/>
      <c r="M626" s="35"/>
      <c r="N626" s="35"/>
      <c r="O626" s="35"/>
      <c r="P626" s="35"/>
      <c r="Q626" s="35"/>
      <c r="R626" s="35"/>
      <c r="S626" s="35"/>
      <c r="T626" s="35"/>
      <c r="U626" s="35"/>
      <c r="V626" s="35"/>
      <c r="W626" s="35"/>
      <c r="X626" s="35"/>
      <c r="Y626" s="35"/>
      <c r="Z626" s="35"/>
      <c r="AA626" s="35"/>
      <c r="AB626" s="35"/>
      <c r="AC626" s="35"/>
      <c r="AD626" s="35"/>
    </row>
    <row r="627" spans="1:30" x14ac:dyDescent="0.25">
      <c r="A627" s="35"/>
      <c r="B627" s="35"/>
      <c r="C627" s="35"/>
      <c r="D627" s="35"/>
      <c r="E627" s="35"/>
      <c r="F627" s="35"/>
      <c r="G627" s="35"/>
      <c r="H627" s="35"/>
      <c r="I627" s="35"/>
      <c r="J627" s="35"/>
      <c r="K627" s="35"/>
      <c r="L627" s="36"/>
      <c r="M627" s="35"/>
      <c r="N627" s="35"/>
      <c r="O627" s="35"/>
      <c r="P627" s="35"/>
      <c r="Q627" s="35"/>
      <c r="R627" s="35"/>
      <c r="S627" s="35"/>
      <c r="T627" s="35"/>
      <c r="U627" s="35"/>
      <c r="V627" s="35"/>
      <c r="W627" s="35"/>
      <c r="X627" s="35"/>
      <c r="Y627" s="35"/>
      <c r="Z627" s="35"/>
      <c r="AA627" s="35"/>
      <c r="AB627" s="35"/>
      <c r="AC627" s="35"/>
      <c r="AD627" s="35"/>
    </row>
    <row r="628" spans="1:30" x14ac:dyDescent="0.25">
      <c r="A628" s="35"/>
      <c r="B628" s="35"/>
      <c r="C628" s="35"/>
      <c r="D628" s="35"/>
      <c r="E628" s="35"/>
      <c r="F628" s="35"/>
      <c r="G628" s="35"/>
      <c r="H628" s="35"/>
      <c r="I628" s="35"/>
      <c r="J628" s="35"/>
      <c r="K628" s="35"/>
      <c r="L628" s="36"/>
      <c r="M628" s="35"/>
      <c r="N628" s="35"/>
      <c r="O628" s="35"/>
      <c r="P628" s="35"/>
      <c r="Q628" s="35"/>
      <c r="R628" s="35"/>
      <c r="S628" s="35"/>
      <c r="T628" s="35"/>
      <c r="U628" s="35"/>
      <c r="V628" s="35"/>
      <c r="W628" s="35"/>
      <c r="X628" s="35"/>
      <c r="Y628" s="35"/>
      <c r="Z628" s="35"/>
      <c r="AA628" s="35"/>
      <c r="AB628" s="35"/>
      <c r="AC628" s="35"/>
      <c r="AD628" s="35"/>
    </row>
    <row r="629" spans="1:30" x14ac:dyDescent="0.25">
      <c r="A629" s="35"/>
      <c r="B629" s="35"/>
      <c r="C629" s="35"/>
      <c r="D629" s="35"/>
      <c r="E629" s="35"/>
      <c r="F629" s="35"/>
      <c r="G629" s="35"/>
      <c r="H629" s="35"/>
      <c r="I629" s="35"/>
      <c r="J629" s="35"/>
      <c r="K629" s="35"/>
      <c r="L629" s="36"/>
      <c r="M629" s="35"/>
      <c r="N629" s="35"/>
      <c r="O629" s="35"/>
      <c r="P629" s="35"/>
      <c r="Q629" s="35"/>
      <c r="R629" s="35"/>
      <c r="S629" s="35"/>
      <c r="T629" s="35"/>
      <c r="U629" s="35"/>
      <c r="V629" s="35"/>
      <c r="W629" s="35"/>
      <c r="X629" s="35"/>
      <c r="Y629" s="35"/>
      <c r="Z629" s="35"/>
      <c r="AA629" s="35"/>
      <c r="AB629" s="35"/>
      <c r="AC629" s="35"/>
      <c r="AD629" s="35"/>
    </row>
    <row r="630" spans="1:30" x14ac:dyDescent="0.25">
      <c r="A630" s="35"/>
      <c r="B630" s="35"/>
      <c r="C630" s="35"/>
      <c r="D630" s="35"/>
      <c r="E630" s="35"/>
      <c r="F630" s="35"/>
      <c r="G630" s="35"/>
      <c r="H630" s="35"/>
      <c r="I630" s="35"/>
      <c r="J630" s="35"/>
      <c r="K630" s="35"/>
      <c r="L630" s="36"/>
      <c r="M630" s="35"/>
      <c r="N630" s="35"/>
      <c r="O630" s="35"/>
      <c r="P630" s="35"/>
      <c r="Q630" s="35"/>
      <c r="R630" s="35"/>
      <c r="S630" s="35"/>
      <c r="T630" s="35"/>
      <c r="U630" s="35"/>
      <c r="V630" s="35"/>
      <c r="W630" s="35"/>
      <c r="X630" s="35"/>
      <c r="Y630" s="35"/>
      <c r="Z630" s="35"/>
      <c r="AA630" s="35"/>
      <c r="AB630" s="35"/>
      <c r="AC630" s="35"/>
      <c r="AD630" s="35"/>
    </row>
    <row r="631" spans="1:30" x14ac:dyDescent="0.25">
      <c r="A631" s="35"/>
      <c r="B631" s="35"/>
      <c r="C631" s="35"/>
      <c r="D631" s="35"/>
      <c r="E631" s="35"/>
      <c r="F631" s="35"/>
      <c r="G631" s="35"/>
      <c r="H631" s="35"/>
      <c r="I631" s="35"/>
      <c r="J631" s="35"/>
      <c r="K631" s="35"/>
      <c r="L631" s="36"/>
      <c r="M631" s="35"/>
      <c r="N631" s="35"/>
      <c r="O631" s="35"/>
      <c r="P631" s="35"/>
      <c r="Q631" s="35"/>
      <c r="R631" s="35"/>
      <c r="S631" s="35"/>
      <c r="T631" s="35"/>
      <c r="U631" s="35"/>
      <c r="V631" s="35"/>
      <c r="W631" s="35"/>
      <c r="X631" s="35"/>
      <c r="Y631" s="35"/>
      <c r="Z631" s="35"/>
      <c r="AA631" s="35"/>
      <c r="AB631" s="35"/>
      <c r="AC631" s="35"/>
      <c r="AD631" s="35"/>
    </row>
    <row r="632" spans="1:30" x14ac:dyDescent="0.25">
      <c r="A632" s="35"/>
      <c r="B632" s="35"/>
      <c r="C632" s="35"/>
      <c r="D632" s="35"/>
      <c r="E632" s="35"/>
      <c r="F632" s="35"/>
      <c r="G632" s="35"/>
      <c r="H632" s="35"/>
      <c r="I632" s="35"/>
      <c r="J632" s="35"/>
      <c r="K632" s="35"/>
      <c r="L632" s="36"/>
      <c r="M632" s="35"/>
      <c r="N632" s="35"/>
      <c r="O632" s="35"/>
      <c r="P632" s="35"/>
      <c r="Q632" s="35"/>
      <c r="R632" s="35"/>
      <c r="S632" s="35"/>
      <c r="T632" s="35"/>
      <c r="U632" s="35"/>
      <c r="V632" s="35"/>
      <c r="W632" s="35"/>
      <c r="X632" s="35"/>
      <c r="Y632" s="35"/>
      <c r="Z632" s="35"/>
      <c r="AA632" s="35"/>
      <c r="AB632" s="35"/>
      <c r="AC632" s="35"/>
      <c r="AD632" s="35"/>
    </row>
    <row r="633" spans="1:30" x14ac:dyDescent="0.25">
      <c r="A633" s="35"/>
      <c r="B633" s="35"/>
      <c r="C633" s="35"/>
      <c r="D633" s="35"/>
      <c r="E633" s="35"/>
      <c r="F633" s="35"/>
      <c r="G633" s="35"/>
      <c r="H633" s="35"/>
      <c r="I633" s="35"/>
      <c r="J633" s="35"/>
      <c r="K633" s="35"/>
      <c r="L633" s="36"/>
      <c r="M633" s="35"/>
      <c r="N633" s="35"/>
      <c r="O633" s="35"/>
      <c r="P633" s="35"/>
      <c r="Q633" s="35"/>
      <c r="R633" s="35"/>
      <c r="S633" s="35"/>
      <c r="T633" s="35"/>
      <c r="U633" s="35"/>
      <c r="V633" s="35"/>
      <c r="W633" s="35"/>
      <c r="X633" s="35"/>
      <c r="Y633" s="35"/>
      <c r="Z633" s="35"/>
      <c r="AA633" s="35"/>
      <c r="AB633" s="35"/>
      <c r="AC633" s="35"/>
      <c r="AD633" s="35"/>
    </row>
    <row r="634" spans="1:30" x14ac:dyDescent="0.25">
      <c r="A634" s="35"/>
      <c r="B634" s="35"/>
      <c r="C634" s="35"/>
      <c r="D634" s="35"/>
      <c r="E634" s="35"/>
      <c r="F634" s="35"/>
      <c r="G634" s="35"/>
      <c r="H634" s="35"/>
      <c r="I634" s="35"/>
      <c r="J634" s="35"/>
      <c r="K634" s="35"/>
      <c r="L634" s="36"/>
      <c r="M634" s="35"/>
      <c r="N634" s="35"/>
      <c r="O634" s="35"/>
      <c r="P634" s="35"/>
      <c r="Q634" s="35"/>
      <c r="R634" s="35"/>
      <c r="S634" s="35"/>
      <c r="T634" s="35"/>
      <c r="U634" s="35"/>
      <c r="V634" s="35"/>
      <c r="W634" s="35"/>
      <c r="X634" s="35"/>
      <c r="Y634" s="35"/>
      <c r="Z634" s="35"/>
      <c r="AA634" s="35"/>
      <c r="AB634" s="35"/>
      <c r="AC634" s="35"/>
      <c r="AD634" s="35"/>
    </row>
    <row r="635" spans="1:30" x14ac:dyDescent="0.25">
      <c r="A635" s="35"/>
      <c r="B635" s="35"/>
      <c r="C635" s="35"/>
      <c r="D635" s="35"/>
      <c r="E635" s="35"/>
      <c r="F635" s="35"/>
      <c r="G635" s="35"/>
      <c r="H635" s="35"/>
      <c r="I635" s="35"/>
      <c r="J635" s="35"/>
      <c r="K635" s="35"/>
      <c r="L635" s="36"/>
      <c r="M635" s="35"/>
      <c r="N635" s="35"/>
      <c r="O635" s="35"/>
      <c r="P635" s="35"/>
      <c r="Q635" s="35"/>
      <c r="R635" s="35"/>
      <c r="S635" s="35"/>
      <c r="T635" s="35"/>
      <c r="U635" s="35"/>
      <c r="V635" s="35"/>
      <c r="W635" s="35"/>
      <c r="X635" s="35"/>
      <c r="Y635" s="35"/>
      <c r="Z635" s="35"/>
      <c r="AA635" s="35"/>
      <c r="AB635" s="35"/>
      <c r="AC635" s="35"/>
      <c r="AD635" s="35"/>
    </row>
    <row r="636" spans="1:30" x14ac:dyDescent="0.25">
      <c r="A636" s="35"/>
      <c r="B636" s="35"/>
      <c r="C636" s="35"/>
      <c r="D636" s="35"/>
      <c r="E636" s="35"/>
      <c r="F636" s="35"/>
      <c r="G636" s="35"/>
      <c r="H636" s="35"/>
      <c r="I636" s="35"/>
      <c r="J636" s="35"/>
      <c r="K636" s="35"/>
      <c r="L636" s="36"/>
      <c r="M636" s="35"/>
      <c r="N636" s="35"/>
      <c r="O636" s="35"/>
      <c r="P636" s="35"/>
      <c r="Q636" s="35"/>
      <c r="R636" s="35"/>
      <c r="S636" s="35"/>
      <c r="T636" s="35"/>
      <c r="U636" s="35"/>
      <c r="V636" s="35"/>
      <c r="W636" s="35"/>
      <c r="X636" s="35"/>
      <c r="Y636" s="35"/>
      <c r="Z636" s="35"/>
      <c r="AA636" s="35"/>
      <c r="AB636" s="35"/>
      <c r="AC636" s="35"/>
      <c r="AD636" s="35"/>
    </row>
    <row r="637" spans="1:30" x14ac:dyDescent="0.25">
      <c r="A637" s="35"/>
      <c r="B637" s="35"/>
      <c r="C637" s="35"/>
      <c r="D637" s="35"/>
      <c r="E637" s="35"/>
      <c r="F637" s="35"/>
      <c r="G637" s="35"/>
      <c r="H637" s="35"/>
      <c r="I637" s="35"/>
      <c r="J637" s="35"/>
      <c r="K637" s="35"/>
      <c r="L637" s="36"/>
      <c r="M637" s="35"/>
      <c r="N637" s="35"/>
      <c r="O637" s="35"/>
      <c r="P637" s="35"/>
      <c r="Q637" s="35"/>
      <c r="R637" s="35"/>
      <c r="S637" s="35"/>
      <c r="T637" s="35"/>
      <c r="U637" s="35"/>
      <c r="V637" s="35"/>
      <c r="W637" s="35"/>
      <c r="X637" s="35"/>
      <c r="Y637" s="35"/>
      <c r="Z637" s="35"/>
      <c r="AA637" s="35"/>
      <c r="AB637" s="35"/>
      <c r="AC637" s="35"/>
      <c r="AD637" s="35"/>
    </row>
    <row r="638" spans="1:30" x14ac:dyDescent="0.25">
      <c r="A638" s="35"/>
      <c r="B638" s="35"/>
      <c r="C638" s="35"/>
      <c r="D638" s="35"/>
      <c r="E638" s="35"/>
      <c r="F638" s="35"/>
      <c r="G638" s="35"/>
      <c r="H638" s="35"/>
      <c r="I638" s="35"/>
      <c r="J638" s="35"/>
      <c r="K638" s="35"/>
      <c r="L638" s="36"/>
      <c r="M638" s="35"/>
      <c r="N638" s="35"/>
      <c r="O638" s="35"/>
      <c r="P638" s="35"/>
      <c r="Q638" s="35"/>
      <c r="R638" s="35"/>
      <c r="S638" s="35"/>
      <c r="T638" s="35"/>
      <c r="U638" s="35"/>
      <c r="V638" s="35"/>
      <c r="W638" s="35"/>
      <c r="X638" s="35"/>
      <c r="Y638" s="35"/>
      <c r="Z638" s="35"/>
      <c r="AA638" s="35"/>
      <c r="AB638" s="35"/>
      <c r="AC638" s="35"/>
      <c r="AD638" s="35"/>
    </row>
    <row r="639" spans="1:30" x14ac:dyDescent="0.25">
      <c r="A639" s="35"/>
      <c r="B639" s="35"/>
      <c r="C639" s="35"/>
      <c r="D639" s="35"/>
      <c r="E639" s="35"/>
      <c r="F639" s="35"/>
      <c r="G639" s="35"/>
      <c r="H639" s="35"/>
      <c r="I639" s="35"/>
      <c r="J639" s="35"/>
      <c r="K639" s="35"/>
      <c r="L639" s="36"/>
      <c r="M639" s="35"/>
      <c r="N639" s="35"/>
      <c r="O639" s="35"/>
      <c r="P639" s="35"/>
      <c r="Q639" s="35"/>
      <c r="R639" s="35"/>
      <c r="S639" s="35"/>
      <c r="T639" s="35"/>
      <c r="U639" s="35"/>
      <c r="V639" s="35"/>
      <c r="W639" s="35"/>
      <c r="X639" s="35"/>
      <c r="Y639" s="35"/>
      <c r="Z639" s="35"/>
      <c r="AA639" s="35"/>
      <c r="AB639" s="35"/>
      <c r="AC639" s="35"/>
      <c r="AD639" s="35"/>
    </row>
    <row r="640" spans="1:30" x14ac:dyDescent="0.25">
      <c r="A640" s="35"/>
      <c r="B640" s="35"/>
      <c r="C640" s="35"/>
      <c r="D640" s="35"/>
      <c r="E640" s="35"/>
      <c r="F640" s="35"/>
      <c r="G640" s="35"/>
      <c r="H640" s="35"/>
      <c r="I640" s="35"/>
      <c r="J640" s="35"/>
      <c r="K640" s="35"/>
      <c r="L640" s="36"/>
      <c r="M640" s="35"/>
      <c r="N640" s="35"/>
      <c r="O640" s="35"/>
      <c r="P640" s="35"/>
      <c r="Q640" s="35"/>
      <c r="R640" s="35"/>
      <c r="S640" s="35"/>
      <c r="T640" s="35"/>
      <c r="U640" s="35"/>
      <c r="V640" s="35"/>
      <c r="W640" s="35"/>
      <c r="X640" s="35"/>
      <c r="Y640" s="35"/>
      <c r="Z640" s="35"/>
      <c r="AA640" s="35"/>
      <c r="AB640" s="35"/>
      <c r="AC640" s="35"/>
      <c r="AD640" s="35"/>
    </row>
    <row r="641" spans="1:30" x14ac:dyDescent="0.25">
      <c r="A641" s="35"/>
      <c r="B641" s="35"/>
      <c r="C641" s="35"/>
      <c r="D641" s="35"/>
      <c r="E641" s="35"/>
      <c r="F641" s="35"/>
      <c r="G641" s="35"/>
      <c r="H641" s="35"/>
      <c r="I641" s="35"/>
      <c r="J641" s="35"/>
      <c r="K641" s="35"/>
      <c r="L641" s="36"/>
      <c r="M641" s="35"/>
      <c r="N641" s="35"/>
      <c r="O641" s="35"/>
      <c r="P641" s="35"/>
      <c r="Q641" s="35"/>
      <c r="R641" s="35"/>
      <c r="S641" s="35"/>
      <c r="T641" s="35"/>
      <c r="U641" s="35"/>
      <c r="V641" s="35"/>
      <c r="W641" s="35"/>
      <c r="X641" s="35"/>
      <c r="Y641" s="35"/>
      <c r="Z641" s="35"/>
      <c r="AA641" s="35"/>
      <c r="AB641" s="35"/>
      <c r="AC641" s="35"/>
      <c r="AD641" s="35"/>
    </row>
    <row r="642" spans="1:30" x14ac:dyDescent="0.25">
      <c r="A642" s="35"/>
      <c r="B642" s="35"/>
      <c r="C642" s="35"/>
      <c r="D642" s="35"/>
      <c r="E642" s="35"/>
      <c r="F642" s="35"/>
      <c r="G642" s="35"/>
      <c r="H642" s="35"/>
      <c r="I642" s="35"/>
      <c r="J642" s="35"/>
      <c r="K642" s="35"/>
      <c r="L642" s="36"/>
      <c r="M642" s="35"/>
      <c r="N642" s="35"/>
      <c r="O642" s="35"/>
      <c r="P642" s="35"/>
      <c r="Q642" s="35"/>
      <c r="R642" s="35"/>
      <c r="S642" s="35"/>
      <c r="T642" s="35"/>
      <c r="U642" s="35"/>
      <c r="V642" s="35"/>
      <c r="W642" s="35"/>
      <c r="X642" s="35"/>
      <c r="Y642" s="35"/>
      <c r="Z642" s="35"/>
      <c r="AA642" s="35"/>
      <c r="AB642" s="35"/>
      <c r="AC642" s="35"/>
      <c r="AD642" s="35"/>
    </row>
    <row r="643" spans="1:30" x14ac:dyDescent="0.25">
      <c r="A643" s="35"/>
      <c r="B643" s="35"/>
      <c r="C643" s="35"/>
      <c r="D643" s="35"/>
      <c r="E643" s="35"/>
      <c r="F643" s="35"/>
      <c r="G643" s="35"/>
      <c r="H643" s="35"/>
      <c r="I643" s="35"/>
      <c r="J643" s="35"/>
      <c r="K643" s="35"/>
      <c r="L643" s="36"/>
      <c r="M643" s="35"/>
      <c r="N643" s="35"/>
      <c r="O643" s="35"/>
      <c r="P643" s="35"/>
      <c r="Q643" s="35"/>
      <c r="R643" s="35"/>
      <c r="S643" s="35"/>
      <c r="T643" s="35"/>
      <c r="U643" s="35"/>
      <c r="V643" s="35"/>
      <c r="W643" s="35"/>
      <c r="X643" s="35"/>
      <c r="Y643" s="35"/>
      <c r="Z643" s="35"/>
      <c r="AA643" s="35"/>
      <c r="AB643" s="35"/>
      <c r="AC643" s="35"/>
      <c r="AD643" s="35"/>
    </row>
    <row r="644" spans="1:30" x14ac:dyDescent="0.25">
      <c r="A644" s="35"/>
      <c r="B644" s="35"/>
      <c r="C644" s="35"/>
      <c r="D644" s="35"/>
      <c r="E644" s="35"/>
      <c r="F644" s="35"/>
      <c r="G644" s="35"/>
      <c r="H644" s="35"/>
      <c r="I644" s="35"/>
      <c r="J644" s="35"/>
      <c r="K644" s="35"/>
      <c r="L644" s="36"/>
      <c r="M644" s="35"/>
      <c r="N644" s="35"/>
      <c r="O644" s="35"/>
      <c r="P644" s="35"/>
      <c r="Q644" s="35"/>
      <c r="R644" s="35"/>
      <c r="S644" s="35"/>
      <c r="T644" s="35"/>
      <c r="U644" s="35"/>
      <c r="V644" s="35"/>
      <c r="W644" s="35"/>
      <c r="X644" s="35"/>
      <c r="Y644" s="35"/>
      <c r="Z644" s="35"/>
      <c r="AA644" s="35"/>
      <c r="AB644" s="35"/>
      <c r="AC644" s="35"/>
      <c r="AD644" s="35"/>
    </row>
    <row r="645" spans="1:30" x14ac:dyDescent="0.25">
      <c r="A645" s="35"/>
      <c r="B645" s="35"/>
      <c r="C645" s="35"/>
      <c r="D645" s="35"/>
      <c r="E645" s="35"/>
      <c r="F645" s="35"/>
      <c r="G645" s="35"/>
      <c r="H645" s="35"/>
      <c r="I645" s="35"/>
      <c r="J645" s="35"/>
      <c r="K645" s="35"/>
      <c r="L645" s="36"/>
      <c r="M645" s="35"/>
      <c r="N645" s="35"/>
      <c r="O645" s="35"/>
      <c r="P645" s="35"/>
      <c r="Q645" s="35"/>
      <c r="R645" s="35"/>
      <c r="S645" s="35"/>
      <c r="T645" s="35"/>
      <c r="U645" s="35"/>
      <c r="V645" s="35"/>
      <c r="W645" s="35"/>
      <c r="X645" s="35"/>
      <c r="Y645" s="35"/>
      <c r="Z645" s="35"/>
      <c r="AA645" s="35"/>
      <c r="AB645" s="35"/>
      <c r="AC645" s="35"/>
      <c r="AD645" s="35"/>
    </row>
    <row r="646" spans="1:30" x14ac:dyDescent="0.25">
      <c r="A646" s="35"/>
      <c r="B646" s="35"/>
      <c r="C646" s="35"/>
      <c r="D646" s="35"/>
      <c r="E646" s="35"/>
      <c r="F646" s="35"/>
      <c r="G646" s="35"/>
      <c r="H646" s="35"/>
      <c r="I646" s="35"/>
      <c r="J646" s="35"/>
      <c r="K646" s="35"/>
      <c r="L646" s="36"/>
      <c r="M646" s="35"/>
      <c r="N646" s="35"/>
      <c r="O646" s="35"/>
      <c r="P646" s="35"/>
      <c r="Q646" s="35"/>
      <c r="R646" s="35"/>
      <c r="S646" s="35"/>
      <c r="T646" s="35"/>
      <c r="U646" s="35"/>
      <c r="V646" s="35"/>
      <c r="W646" s="35"/>
      <c r="X646" s="35"/>
      <c r="Y646" s="35"/>
      <c r="Z646" s="35"/>
      <c r="AA646" s="35"/>
      <c r="AB646" s="35"/>
      <c r="AC646" s="35"/>
      <c r="AD646" s="35"/>
    </row>
    <row r="647" spans="1:30" x14ac:dyDescent="0.25">
      <c r="A647" s="35"/>
      <c r="B647" s="35"/>
      <c r="C647" s="35"/>
      <c r="D647" s="35"/>
      <c r="E647" s="35"/>
      <c r="F647" s="35"/>
      <c r="G647" s="35"/>
      <c r="H647" s="35"/>
      <c r="I647" s="35"/>
      <c r="J647" s="35"/>
      <c r="K647" s="35"/>
      <c r="L647" s="36"/>
      <c r="M647" s="35"/>
      <c r="N647" s="35"/>
      <c r="O647" s="35"/>
      <c r="P647" s="35"/>
      <c r="Q647" s="35"/>
      <c r="R647" s="35"/>
      <c r="S647" s="35"/>
      <c r="T647" s="35"/>
      <c r="U647" s="35"/>
      <c r="V647" s="35"/>
      <c r="W647" s="35"/>
      <c r="X647" s="35"/>
      <c r="Y647" s="35"/>
      <c r="Z647" s="35"/>
      <c r="AA647" s="35"/>
      <c r="AB647" s="35"/>
      <c r="AC647" s="35"/>
      <c r="AD647" s="35"/>
    </row>
    <row r="648" spans="1:30" x14ac:dyDescent="0.25">
      <c r="A648" s="35"/>
      <c r="B648" s="35"/>
      <c r="C648" s="35"/>
      <c r="D648" s="35"/>
      <c r="E648" s="35"/>
      <c r="F648" s="35"/>
      <c r="G648" s="35"/>
      <c r="H648" s="35"/>
      <c r="I648" s="35"/>
      <c r="J648" s="35"/>
      <c r="K648" s="35"/>
      <c r="L648" s="36"/>
      <c r="M648" s="35"/>
      <c r="N648" s="35"/>
      <c r="O648" s="35"/>
      <c r="P648" s="35"/>
      <c r="Q648" s="35"/>
      <c r="R648" s="35"/>
      <c r="S648" s="35"/>
      <c r="T648" s="35"/>
      <c r="U648" s="35"/>
      <c r="V648" s="35"/>
      <c r="W648" s="35"/>
      <c r="X648" s="35"/>
      <c r="Y648" s="35"/>
      <c r="Z648" s="35"/>
      <c r="AA648" s="35"/>
      <c r="AB648" s="35"/>
      <c r="AC648" s="35"/>
      <c r="AD648" s="35"/>
    </row>
    <row r="649" spans="1:30" x14ac:dyDescent="0.25">
      <c r="A649" s="35"/>
      <c r="B649" s="35"/>
      <c r="C649" s="35"/>
      <c r="D649" s="35"/>
      <c r="E649" s="35"/>
      <c r="F649" s="35"/>
      <c r="G649" s="35"/>
      <c r="H649" s="35"/>
      <c r="I649" s="35"/>
      <c r="J649" s="35"/>
      <c r="K649" s="35"/>
      <c r="L649" s="36"/>
      <c r="M649" s="35"/>
      <c r="N649" s="35"/>
      <c r="O649" s="35"/>
      <c r="P649" s="35"/>
      <c r="Q649" s="35"/>
      <c r="R649" s="35"/>
      <c r="S649" s="35"/>
      <c r="T649" s="35"/>
      <c r="U649" s="35"/>
      <c r="V649" s="35"/>
      <c r="W649" s="35"/>
      <c r="X649" s="35"/>
      <c r="Y649" s="35"/>
      <c r="Z649" s="35"/>
      <c r="AA649" s="35"/>
      <c r="AB649" s="35"/>
      <c r="AC649" s="35"/>
      <c r="AD649" s="35"/>
    </row>
    <row r="650" spans="1:30" x14ac:dyDescent="0.25">
      <c r="A650" s="35"/>
      <c r="B650" s="35"/>
      <c r="C650" s="35"/>
      <c r="D650" s="35"/>
      <c r="E650" s="35"/>
      <c r="F650" s="35"/>
      <c r="G650" s="35"/>
      <c r="H650" s="35"/>
      <c r="I650" s="35"/>
      <c r="J650" s="35"/>
      <c r="K650" s="35"/>
      <c r="L650" s="36"/>
      <c r="M650" s="35"/>
      <c r="N650" s="35"/>
      <c r="O650" s="35"/>
      <c r="P650" s="35"/>
      <c r="Q650" s="35"/>
      <c r="R650" s="35"/>
      <c r="S650" s="35"/>
      <c r="T650" s="35"/>
      <c r="U650" s="35"/>
      <c r="V650" s="35"/>
      <c r="W650" s="35"/>
      <c r="X650" s="35"/>
      <c r="Y650" s="35"/>
      <c r="Z650" s="35"/>
      <c r="AA650" s="35"/>
      <c r="AB650" s="35"/>
      <c r="AC650" s="35"/>
      <c r="AD650" s="35"/>
    </row>
    <row r="651" spans="1:30" x14ac:dyDescent="0.25">
      <c r="A651" s="35"/>
      <c r="B651" s="35"/>
      <c r="C651" s="35"/>
      <c r="D651" s="35"/>
      <c r="E651" s="35"/>
      <c r="F651" s="35"/>
      <c r="G651" s="35"/>
      <c r="H651" s="35"/>
      <c r="I651" s="35"/>
      <c r="J651" s="35"/>
      <c r="K651" s="35"/>
      <c r="L651" s="36"/>
      <c r="M651" s="35"/>
      <c r="N651" s="35"/>
      <c r="O651" s="35"/>
      <c r="P651" s="35"/>
      <c r="Q651" s="35"/>
      <c r="R651" s="35"/>
      <c r="S651" s="35"/>
      <c r="T651" s="35"/>
      <c r="U651" s="35"/>
      <c r="V651" s="35"/>
      <c r="W651" s="35"/>
      <c r="X651" s="35"/>
      <c r="Y651" s="35"/>
      <c r="Z651" s="35"/>
      <c r="AA651" s="35"/>
      <c r="AB651" s="35"/>
      <c r="AC651" s="35"/>
      <c r="AD651" s="35"/>
    </row>
    <row r="652" spans="1:30" x14ac:dyDescent="0.25">
      <c r="A652" s="35"/>
      <c r="B652" s="35"/>
      <c r="C652" s="35"/>
      <c r="D652" s="35"/>
      <c r="E652" s="35"/>
      <c r="F652" s="35"/>
      <c r="G652" s="35"/>
      <c r="H652" s="35"/>
      <c r="I652" s="35"/>
      <c r="J652" s="35"/>
      <c r="K652" s="35"/>
      <c r="L652" s="36"/>
      <c r="M652" s="35"/>
      <c r="N652" s="35"/>
      <c r="O652" s="35"/>
      <c r="P652" s="35"/>
      <c r="Q652" s="35"/>
      <c r="R652" s="35"/>
      <c r="S652" s="35"/>
      <c r="T652" s="35"/>
      <c r="U652" s="35"/>
      <c r="V652" s="35"/>
      <c r="W652" s="35"/>
      <c r="X652" s="35"/>
      <c r="Y652" s="35"/>
      <c r="Z652" s="35"/>
      <c r="AA652" s="35"/>
      <c r="AB652" s="35"/>
      <c r="AC652" s="35"/>
      <c r="AD652" s="35"/>
    </row>
    <row r="653" spans="1:30" x14ac:dyDescent="0.25">
      <c r="A653" s="35"/>
      <c r="B653" s="35"/>
      <c r="C653" s="35"/>
      <c r="D653" s="35"/>
      <c r="E653" s="35"/>
      <c r="F653" s="35"/>
      <c r="G653" s="35"/>
      <c r="H653" s="35"/>
      <c r="I653" s="35"/>
      <c r="J653" s="35"/>
      <c r="K653" s="35"/>
      <c r="L653" s="36"/>
      <c r="M653" s="35"/>
      <c r="N653" s="35"/>
      <c r="O653" s="35"/>
      <c r="P653" s="35"/>
      <c r="Q653" s="35"/>
      <c r="R653" s="35"/>
      <c r="S653" s="35"/>
      <c r="T653" s="35"/>
      <c r="U653" s="35"/>
      <c r="V653" s="35"/>
      <c r="W653" s="35"/>
      <c r="X653" s="35"/>
      <c r="Y653" s="35"/>
      <c r="Z653" s="35"/>
      <c r="AA653" s="35"/>
      <c r="AB653" s="35"/>
      <c r="AC653" s="35"/>
      <c r="AD653" s="35"/>
    </row>
    <row r="654" spans="1:30" x14ac:dyDescent="0.25">
      <c r="A654" s="35"/>
      <c r="B654" s="35"/>
      <c r="C654" s="35"/>
      <c r="D654" s="35"/>
      <c r="E654" s="35"/>
      <c r="F654" s="35"/>
      <c r="G654" s="35"/>
      <c r="H654" s="35"/>
      <c r="I654" s="35"/>
      <c r="J654" s="35"/>
      <c r="K654" s="35"/>
      <c r="L654" s="36"/>
      <c r="M654" s="35"/>
      <c r="N654" s="35"/>
      <c r="O654" s="35"/>
      <c r="P654" s="35"/>
      <c r="Q654" s="35"/>
      <c r="R654" s="35"/>
      <c r="S654" s="35"/>
      <c r="T654" s="35"/>
      <c r="U654" s="35"/>
      <c r="V654" s="35"/>
      <c r="W654" s="35"/>
      <c r="X654" s="35"/>
      <c r="Y654" s="35"/>
      <c r="Z654" s="35"/>
      <c r="AA654" s="35"/>
      <c r="AB654" s="35"/>
      <c r="AC654" s="35"/>
      <c r="AD654" s="35"/>
    </row>
    <row r="655" spans="1:30" x14ac:dyDescent="0.25">
      <c r="A655" s="35"/>
      <c r="B655" s="35"/>
      <c r="C655" s="35"/>
      <c r="D655" s="35"/>
      <c r="E655" s="35"/>
      <c r="F655" s="35"/>
      <c r="G655" s="35"/>
      <c r="H655" s="35"/>
      <c r="I655" s="35"/>
      <c r="J655" s="35"/>
      <c r="K655" s="35"/>
      <c r="L655" s="36"/>
      <c r="M655" s="35"/>
      <c r="N655" s="35"/>
      <c r="O655" s="35"/>
      <c r="P655" s="35"/>
      <c r="Q655" s="35"/>
      <c r="R655" s="35"/>
      <c r="S655" s="35"/>
      <c r="T655" s="35"/>
      <c r="U655" s="35"/>
      <c r="V655" s="35"/>
      <c r="W655" s="35"/>
      <c r="X655" s="35"/>
      <c r="Y655" s="35"/>
      <c r="Z655" s="35"/>
      <c r="AA655" s="35"/>
      <c r="AB655" s="35"/>
      <c r="AC655" s="35"/>
      <c r="AD655" s="35"/>
    </row>
    <row r="656" spans="1:30" x14ac:dyDescent="0.25">
      <c r="A656" s="35"/>
      <c r="B656" s="35"/>
      <c r="C656" s="35"/>
      <c r="D656" s="35"/>
      <c r="E656" s="35"/>
      <c r="F656" s="35"/>
      <c r="G656" s="35"/>
      <c r="H656" s="35"/>
      <c r="I656" s="35"/>
      <c r="J656" s="35"/>
      <c r="K656" s="35"/>
      <c r="L656" s="36"/>
      <c r="M656" s="35"/>
      <c r="N656" s="35"/>
      <c r="O656" s="35"/>
      <c r="P656" s="35"/>
      <c r="Q656" s="35"/>
      <c r="R656" s="35"/>
      <c r="S656" s="35"/>
      <c r="T656" s="35"/>
      <c r="U656" s="35"/>
      <c r="V656" s="35"/>
      <c r="W656" s="35"/>
      <c r="X656" s="35"/>
      <c r="Y656" s="35"/>
      <c r="Z656" s="35"/>
      <c r="AA656" s="35"/>
      <c r="AB656" s="35"/>
      <c r="AC656" s="35"/>
      <c r="AD656" s="35"/>
    </row>
    <row r="657" spans="1:30" x14ac:dyDescent="0.25">
      <c r="A657" s="35"/>
      <c r="B657" s="35"/>
      <c r="C657" s="35"/>
      <c r="D657" s="35"/>
      <c r="E657" s="35"/>
      <c r="F657" s="35"/>
      <c r="G657" s="35"/>
      <c r="H657" s="35"/>
      <c r="I657" s="35"/>
      <c r="J657" s="35"/>
      <c r="K657" s="35"/>
      <c r="L657" s="36"/>
      <c r="M657" s="35"/>
      <c r="N657" s="35"/>
      <c r="O657" s="35"/>
      <c r="P657" s="35"/>
      <c r="Q657" s="35"/>
      <c r="R657" s="35"/>
      <c r="S657" s="35"/>
      <c r="T657" s="35"/>
      <c r="U657" s="35"/>
      <c r="V657" s="35"/>
      <c r="W657" s="35"/>
      <c r="X657" s="35"/>
      <c r="Y657" s="35"/>
      <c r="Z657" s="35"/>
      <c r="AA657" s="35"/>
      <c r="AB657" s="35"/>
      <c r="AC657" s="35"/>
      <c r="AD657" s="35"/>
    </row>
    <row r="658" spans="1:30" x14ac:dyDescent="0.25">
      <c r="A658" s="35"/>
      <c r="B658" s="35"/>
      <c r="C658" s="35"/>
      <c r="D658" s="35"/>
      <c r="E658" s="35"/>
      <c r="F658" s="35"/>
      <c r="G658" s="35"/>
      <c r="H658" s="35"/>
      <c r="I658" s="35"/>
      <c r="J658" s="35"/>
      <c r="K658" s="35"/>
      <c r="L658" s="36"/>
      <c r="M658" s="35"/>
      <c r="N658" s="35"/>
      <c r="O658" s="35"/>
      <c r="P658" s="35"/>
      <c r="Q658" s="35"/>
      <c r="R658" s="35"/>
      <c r="S658" s="35"/>
      <c r="T658" s="35"/>
      <c r="U658" s="35"/>
      <c r="V658" s="35"/>
      <c r="W658" s="35"/>
      <c r="X658" s="35"/>
      <c r="Y658" s="35"/>
      <c r="Z658" s="35"/>
      <c r="AA658" s="35"/>
      <c r="AB658" s="35"/>
      <c r="AC658" s="35"/>
      <c r="AD658" s="35"/>
    </row>
    <row r="659" spans="1:30" x14ac:dyDescent="0.25">
      <c r="A659" s="35"/>
      <c r="B659" s="35"/>
      <c r="C659" s="35"/>
      <c r="D659" s="35"/>
      <c r="E659" s="35"/>
      <c r="F659" s="35"/>
      <c r="G659" s="35"/>
      <c r="H659" s="35"/>
      <c r="I659" s="35"/>
      <c r="J659" s="35"/>
      <c r="K659" s="35"/>
      <c r="L659" s="36"/>
      <c r="M659" s="35"/>
      <c r="N659" s="35"/>
      <c r="O659" s="35"/>
      <c r="P659" s="35"/>
      <c r="Q659" s="35"/>
      <c r="R659" s="35"/>
      <c r="S659" s="35"/>
      <c r="T659" s="35"/>
      <c r="U659" s="35"/>
      <c r="V659" s="35"/>
      <c r="W659" s="35"/>
      <c r="X659" s="35"/>
      <c r="Y659" s="35"/>
      <c r="Z659" s="35"/>
      <c r="AA659" s="35"/>
      <c r="AB659" s="35"/>
      <c r="AC659" s="35"/>
      <c r="AD659" s="35"/>
    </row>
    <row r="660" spans="1:30" x14ac:dyDescent="0.25">
      <c r="A660" s="35"/>
      <c r="B660" s="35"/>
      <c r="C660" s="35"/>
      <c r="D660" s="35"/>
      <c r="E660" s="35"/>
      <c r="F660" s="35"/>
      <c r="G660" s="35"/>
      <c r="H660" s="35"/>
      <c r="I660" s="35"/>
      <c r="J660" s="35"/>
      <c r="K660" s="35"/>
      <c r="L660" s="36"/>
      <c r="M660" s="35"/>
      <c r="N660" s="35"/>
      <c r="O660" s="35"/>
      <c r="P660" s="35"/>
      <c r="Q660" s="35"/>
      <c r="R660" s="35"/>
      <c r="S660" s="35"/>
      <c r="T660" s="35"/>
      <c r="U660" s="35"/>
      <c r="V660" s="35"/>
      <c r="W660" s="35"/>
      <c r="X660" s="35"/>
      <c r="Y660" s="35"/>
      <c r="Z660" s="35"/>
      <c r="AA660" s="35"/>
      <c r="AB660" s="35"/>
      <c r="AC660" s="35"/>
      <c r="AD660" s="35"/>
    </row>
    <row r="661" spans="1:30" x14ac:dyDescent="0.25">
      <c r="A661" s="35"/>
      <c r="B661" s="35"/>
      <c r="C661" s="35"/>
      <c r="D661" s="35"/>
      <c r="E661" s="35"/>
      <c r="F661" s="35"/>
      <c r="G661" s="35"/>
      <c r="H661" s="35"/>
      <c r="I661" s="35"/>
      <c r="J661" s="35"/>
      <c r="K661" s="35"/>
      <c r="L661" s="36"/>
      <c r="M661" s="35"/>
      <c r="N661" s="35"/>
      <c r="O661" s="35"/>
      <c r="P661" s="35"/>
      <c r="Q661" s="35"/>
      <c r="R661" s="35"/>
      <c r="S661" s="35"/>
      <c r="T661" s="35"/>
      <c r="U661" s="35"/>
      <c r="V661" s="35"/>
      <c r="W661" s="35"/>
      <c r="X661" s="35"/>
      <c r="Y661" s="35"/>
      <c r="Z661" s="35"/>
      <c r="AA661" s="35"/>
      <c r="AB661" s="35"/>
      <c r="AC661" s="35"/>
      <c r="AD661" s="35"/>
    </row>
    <row r="662" spans="1:30" x14ac:dyDescent="0.25">
      <c r="A662" s="35"/>
      <c r="B662" s="35"/>
      <c r="C662" s="35"/>
      <c r="D662" s="35"/>
      <c r="E662" s="35"/>
      <c r="F662" s="35"/>
      <c r="G662" s="35"/>
      <c r="H662" s="35"/>
      <c r="I662" s="35"/>
      <c r="J662" s="35"/>
      <c r="K662" s="35"/>
      <c r="L662" s="36"/>
      <c r="M662" s="35"/>
      <c r="N662" s="35"/>
      <c r="O662" s="35"/>
      <c r="P662" s="35"/>
      <c r="Q662" s="35"/>
      <c r="R662" s="35"/>
      <c r="S662" s="35"/>
      <c r="T662" s="35"/>
      <c r="U662" s="35"/>
      <c r="V662" s="35"/>
      <c r="W662" s="35"/>
      <c r="X662" s="35"/>
      <c r="Y662" s="35"/>
      <c r="Z662" s="35"/>
      <c r="AA662" s="35"/>
      <c r="AB662" s="35"/>
      <c r="AC662" s="35"/>
      <c r="AD662" s="35"/>
    </row>
    <row r="663" spans="1:30" x14ac:dyDescent="0.25">
      <c r="A663" s="35"/>
      <c r="B663" s="35"/>
      <c r="C663" s="35"/>
      <c r="D663" s="35"/>
      <c r="E663" s="35"/>
      <c r="F663" s="35"/>
      <c r="G663" s="35"/>
      <c r="H663" s="35"/>
      <c r="I663" s="35"/>
      <c r="J663" s="35"/>
      <c r="K663" s="35"/>
      <c r="L663" s="36"/>
      <c r="M663" s="35"/>
      <c r="N663" s="35"/>
      <c r="O663" s="35"/>
      <c r="P663" s="35"/>
      <c r="Q663" s="35"/>
      <c r="R663" s="35"/>
      <c r="S663" s="35"/>
      <c r="T663" s="35"/>
      <c r="U663" s="35"/>
      <c r="V663" s="35"/>
      <c r="W663" s="35"/>
      <c r="X663" s="35"/>
      <c r="Y663" s="35"/>
      <c r="Z663" s="35"/>
      <c r="AA663" s="35"/>
      <c r="AB663" s="35"/>
      <c r="AC663" s="35"/>
      <c r="AD663" s="35"/>
    </row>
    <row r="664" spans="1:30" x14ac:dyDescent="0.25">
      <c r="A664" s="35"/>
      <c r="B664" s="35"/>
      <c r="C664" s="35"/>
      <c r="D664" s="35"/>
      <c r="E664" s="35"/>
      <c r="F664" s="35"/>
      <c r="G664" s="35"/>
      <c r="H664" s="35"/>
      <c r="I664" s="35"/>
      <c r="J664" s="35"/>
      <c r="K664" s="35"/>
      <c r="L664" s="36"/>
      <c r="M664" s="35"/>
      <c r="N664" s="35"/>
      <c r="O664" s="35"/>
      <c r="P664" s="35"/>
      <c r="Q664" s="35"/>
      <c r="R664" s="35"/>
      <c r="S664" s="35"/>
      <c r="T664" s="35"/>
      <c r="U664" s="35"/>
      <c r="V664" s="35"/>
      <c r="W664" s="35"/>
      <c r="X664" s="35"/>
      <c r="Y664" s="35"/>
      <c r="Z664" s="35"/>
      <c r="AA664" s="35"/>
      <c r="AB664" s="35"/>
      <c r="AC664" s="35"/>
      <c r="AD664" s="35"/>
    </row>
    <row r="665" spans="1:30" x14ac:dyDescent="0.25">
      <c r="A665" s="35"/>
      <c r="B665" s="35"/>
      <c r="C665" s="35"/>
      <c r="D665" s="35"/>
      <c r="E665" s="35"/>
      <c r="F665" s="35"/>
      <c r="G665" s="35"/>
      <c r="H665" s="35"/>
      <c r="I665" s="35"/>
      <c r="J665" s="35"/>
      <c r="K665" s="35"/>
      <c r="L665" s="36"/>
      <c r="M665" s="35"/>
      <c r="N665" s="35"/>
      <c r="O665" s="35"/>
      <c r="P665" s="35"/>
      <c r="Q665" s="35"/>
      <c r="R665" s="35"/>
      <c r="S665" s="35"/>
      <c r="T665" s="35"/>
      <c r="U665" s="35"/>
      <c r="V665" s="35"/>
      <c r="W665" s="35"/>
      <c r="X665" s="35"/>
      <c r="Y665" s="35"/>
      <c r="Z665" s="35"/>
      <c r="AA665" s="35"/>
      <c r="AB665" s="35"/>
      <c r="AC665" s="35"/>
      <c r="AD665" s="35"/>
    </row>
    <row r="666" spans="1:30" x14ac:dyDescent="0.25">
      <c r="A666" s="35"/>
      <c r="B666" s="35"/>
      <c r="C666" s="35"/>
      <c r="D666" s="35"/>
      <c r="E666" s="35"/>
      <c r="F666" s="35"/>
      <c r="G666" s="35"/>
      <c r="H666" s="35"/>
      <c r="I666" s="35"/>
      <c r="J666" s="35"/>
      <c r="K666" s="35"/>
      <c r="L666" s="36"/>
      <c r="M666" s="35"/>
      <c r="N666" s="35"/>
      <c r="O666" s="35"/>
      <c r="P666" s="35"/>
      <c r="Q666" s="35"/>
      <c r="R666" s="35"/>
      <c r="S666" s="35"/>
      <c r="T666" s="35"/>
      <c r="U666" s="35"/>
      <c r="V666" s="35"/>
      <c r="W666" s="35"/>
      <c r="X666" s="35"/>
      <c r="Y666" s="35"/>
      <c r="Z666" s="35"/>
      <c r="AA666" s="35"/>
      <c r="AB666" s="35"/>
      <c r="AC666" s="35"/>
      <c r="AD666" s="35"/>
    </row>
    <row r="667" spans="1:30" x14ac:dyDescent="0.25">
      <c r="A667" s="35"/>
      <c r="B667" s="35"/>
      <c r="C667" s="35"/>
      <c r="D667" s="35"/>
      <c r="E667" s="35"/>
      <c r="F667" s="35"/>
      <c r="G667" s="35"/>
      <c r="H667" s="35"/>
      <c r="I667" s="35"/>
      <c r="J667" s="35"/>
      <c r="K667" s="35"/>
      <c r="L667" s="36"/>
      <c r="M667" s="35"/>
      <c r="N667" s="35"/>
      <c r="O667" s="35"/>
      <c r="P667" s="35"/>
      <c r="Q667" s="35"/>
      <c r="R667" s="35"/>
      <c r="S667" s="35"/>
      <c r="T667" s="35"/>
      <c r="U667" s="35"/>
      <c r="V667" s="35"/>
      <c r="W667" s="35"/>
      <c r="X667" s="35"/>
      <c r="Y667" s="35"/>
      <c r="Z667" s="35"/>
      <c r="AA667" s="35"/>
      <c r="AB667" s="35"/>
      <c r="AC667" s="35"/>
      <c r="AD667" s="35"/>
    </row>
    <row r="668" spans="1:30" x14ac:dyDescent="0.25">
      <c r="A668" s="35"/>
      <c r="B668" s="35"/>
      <c r="C668" s="35"/>
      <c r="D668" s="35"/>
      <c r="E668" s="35"/>
      <c r="F668" s="35"/>
      <c r="G668" s="35"/>
      <c r="H668" s="35"/>
      <c r="I668" s="35"/>
      <c r="J668" s="35"/>
      <c r="K668" s="35"/>
      <c r="L668" s="36"/>
      <c r="M668" s="35"/>
      <c r="N668" s="35"/>
      <c r="O668" s="35"/>
      <c r="P668" s="35"/>
      <c r="Q668" s="35"/>
      <c r="R668" s="35"/>
      <c r="S668" s="35"/>
      <c r="T668" s="35"/>
      <c r="U668" s="35"/>
      <c r="V668" s="35"/>
      <c r="W668" s="35"/>
      <c r="X668" s="35"/>
      <c r="Y668" s="35"/>
      <c r="Z668" s="35"/>
      <c r="AA668" s="35"/>
      <c r="AB668" s="35"/>
      <c r="AC668" s="35"/>
      <c r="AD668" s="35"/>
    </row>
    <row r="669" spans="1:30" x14ac:dyDescent="0.25">
      <c r="A669" s="35"/>
      <c r="B669" s="35"/>
      <c r="C669" s="35"/>
      <c r="D669" s="35"/>
      <c r="E669" s="35"/>
      <c r="F669" s="35"/>
      <c r="G669" s="35"/>
      <c r="H669" s="35"/>
      <c r="I669" s="35"/>
      <c r="J669" s="35"/>
      <c r="K669" s="35"/>
      <c r="L669" s="36"/>
      <c r="M669" s="35"/>
      <c r="N669" s="35"/>
      <c r="O669" s="35"/>
      <c r="P669" s="35"/>
      <c r="Q669" s="35"/>
      <c r="R669" s="35"/>
      <c r="S669" s="35"/>
      <c r="T669" s="35"/>
      <c r="U669" s="35"/>
      <c r="V669" s="35"/>
      <c r="W669" s="35"/>
      <c r="X669" s="35"/>
      <c r="Y669" s="35"/>
      <c r="Z669" s="35"/>
      <c r="AA669" s="35"/>
      <c r="AB669" s="35"/>
      <c r="AC669" s="35"/>
      <c r="AD669" s="35"/>
    </row>
    <row r="670" spans="1:30" x14ac:dyDescent="0.25">
      <c r="A670" s="35"/>
      <c r="B670" s="35"/>
      <c r="C670" s="35"/>
      <c r="D670" s="35"/>
      <c r="E670" s="35"/>
      <c r="F670" s="35"/>
      <c r="G670" s="35"/>
      <c r="H670" s="35"/>
      <c r="I670" s="35"/>
      <c r="J670" s="35"/>
      <c r="K670" s="35"/>
      <c r="L670" s="36"/>
      <c r="M670" s="35"/>
      <c r="N670" s="35"/>
      <c r="O670" s="35"/>
      <c r="P670" s="35"/>
      <c r="Q670" s="35"/>
      <c r="R670" s="35"/>
      <c r="S670" s="35"/>
      <c r="T670" s="35"/>
      <c r="U670" s="35"/>
      <c r="V670" s="35"/>
      <c r="W670" s="35"/>
      <c r="X670" s="35"/>
      <c r="Y670" s="35"/>
      <c r="Z670" s="35"/>
      <c r="AA670" s="35"/>
      <c r="AB670" s="35"/>
      <c r="AC670" s="35"/>
      <c r="AD670" s="35"/>
    </row>
    <row r="671" spans="1:30" x14ac:dyDescent="0.25">
      <c r="A671" s="35"/>
      <c r="B671" s="35"/>
      <c r="C671" s="35"/>
      <c r="D671" s="35"/>
      <c r="E671" s="35"/>
      <c r="F671" s="35"/>
      <c r="G671" s="35"/>
      <c r="H671" s="35"/>
      <c r="I671" s="35"/>
      <c r="J671" s="35"/>
      <c r="K671" s="35"/>
      <c r="L671" s="36"/>
      <c r="M671" s="35"/>
      <c r="N671" s="35"/>
      <c r="O671" s="35"/>
      <c r="P671" s="35"/>
      <c r="Q671" s="35"/>
      <c r="R671" s="35"/>
      <c r="S671" s="35"/>
      <c r="T671" s="35"/>
      <c r="U671" s="35"/>
      <c r="V671" s="35"/>
      <c r="W671" s="35"/>
      <c r="X671" s="35"/>
      <c r="Y671" s="35"/>
      <c r="Z671" s="35"/>
      <c r="AA671" s="35"/>
      <c r="AB671" s="35"/>
      <c r="AC671" s="35"/>
      <c r="AD671" s="35"/>
    </row>
    <row r="672" spans="1:30" x14ac:dyDescent="0.25">
      <c r="A672" s="35"/>
      <c r="B672" s="35"/>
      <c r="C672" s="35"/>
      <c r="D672" s="35"/>
      <c r="E672" s="35"/>
      <c r="F672" s="35"/>
      <c r="G672" s="35"/>
      <c r="H672" s="35"/>
      <c r="I672" s="35"/>
      <c r="J672" s="35"/>
      <c r="K672" s="35"/>
      <c r="L672" s="36"/>
      <c r="M672" s="35"/>
      <c r="N672" s="35"/>
      <c r="O672" s="35"/>
      <c r="P672" s="35"/>
      <c r="Q672" s="35"/>
      <c r="R672" s="35"/>
      <c r="S672" s="35"/>
      <c r="T672" s="35"/>
      <c r="U672" s="35"/>
      <c r="V672" s="35"/>
      <c r="W672" s="35"/>
      <c r="X672" s="35"/>
      <c r="Y672" s="35"/>
      <c r="Z672" s="35"/>
      <c r="AA672" s="35"/>
      <c r="AB672" s="35"/>
      <c r="AC672" s="35"/>
      <c r="AD672" s="35"/>
    </row>
    <row r="673" spans="1:30" x14ac:dyDescent="0.25">
      <c r="A673" s="35"/>
      <c r="B673" s="35"/>
      <c r="C673" s="35"/>
      <c r="D673" s="35"/>
      <c r="E673" s="35"/>
      <c r="F673" s="35"/>
      <c r="G673" s="35"/>
      <c r="H673" s="35"/>
      <c r="I673" s="35"/>
      <c r="J673" s="35"/>
      <c r="K673" s="35"/>
      <c r="L673" s="36"/>
      <c r="M673" s="35"/>
      <c r="N673" s="35"/>
      <c r="O673" s="35"/>
      <c r="P673" s="35"/>
      <c r="Q673" s="35"/>
      <c r="R673" s="35"/>
      <c r="S673" s="35"/>
      <c r="T673" s="35"/>
      <c r="U673" s="35"/>
      <c r="V673" s="35"/>
      <c r="W673" s="35"/>
      <c r="X673" s="35"/>
      <c r="Y673" s="35"/>
      <c r="Z673" s="35"/>
      <c r="AA673" s="35"/>
      <c r="AB673" s="35"/>
      <c r="AC673" s="35"/>
      <c r="AD673" s="35"/>
    </row>
    <row r="674" spans="1:30" x14ac:dyDescent="0.25">
      <c r="A674" s="35"/>
      <c r="B674" s="35"/>
      <c r="C674" s="35"/>
      <c r="D674" s="35"/>
      <c r="E674" s="35"/>
      <c r="F674" s="35"/>
      <c r="G674" s="35"/>
      <c r="H674" s="35"/>
      <c r="I674" s="35"/>
      <c r="J674" s="35"/>
      <c r="K674" s="35"/>
      <c r="L674" s="36"/>
      <c r="M674" s="35"/>
      <c r="N674" s="35"/>
      <c r="O674" s="35"/>
      <c r="P674" s="35"/>
      <c r="Q674" s="35"/>
      <c r="R674" s="35"/>
      <c r="S674" s="35"/>
      <c r="T674" s="35"/>
      <c r="U674" s="35"/>
      <c r="V674" s="35"/>
      <c r="W674" s="35"/>
      <c r="X674" s="35"/>
      <c r="Y674" s="35"/>
      <c r="Z674" s="35"/>
      <c r="AA674" s="35"/>
      <c r="AB674" s="35"/>
      <c r="AC674" s="35"/>
      <c r="AD674" s="35"/>
    </row>
    <row r="675" spans="1:30" x14ac:dyDescent="0.25">
      <c r="A675" s="35"/>
      <c r="B675" s="35"/>
      <c r="C675" s="35"/>
      <c r="D675" s="35"/>
      <c r="E675" s="35"/>
      <c r="F675" s="35"/>
      <c r="G675" s="35"/>
      <c r="H675" s="35"/>
      <c r="I675" s="35"/>
      <c r="J675" s="35"/>
      <c r="K675" s="35"/>
      <c r="L675" s="36"/>
      <c r="M675" s="35"/>
      <c r="N675" s="35"/>
      <c r="O675" s="35"/>
      <c r="P675" s="35"/>
      <c r="Q675" s="35"/>
      <c r="R675" s="35"/>
      <c r="S675" s="35"/>
      <c r="T675" s="35"/>
      <c r="U675" s="35"/>
      <c r="V675" s="35"/>
      <c r="W675" s="35"/>
      <c r="X675" s="35"/>
      <c r="Y675" s="35"/>
      <c r="Z675" s="35"/>
      <c r="AA675" s="35"/>
      <c r="AB675" s="35"/>
      <c r="AC675" s="35"/>
      <c r="AD675" s="35"/>
    </row>
    <row r="676" spans="1:30" x14ac:dyDescent="0.25">
      <c r="A676" s="35"/>
      <c r="B676" s="35"/>
      <c r="C676" s="35"/>
      <c r="D676" s="35"/>
      <c r="E676" s="35"/>
      <c r="F676" s="35"/>
      <c r="G676" s="35"/>
      <c r="H676" s="35"/>
      <c r="I676" s="35"/>
      <c r="J676" s="35"/>
      <c r="K676" s="35"/>
      <c r="L676" s="36"/>
      <c r="M676" s="35"/>
      <c r="N676" s="35"/>
      <c r="O676" s="35"/>
      <c r="P676" s="35"/>
      <c r="Q676" s="35"/>
      <c r="R676" s="35"/>
      <c r="S676" s="35"/>
      <c r="T676" s="35"/>
      <c r="U676" s="35"/>
      <c r="V676" s="35"/>
      <c r="W676" s="35"/>
      <c r="X676" s="35"/>
      <c r="Y676" s="35"/>
      <c r="Z676" s="35"/>
      <c r="AA676" s="35"/>
      <c r="AB676" s="35"/>
      <c r="AC676" s="35"/>
      <c r="AD676" s="35"/>
    </row>
    <row r="677" spans="1:30" x14ac:dyDescent="0.25">
      <c r="A677" s="35"/>
      <c r="B677" s="35"/>
      <c r="C677" s="35"/>
      <c r="D677" s="35"/>
      <c r="E677" s="35"/>
      <c r="F677" s="35"/>
      <c r="G677" s="35"/>
      <c r="H677" s="35"/>
      <c r="I677" s="35"/>
      <c r="J677" s="35"/>
      <c r="K677" s="35"/>
      <c r="L677" s="36"/>
      <c r="M677" s="35"/>
      <c r="N677" s="35"/>
      <c r="O677" s="35"/>
      <c r="P677" s="35"/>
      <c r="Q677" s="35"/>
      <c r="R677" s="35"/>
      <c r="S677" s="35"/>
      <c r="T677" s="35"/>
      <c r="U677" s="35"/>
      <c r="V677" s="35"/>
      <c r="W677" s="35"/>
      <c r="X677" s="35"/>
      <c r="Y677" s="35"/>
      <c r="Z677" s="35"/>
      <c r="AA677" s="35"/>
      <c r="AB677" s="35"/>
      <c r="AC677" s="35"/>
      <c r="AD677" s="35"/>
    </row>
    <row r="678" spans="1:30" x14ac:dyDescent="0.25">
      <c r="A678" s="35"/>
      <c r="B678" s="35"/>
      <c r="C678" s="35"/>
      <c r="D678" s="35"/>
      <c r="E678" s="35"/>
      <c r="F678" s="35"/>
      <c r="G678" s="35"/>
      <c r="H678" s="35"/>
      <c r="I678" s="35"/>
      <c r="J678" s="35"/>
      <c r="K678" s="35"/>
      <c r="L678" s="36"/>
      <c r="M678" s="35"/>
      <c r="N678" s="35"/>
      <c r="O678" s="35"/>
      <c r="P678" s="35"/>
      <c r="Q678" s="35"/>
      <c r="R678" s="35"/>
      <c r="S678" s="35"/>
      <c r="T678" s="35"/>
      <c r="U678" s="35"/>
      <c r="V678" s="35"/>
      <c r="W678" s="35"/>
      <c r="X678" s="35"/>
      <c r="Y678" s="35"/>
      <c r="Z678" s="35"/>
      <c r="AA678" s="35"/>
      <c r="AB678" s="35"/>
      <c r="AC678" s="35"/>
      <c r="AD678" s="35"/>
    </row>
    <row r="679" spans="1:30" x14ac:dyDescent="0.25">
      <c r="A679" s="35"/>
      <c r="B679" s="35"/>
      <c r="C679" s="35"/>
      <c r="D679" s="35"/>
      <c r="E679" s="35"/>
      <c r="F679" s="35"/>
      <c r="G679" s="35"/>
      <c r="H679" s="35"/>
      <c r="I679" s="35"/>
      <c r="J679" s="35"/>
      <c r="K679" s="35"/>
      <c r="L679" s="36"/>
      <c r="M679" s="35"/>
      <c r="N679" s="35"/>
      <c r="O679" s="35"/>
      <c r="P679" s="35"/>
      <c r="Q679" s="35"/>
      <c r="R679" s="35"/>
      <c r="S679" s="35"/>
      <c r="T679" s="35"/>
      <c r="U679" s="35"/>
      <c r="V679" s="35"/>
      <c r="W679" s="35"/>
      <c r="X679" s="35"/>
      <c r="Y679" s="35"/>
      <c r="Z679" s="35"/>
      <c r="AA679" s="35"/>
      <c r="AB679" s="35"/>
      <c r="AC679" s="35"/>
      <c r="AD679" s="35"/>
    </row>
    <row r="680" spans="1:30" x14ac:dyDescent="0.25">
      <c r="A680" s="35"/>
      <c r="B680" s="35"/>
      <c r="C680" s="35"/>
      <c r="D680" s="35"/>
      <c r="E680" s="35"/>
      <c r="F680" s="35"/>
      <c r="G680" s="35"/>
      <c r="H680" s="35"/>
      <c r="I680" s="35"/>
      <c r="J680" s="35"/>
      <c r="K680" s="35"/>
      <c r="L680" s="36"/>
      <c r="M680" s="35"/>
      <c r="N680" s="35"/>
      <c r="O680" s="35"/>
      <c r="P680" s="35"/>
      <c r="Q680" s="35"/>
      <c r="R680" s="35"/>
      <c r="S680" s="35"/>
      <c r="T680" s="35"/>
      <c r="U680" s="35"/>
      <c r="V680" s="35"/>
      <c r="W680" s="35"/>
      <c r="X680" s="35"/>
      <c r="Y680" s="35"/>
      <c r="Z680" s="35"/>
      <c r="AA680" s="35"/>
      <c r="AB680" s="35"/>
      <c r="AC680" s="35"/>
      <c r="AD680" s="35"/>
    </row>
    <row r="681" spans="1:30" x14ac:dyDescent="0.25">
      <c r="A681" s="35"/>
      <c r="B681" s="35"/>
      <c r="C681" s="35"/>
      <c r="D681" s="35"/>
      <c r="E681" s="35"/>
      <c r="F681" s="35"/>
      <c r="G681" s="35"/>
      <c r="H681" s="35"/>
      <c r="I681" s="35"/>
      <c r="J681" s="35"/>
      <c r="K681" s="35"/>
      <c r="L681" s="36"/>
      <c r="M681" s="35"/>
      <c r="N681" s="35"/>
      <c r="O681" s="35"/>
      <c r="P681" s="35"/>
      <c r="Q681" s="35"/>
      <c r="R681" s="35"/>
      <c r="S681" s="35"/>
      <c r="T681" s="35"/>
      <c r="U681" s="35"/>
      <c r="V681" s="35"/>
      <c r="W681" s="35"/>
      <c r="X681" s="35"/>
      <c r="Y681" s="35"/>
      <c r="Z681" s="35"/>
      <c r="AA681" s="35"/>
      <c r="AB681" s="35"/>
      <c r="AC681" s="35"/>
      <c r="AD681" s="35"/>
    </row>
    <row r="682" spans="1:30" x14ac:dyDescent="0.25">
      <c r="A682" s="35"/>
      <c r="B682" s="35"/>
      <c r="C682" s="35"/>
      <c r="D682" s="35"/>
      <c r="E682" s="35"/>
      <c r="F682" s="35"/>
      <c r="G682" s="35"/>
      <c r="H682" s="35"/>
      <c r="I682" s="35"/>
      <c r="J682" s="35"/>
      <c r="K682" s="35"/>
      <c r="L682" s="36"/>
      <c r="M682" s="35"/>
      <c r="N682" s="35"/>
      <c r="O682" s="35"/>
      <c r="P682" s="35"/>
      <c r="Q682" s="35"/>
      <c r="R682" s="35"/>
      <c r="S682" s="35"/>
      <c r="T682" s="35"/>
      <c r="U682" s="35"/>
      <c r="V682" s="35"/>
      <c r="W682" s="35"/>
      <c r="X682" s="35"/>
      <c r="Y682" s="35"/>
      <c r="Z682" s="35"/>
      <c r="AA682" s="35"/>
      <c r="AB682" s="35"/>
      <c r="AC682" s="35"/>
      <c r="AD682" s="35"/>
    </row>
    <row r="683" spans="1:30" x14ac:dyDescent="0.25">
      <c r="A683" s="35"/>
      <c r="B683" s="35"/>
      <c r="C683" s="35"/>
      <c r="D683" s="35"/>
      <c r="E683" s="35"/>
      <c r="F683" s="35"/>
      <c r="G683" s="35"/>
      <c r="H683" s="35"/>
      <c r="I683" s="35"/>
      <c r="J683" s="35"/>
      <c r="K683" s="35"/>
      <c r="L683" s="36"/>
      <c r="M683" s="35"/>
      <c r="N683" s="35"/>
      <c r="O683" s="35"/>
      <c r="P683" s="35"/>
      <c r="Q683" s="35"/>
      <c r="R683" s="35"/>
      <c r="S683" s="35"/>
      <c r="T683" s="35"/>
      <c r="U683" s="35"/>
      <c r="V683" s="35"/>
      <c r="W683" s="35"/>
      <c r="X683" s="35"/>
      <c r="Y683" s="35"/>
      <c r="Z683" s="35"/>
      <c r="AA683" s="35"/>
      <c r="AB683" s="35"/>
      <c r="AC683" s="35"/>
      <c r="AD683" s="35"/>
    </row>
    <row r="684" spans="1:30" x14ac:dyDescent="0.25">
      <c r="A684" s="35"/>
      <c r="B684" s="35"/>
      <c r="C684" s="35"/>
      <c r="D684" s="35"/>
      <c r="E684" s="35"/>
      <c r="F684" s="35"/>
      <c r="G684" s="35"/>
      <c r="H684" s="35"/>
      <c r="I684" s="35"/>
      <c r="J684" s="35"/>
      <c r="K684" s="35"/>
      <c r="L684" s="36"/>
      <c r="M684" s="35"/>
      <c r="N684" s="35"/>
      <c r="O684" s="35"/>
      <c r="P684" s="35"/>
      <c r="Q684" s="35"/>
      <c r="R684" s="35"/>
      <c r="S684" s="35"/>
      <c r="T684" s="35"/>
      <c r="U684" s="35"/>
      <c r="V684" s="35"/>
      <c r="W684" s="35"/>
      <c r="X684" s="35"/>
      <c r="Y684" s="35"/>
      <c r="Z684" s="35"/>
      <c r="AA684" s="35"/>
      <c r="AB684" s="35"/>
      <c r="AC684" s="35"/>
      <c r="AD684" s="35"/>
    </row>
    <row r="685" spans="1:30" x14ac:dyDescent="0.25">
      <c r="A685" s="35"/>
      <c r="B685" s="35"/>
      <c r="C685" s="35"/>
      <c r="D685" s="35"/>
      <c r="E685" s="35"/>
      <c r="F685" s="35"/>
      <c r="G685" s="35"/>
      <c r="H685" s="35"/>
      <c r="I685" s="35"/>
      <c r="J685" s="35"/>
      <c r="K685" s="35"/>
      <c r="L685" s="36"/>
      <c r="M685" s="35"/>
      <c r="N685" s="35"/>
      <c r="O685" s="35"/>
      <c r="P685" s="35"/>
      <c r="Q685" s="35"/>
      <c r="R685" s="35"/>
      <c r="S685" s="35"/>
      <c r="T685" s="35"/>
      <c r="U685" s="35"/>
      <c r="V685" s="35"/>
      <c r="W685" s="35"/>
      <c r="X685" s="35"/>
      <c r="Y685" s="35"/>
      <c r="Z685" s="35"/>
      <c r="AA685" s="35"/>
      <c r="AB685" s="35"/>
      <c r="AC685" s="35"/>
      <c r="AD685" s="35"/>
    </row>
    <row r="686" spans="1:30" x14ac:dyDescent="0.25">
      <c r="A686" s="35"/>
      <c r="B686" s="35"/>
      <c r="C686" s="35"/>
      <c r="D686" s="35"/>
      <c r="E686" s="35"/>
      <c r="F686" s="35"/>
      <c r="G686" s="35"/>
      <c r="H686" s="35"/>
      <c r="I686" s="35"/>
      <c r="J686" s="35"/>
      <c r="K686" s="35"/>
      <c r="L686" s="36"/>
      <c r="M686" s="35"/>
      <c r="N686" s="35"/>
      <c r="O686" s="35"/>
      <c r="P686" s="35"/>
      <c r="Q686" s="35"/>
      <c r="R686" s="35"/>
      <c r="S686" s="35"/>
      <c r="T686" s="35"/>
      <c r="U686" s="35"/>
      <c r="V686" s="35"/>
      <c r="W686" s="35"/>
      <c r="X686" s="35"/>
      <c r="Y686" s="35"/>
      <c r="Z686" s="35"/>
      <c r="AA686" s="35"/>
      <c r="AB686" s="35"/>
      <c r="AC686" s="35"/>
      <c r="AD686" s="35"/>
    </row>
    <row r="687" spans="1:30" x14ac:dyDescent="0.25">
      <c r="A687" s="35"/>
      <c r="B687" s="35"/>
      <c r="C687" s="35"/>
      <c r="D687" s="35"/>
      <c r="E687" s="35"/>
      <c r="F687" s="35"/>
      <c r="G687" s="35"/>
      <c r="H687" s="35"/>
      <c r="I687" s="35"/>
      <c r="J687" s="35"/>
      <c r="K687" s="35"/>
      <c r="L687" s="36"/>
      <c r="M687" s="35"/>
      <c r="N687" s="35"/>
      <c r="O687" s="35"/>
      <c r="P687" s="35"/>
      <c r="Q687" s="35"/>
      <c r="R687" s="35"/>
      <c r="S687" s="35"/>
      <c r="T687" s="35"/>
      <c r="U687" s="35"/>
      <c r="V687" s="35"/>
      <c r="W687" s="35"/>
      <c r="X687" s="35"/>
      <c r="Y687" s="35"/>
      <c r="Z687" s="35"/>
      <c r="AA687" s="35"/>
      <c r="AB687" s="35"/>
      <c r="AC687" s="35"/>
      <c r="AD687" s="35"/>
    </row>
    <row r="688" spans="1:30" x14ac:dyDescent="0.25">
      <c r="A688" s="35"/>
      <c r="B688" s="35"/>
      <c r="C688" s="35"/>
      <c r="D688" s="35"/>
      <c r="E688" s="35"/>
      <c r="F688" s="35"/>
      <c r="G688" s="35"/>
      <c r="H688" s="35"/>
      <c r="I688" s="35"/>
      <c r="J688" s="35"/>
      <c r="K688" s="35"/>
      <c r="L688" s="36"/>
      <c r="M688" s="35"/>
      <c r="N688" s="35"/>
      <c r="O688" s="35"/>
      <c r="P688" s="35"/>
      <c r="Q688" s="35"/>
      <c r="R688" s="35"/>
      <c r="S688" s="35"/>
      <c r="T688" s="35"/>
      <c r="U688" s="35"/>
      <c r="V688" s="35"/>
      <c r="W688" s="35"/>
      <c r="X688" s="35"/>
      <c r="Y688" s="35"/>
      <c r="Z688" s="35"/>
      <c r="AA688" s="35"/>
      <c r="AB688" s="35"/>
      <c r="AC688" s="35"/>
      <c r="AD688" s="35"/>
    </row>
    <row r="689" spans="1:30" x14ac:dyDescent="0.25">
      <c r="A689" s="35"/>
      <c r="B689" s="35"/>
      <c r="C689" s="35"/>
      <c r="D689" s="35"/>
      <c r="E689" s="35"/>
      <c r="F689" s="35"/>
      <c r="G689" s="35"/>
      <c r="H689" s="35"/>
      <c r="I689" s="35"/>
      <c r="J689" s="35"/>
      <c r="K689" s="35"/>
      <c r="L689" s="36"/>
      <c r="M689" s="35"/>
      <c r="N689" s="35"/>
      <c r="O689" s="35"/>
      <c r="P689" s="35"/>
      <c r="Q689" s="35"/>
      <c r="R689" s="35"/>
      <c r="S689" s="35"/>
      <c r="T689" s="35"/>
      <c r="U689" s="35"/>
      <c r="V689" s="35"/>
      <c r="W689" s="35"/>
      <c r="X689" s="35"/>
      <c r="Y689" s="35"/>
      <c r="Z689" s="35"/>
      <c r="AA689" s="35"/>
      <c r="AB689" s="35"/>
      <c r="AC689" s="35"/>
      <c r="AD689" s="35"/>
    </row>
    <row r="690" spans="1:30" x14ac:dyDescent="0.25">
      <c r="A690" s="35"/>
      <c r="B690" s="35"/>
      <c r="C690" s="35"/>
      <c r="D690" s="35"/>
      <c r="E690" s="35"/>
      <c r="F690" s="35"/>
      <c r="G690" s="35"/>
      <c r="H690" s="35"/>
      <c r="I690" s="35"/>
      <c r="J690" s="35"/>
      <c r="K690" s="35"/>
      <c r="L690" s="36"/>
      <c r="M690" s="35"/>
      <c r="N690" s="35"/>
      <c r="O690" s="35"/>
      <c r="P690" s="35"/>
      <c r="Q690" s="35"/>
      <c r="R690" s="35"/>
      <c r="S690" s="35"/>
      <c r="T690" s="35"/>
      <c r="U690" s="35"/>
      <c r="V690" s="35"/>
      <c r="W690" s="35"/>
      <c r="X690" s="35"/>
      <c r="Y690" s="35"/>
      <c r="Z690" s="35"/>
      <c r="AA690" s="35"/>
      <c r="AB690" s="35"/>
      <c r="AC690" s="35"/>
      <c r="AD690" s="35"/>
    </row>
    <row r="691" spans="1:30" x14ac:dyDescent="0.25">
      <c r="A691" s="35"/>
      <c r="B691" s="35"/>
      <c r="C691" s="35"/>
      <c r="D691" s="35"/>
      <c r="E691" s="35"/>
      <c r="F691" s="35"/>
      <c r="G691" s="35"/>
      <c r="H691" s="35"/>
      <c r="I691" s="35"/>
      <c r="J691" s="35"/>
      <c r="K691" s="35"/>
      <c r="L691" s="36"/>
      <c r="M691" s="35"/>
      <c r="N691" s="35"/>
      <c r="O691" s="35"/>
      <c r="P691" s="35"/>
      <c r="Q691" s="35"/>
      <c r="R691" s="35"/>
      <c r="S691" s="35"/>
      <c r="T691" s="35"/>
      <c r="U691" s="35"/>
      <c r="V691" s="35"/>
      <c r="W691" s="35"/>
      <c r="X691" s="35"/>
      <c r="Y691" s="35"/>
      <c r="Z691" s="35"/>
      <c r="AA691" s="35"/>
      <c r="AB691" s="35"/>
      <c r="AC691" s="35"/>
      <c r="AD691" s="35"/>
    </row>
    <row r="692" spans="1:30" x14ac:dyDescent="0.25">
      <c r="A692" s="35"/>
      <c r="B692" s="35"/>
      <c r="C692" s="35"/>
      <c r="D692" s="35"/>
      <c r="E692" s="35"/>
      <c r="F692" s="35"/>
      <c r="G692" s="35"/>
      <c r="H692" s="35"/>
      <c r="I692" s="35"/>
      <c r="J692" s="35"/>
      <c r="K692" s="35"/>
      <c r="L692" s="36"/>
      <c r="M692" s="35"/>
      <c r="N692" s="35"/>
      <c r="O692" s="35"/>
      <c r="P692" s="35"/>
      <c r="Q692" s="35"/>
      <c r="R692" s="35"/>
      <c r="S692" s="35"/>
      <c r="T692" s="35"/>
      <c r="U692" s="35"/>
      <c r="V692" s="35"/>
      <c r="W692" s="35"/>
      <c r="X692" s="35"/>
      <c r="Y692" s="35"/>
      <c r="Z692" s="35"/>
      <c r="AA692" s="35"/>
      <c r="AB692" s="35"/>
      <c r="AC692" s="35"/>
      <c r="AD692" s="35"/>
    </row>
    <row r="693" spans="1:30" x14ac:dyDescent="0.25">
      <c r="A693" s="35"/>
      <c r="B693" s="35"/>
      <c r="C693" s="35"/>
      <c r="D693" s="35"/>
      <c r="E693" s="35"/>
      <c r="F693" s="35"/>
      <c r="G693" s="35"/>
      <c r="H693" s="35"/>
      <c r="I693" s="35"/>
      <c r="J693" s="35"/>
      <c r="K693" s="35"/>
      <c r="L693" s="36"/>
      <c r="M693" s="35"/>
      <c r="N693" s="35"/>
      <c r="O693" s="35"/>
      <c r="P693" s="35"/>
      <c r="Q693" s="35"/>
      <c r="R693" s="35"/>
      <c r="S693" s="35"/>
      <c r="T693" s="35"/>
      <c r="U693" s="35"/>
      <c r="V693" s="35"/>
      <c r="W693" s="35"/>
      <c r="X693" s="35"/>
      <c r="Y693" s="35"/>
      <c r="Z693" s="35"/>
      <c r="AA693" s="35"/>
      <c r="AB693" s="35"/>
      <c r="AC693" s="35"/>
      <c r="AD693" s="35"/>
    </row>
    <row r="694" spans="1:30" x14ac:dyDescent="0.25">
      <c r="A694" s="35"/>
      <c r="B694" s="35"/>
      <c r="C694" s="35"/>
      <c r="D694" s="35"/>
      <c r="E694" s="35"/>
      <c r="F694" s="35"/>
      <c r="G694" s="35"/>
      <c r="H694" s="35"/>
      <c r="I694" s="35"/>
      <c r="J694" s="35"/>
      <c r="K694" s="35"/>
      <c r="L694" s="36"/>
      <c r="M694" s="35"/>
      <c r="N694" s="35"/>
      <c r="O694" s="35"/>
      <c r="P694" s="35"/>
      <c r="Q694" s="35"/>
      <c r="R694" s="35"/>
      <c r="S694" s="35"/>
      <c r="T694" s="35"/>
      <c r="U694" s="35"/>
      <c r="V694" s="35"/>
      <c r="W694" s="35"/>
      <c r="X694" s="35"/>
      <c r="Y694" s="35"/>
      <c r="Z694" s="35"/>
      <c r="AA694" s="35"/>
      <c r="AB694" s="35"/>
      <c r="AC694" s="35"/>
      <c r="AD694" s="35"/>
    </row>
    <row r="695" spans="1:30" x14ac:dyDescent="0.25">
      <c r="A695" s="35"/>
      <c r="B695" s="35"/>
      <c r="C695" s="35"/>
      <c r="D695" s="35"/>
      <c r="E695" s="35"/>
      <c r="F695" s="35"/>
      <c r="G695" s="35"/>
      <c r="H695" s="35"/>
      <c r="I695" s="35"/>
      <c r="J695" s="35"/>
      <c r="K695" s="35"/>
      <c r="L695" s="36"/>
      <c r="M695" s="35"/>
      <c r="N695" s="35"/>
      <c r="O695" s="35"/>
      <c r="P695" s="35"/>
      <c r="Q695" s="35"/>
      <c r="R695" s="35"/>
      <c r="S695" s="35"/>
      <c r="T695" s="35"/>
      <c r="U695" s="35"/>
      <c r="V695" s="35"/>
      <c r="W695" s="35"/>
      <c r="X695" s="35"/>
      <c r="Y695" s="35"/>
      <c r="Z695" s="35"/>
      <c r="AA695" s="35"/>
      <c r="AB695" s="35"/>
      <c r="AC695" s="35"/>
      <c r="AD695" s="35"/>
    </row>
    <row r="696" spans="1:30" x14ac:dyDescent="0.25">
      <c r="A696" s="35"/>
      <c r="B696" s="35"/>
      <c r="C696" s="35"/>
      <c r="D696" s="35"/>
      <c r="E696" s="35"/>
      <c r="F696" s="35"/>
      <c r="G696" s="35"/>
      <c r="H696" s="35"/>
      <c r="I696" s="35"/>
      <c r="J696" s="35"/>
      <c r="K696" s="35"/>
      <c r="L696" s="36"/>
      <c r="M696" s="35"/>
      <c r="N696" s="35"/>
      <c r="O696" s="35"/>
      <c r="P696" s="35"/>
      <c r="Q696" s="35"/>
      <c r="R696" s="35"/>
      <c r="S696" s="35"/>
      <c r="T696" s="35"/>
      <c r="U696" s="35"/>
      <c r="V696" s="35"/>
      <c r="W696" s="35"/>
      <c r="X696" s="35"/>
      <c r="Y696" s="35"/>
      <c r="Z696" s="35"/>
      <c r="AA696" s="35"/>
      <c r="AB696" s="35"/>
      <c r="AC696" s="35"/>
      <c r="AD696" s="35"/>
    </row>
    <row r="697" spans="1:30" x14ac:dyDescent="0.25">
      <c r="A697" s="35"/>
      <c r="B697" s="35"/>
      <c r="C697" s="35"/>
      <c r="D697" s="35"/>
      <c r="E697" s="35"/>
      <c r="F697" s="35"/>
      <c r="G697" s="35"/>
      <c r="H697" s="35"/>
      <c r="I697" s="35"/>
      <c r="J697" s="35"/>
      <c r="K697" s="35"/>
      <c r="L697" s="36"/>
      <c r="M697" s="35"/>
      <c r="N697" s="35"/>
      <c r="O697" s="35"/>
      <c r="P697" s="35"/>
      <c r="Q697" s="35"/>
      <c r="R697" s="35"/>
      <c r="S697" s="35"/>
      <c r="T697" s="35"/>
      <c r="U697" s="35"/>
      <c r="V697" s="35"/>
      <c r="W697" s="35"/>
      <c r="X697" s="35"/>
      <c r="Y697" s="35"/>
      <c r="Z697" s="35"/>
      <c r="AA697" s="35"/>
      <c r="AB697" s="35"/>
      <c r="AC697" s="35"/>
      <c r="AD697" s="35"/>
    </row>
    <row r="698" spans="1:30" x14ac:dyDescent="0.25">
      <c r="A698" s="35"/>
      <c r="B698" s="35"/>
      <c r="C698" s="35"/>
      <c r="D698" s="35"/>
      <c r="E698" s="35"/>
      <c r="F698" s="35"/>
      <c r="G698" s="35"/>
      <c r="H698" s="35"/>
      <c r="I698" s="35"/>
      <c r="J698" s="35"/>
      <c r="K698" s="35"/>
      <c r="L698" s="36"/>
      <c r="M698" s="35"/>
      <c r="N698" s="35"/>
      <c r="O698" s="35"/>
      <c r="P698" s="35"/>
      <c r="Q698" s="35"/>
      <c r="R698" s="35"/>
      <c r="S698" s="35"/>
      <c r="T698" s="35"/>
      <c r="U698" s="35"/>
      <c r="V698" s="35"/>
      <c r="W698" s="35"/>
      <c r="X698" s="35"/>
      <c r="Y698" s="35"/>
      <c r="Z698" s="35"/>
      <c r="AA698" s="35"/>
      <c r="AB698" s="35"/>
      <c r="AC698" s="35"/>
      <c r="AD698" s="35"/>
    </row>
    <row r="699" spans="1:30" x14ac:dyDescent="0.25">
      <c r="A699" s="35"/>
      <c r="B699" s="35"/>
      <c r="C699" s="35"/>
      <c r="D699" s="35"/>
      <c r="E699" s="35"/>
      <c r="F699" s="35"/>
      <c r="G699" s="35"/>
      <c r="H699" s="35"/>
      <c r="I699" s="35"/>
      <c r="J699" s="35"/>
      <c r="K699" s="35"/>
      <c r="L699" s="36"/>
      <c r="M699" s="35"/>
      <c r="N699" s="35"/>
      <c r="O699" s="35"/>
      <c r="P699" s="35"/>
      <c r="Q699" s="35"/>
      <c r="R699" s="35"/>
      <c r="S699" s="35"/>
      <c r="T699" s="35"/>
      <c r="U699" s="35"/>
      <c r="V699" s="35"/>
      <c r="W699" s="35"/>
      <c r="X699" s="35"/>
      <c r="Y699" s="35"/>
      <c r="Z699" s="35"/>
      <c r="AA699" s="35"/>
      <c r="AB699" s="35"/>
      <c r="AC699" s="35"/>
      <c r="AD699" s="35"/>
    </row>
    <row r="700" spans="1:30" x14ac:dyDescent="0.25">
      <c r="A700" s="35"/>
      <c r="B700" s="35"/>
      <c r="C700" s="35"/>
      <c r="D700" s="35"/>
      <c r="E700" s="35"/>
      <c r="F700" s="35"/>
      <c r="G700" s="35"/>
      <c r="H700" s="35"/>
      <c r="I700" s="35"/>
      <c r="J700" s="35"/>
      <c r="K700" s="35"/>
      <c r="L700" s="36"/>
      <c r="M700" s="35"/>
      <c r="N700" s="35"/>
      <c r="O700" s="35"/>
      <c r="P700" s="35"/>
      <c r="Q700" s="35"/>
      <c r="R700" s="35"/>
      <c r="S700" s="35"/>
      <c r="T700" s="35"/>
      <c r="U700" s="35"/>
      <c r="V700" s="35"/>
      <c r="W700" s="35"/>
      <c r="X700" s="35"/>
      <c r="Y700" s="35"/>
      <c r="Z700" s="35"/>
      <c r="AA700" s="35"/>
      <c r="AB700" s="35"/>
      <c r="AC700" s="35"/>
      <c r="AD700" s="35"/>
    </row>
    <row r="701" spans="1:30" x14ac:dyDescent="0.25">
      <c r="A701" s="35"/>
      <c r="B701" s="35"/>
      <c r="C701" s="35"/>
      <c r="D701" s="35"/>
      <c r="E701" s="35"/>
      <c r="F701" s="35"/>
      <c r="G701" s="35"/>
      <c r="H701" s="35"/>
      <c r="I701" s="35"/>
      <c r="J701" s="35"/>
      <c r="K701" s="35"/>
      <c r="L701" s="36"/>
      <c r="M701" s="35"/>
      <c r="N701" s="35"/>
      <c r="O701" s="35"/>
      <c r="P701" s="35"/>
      <c r="Q701" s="35"/>
      <c r="R701" s="35"/>
      <c r="S701" s="35"/>
      <c r="T701" s="35"/>
      <c r="U701" s="35"/>
      <c r="V701" s="35"/>
      <c r="W701" s="35"/>
      <c r="X701" s="35"/>
      <c r="Y701" s="35"/>
      <c r="Z701" s="35"/>
      <c r="AA701" s="35"/>
      <c r="AB701" s="35"/>
      <c r="AC701" s="35"/>
      <c r="AD701" s="35"/>
    </row>
    <row r="702" spans="1:30" x14ac:dyDescent="0.25">
      <c r="A702" s="35"/>
      <c r="B702" s="35"/>
      <c r="C702" s="35"/>
      <c r="D702" s="35"/>
      <c r="E702" s="35"/>
      <c r="F702" s="35"/>
      <c r="G702" s="35"/>
      <c r="H702" s="35"/>
      <c r="I702" s="35"/>
      <c r="J702" s="35"/>
      <c r="K702" s="35"/>
      <c r="L702" s="36"/>
      <c r="M702" s="35"/>
      <c r="N702" s="35"/>
      <c r="O702" s="35"/>
      <c r="P702" s="35"/>
      <c r="Q702" s="35"/>
      <c r="R702" s="35"/>
      <c r="S702" s="35"/>
      <c r="T702" s="35"/>
      <c r="U702" s="35"/>
      <c r="V702" s="35"/>
      <c r="W702" s="35"/>
      <c r="X702" s="35"/>
      <c r="Y702" s="35"/>
      <c r="Z702" s="35"/>
      <c r="AA702" s="35"/>
      <c r="AB702" s="35"/>
      <c r="AC702" s="35"/>
      <c r="AD702" s="35"/>
    </row>
    <row r="703" spans="1:30" x14ac:dyDescent="0.25">
      <c r="A703" s="35"/>
      <c r="B703" s="35"/>
      <c r="C703" s="35"/>
      <c r="D703" s="35"/>
      <c r="E703" s="35"/>
      <c r="F703" s="35"/>
      <c r="G703" s="35"/>
      <c r="H703" s="35"/>
      <c r="I703" s="35"/>
      <c r="J703" s="35"/>
      <c r="K703" s="35"/>
      <c r="L703" s="36"/>
      <c r="M703" s="35"/>
      <c r="N703" s="35"/>
      <c r="O703" s="35"/>
      <c r="P703" s="35"/>
      <c r="Q703" s="35"/>
      <c r="R703" s="35"/>
      <c r="S703" s="35"/>
      <c r="T703" s="35"/>
      <c r="U703" s="35"/>
      <c r="V703" s="35"/>
      <c r="W703" s="35"/>
      <c r="X703" s="35"/>
      <c r="Y703" s="35"/>
      <c r="Z703" s="35"/>
      <c r="AA703" s="35"/>
      <c r="AB703" s="35"/>
      <c r="AC703" s="35"/>
      <c r="AD703" s="35"/>
    </row>
    <row r="704" spans="1:30" x14ac:dyDescent="0.25">
      <c r="A704" s="35"/>
      <c r="B704" s="35"/>
      <c r="C704" s="35"/>
      <c r="D704" s="35"/>
      <c r="E704" s="35"/>
      <c r="F704" s="35"/>
      <c r="G704" s="35"/>
      <c r="H704" s="35"/>
      <c r="I704" s="35"/>
      <c r="J704" s="35"/>
      <c r="K704" s="35"/>
      <c r="L704" s="36"/>
      <c r="M704" s="35"/>
      <c r="N704" s="35"/>
      <c r="O704" s="35"/>
      <c r="P704" s="35"/>
      <c r="Q704" s="35"/>
      <c r="R704" s="35"/>
      <c r="S704" s="35"/>
      <c r="T704" s="35"/>
      <c r="U704" s="35"/>
      <c r="V704" s="35"/>
      <c r="W704" s="35"/>
      <c r="X704" s="35"/>
      <c r="Y704" s="35"/>
      <c r="Z704" s="35"/>
      <c r="AA704" s="35"/>
      <c r="AB704" s="35"/>
      <c r="AC704" s="35"/>
      <c r="AD704" s="35"/>
    </row>
    <row r="705" spans="1:30" x14ac:dyDescent="0.25">
      <c r="A705" s="35"/>
      <c r="B705" s="35"/>
      <c r="C705" s="35"/>
      <c r="D705" s="35"/>
      <c r="E705" s="35"/>
      <c r="F705" s="35"/>
      <c r="G705" s="35"/>
      <c r="H705" s="35"/>
      <c r="I705" s="35"/>
      <c r="J705" s="35"/>
      <c r="K705" s="35"/>
      <c r="L705" s="36"/>
      <c r="M705" s="35"/>
      <c r="N705" s="35"/>
      <c r="O705" s="35"/>
      <c r="P705" s="35"/>
      <c r="Q705" s="35"/>
      <c r="R705" s="35"/>
      <c r="S705" s="35"/>
      <c r="T705" s="35"/>
      <c r="U705" s="35"/>
      <c r="V705" s="35"/>
      <c r="W705" s="35"/>
      <c r="X705" s="35"/>
      <c r="Y705" s="35"/>
      <c r="Z705" s="35"/>
      <c r="AA705" s="35"/>
      <c r="AB705" s="35"/>
      <c r="AC705" s="35"/>
      <c r="AD705" s="35"/>
    </row>
    <row r="706" spans="1:30" x14ac:dyDescent="0.25">
      <c r="A706" s="35"/>
      <c r="B706" s="35"/>
      <c r="C706" s="35"/>
      <c r="D706" s="35"/>
      <c r="E706" s="35"/>
      <c r="F706" s="35"/>
      <c r="G706" s="35"/>
      <c r="H706" s="35"/>
      <c r="I706" s="35"/>
      <c r="J706" s="35"/>
      <c r="K706" s="35"/>
      <c r="L706" s="36"/>
      <c r="M706" s="35"/>
      <c r="N706" s="35"/>
      <c r="O706" s="35"/>
      <c r="P706" s="35"/>
      <c r="Q706" s="35"/>
      <c r="R706" s="35"/>
      <c r="S706" s="35"/>
      <c r="T706" s="35"/>
      <c r="U706" s="35"/>
      <c r="V706" s="35"/>
      <c r="W706" s="35"/>
      <c r="X706" s="35"/>
      <c r="Y706" s="35"/>
      <c r="Z706" s="35"/>
      <c r="AA706" s="35"/>
      <c r="AB706" s="35"/>
      <c r="AC706" s="35"/>
      <c r="AD706" s="35"/>
    </row>
    <row r="707" spans="1:30" x14ac:dyDescent="0.25">
      <c r="A707" s="35"/>
      <c r="B707" s="35"/>
      <c r="C707" s="35"/>
      <c r="D707" s="35"/>
      <c r="E707" s="35"/>
      <c r="F707" s="35"/>
      <c r="G707" s="35"/>
      <c r="H707" s="35"/>
      <c r="I707" s="35"/>
      <c r="J707" s="35"/>
      <c r="K707" s="35"/>
      <c r="L707" s="36"/>
      <c r="M707" s="35"/>
      <c r="N707" s="35"/>
      <c r="O707" s="35"/>
      <c r="P707" s="35"/>
      <c r="Q707" s="35"/>
      <c r="R707" s="35"/>
      <c r="S707" s="35"/>
      <c r="T707" s="35"/>
      <c r="U707" s="35"/>
      <c r="V707" s="35"/>
      <c r="W707" s="35"/>
      <c r="X707" s="35"/>
      <c r="Y707" s="35"/>
      <c r="Z707" s="35"/>
      <c r="AA707" s="35"/>
      <c r="AB707" s="35"/>
      <c r="AC707" s="35"/>
      <c r="AD707" s="35"/>
    </row>
    <row r="708" spans="1:30" x14ac:dyDescent="0.25">
      <c r="A708" s="35"/>
      <c r="B708" s="35"/>
      <c r="C708" s="35"/>
      <c r="D708" s="35"/>
      <c r="E708" s="35"/>
      <c r="F708" s="35"/>
      <c r="G708" s="35"/>
      <c r="H708" s="35"/>
      <c r="I708" s="35"/>
      <c r="J708" s="35"/>
      <c r="K708" s="35"/>
      <c r="L708" s="36"/>
      <c r="M708" s="35"/>
      <c r="N708" s="35"/>
      <c r="O708" s="35"/>
      <c r="P708" s="35"/>
      <c r="Q708" s="35"/>
      <c r="R708" s="35"/>
      <c r="S708" s="35"/>
      <c r="T708" s="35"/>
      <c r="U708" s="35"/>
      <c r="V708" s="35"/>
      <c r="W708" s="35"/>
      <c r="X708" s="35"/>
      <c r="Y708" s="35"/>
      <c r="Z708" s="35"/>
      <c r="AA708" s="35"/>
      <c r="AB708" s="35"/>
      <c r="AC708" s="35"/>
      <c r="AD708" s="35"/>
    </row>
    <row r="709" spans="1:30" x14ac:dyDescent="0.25">
      <c r="A709" s="35"/>
      <c r="B709" s="35"/>
      <c r="C709" s="35"/>
      <c r="D709" s="35"/>
      <c r="E709" s="35"/>
      <c r="F709" s="35"/>
      <c r="G709" s="35"/>
      <c r="H709" s="35"/>
      <c r="I709" s="35"/>
      <c r="J709" s="35"/>
      <c r="K709" s="35"/>
      <c r="L709" s="36"/>
      <c r="M709" s="35"/>
      <c r="N709" s="35"/>
      <c r="O709" s="35"/>
      <c r="P709" s="35"/>
      <c r="Q709" s="35"/>
      <c r="R709" s="35"/>
      <c r="S709" s="35"/>
      <c r="T709" s="35"/>
      <c r="U709" s="35"/>
      <c r="V709" s="35"/>
      <c r="W709" s="35"/>
      <c r="X709" s="35"/>
      <c r="Y709" s="35"/>
      <c r="Z709" s="35"/>
      <c r="AA709" s="35"/>
      <c r="AB709" s="35"/>
      <c r="AC709" s="35"/>
      <c r="AD709" s="35"/>
    </row>
    <row r="710" spans="1:30" x14ac:dyDescent="0.25">
      <c r="A710" s="35"/>
      <c r="B710" s="35"/>
      <c r="C710" s="35"/>
      <c r="D710" s="35"/>
      <c r="E710" s="35"/>
      <c r="F710" s="35"/>
      <c r="G710" s="35"/>
      <c r="H710" s="35"/>
      <c r="I710" s="35"/>
      <c r="J710" s="35"/>
      <c r="K710" s="35"/>
      <c r="L710" s="36"/>
      <c r="M710" s="35"/>
      <c r="N710" s="35"/>
      <c r="O710" s="35"/>
      <c r="P710" s="35"/>
      <c r="Q710" s="35"/>
      <c r="R710" s="35"/>
      <c r="S710" s="35"/>
      <c r="T710" s="35"/>
      <c r="U710" s="35"/>
      <c r="V710" s="35"/>
      <c r="W710" s="35"/>
      <c r="X710" s="35"/>
      <c r="Y710" s="35"/>
      <c r="Z710" s="35"/>
      <c r="AA710" s="35"/>
      <c r="AB710" s="35"/>
      <c r="AC710" s="35"/>
      <c r="AD710" s="35"/>
    </row>
    <row r="711" spans="1:30" x14ac:dyDescent="0.25">
      <c r="A711" s="35"/>
      <c r="B711" s="35"/>
      <c r="C711" s="35"/>
      <c r="D711" s="35"/>
      <c r="E711" s="35"/>
      <c r="F711" s="35"/>
      <c r="G711" s="35"/>
      <c r="H711" s="35"/>
      <c r="I711" s="35"/>
      <c r="J711" s="35"/>
      <c r="K711" s="35"/>
      <c r="L711" s="36"/>
      <c r="M711" s="35"/>
      <c r="N711" s="35"/>
      <c r="O711" s="35"/>
      <c r="P711" s="35"/>
      <c r="Q711" s="35"/>
      <c r="R711" s="35"/>
      <c r="S711" s="35"/>
      <c r="T711" s="35"/>
      <c r="U711" s="35"/>
      <c r="V711" s="35"/>
      <c r="W711" s="35"/>
      <c r="X711" s="35"/>
      <c r="Y711" s="35"/>
      <c r="Z711" s="35"/>
      <c r="AA711" s="35"/>
      <c r="AB711" s="35"/>
      <c r="AC711" s="35"/>
      <c r="AD711" s="35"/>
    </row>
    <row r="712" spans="1:30" x14ac:dyDescent="0.25">
      <c r="A712" s="35"/>
      <c r="B712" s="35"/>
      <c r="C712" s="35"/>
      <c r="D712" s="35"/>
      <c r="E712" s="35"/>
      <c r="F712" s="35"/>
      <c r="G712" s="35"/>
      <c r="H712" s="35"/>
      <c r="I712" s="35"/>
      <c r="J712" s="35"/>
      <c r="K712" s="35"/>
      <c r="L712" s="36"/>
      <c r="M712" s="35"/>
      <c r="N712" s="35"/>
      <c r="O712" s="35"/>
      <c r="P712" s="35"/>
      <c r="Q712" s="35"/>
      <c r="R712" s="35"/>
      <c r="S712" s="35"/>
      <c r="T712" s="35"/>
      <c r="U712" s="35"/>
      <c r="V712" s="35"/>
      <c r="W712" s="35"/>
      <c r="X712" s="35"/>
      <c r="Y712" s="35"/>
      <c r="Z712" s="35"/>
      <c r="AA712" s="35"/>
      <c r="AB712" s="35"/>
      <c r="AC712" s="35"/>
      <c r="AD712" s="35"/>
    </row>
    <row r="713" spans="1:30" x14ac:dyDescent="0.25">
      <c r="A713" s="35"/>
      <c r="B713" s="35"/>
      <c r="C713" s="35"/>
      <c r="D713" s="35"/>
      <c r="E713" s="35"/>
      <c r="F713" s="35"/>
      <c r="G713" s="35"/>
      <c r="H713" s="35"/>
      <c r="I713" s="35"/>
      <c r="J713" s="35"/>
      <c r="K713" s="35"/>
      <c r="L713" s="36"/>
      <c r="M713" s="35"/>
      <c r="N713" s="35"/>
      <c r="O713" s="35"/>
      <c r="P713" s="35"/>
      <c r="Q713" s="35"/>
      <c r="R713" s="35"/>
      <c r="S713" s="35"/>
      <c r="T713" s="35"/>
      <c r="U713" s="35"/>
      <c r="V713" s="35"/>
      <c r="W713" s="35"/>
      <c r="X713" s="35"/>
      <c r="Y713" s="35"/>
      <c r="Z713" s="35"/>
      <c r="AA713" s="35"/>
      <c r="AB713" s="35"/>
      <c r="AC713" s="35"/>
      <c r="AD713" s="35"/>
    </row>
    <row r="714" spans="1:30" x14ac:dyDescent="0.25">
      <c r="A714" s="35"/>
      <c r="B714" s="35"/>
      <c r="C714" s="35"/>
      <c r="D714" s="35"/>
      <c r="E714" s="35"/>
      <c r="F714" s="35"/>
      <c r="G714" s="35"/>
      <c r="H714" s="35"/>
      <c r="I714" s="35"/>
      <c r="J714" s="35"/>
      <c r="K714" s="35"/>
      <c r="L714" s="36"/>
      <c r="M714" s="35"/>
      <c r="N714" s="35"/>
      <c r="O714" s="35"/>
      <c r="P714" s="35"/>
      <c r="Q714" s="35"/>
      <c r="R714" s="35"/>
      <c r="S714" s="35"/>
      <c r="T714" s="35"/>
      <c r="U714" s="35"/>
      <c r="V714" s="35"/>
      <c r="W714" s="35"/>
      <c r="X714" s="35"/>
      <c r="Y714" s="35"/>
      <c r="Z714" s="35"/>
      <c r="AA714" s="35"/>
      <c r="AB714" s="35"/>
      <c r="AC714" s="35"/>
      <c r="AD714" s="35"/>
    </row>
    <row r="715" spans="1:30" x14ac:dyDescent="0.25">
      <c r="A715" s="35"/>
      <c r="B715" s="35"/>
      <c r="C715" s="35"/>
      <c r="D715" s="35"/>
      <c r="E715" s="35"/>
      <c r="F715" s="35"/>
      <c r="G715" s="35"/>
      <c r="H715" s="35"/>
      <c r="I715" s="35"/>
      <c r="J715" s="35"/>
      <c r="K715" s="35"/>
      <c r="L715" s="36"/>
      <c r="M715" s="35"/>
      <c r="N715" s="35"/>
      <c r="O715" s="35"/>
      <c r="P715" s="35"/>
      <c r="Q715" s="35"/>
      <c r="R715" s="35"/>
      <c r="S715" s="35"/>
      <c r="T715" s="35"/>
      <c r="U715" s="35"/>
      <c r="V715" s="35"/>
      <c r="W715" s="35"/>
      <c r="X715" s="35"/>
      <c r="Y715" s="35"/>
      <c r="Z715" s="35"/>
      <c r="AA715" s="35"/>
      <c r="AB715" s="35"/>
      <c r="AC715" s="35"/>
      <c r="AD715" s="35"/>
    </row>
    <row r="716" spans="1:30" x14ac:dyDescent="0.25">
      <c r="A716" s="35"/>
      <c r="B716" s="35"/>
      <c r="C716" s="35"/>
      <c r="D716" s="35"/>
      <c r="E716" s="35"/>
      <c r="F716" s="35"/>
      <c r="G716" s="35"/>
      <c r="H716" s="35"/>
      <c r="I716" s="35"/>
      <c r="J716" s="35"/>
      <c r="K716" s="35"/>
      <c r="L716" s="36"/>
      <c r="M716" s="35"/>
      <c r="N716" s="35"/>
      <c r="O716" s="35"/>
      <c r="P716" s="35"/>
      <c r="Q716" s="35"/>
      <c r="R716" s="35"/>
      <c r="S716" s="35"/>
      <c r="T716" s="35"/>
      <c r="U716" s="35"/>
      <c r="V716" s="35"/>
      <c r="W716" s="35"/>
      <c r="X716" s="35"/>
      <c r="Y716" s="35"/>
      <c r="Z716" s="35"/>
      <c r="AA716" s="35"/>
      <c r="AB716" s="35"/>
      <c r="AC716" s="35"/>
      <c r="AD716" s="35"/>
    </row>
    <row r="717" spans="1:30" x14ac:dyDescent="0.25">
      <c r="A717" s="35"/>
      <c r="B717" s="35"/>
      <c r="C717" s="35"/>
      <c r="D717" s="35"/>
      <c r="E717" s="35"/>
      <c r="F717" s="35"/>
      <c r="G717" s="35"/>
      <c r="H717" s="35"/>
      <c r="I717" s="35"/>
      <c r="J717" s="35"/>
      <c r="K717" s="35"/>
      <c r="L717" s="36"/>
      <c r="M717" s="35"/>
      <c r="N717" s="35"/>
      <c r="O717" s="35"/>
      <c r="P717" s="35"/>
      <c r="Q717" s="35"/>
      <c r="R717" s="35"/>
      <c r="S717" s="35"/>
      <c r="T717" s="35"/>
      <c r="U717" s="35"/>
      <c r="V717" s="35"/>
      <c r="W717" s="35"/>
      <c r="X717" s="35"/>
      <c r="Y717" s="35"/>
      <c r="Z717" s="35"/>
      <c r="AA717" s="35"/>
      <c r="AB717" s="35"/>
      <c r="AC717" s="35"/>
      <c r="AD717" s="35"/>
    </row>
    <row r="718" spans="1:30" x14ac:dyDescent="0.25">
      <c r="A718" s="35"/>
      <c r="B718" s="35"/>
      <c r="C718" s="35"/>
      <c r="D718" s="35"/>
      <c r="E718" s="35"/>
      <c r="F718" s="35"/>
      <c r="G718" s="35"/>
      <c r="H718" s="35"/>
      <c r="I718" s="35"/>
      <c r="J718" s="35"/>
      <c r="K718" s="35"/>
      <c r="L718" s="36"/>
      <c r="M718" s="35"/>
      <c r="N718" s="35"/>
      <c r="O718" s="35"/>
      <c r="P718" s="35"/>
      <c r="Q718" s="35"/>
      <c r="R718" s="35"/>
      <c r="S718" s="35"/>
      <c r="T718" s="35"/>
      <c r="U718" s="35"/>
      <c r="V718" s="35"/>
      <c r="W718" s="35"/>
      <c r="X718" s="35"/>
      <c r="Y718" s="35"/>
      <c r="Z718" s="35"/>
      <c r="AA718" s="35"/>
      <c r="AB718" s="35"/>
      <c r="AC718" s="35"/>
      <c r="AD718" s="35"/>
    </row>
    <row r="719" spans="1:30" x14ac:dyDescent="0.25">
      <c r="A719" s="35"/>
      <c r="B719" s="35"/>
      <c r="C719" s="35"/>
      <c r="D719" s="35"/>
      <c r="E719" s="35"/>
      <c r="F719" s="35"/>
      <c r="G719" s="35"/>
      <c r="H719" s="35"/>
      <c r="I719" s="35"/>
      <c r="J719" s="35"/>
      <c r="K719" s="35"/>
      <c r="L719" s="36"/>
      <c r="M719" s="35"/>
      <c r="N719" s="35"/>
      <c r="O719" s="35"/>
      <c r="P719" s="35"/>
      <c r="Q719" s="35"/>
      <c r="R719" s="35"/>
      <c r="S719" s="35"/>
      <c r="T719" s="35"/>
      <c r="U719" s="35"/>
      <c r="V719" s="35"/>
      <c r="W719" s="35"/>
      <c r="X719" s="35"/>
      <c r="Y719" s="35"/>
      <c r="Z719" s="35"/>
      <c r="AA719" s="35"/>
      <c r="AB719" s="35"/>
      <c r="AC719" s="35"/>
      <c r="AD719" s="35"/>
    </row>
    <row r="720" spans="1:30" x14ac:dyDescent="0.25">
      <c r="A720" s="35"/>
      <c r="B720" s="35"/>
      <c r="C720" s="35"/>
      <c r="D720" s="35"/>
      <c r="E720" s="35"/>
      <c r="F720" s="35"/>
      <c r="G720" s="35"/>
      <c r="H720" s="35"/>
      <c r="I720" s="35"/>
      <c r="J720" s="35"/>
      <c r="K720" s="35"/>
      <c r="L720" s="36"/>
      <c r="M720" s="35"/>
      <c r="N720" s="35"/>
      <c r="O720" s="35"/>
      <c r="P720" s="35"/>
      <c r="Q720" s="35"/>
      <c r="R720" s="35"/>
      <c r="S720" s="35"/>
      <c r="T720" s="35"/>
      <c r="U720" s="35"/>
      <c r="V720" s="35"/>
      <c r="W720" s="35"/>
      <c r="X720" s="35"/>
      <c r="Y720" s="35"/>
      <c r="Z720" s="35"/>
      <c r="AA720" s="35"/>
      <c r="AB720" s="35"/>
      <c r="AC720" s="35"/>
      <c r="AD720" s="35"/>
    </row>
    <row r="721" spans="1:30" x14ac:dyDescent="0.25">
      <c r="A721" s="35"/>
      <c r="B721" s="35"/>
      <c r="C721" s="35"/>
      <c r="D721" s="35"/>
      <c r="E721" s="35"/>
      <c r="F721" s="35"/>
      <c r="G721" s="35"/>
      <c r="H721" s="35"/>
      <c r="I721" s="35"/>
      <c r="J721" s="35"/>
      <c r="K721" s="35"/>
      <c r="L721" s="36"/>
      <c r="M721" s="35"/>
      <c r="N721" s="35"/>
      <c r="O721" s="35"/>
      <c r="P721" s="35"/>
      <c r="Q721" s="35"/>
      <c r="R721" s="35"/>
      <c r="S721" s="35"/>
      <c r="T721" s="35"/>
      <c r="U721" s="35"/>
      <c r="V721" s="35"/>
      <c r="W721" s="35"/>
      <c r="X721" s="35"/>
      <c r="Y721" s="35"/>
      <c r="Z721" s="35"/>
      <c r="AA721" s="35"/>
      <c r="AB721" s="35"/>
      <c r="AC721" s="35"/>
      <c r="AD721" s="35"/>
    </row>
    <row r="722" spans="1:30" x14ac:dyDescent="0.25">
      <c r="A722" s="35"/>
      <c r="B722" s="35"/>
      <c r="C722" s="35"/>
      <c r="D722" s="35"/>
      <c r="E722" s="35"/>
      <c r="F722" s="35"/>
      <c r="G722" s="35"/>
      <c r="H722" s="35"/>
      <c r="I722" s="35"/>
      <c r="J722" s="35"/>
      <c r="K722" s="35"/>
      <c r="L722" s="36"/>
      <c r="M722" s="35"/>
      <c r="N722" s="35"/>
      <c r="O722" s="35"/>
      <c r="P722" s="35"/>
      <c r="Q722" s="35"/>
      <c r="R722" s="35"/>
      <c r="S722" s="35"/>
      <c r="T722" s="35"/>
      <c r="U722" s="35"/>
      <c r="V722" s="35"/>
      <c r="W722" s="35"/>
      <c r="X722" s="35"/>
      <c r="Y722" s="35"/>
      <c r="Z722" s="35"/>
      <c r="AA722" s="35"/>
      <c r="AB722" s="35"/>
      <c r="AC722" s="35"/>
      <c r="AD722" s="35"/>
    </row>
    <row r="723" spans="1:30" x14ac:dyDescent="0.25">
      <c r="A723" s="35"/>
      <c r="B723" s="35"/>
      <c r="C723" s="35"/>
      <c r="D723" s="35"/>
      <c r="E723" s="35"/>
      <c r="F723" s="35"/>
      <c r="G723" s="35"/>
      <c r="H723" s="35"/>
      <c r="I723" s="35"/>
      <c r="J723" s="35"/>
      <c r="K723" s="35"/>
      <c r="L723" s="36"/>
      <c r="M723" s="35"/>
      <c r="N723" s="35"/>
      <c r="O723" s="35"/>
      <c r="P723" s="35"/>
      <c r="Q723" s="35"/>
      <c r="R723" s="35"/>
      <c r="S723" s="35"/>
      <c r="T723" s="35"/>
      <c r="U723" s="35"/>
      <c r="V723" s="35"/>
      <c r="W723" s="35"/>
      <c r="X723" s="35"/>
      <c r="Y723" s="35"/>
      <c r="Z723" s="35"/>
      <c r="AA723" s="35"/>
      <c r="AB723" s="35"/>
      <c r="AC723" s="35"/>
      <c r="AD723" s="35"/>
    </row>
    <row r="724" spans="1:30" x14ac:dyDescent="0.25">
      <c r="A724" s="35"/>
      <c r="B724" s="35"/>
      <c r="C724" s="35"/>
      <c r="D724" s="35"/>
      <c r="E724" s="35"/>
      <c r="F724" s="35"/>
      <c r="G724" s="35"/>
      <c r="H724" s="35"/>
      <c r="I724" s="35"/>
      <c r="J724" s="35"/>
      <c r="K724" s="35"/>
      <c r="L724" s="36"/>
      <c r="M724" s="35"/>
      <c r="N724" s="35"/>
      <c r="O724" s="35"/>
      <c r="P724" s="35"/>
      <c r="Q724" s="35"/>
      <c r="R724" s="35"/>
      <c r="S724" s="35"/>
      <c r="T724" s="35"/>
      <c r="U724" s="35"/>
      <c r="V724" s="35"/>
      <c r="W724" s="35"/>
      <c r="X724" s="35"/>
      <c r="Y724" s="35"/>
      <c r="Z724" s="35"/>
      <c r="AA724" s="35"/>
      <c r="AB724" s="35"/>
      <c r="AC724" s="35"/>
      <c r="AD724" s="35"/>
    </row>
    <row r="725" spans="1:30" x14ac:dyDescent="0.25">
      <c r="A725" s="35"/>
      <c r="B725" s="35"/>
      <c r="C725" s="35"/>
      <c r="D725" s="35"/>
      <c r="E725" s="35"/>
      <c r="F725" s="35"/>
      <c r="G725" s="35"/>
      <c r="H725" s="35"/>
      <c r="I725" s="35"/>
      <c r="J725" s="35"/>
      <c r="K725" s="35"/>
      <c r="L725" s="36"/>
      <c r="M725" s="35"/>
      <c r="N725" s="35"/>
      <c r="O725" s="35"/>
      <c r="P725" s="35"/>
      <c r="Q725" s="35"/>
      <c r="R725" s="35"/>
      <c r="S725" s="35"/>
      <c r="T725" s="35"/>
      <c r="U725" s="35"/>
      <c r="V725" s="35"/>
      <c r="W725" s="35"/>
      <c r="X725" s="35"/>
      <c r="Y725" s="35"/>
      <c r="Z725" s="35"/>
      <c r="AA725" s="35"/>
      <c r="AB725" s="35"/>
      <c r="AC725" s="35"/>
      <c r="AD725" s="35"/>
    </row>
    <row r="726" spans="1:30" x14ac:dyDescent="0.25">
      <c r="A726" s="35"/>
      <c r="B726" s="35"/>
      <c r="C726" s="35"/>
      <c r="D726" s="35"/>
      <c r="E726" s="35"/>
      <c r="F726" s="35"/>
      <c r="G726" s="35"/>
      <c r="H726" s="35"/>
      <c r="I726" s="35"/>
      <c r="J726" s="35"/>
      <c r="K726" s="35"/>
      <c r="L726" s="36"/>
      <c r="M726" s="35"/>
      <c r="N726" s="35"/>
      <c r="O726" s="35"/>
      <c r="P726" s="35"/>
      <c r="Q726" s="35"/>
      <c r="R726" s="35"/>
      <c r="S726" s="35"/>
      <c r="T726" s="35"/>
      <c r="U726" s="35"/>
      <c r="V726" s="35"/>
      <c r="W726" s="35"/>
      <c r="X726" s="35"/>
      <c r="Y726" s="35"/>
      <c r="Z726" s="35"/>
      <c r="AA726" s="35"/>
      <c r="AB726" s="35"/>
      <c r="AC726" s="35"/>
      <c r="AD726" s="35"/>
    </row>
    <row r="727" spans="1:30" x14ac:dyDescent="0.25">
      <c r="A727" s="35"/>
      <c r="B727" s="35"/>
      <c r="C727" s="35"/>
      <c r="D727" s="35"/>
      <c r="E727" s="35"/>
      <c r="F727" s="35"/>
      <c r="G727" s="35"/>
      <c r="H727" s="35"/>
      <c r="I727" s="35"/>
      <c r="J727" s="35"/>
      <c r="K727" s="35"/>
      <c r="L727" s="36"/>
      <c r="M727" s="35"/>
      <c r="N727" s="35"/>
      <c r="O727" s="35"/>
      <c r="P727" s="35"/>
      <c r="Q727" s="35"/>
      <c r="R727" s="35"/>
      <c r="S727" s="35"/>
      <c r="T727" s="35"/>
      <c r="U727" s="35"/>
      <c r="V727" s="35"/>
      <c r="W727" s="35"/>
      <c r="X727" s="35"/>
      <c r="Y727" s="35"/>
      <c r="Z727" s="35"/>
      <c r="AA727" s="35"/>
      <c r="AB727" s="35"/>
      <c r="AC727" s="35"/>
      <c r="AD727" s="35"/>
    </row>
    <row r="728" spans="1:30" x14ac:dyDescent="0.25">
      <c r="A728" s="35"/>
      <c r="B728" s="35"/>
      <c r="C728" s="35"/>
      <c r="D728" s="35"/>
      <c r="E728" s="35"/>
      <c r="F728" s="35"/>
      <c r="G728" s="35"/>
      <c r="H728" s="35"/>
      <c r="I728" s="35"/>
      <c r="J728" s="35"/>
      <c r="K728" s="35"/>
      <c r="L728" s="36"/>
      <c r="M728" s="35"/>
      <c r="N728" s="35"/>
      <c r="O728" s="35"/>
      <c r="P728" s="35"/>
      <c r="Q728" s="35"/>
      <c r="R728" s="35"/>
      <c r="S728" s="35"/>
      <c r="T728" s="35"/>
      <c r="U728" s="35"/>
      <c r="V728" s="35"/>
      <c r="W728" s="35"/>
      <c r="X728" s="35"/>
      <c r="Y728" s="35"/>
      <c r="Z728" s="35"/>
      <c r="AA728" s="35"/>
      <c r="AB728" s="35"/>
      <c r="AC728" s="35"/>
      <c r="AD728" s="35"/>
    </row>
    <row r="729" spans="1:30" x14ac:dyDescent="0.25">
      <c r="A729" s="35"/>
      <c r="B729" s="35"/>
      <c r="C729" s="35"/>
      <c r="D729" s="35"/>
      <c r="E729" s="35"/>
      <c r="F729" s="35"/>
      <c r="G729" s="35"/>
      <c r="H729" s="35"/>
      <c r="I729" s="35"/>
      <c r="J729" s="35"/>
      <c r="K729" s="35"/>
      <c r="L729" s="36"/>
      <c r="M729" s="35"/>
      <c r="N729" s="35"/>
      <c r="O729" s="35"/>
      <c r="P729" s="35"/>
      <c r="Q729" s="35"/>
      <c r="R729" s="35"/>
      <c r="S729" s="35"/>
      <c r="T729" s="35"/>
      <c r="U729" s="35"/>
      <c r="V729" s="35"/>
      <c r="W729" s="35"/>
      <c r="X729" s="35"/>
      <c r="Y729" s="35"/>
      <c r="Z729" s="35"/>
      <c r="AA729" s="35"/>
      <c r="AB729" s="35"/>
      <c r="AC729" s="35"/>
      <c r="AD729" s="35"/>
    </row>
    <row r="730" spans="1:30" x14ac:dyDescent="0.25">
      <c r="A730" s="35"/>
      <c r="B730" s="35"/>
      <c r="C730" s="35"/>
      <c r="D730" s="35"/>
      <c r="E730" s="35"/>
      <c r="F730" s="35"/>
      <c r="G730" s="35"/>
      <c r="H730" s="35"/>
      <c r="I730" s="35"/>
      <c r="J730" s="35"/>
      <c r="K730" s="35"/>
      <c r="L730" s="36"/>
      <c r="M730" s="35"/>
      <c r="N730" s="35"/>
      <c r="O730" s="35"/>
      <c r="P730" s="35"/>
      <c r="Q730" s="35"/>
      <c r="R730" s="35"/>
      <c r="S730" s="35"/>
      <c r="T730" s="35"/>
      <c r="U730" s="35"/>
      <c r="V730" s="35"/>
      <c r="W730" s="35"/>
      <c r="X730" s="35"/>
      <c r="Y730" s="35"/>
      <c r="Z730" s="35"/>
      <c r="AA730" s="35"/>
      <c r="AB730" s="35"/>
      <c r="AC730" s="35"/>
      <c r="AD730" s="35"/>
    </row>
    <row r="731" spans="1:30" x14ac:dyDescent="0.25">
      <c r="A731" s="35"/>
      <c r="B731" s="35"/>
      <c r="C731" s="35"/>
      <c r="D731" s="35"/>
      <c r="E731" s="35"/>
      <c r="F731" s="35"/>
      <c r="G731" s="35"/>
      <c r="H731" s="35"/>
      <c r="I731" s="35"/>
      <c r="J731" s="35"/>
      <c r="K731" s="35"/>
      <c r="L731" s="36"/>
      <c r="M731" s="35"/>
      <c r="N731" s="35"/>
      <c r="O731" s="35"/>
      <c r="P731" s="35"/>
      <c r="Q731" s="35"/>
      <c r="R731" s="35"/>
      <c r="S731" s="35"/>
      <c r="T731" s="35"/>
      <c r="U731" s="35"/>
      <c r="V731" s="35"/>
      <c r="W731" s="35"/>
      <c r="X731" s="35"/>
      <c r="Y731" s="35"/>
      <c r="Z731" s="35"/>
      <c r="AA731" s="35"/>
      <c r="AB731" s="35"/>
      <c r="AC731" s="35"/>
      <c r="AD731" s="35"/>
    </row>
    <row r="732" spans="1:30" x14ac:dyDescent="0.25">
      <c r="A732" s="35"/>
      <c r="B732" s="35"/>
      <c r="C732" s="35"/>
      <c r="D732" s="35"/>
      <c r="E732" s="35"/>
      <c r="F732" s="35"/>
      <c r="G732" s="35"/>
      <c r="H732" s="35"/>
      <c r="I732" s="35"/>
      <c r="J732" s="35"/>
      <c r="K732" s="35"/>
      <c r="L732" s="36"/>
      <c r="M732" s="35"/>
      <c r="N732" s="35"/>
      <c r="O732" s="35"/>
      <c r="P732" s="35"/>
      <c r="Q732" s="35"/>
      <c r="R732" s="35"/>
      <c r="S732" s="35"/>
      <c r="T732" s="35"/>
      <c r="U732" s="35"/>
      <c r="V732" s="35"/>
      <c r="W732" s="35"/>
      <c r="X732" s="35"/>
      <c r="Y732" s="35"/>
      <c r="Z732" s="35"/>
      <c r="AA732" s="35"/>
      <c r="AB732" s="35"/>
      <c r="AC732" s="35"/>
      <c r="AD732" s="35"/>
    </row>
    <row r="733" spans="1:30" x14ac:dyDescent="0.25">
      <c r="A733" s="35"/>
      <c r="B733" s="35"/>
      <c r="C733" s="35"/>
      <c r="D733" s="35"/>
      <c r="E733" s="35"/>
      <c r="F733" s="35"/>
      <c r="G733" s="35"/>
      <c r="H733" s="35"/>
      <c r="I733" s="35"/>
      <c r="J733" s="35"/>
      <c r="K733" s="35"/>
      <c r="L733" s="36"/>
      <c r="M733" s="35"/>
      <c r="N733" s="35"/>
      <c r="O733" s="35"/>
      <c r="P733" s="35"/>
      <c r="Q733" s="35"/>
      <c r="R733" s="35"/>
      <c r="S733" s="35"/>
      <c r="T733" s="35"/>
      <c r="U733" s="35"/>
      <c r="V733" s="35"/>
      <c r="W733" s="35"/>
      <c r="X733" s="35"/>
      <c r="Y733" s="35"/>
      <c r="Z733" s="35"/>
      <c r="AA733" s="35"/>
      <c r="AB733" s="35"/>
      <c r="AC733" s="35"/>
      <c r="AD733" s="35"/>
    </row>
    <row r="734" spans="1:30" x14ac:dyDescent="0.25">
      <c r="A734" s="35"/>
      <c r="B734" s="35"/>
      <c r="C734" s="35"/>
      <c r="D734" s="35"/>
      <c r="E734" s="35"/>
      <c r="F734" s="35"/>
      <c r="G734" s="35"/>
      <c r="H734" s="35"/>
      <c r="I734" s="35"/>
      <c r="J734" s="35"/>
      <c r="K734" s="35"/>
      <c r="L734" s="36"/>
      <c r="M734" s="35"/>
      <c r="N734" s="35"/>
      <c r="O734" s="35"/>
      <c r="P734" s="35"/>
      <c r="Q734" s="35"/>
      <c r="R734" s="35"/>
      <c r="S734" s="35"/>
      <c r="T734" s="35"/>
      <c r="U734" s="35"/>
      <c r="V734" s="35"/>
      <c r="W734" s="35"/>
      <c r="X734" s="35"/>
      <c r="Y734" s="35"/>
      <c r="Z734" s="35"/>
      <c r="AA734" s="35"/>
      <c r="AB734" s="35"/>
      <c r="AC734" s="35"/>
      <c r="AD734" s="35"/>
    </row>
    <row r="735" spans="1:30" x14ac:dyDescent="0.25">
      <c r="A735" s="35"/>
      <c r="B735" s="35"/>
      <c r="C735" s="35"/>
      <c r="D735" s="35"/>
      <c r="E735" s="35"/>
      <c r="F735" s="35"/>
      <c r="G735" s="35"/>
      <c r="H735" s="35"/>
      <c r="I735" s="35"/>
      <c r="J735" s="35"/>
      <c r="K735" s="35"/>
      <c r="L735" s="36"/>
      <c r="M735" s="35"/>
      <c r="N735" s="35"/>
      <c r="O735" s="35"/>
      <c r="P735" s="35"/>
      <c r="Q735" s="35"/>
      <c r="R735" s="35"/>
      <c r="S735" s="35"/>
      <c r="T735" s="35"/>
      <c r="U735" s="35"/>
      <c r="V735" s="35"/>
      <c r="W735" s="35"/>
      <c r="X735" s="35"/>
      <c r="Y735" s="35"/>
      <c r="Z735" s="35"/>
      <c r="AA735" s="35"/>
      <c r="AB735" s="35"/>
      <c r="AC735" s="35"/>
      <c r="AD735" s="35"/>
    </row>
    <row r="736" spans="1:30" x14ac:dyDescent="0.25">
      <c r="A736" s="35"/>
      <c r="B736" s="35"/>
      <c r="C736" s="35"/>
      <c r="D736" s="35"/>
      <c r="E736" s="35"/>
      <c r="F736" s="35"/>
      <c r="G736" s="35"/>
      <c r="H736" s="35"/>
      <c r="I736" s="35"/>
      <c r="J736" s="35"/>
      <c r="K736" s="35"/>
      <c r="L736" s="36"/>
      <c r="M736" s="35"/>
      <c r="N736" s="35"/>
      <c r="O736" s="35"/>
      <c r="P736" s="35"/>
      <c r="Q736" s="35"/>
      <c r="R736" s="35"/>
      <c r="S736" s="35"/>
      <c r="T736" s="35"/>
      <c r="U736" s="35"/>
      <c r="V736" s="35"/>
      <c r="W736" s="35"/>
      <c r="X736" s="35"/>
      <c r="Y736" s="35"/>
      <c r="Z736" s="35"/>
      <c r="AA736" s="35"/>
      <c r="AB736" s="35"/>
      <c r="AC736" s="35"/>
      <c r="AD736" s="35"/>
    </row>
    <row r="737" spans="1:30" x14ac:dyDescent="0.25">
      <c r="A737" s="35"/>
      <c r="B737" s="35"/>
      <c r="C737" s="35"/>
      <c r="D737" s="35"/>
      <c r="E737" s="35"/>
      <c r="F737" s="35"/>
      <c r="G737" s="35"/>
      <c r="H737" s="35"/>
      <c r="I737" s="35"/>
      <c r="J737" s="35"/>
      <c r="K737" s="35"/>
      <c r="L737" s="36"/>
      <c r="M737" s="35"/>
      <c r="N737" s="35"/>
      <c r="O737" s="35"/>
      <c r="P737" s="35"/>
      <c r="Q737" s="35"/>
      <c r="R737" s="35"/>
      <c r="S737" s="35"/>
      <c r="T737" s="35"/>
      <c r="U737" s="35"/>
      <c r="V737" s="35"/>
      <c r="W737" s="35"/>
      <c r="X737" s="35"/>
      <c r="Y737" s="35"/>
      <c r="Z737" s="35"/>
      <c r="AA737" s="35"/>
      <c r="AB737" s="35"/>
      <c r="AC737" s="35"/>
      <c r="AD737" s="35"/>
    </row>
    <row r="738" spans="1:30" x14ac:dyDescent="0.25">
      <c r="A738" s="35"/>
      <c r="B738" s="35"/>
      <c r="C738" s="35"/>
      <c r="D738" s="35"/>
      <c r="E738" s="35"/>
      <c r="F738" s="35"/>
      <c r="G738" s="35"/>
      <c r="H738" s="35"/>
      <c r="I738" s="35"/>
      <c r="J738" s="35"/>
      <c r="K738" s="35"/>
      <c r="L738" s="36"/>
      <c r="M738" s="35"/>
      <c r="N738" s="35"/>
      <c r="O738" s="35"/>
      <c r="P738" s="35"/>
      <c r="Q738" s="35"/>
      <c r="R738" s="35"/>
      <c r="S738" s="35"/>
      <c r="T738" s="35"/>
      <c r="U738" s="35"/>
      <c r="V738" s="35"/>
      <c r="W738" s="35"/>
      <c r="X738" s="35"/>
      <c r="Y738" s="35"/>
      <c r="Z738" s="35"/>
      <c r="AA738" s="35"/>
      <c r="AB738" s="35"/>
      <c r="AC738" s="35"/>
      <c r="AD738" s="35"/>
    </row>
    <row r="739" spans="1:30" x14ac:dyDescent="0.25">
      <c r="A739" s="35"/>
      <c r="B739" s="35"/>
      <c r="C739" s="35"/>
      <c r="D739" s="35"/>
      <c r="E739" s="35"/>
      <c r="F739" s="35"/>
      <c r="G739" s="35"/>
      <c r="H739" s="35"/>
      <c r="I739" s="35"/>
      <c r="J739" s="35"/>
      <c r="K739" s="35"/>
      <c r="L739" s="36"/>
      <c r="M739" s="35"/>
      <c r="N739" s="35"/>
      <c r="O739" s="35"/>
      <c r="P739" s="35"/>
      <c r="Q739" s="35"/>
      <c r="R739" s="35"/>
      <c r="S739" s="35"/>
      <c r="T739" s="35"/>
      <c r="U739" s="35"/>
      <c r="V739" s="35"/>
      <c r="W739" s="35"/>
      <c r="X739" s="35"/>
      <c r="Y739" s="35"/>
      <c r="Z739" s="35"/>
      <c r="AA739" s="35"/>
      <c r="AB739" s="35"/>
      <c r="AC739" s="35"/>
      <c r="AD739" s="35"/>
    </row>
    <row r="740" spans="1:30" x14ac:dyDescent="0.25">
      <c r="A740" s="35"/>
      <c r="B740" s="35"/>
      <c r="C740" s="35"/>
      <c r="D740" s="35"/>
      <c r="E740" s="35"/>
      <c r="F740" s="35"/>
      <c r="G740" s="35"/>
      <c r="H740" s="35"/>
      <c r="I740" s="35"/>
      <c r="J740" s="35"/>
      <c r="K740" s="35"/>
      <c r="L740" s="36"/>
      <c r="M740" s="35"/>
      <c r="N740" s="35"/>
      <c r="O740" s="35"/>
      <c r="P740" s="35"/>
      <c r="Q740" s="35"/>
      <c r="R740" s="35"/>
      <c r="S740" s="35"/>
      <c r="T740" s="35"/>
      <c r="U740" s="35"/>
      <c r="V740" s="35"/>
      <c r="W740" s="35"/>
      <c r="X740" s="35"/>
      <c r="Y740" s="35"/>
      <c r="Z740" s="35"/>
      <c r="AA740" s="35"/>
      <c r="AB740" s="35"/>
      <c r="AC740" s="35"/>
      <c r="AD740" s="35"/>
    </row>
    <row r="741" spans="1:30" x14ac:dyDescent="0.25">
      <c r="A741" s="35"/>
      <c r="B741" s="35"/>
      <c r="C741" s="35"/>
      <c r="D741" s="35"/>
      <c r="E741" s="35"/>
      <c r="F741" s="35"/>
      <c r="G741" s="35"/>
      <c r="H741" s="35"/>
      <c r="I741" s="35"/>
      <c r="J741" s="35"/>
      <c r="K741" s="35"/>
      <c r="L741" s="36"/>
      <c r="M741" s="35"/>
      <c r="N741" s="35"/>
      <c r="O741" s="35"/>
      <c r="P741" s="35"/>
      <c r="Q741" s="35"/>
      <c r="R741" s="35"/>
      <c r="S741" s="35"/>
      <c r="T741" s="35"/>
      <c r="U741" s="35"/>
      <c r="V741" s="35"/>
      <c r="W741" s="35"/>
      <c r="X741" s="35"/>
      <c r="Y741" s="35"/>
      <c r="Z741" s="35"/>
      <c r="AA741" s="35"/>
      <c r="AB741" s="35"/>
      <c r="AC741" s="35"/>
      <c r="AD741" s="35"/>
    </row>
    <row r="742" spans="1:30" x14ac:dyDescent="0.25">
      <c r="A742" s="35"/>
      <c r="B742" s="35"/>
      <c r="C742" s="35"/>
      <c r="D742" s="35"/>
      <c r="E742" s="35"/>
      <c r="F742" s="35"/>
      <c r="G742" s="35"/>
      <c r="H742" s="35"/>
      <c r="I742" s="35"/>
      <c r="J742" s="35"/>
      <c r="K742" s="35"/>
      <c r="L742" s="36"/>
      <c r="M742" s="35"/>
      <c r="N742" s="35"/>
      <c r="O742" s="35"/>
      <c r="P742" s="35"/>
      <c r="Q742" s="35"/>
      <c r="R742" s="35"/>
      <c r="S742" s="35"/>
      <c r="T742" s="35"/>
      <c r="U742" s="35"/>
      <c r="V742" s="35"/>
      <c r="W742" s="35"/>
      <c r="X742" s="35"/>
      <c r="Y742" s="35"/>
      <c r="Z742" s="35"/>
      <c r="AA742" s="35"/>
      <c r="AB742" s="35"/>
      <c r="AC742" s="35"/>
      <c r="AD742" s="35"/>
    </row>
    <row r="743" spans="1:30" x14ac:dyDescent="0.25">
      <c r="A743" s="35"/>
      <c r="B743" s="35"/>
      <c r="C743" s="35"/>
      <c r="D743" s="35"/>
      <c r="E743" s="35"/>
      <c r="F743" s="35"/>
      <c r="G743" s="35"/>
      <c r="H743" s="35"/>
      <c r="I743" s="35"/>
      <c r="J743" s="35"/>
      <c r="K743" s="35"/>
      <c r="L743" s="36"/>
      <c r="M743" s="35"/>
      <c r="N743" s="35"/>
      <c r="O743" s="35"/>
      <c r="P743" s="35"/>
      <c r="Q743" s="35"/>
      <c r="R743" s="35"/>
      <c r="S743" s="35"/>
      <c r="T743" s="35"/>
      <c r="U743" s="35"/>
      <c r="V743" s="35"/>
      <c r="W743" s="35"/>
      <c r="X743" s="35"/>
      <c r="Y743" s="35"/>
      <c r="Z743" s="35"/>
      <c r="AA743" s="35"/>
      <c r="AB743" s="35"/>
      <c r="AC743" s="35"/>
      <c r="AD743" s="35"/>
    </row>
    <row r="744" spans="1:30" x14ac:dyDescent="0.25">
      <c r="A744" s="35"/>
      <c r="B744" s="35"/>
      <c r="C744" s="35"/>
      <c r="D744" s="35"/>
      <c r="E744" s="35"/>
      <c r="F744" s="35"/>
      <c r="G744" s="35"/>
      <c r="H744" s="35"/>
      <c r="I744" s="35"/>
      <c r="J744" s="35"/>
      <c r="K744" s="35"/>
      <c r="L744" s="36"/>
      <c r="M744" s="35"/>
      <c r="N744" s="35"/>
      <c r="O744" s="35"/>
      <c r="P744" s="35"/>
      <c r="Q744" s="35"/>
      <c r="R744" s="35"/>
      <c r="S744" s="35"/>
      <c r="T744" s="35"/>
      <c r="U744" s="35"/>
      <c r="V744" s="35"/>
      <c r="W744" s="35"/>
      <c r="X744" s="35"/>
      <c r="Y744" s="35"/>
      <c r="Z744" s="35"/>
      <c r="AA744" s="35"/>
      <c r="AB744" s="35"/>
      <c r="AC744" s="35"/>
      <c r="AD744" s="35"/>
    </row>
    <row r="745" spans="1:30" x14ac:dyDescent="0.25">
      <c r="A745" s="35"/>
      <c r="B745" s="35"/>
      <c r="C745" s="35"/>
      <c r="D745" s="35"/>
      <c r="E745" s="35"/>
      <c r="F745" s="35"/>
      <c r="G745" s="35"/>
      <c r="H745" s="35"/>
      <c r="I745" s="35"/>
      <c r="J745" s="35"/>
      <c r="K745" s="35"/>
      <c r="L745" s="36"/>
      <c r="M745" s="35"/>
      <c r="N745" s="35"/>
      <c r="O745" s="35"/>
      <c r="P745" s="35"/>
      <c r="Q745" s="35"/>
      <c r="R745" s="35"/>
      <c r="S745" s="35"/>
      <c r="T745" s="35"/>
      <c r="U745" s="35"/>
      <c r="V745" s="35"/>
      <c r="W745" s="35"/>
      <c r="X745" s="35"/>
      <c r="Y745" s="35"/>
      <c r="Z745" s="35"/>
      <c r="AA745" s="35"/>
      <c r="AB745" s="35"/>
      <c r="AC745" s="35"/>
      <c r="AD745" s="35"/>
    </row>
    <row r="746" spans="1:30" x14ac:dyDescent="0.25">
      <c r="A746" s="35"/>
      <c r="B746" s="35"/>
      <c r="C746" s="35"/>
      <c r="D746" s="35"/>
      <c r="E746" s="35"/>
      <c r="F746" s="35"/>
      <c r="G746" s="35"/>
      <c r="H746" s="35"/>
      <c r="I746" s="35"/>
      <c r="J746" s="35"/>
      <c r="K746" s="35"/>
      <c r="L746" s="36"/>
      <c r="M746" s="35"/>
      <c r="N746" s="35"/>
      <c r="O746" s="35"/>
      <c r="P746" s="35"/>
      <c r="Q746" s="35"/>
      <c r="R746" s="35"/>
      <c r="S746" s="35"/>
      <c r="T746" s="35"/>
      <c r="U746" s="35"/>
      <c r="V746" s="35"/>
      <c r="W746" s="35"/>
      <c r="X746" s="35"/>
      <c r="Y746" s="35"/>
      <c r="Z746" s="35"/>
      <c r="AA746" s="35"/>
      <c r="AB746" s="35"/>
      <c r="AC746" s="35"/>
      <c r="AD746" s="35"/>
    </row>
    <row r="747" spans="1:30" x14ac:dyDescent="0.25">
      <c r="A747" s="35"/>
      <c r="B747" s="35"/>
      <c r="C747" s="35"/>
      <c r="D747" s="35"/>
      <c r="E747" s="35"/>
      <c r="F747" s="35"/>
      <c r="G747" s="35"/>
      <c r="H747" s="35"/>
      <c r="I747" s="35"/>
      <c r="J747" s="35"/>
      <c r="K747" s="35"/>
      <c r="L747" s="36"/>
      <c r="M747" s="35"/>
      <c r="N747" s="35"/>
      <c r="O747" s="35"/>
      <c r="P747" s="35"/>
      <c r="Q747" s="35"/>
      <c r="R747" s="35"/>
      <c r="S747" s="35"/>
      <c r="T747" s="35"/>
      <c r="U747" s="35"/>
      <c r="V747" s="35"/>
      <c r="W747" s="35"/>
      <c r="X747" s="35"/>
      <c r="Y747" s="35"/>
      <c r="Z747" s="35"/>
      <c r="AA747" s="35"/>
      <c r="AB747" s="35"/>
      <c r="AC747" s="35"/>
      <c r="AD747" s="35"/>
    </row>
    <row r="748" spans="1:30" x14ac:dyDescent="0.25">
      <c r="A748" s="35"/>
      <c r="B748" s="35"/>
      <c r="C748" s="35"/>
      <c r="D748" s="35"/>
      <c r="E748" s="35"/>
      <c r="F748" s="35"/>
      <c r="G748" s="35"/>
      <c r="H748" s="35"/>
      <c r="I748" s="35"/>
      <c r="J748" s="35"/>
      <c r="K748" s="35"/>
      <c r="L748" s="36"/>
      <c r="M748" s="35"/>
      <c r="N748" s="35"/>
      <c r="O748" s="35"/>
      <c r="P748" s="35"/>
      <c r="Q748" s="35"/>
      <c r="R748" s="35"/>
      <c r="S748" s="35"/>
      <c r="T748" s="35"/>
      <c r="U748" s="35"/>
      <c r="V748" s="35"/>
      <c r="W748" s="35"/>
      <c r="X748" s="35"/>
      <c r="Y748" s="35"/>
      <c r="Z748" s="35"/>
      <c r="AA748" s="35"/>
      <c r="AB748" s="35"/>
      <c r="AC748" s="35"/>
      <c r="AD748" s="35"/>
    </row>
    <row r="749" spans="1:30" x14ac:dyDescent="0.25">
      <c r="A749" s="35"/>
      <c r="B749" s="35"/>
      <c r="C749" s="35"/>
      <c r="D749" s="35"/>
      <c r="E749" s="35"/>
      <c r="F749" s="35"/>
      <c r="G749" s="35"/>
      <c r="H749" s="35"/>
      <c r="I749" s="35"/>
      <c r="J749" s="35"/>
      <c r="K749" s="35"/>
      <c r="L749" s="36"/>
      <c r="M749" s="35"/>
      <c r="N749" s="35"/>
      <c r="O749" s="35"/>
      <c r="P749" s="35"/>
      <c r="Q749" s="35"/>
      <c r="R749" s="35"/>
      <c r="S749" s="35"/>
      <c r="T749" s="35"/>
      <c r="U749" s="35"/>
      <c r="V749" s="35"/>
      <c r="W749" s="35"/>
      <c r="X749" s="35"/>
      <c r="Y749" s="35"/>
      <c r="Z749" s="35"/>
      <c r="AA749" s="35"/>
      <c r="AB749" s="35"/>
      <c r="AC749" s="35"/>
      <c r="AD749" s="35"/>
    </row>
    <row r="750" spans="1:30" x14ac:dyDescent="0.25">
      <c r="A750" s="35"/>
      <c r="B750" s="35"/>
      <c r="C750" s="35"/>
      <c r="D750" s="35"/>
      <c r="E750" s="35"/>
      <c r="F750" s="35"/>
      <c r="G750" s="35"/>
      <c r="H750" s="35"/>
      <c r="I750" s="35"/>
      <c r="J750" s="35"/>
      <c r="K750" s="35"/>
      <c r="L750" s="36"/>
      <c r="M750" s="35"/>
      <c r="N750" s="35"/>
      <c r="O750" s="35"/>
      <c r="P750" s="35"/>
      <c r="Q750" s="35"/>
      <c r="R750" s="35"/>
      <c r="S750" s="35"/>
      <c r="T750" s="35"/>
      <c r="U750" s="35"/>
      <c r="V750" s="35"/>
      <c r="W750" s="35"/>
      <c r="X750" s="35"/>
      <c r="Y750" s="35"/>
      <c r="Z750" s="35"/>
      <c r="AA750" s="35"/>
      <c r="AB750" s="35"/>
      <c r="AC750" s="35"/>
      <c r="AD750" s="35"/>
    </row>
    <row r="751" spans="1:30" x14ac:dyDescent="0.25">
      <c r="A751" s="35"/>
      <c r="B751" s="35"/>
      <c r="C751" s="35"/>
      <c r="D751" s="35"/>
      <c r="E751" s="35"/>
      <c r="F751" s="35"/>
      <c r="G751" s="35"/>
      <c r="H751" s="35"/>
      <c r="I751" s="35"/>
      <c r="J751" s="35"/>
      <c r="K751" s="35"/>
      <c r="L751" s="36"/>
      <c r="M751" s="35"/>
      <c r="N751" s="35"/>
      <c r="O751" s="35"/>
      <c r="P751" s="35"/>
      <c r="Q751" s="35"/>
      <c r="R751" s="35"/>
      <c r="S751" s="35"/>
      <c r="T751" s="35"/>
      <c r="U751" s="35"/>
      <c r="V751" s="35"/>
      <c r="W751" s="35"/>
      <c r="X751" s="35"/>
      <c r="Y751" s="35"/>
      <c r="Z751" s="35"/>
      <c r="AA751" s="35"/>
      <c r="AB751" s="35"/>
      <c r="AC751" s="35"/>
      <c r="AD751" s="35"/>
    </row>
    <row r="752" spans="1:30" x14ac:dyDescent="0.25">
      <c r="A752" s="35"/>
      <c r="B752" s="35"/>
      <c r="C752" s="35"/>
      <c r="D752" s="35"/>
      <c r="E752" s="35"/>
      <c r="F752" s="35"/>
      <c r="G752" s="35"/>
      <c r="H752" s="35"/>
      <c r="I752" s="35"/>
      <c r="J752" s="35"/>
      <c r="K752" s="35"/>
      <c r="L752" s="36"/>
      <c r="M752" s="35"/>
      <c r="N752" s="35"/>
      <c r="O752" s="35"/>
      <c r="P752" s="35"/>
      <c r="Q752" s="35"/>
      <c r="R752" s="35"/>
      <c r="S752" s="35"/>
      <c r="T752" s="35"/>
      <c r="U752" s="35"/>
      <c r="V752" s="35"/>
      <c r="W752" s="35"/>
      <c r="X752" s="35"/>
      <c r="Y752" s="35"/>
      <c r="Z752" s="35"/>
      <c r="AA752" s="35"/>
      <c r="AB752" s="35"/>
      <c r="AC752" s="35"/>
      <c r="AD752" s="35"/>
    </row>
    <row r="753" spans="1:30" x14ac:dyDescent="0.25">
      <c r="A753" s="35"/>
      <c r="B753" s="35"/>
      <c r="C753" s="35"/>
      <c r="D753" s="35"/>
      <c r="E753" s="35"/>
      <c r="F753" s="35"/>
      <c r="G753" s="35"/>
      <c r="H753" s="35"/>
      <c r="I753" s="35"/>
      <c r="J753" s="35"/>
      <c r="K753" s="35"/>
      <c r="L753" s="36"/>
      <c r="M753" s="35"/>
      <c r="N753" s="35"/>
      <c r="O753" s="35"/>
      <c r="P753" s="35"/>
      <c r="Q753" s="35"/>
      <c r="R753" s="35"/>
      <c r="S753" s="35"/>
      <c r="T753" s="35"/>
      <c r="U753" s="35"/>
      <c r="V753" s="35"/>
      <c r="W753" s="35"/>
      <c r="X753" s="35"/>
      <c r="Y753" s="35"/>
      <c r="Z753" s="35"/>
      <c r="AA753" s="35"/>
      <c r="AB753" s="35"/>
      <c r="AC753" s="35"/>
      <c r="AD753" s="35"/>
    </row>
    <row r="754" spans="1:30" x14ac:dyDescent="0.25">
      <c r="A754" s="35"/>
      <c r="B754" s="35"/>
      <c r="C754" s="35"/>
      <c r="D754" s="35"/>
      <c r="E754" s="35"/>
      <c r="F754" s="35"/>
      <c r="G754" s="35"/>
      <c r="H754" s="35"/>
      <c r="I754" s="35"/>
      <c r="J754" s="35"/>
      <c r="K754" s="35"/>
      <c r="L754" s="36"/>
      <c r="M754" s="35"/>
      <c r="N754" s="35"/>
      <c r="O754" s="35"/>
      <c r="P754" s="35"/>
      <c r="Q754" s="35"/>
      <c r="R754" s="35"/>
      <c r="S754" s="35"/>
      <c r="T754" s="35"/>
      <c r="U754" s="35"/>
      <c r="V754" s="35"/>
      <c r="W754" s="35"/>
      <c r="X754" s="35"/>
      <c r="Y754" s="35"/>
      <c r="Z754" s="35"/>
      <c r="AA754" s="35"/>
      <c r="AB754" s="35"/>
      <c r="AC754" s="35"/>
      <c r="AD754" s="35"/>
    </row>
    <row r="755" spans="1:30" x14ac:dyDescent="0.25">
      <c r="A755" s="35"/>
      <c r="B755" s="35"/>
      <c r="C755" s="35"/>
      <c r="D755" s="35"/>
      <c r="E755" s="35"/>
      <c r="F755" s="35"/>
      <c r="G755" s="35"/>
      <c r="H755" s="35"/>
      <c r="I755" s="35"/>
      <c r="J755" s="35"/>
      <c r="K755" s="35"/>
      <c r="L755" s="36"/>
      <c r="M755" s="35"/>
      <c r="N755" s="35"/>
      <c r="O755" s="35"/>
      <c r="P755" s="35"/>
      <c r="Q755" s="35"/>
      <c r="R755" s="35"/>
      <c r="S755" s="35"/>
      <c r="T755" s="35"/>
      <c r="U755" s="35"/>
      <c r="V755" s="35"/>
      <c r="W755" s="35"/>
      <c r="X755" s="35"/>
      <c r="Y755" s="35"/>
      <c r="Z755" s="35"/>
      <c r="AA755" s="35"/>
      <c r="AB755" s="35"/>
      <c r="AC755" s="35"/>
      <c r="AD755" s="35"/>
    </row>
    <row r="756" spans="1:30" x14ac:dyDescent="0.25">
      <c r="A756" s="35"/>
      <c r="B756" s="35"/>
      <c r="C756" s="35"/>
      <c r="D756" s="35"/>
      <c r="E756" s="35"/>
      <c r="F756" s="35"/>
      <c r="G756" s="35"/>
      <c r="H756" s="35"/>
      <c r="I756" s="35"/>
      <c r="J756" s="35"/>
      <c r="K756" s="35"/>
      <c r="L756" s="36"/>
      <c r="M756" s="35"/>
      <c r="N756" s="35"/>
      <c r="O756" s="35"/>
      <c r="P756" s="35"/>
      <c r="Q756" s="35"/>
      <c r="R756" s="35"/>
      <c r="S756" s="35"/>
      <c r="T756" s="35"/>
      <c r="U756" s="35"/>
      <c r="V756" s="35"/>
      <c r="W756" s="35"/>
      <c r="X756" s="35"/>
      <c r="Y756" s="35"/>
      <c r="Z756" s="35"/>
      <c r="AA756" s="35"/>
      <c r="AB756" s="35"/>
      <c r="AC756" s="35"/>
      <c r="AD756" s="35"/>
    </row>
    <row r="757" spans="1:30" x14ac:dyDescent="0.25">
      <c r="A757" s="35"/>
      <c r="B757" s="35"/>
      <c r="C757" s="35"/>
      <c r="D757" s="35"/>
      <c r="E757" s="35"/>
      <c r="F757" s="35"/>
      <c r="G757" s="35"/>
      <c r="H757" s="35"/>
      <c r="I757" s="35"/>
      <c r="J757" s="35"/>
      <c r="K757" s="35"/>
      <c r="L757" s="36"/>
      <c r="M757" s="35"/>
      <c r="N757" s="35"/>
      <c r="O757" s="35"/>
      <c r="P757" s="35"/>
      <c r="Q757" s="35"/>
      <c r="R757" s="35"/>
      <c r="S757" s="35"/>
      <c r="T757" s="35"/>
      <c r="U757" s="35"/>
      <c r="V757" s="35"/>
      <c r="W757" s="35"/>
      <c r="X757" s="35"/>
      <c r="Y757" s="35"/>
      <c r="Z757" s="35"/>
      <c r="AA757" s="35"/>
      <c r="AB757" s="35"/>
      <c r="AC757" s="35"/>
      <c r="AD757" s="35"/>
    </row>
    <row r="758" spans="1:30" x14ac:dyDescent="0.25">
      <c r="A758" s="35"/>
      <c r="B758" s="35"/>
      <c r="C758" s="35"/>
      <c r="D758" s="35"/>
      <c r="E758" s="35"/>
      <c r="F758" s="35"/>
      <c r="G758" s="35"/>
      <c r="H758" s="35"/>
      <c r="I758" s="35"/>
      <c r="J758" s="35"/>
      <c r="K758" s="35"/>
      <c r="L758" s="36"/>
      <c r="M758" s="35"/>
      <c r="N758" s="35"/>
      <c r="O758" s="35"/>
      <c r="P758" s="35"/>
      <c r="Q758" s="35"/>
      <c r="R758" s="35"/>
      <c r="S758" s="35"/>
      <c r="T758" s="35"/>
      <c r="U758" s="35"/>
      <c r="V758" s="35"/>
      <c r="W758" s="35"/>
      <c r="X758" s="35"/>
      <c r="Y758" s="35"/>
      <c r="Z758" s="35"/>
      <c r="AA758" s="35"/>
      <c r="AB758" s="35"/>
      <c r="AC758" s="35"/>
      <c r="AD758" s="35"/>
    </row>
    <row r="759" spans="1:30" x14ac:dyDescent="0.25">
      <c r="A759" s="35"/>
      <c r="B759" s="35"/>
      <c r="C759" s="35"/>
      <c r="D759" s="35"/>
      <c r="E759" s="35"/>
      <c r="F759" s="35"/>
      <c r="G759" s="35"/>
      <c r="H759" s="35"/>
      <c r="I759" s="35"/>
      <c r="J759" s="35"/>
      <c r="K759" s="35"/>
      <c r="L759" s="36"/>
      <c r="M759" s="35"/>
      <c r="N759" s="35"/>
      <c r="O759" s="35"/>
      <c r="P759" s="35"/>
      <c r="Q759" s="35"/>
      <c r="R759" s="35"/>
      <c r="S759" s="35"/>
      <c r="T759" s="35"/>
      <c r="U759" s="35"/>
      <c r="V759" s="35"/>
      <c r="W759" s="35"/>
      <c r="X759" s="35"/>
      <c r="Y759" s="35"/>
      <c r="Z759" s="35"/>
      <c r="AA759" s="35"/>
      <c r="AB759" s="35"/>
      <c r="AC759" s="35"/>
      <c r="AD759" s="35"/>
    </row>
    <row r="760" spans="1:30" x14ac:dyDescent="0.25">
      <c r="A760" s="35"/>
      <c r="B760" s="35"/>
      <c r="C760" s="35"/>
      <c r="D760" s="35"/>
      <c r="E760" s="35"/>
      <c r="F760" s="35"/>
      <c r="G760" s="35"/>
      <c r="H760" s="35"/>
      <c r="I760" s="35"/>
      <c r="J760" s="35"/>
      <c r="K760" s="35"/>
      <c r="L760" s="36"/>
      <c r="M760" s="35"/>
      <c r="N760" s="35"/>
      <c r="O760" s="35"/>
      <c r="P760" s="35"/>
      <c r="Q760" s="35"/>
      <c r="R760" s="35"/>
      <c r="S760" s="35"/>
      <c r="T760" s="35"/>
      <c r="U760" s="35"/>
      <c r="V760" s="35"/>
      <c r="W760" s="35"/>
      <c r="X760" s="35"/>
      <c r="Y760" s="35"/>
      <c r="Z760" s="35"/>
      <c r="AA760" s="35"/>
      <c r="AB760" s="35"/>
      <c r="AC760" s="35"/>
      <c r="AD760" s="35"/>
    </row>
    <row r="761" spans="1:30" x14ac:dyDescent="0.25">
      <c r="A761" s="35"/>
      <c r="B761" s="35"/>
      <c r="C761" s="35"/>
      <c r="D761" s="35"/>
      <c r="E761" s="35"/>
      <c r="F761" s="35"/>
      <c r="G761" s="35"/>
      <c r="H761" s="35"/>
      <c r="I761" s="35"/>
      <c r="J761" s="35"/>
      <c r="K761" s="35"/>
      <c r="L761" s="36"/>
      <c r="M761" s="35"/>
      <c r="N761" s="35"/>
      <c r="O761" s="35"/>
      <c r="P761" s="35"/>
      <c r="Q761" s="35"/>
      <c r="R761" s="35"/>
      <c r="S761" s="35"/>
      <c r="T761" s="35"/>
      <c r="U761" s="35"/>
      <c r="V761" s="35"/>
      <c r="W761" s="35"/>
      <c r="X761" s="35"/>
      <c r="Y761" s="35"/>
      <c r="Z761" s="35"/>
      <c r="AA761" s="35"/>
      <c r="AB761" s="35"/>
      <c r="AC761" s="35"/>
      <c r="AD761" s="35"/>
    </row>
    <row r="762" spans="1:30" x14ac:dyDescent="0.25">
      <c r="A762" s="35"/>
      <c r="B762" s="35"/>
      <c r="C762" s="35"/>
      <c r="D762" s="35"/>
      <c r="E762" s="35"/>
      <c r="F762" s="35"/>
      <c r="G762" s="35"/>
      <c r="H762" s="35"/>
      <c r="I762" s="35"/>
      <c r="J762" s="35"/>
      <c r="K762" s="35"/>
      <c r="L762" s="36"/>
      <c r="M762" s="35"/>
      <c r="N762" s="35"/>
      <c r="O762" s="35"/>
      <c r="P762" s="35"/>
      <c r="Q762" s="35"/>
      <c r="R762" s="35"/>
      <c r="S762" s="35"/>
      <c r="T762" s="35"/>
      <c r="U762" s="35"/>
      <c r="V762" s="35"/>
      <c r="W762" s="35"/>
      <c r="X762" s="35"/>
      <c r="Y762" s="35"/>
      <c r="Z762" s="35"/>
      <c r="AA762" s="35"/>
      <c r="AB762" s="35"/>
      <c r="AC762" s="35"/>
      <c r="AD762" s="35"/>
    </row>
    <row r="763" spans="1:30" x14ac:dyDescent="0.25">
      <c r="A763" s="35"/>
      <c r="B763" s="35"/>
      <c r="C763" s="35"/>
      <c r="D763" s="35"/>
      <c r="E763" s="35"/>
      <c r="F763" s="35"/>
      <c r="G763" s="35"/>
      <c r="H763" s="35"/>
      <c r="I763" s="35"/>
      <c r="J763" s="35"/>
      <c r="K763" s="35"/>
      <c r="L763" s="36"/>
      <c r="M763" s="35"/>
      <c r="N763" s="35"/>
      <c r="O763" s="35"/>
      <c r="P763" s="35"/>
      <c r="Q763" s="35"/>
      <c r="R763" s="35"/>
      <c r="S763" s="35"/>
      <c r="T763" s="35"/>
      <c r="U763" s="35"/>
      <c r="V763" s="35"/>
      <c r="W763" s="35"/>
      <c r="X763" s="35"/>
      <c r="Y763" s="35"/>
      <c r="Z763" s="35"/>
      <c r="AA763" s="35"/>
      <c r="AB763" s="35"/>
      <c r="AC763" s="35"/>
      <c r="AD763" s="35"/>
    </row>
    <row r="764" spans="1:30" x14ac:dyDescent="0.25">
      <c r="A764" s="35"/>
      <c r="B764" s="35"/>
      <c r="C764" s="35"/>
      <c r="D764" s="35"/>
      <c r="E764" s="35"/>
      <c r="F764" s="35"/>
      <c r="G764" s="35"/>
      <c r="H764" s="35"/>
      <c r="I764" s="35"/>
      <c r="J764" s="35"/>
      <c r="K764" s="35"/>
      <c r="L764" s="36"/>
      <c r="M764" s="35"/>
      <c r="N764" s="35"/>
      <c r="O764" s="35"/>
      <c r="P764" s="35"/>
      <c r="Q764" s="35"/>
      <c r="R764" s="35"/>
      <c r="S764" s="35"/>
      <c r="T764" s="35"/>
      <c r="U764" s="35"/>
      <c r="V764" s="35"/>
      <c r="W764" s="35"/>
      <c r="X764" s="35"/>
      <c r="Y764" s="35"/>
      <c r="Z764" s="35"/>
      <c r="AA764" s="35"/>
      <c r="AB764" s="35"/>
      <c r="AC764" s="35"/>
      <c r="AD764" s="35"/>
    </row>
    <row r="765" spans="1:30" x14ac:dyDescent="0.25">
      <c r="A765" s="35"/>
      <c r="B765" s="35"/>
      <c r="C765" s="35"/>
      <c r="D765" s="35"/>
      <c r="E765" s="35"/>
      <c r="F765" s="35"/>
      <c r="G765" s="35"/>
      <c r="H765" s="35"/>
      <c r="I765" s="35"/>
      <c r="J765" s="35"/>
      <c r="K765" s="35"/>
      <c r="L765" s="36"/>
      <c r="M765" s="35"/>
      <c r="N765" s="35"/>
      <c r="O765" s="35"/>
      <c r="P765" s="35"/>
      <c r="Q765" s="35"/>
      <c r="R765" s="35"/>
      <c r="S765" s="35"/>
      <c r="T765" s="35"/>
      <c r="U765" s="35"/>
      <c r="V765" s="35"/>
      <c r="W765" s="35"/>
      <c r="X765" s="35"/>
      <c r="Y765" s="35"/>
      <c r="Z765" s="35"/>
      <c r="AA765" s="35"/>
      <c r="AB765" s="35"/>
      <c r="AC765" s="35"/>
      <c r="AD765" s="35"/>
    </row>
    <row r="766" spans="1:30" x14ac:dyDescent="0.25">
      <c r="A766" s="35"/>
      <c r="B766" s="35"/>
      <c r="C766" s="35"/>
      <c r="D766" s="35"/>
      <c r="E766" s="35"/>
      <c r="F766" s="35"/>
      <c r="G766" s="35"/>
      <c r="H766" s="35"/>
      <c r="I766" s="35"/>
      <c r="J766" s="35"/>
      <c r="K766" s="35"/>
      <c r="L766" s="36"/>
      <c r="M766" s="35"/>
      <c r="N766" s="35"/>
      <c r="O766" s="35"/>
      <c r="P766" s="35"/>
      <c r="Q766" s="35"/>
      <c r="R766" s="35"/>
      <c r="S766" s="35"/>
      <c r="T766" s="35"/>
      <c r="U766" s="35"/>
      <c r="V766" s="35"/>
      <c r="W766" s="35"/>
      <c r="X766" s="35"/>
      <c r="Y766" s="35"/>
      <c r="Z766" s="35"/>
      <c r="AA766" s="35"/>
      <c r="AB766" s="35"/>
      <c r="AC766" s="35"/>
      <c r="AD766" s="35"/>
    </row>
    <row r="767" spans="1:30" x14ac:dyDescent="0.25">
      <c r="A767" s="35"/>
      <c r="B767" s="35"/>
      <c r="C767" s="35"/>
      <c r="D767" s="35"/>
      <c r="E767" s="35"/>
      <c r="F767" s="35"/>
      <c r="G767" s="35"/>
      <c r="H767" s="35"/>
      <c r="I767" s="35"/>
      <c r="J767" s="35"/>
      <c r="K767" s="35"/>
      <c r="L767" s="36"/>
      <c r="M767" s="35"/>
      <c r="N767" s="35"/>
      <c r="O767" s="35"/>
      <c r="P767" s="35"/>
      <c r="Q767" s="35"/>
      <c r="R767" s="35"/>
      <c r="S767" s="35"/>
      <c r="T767" s="35"/>
      <c r="U767" s="35"/>
      <c r="V767" s="35"/>
      <c r="W767" s="35"/>
      <c r="X767" s="35"/>
      <c r="Y767" s="35"/>
      <c r="Z767" s="35"/>
      <c r="AA767" s="35"/>
      <c r="AB767" s="35"/>
      <c r="AC767" s="35"/>
      <c r="AD767" s="35"/>
    </row>
    <row r="768" spans="1:30" x14ac:dyDescent="0.25">
      <c r="A768" s="35"/>
      <c r="B768" s="35"/>
      <c r="C768" s="35"/>
      <c r="D768" s="35"/>
      <c r="E768" s="35"/>
      <c r="F768" s="35"/>
      <c r="G768" s="35"/>
      <c r="H768" s="35"/>
      <c r="I768" s="35"/>
      <c r="J768" s="35"/>
      <c r="K768" s="35"/>
      <c r="L768" s="36"/>
      <c r="M768" s="35"/>
      <c r="N768" s="35"/>
      <c r="O768" s="35"/>
      <c r="P768" s="35"/>
      <c r="Q768" s="35"/>
      <c r="R768" s="35"/>
      <c r="S768" s="35"/>
      <c r="T768" s="35"/>
      <c r="U768" s="35"/>
      <c r="V768" s="35"/>
      <c r="W768" s="35"/>
      <c r="X768" s="35"/>
      <c r="Y768" s="35"/>
      <c r="Z768" s="35"/>
      <c r="AA768" s="35"/>
      <c r="AB768" s="35"/>
      <c r="AC768" s="35"/>
      <c r="AD768" s="35"/>
    </row>
    <row r="769" spans="1:30" x14ac:dyDescent="0.25">
      <c r="A769" s="35"/>
      <c r="B769" s="35"/>
      <c r="C769" s="35"/>
      <c r="D769" s="35"/>
      <c r="E769" s="35"/>
      <c r="F769" s="35"/>
      <c r="G769" s="35"/>
      <c r="H769" s="35"/>
      <c r="I769" s="35"/>
      <c r="J769" s="35"/>
      <c r="K769" s="35"/>
      <c r="L769" s="36"/>
      <c r="M769" s="35"/>
      <c r="N769" s="35"/>
      <c r="O769" s="35"/>
      <c r="P769" s="35"/>
      <c r="Q769" s="35"/>
      <c r="R769" s="35"/>
      <c r="S769" s="35"/>
      <c r="T769" s="35"/>
      <c r="U769" s="35"/>
      <c r="V769" s="35"/>
      <c r="W769" s="35"/>
      <c r="X769" s="35"/>
      <c r="Y769" s="35"/>
      <c r="Z769" s="35"/>
      <c r="AA769" s="35"/>
      <c r="AB769" s="35"/>
      <c r="AC769" s="35"/>
      <c r="AD769" s="35"/>
    </row>
    <row r="770" spans="1:30" x14ac:dyDescent="0.25">
      <c r="A770" s="35"/>
      <c r="B770" s="35"/>
      <c r="C770" s="35"/>
      <c r="D770" s="35"/>
      <c r="E770" s="35"/>
      <c r="F770" s="35"/>
      <c r="G770" s="35"/>
      <c r="H770" s="35"/>
      <c r="I770" s="35"/>
      <c r="J770" s="35"/>
      <c r="K770" s="35"/>
      <c r="L770" s="36"/>
      <c r="M770" s="35"/>
      <c r="N770" s="35"/>
      <c r="O770" s="35"/>
      <c r="P770" s="35"/>
      <c r="Q770" s="35"/>
      <c r="R770" s="35"/>
      <c r="S770" s="35"/>
      <c r="T770" s="35"/>
      <c r="U770" s="35"/>
      <c r="V770" s="35"/>
      <c r="W770" s="35"/>
      <c r="X770" s="35"/>
      <c r="Y770" s="35"/>
      <c r="Z770" s="35"/>
      <c r="AA770" s="35"/>
      <c r="AB770" s="35"/>
      <c r="AC770" s="35"/>
      <c r="AD770" s="35"/>
    </row>
    <row r="771" spans="1:30" x14ac:dyDescent="0.25">
      <c r="A771" s="35"/>
      <c r="B771" s="35"/>
      <c r="C771" s="35"/>
      <c r="D771" s="35"/>
      <c r="E771" s="35"/>
      <c r="F771" s="35"/>
      <c r="G771" s="35"/>
      <c r="H771" s="35"/>
      <c r="I771" s="35"/>
      <c r="J771" s="35"/>
      <c r="K771" s="35"/>
      <c r="L771" s="36"/>
      <c r="M771" s="35"/>
      <c r="N771" s="35"/>
      <c r="O771" s="35"/>
      <c r="P771" s="35"/>
      <c r="Q771" s="35"/>
      <c r="R771" s="35"/>
      <c r="S771" s="35"/>
      <c r="T771" s="35"/>
      <c r="U771" s="35"/>
      <c r="V771" s="35"/>
      <c r="W771" s="35"/>
      <c r="X771" s="35"/>
      <c r="Y771" s="35"/>
      <c r="Z771" s="35"/>
      <c r="AA771" s="35"/>
      <c r="AB771" s="35"/>
      <c r="AC771" s="35"/>
      <c r="AD771" s="35"/>
    </row>
    <row r="772" spans="1:30" x14ac:dyDescent="0.25">
      <c r="A772" s="35"/>
      <c r="B772" s="35"/>
      <c r="C772" s="35"/>
      <c r="D772" s="35"/>
      <c r="E772" s="35"/>
      <c r="F772" s="35"/>
      <c r="G772" s="35"/>
      <c r="H772" s="35"/>
      <c r="I772" s="35"/>
      <c r="J772" s="35"/>
      <c r="K772" s="35"/>
      <c r="L772" s="36"/>
      <c r="M772" s="35"/>
      <c r="N772" s="35"/>
      <c r="O772" s="35"/>
      <c r="P772" s="35"/>
      <c r="Q772" s="35"/>
      <c r="R772" s="35"/>
      <c r="S772" s="35"/>
      <c r="T772" s="35"/>
      <c r="U772" s="35"/>
      <c r="V772" s="35"/>
      <c r="W772" s="35"/>
      <c r="X772" s="35"/>
      <c r="Y772" s="35"/>
      <c r="Z772" s="35"/>
      <c r="AA772" s="35"/>
      <c r="AB772" s="35"/>
      <c r="AC772" s="35"/>
      <c r="AD772" s="35"/>
    </row>
    <row r="773" spans="1:30" x14ac:dyDescent="0.25">
      <c r="A773" s="35"/>
      <c r="B773" s="35"/>
      <c r="C773" s="35"/>
      <c r="D773" s="35"/>
      <c r="E773" s="35"/>
      <c r="F773" s="35"/>
      <c r="G773" s="35"/>
      <c r="H773" s="35"/>
      <c r="I773" s="35"/>
      <c r="J773" s="35"/>
      <c r="K773" s="35"/>
      <c r="L773" s="36"/>
      <c r="M773" s="35"/>
      <c r="N773" s="35"/>
      <c r="O773" s="35"/>
      <c r="P773" s="35"/>
      <c r="Q773" s="35"/>
      <c r="R773" s="35"/>
      <c r="S773" s="35"/>
      <c r="T773" s="35"/>
      <c r="U773" s="35"/>
      <c r="V773" s="35"/>
      <c r="W773" s="35"/>
      <c r="X773" s="35"/>
      <c r="Y773" s="35"/>
      <c r="Z773" s="35"/>
      <c r="AA773" s="35"/>
      <c r="AB773" s="35"/>
      <c r="AC773" s="35"/>
      <c r="AD773" s="35"/>
    </row>
    <row r="774" spans="1:30" x14ac:dyDescent="0.25">
      <c r="A774" s="35"/>
      <c r="B774" s="35"/>
      <c r="C774" s="35"/>
      <c r="D774" s="35"/>
      <c r="E774" s="35"/>
      <c r="F774" s="35"/>
      <c r="G774" s="35"/>
      <c r="H774" s="35"/>
      <c r="I774" s="35"/>
      <c r="J774" s="35"/>
      <c r="K774" s="35"/>
      <c r="L774" s="36"/>
      <c r="M774" s="35"/>
      <c r="N774" s="35"/>
      <c r="O774" s="35"/>
      <c r="P774" s="35"/>
      <c r="Q774" s="35"/>
      <c r="R774" s="35"/>
      <c r="S774" s="35"/>
      <c r="T774" s="35"/>
      <c r="U774" s="35"/>
      <c r="V774" s="35"/>
      <c r="W774" s="35"/>
      <c r="X774" s="35"/>
      <c r="Y774" s="35"/>
      <c r="Z774" s="35"/>
      <c r="AA774" s="35"/>
      <c r="AB774" s="35"/>
      <c r="AC774" s="35"/>
      <c r="AD774" s="35"/>
    </row>
    <row r="775" spans="1:30" x14ac:dyDescent="0.25">
      <c r="A775" s="35"/>
      <c r="B775" s="35"/>
      <c r="C775" s="35"/>
      <c r="D775" s="35"/>
      <c r="E775" s="35"/>
      <c r="F775" s="35"/>
      <c r="G775" s="35"/>
      <c r="H775" s="35"/>
      <c r="I775" s="35"/>
      <c r="J775" s="35"/>
      <c r="K775" s="35"/>
      <c r="L775" s="36"/>
      <c r="M775" s="35"/>
      <c r="N775" s="35"/>
      <c r="O775" s="35"/>
      <c r="P775" s="35"/>
      <c r="Q775" s="35"/>
      <c r="R775" s="35"/>
      <c r="S775" s="35"/>
      <c r="T775" s="35"/>
      <c r="U775" s="35"/>
      <c r="V775" s="35"/>
      <c r="W775" s="35"/>
      <c r="X775" s="35"/>
      <c r="Y775" s="35"/>
      <c r="Z775" s="35"/>
      <c r="AA775" s="35"/>
      <c r="AB775" s="35"/>
      <c r="AC775" s="35"/>
      <c r="AD775" s="35"/>
    </row>
    <row r="776" spans="1:30" x14ac:dyDescent="0.25">
      <c r="A776" s="35"/>
      <c r="B776" s="35"/>
      <c r="C776" s="35"/>
      <c r="D776" s="35"/>
      <c r="E776" s="35"/>
      <c r="F776" s="35"/>
      <c r="G776" s="35"/>
      <c r="H776" s="35"/>
      <c r="I776" s="35"/>
      <c r="J776" s="35"/>
      <c r="K776" s="35"/>
      <c r="L776" s="36"/>
      <c r="M776" s="35"/>
      <c r="N776" s="35"/>
      <c r="O776" s="35"/>
      <c r="P776" s="35"/>
      <c r="Q776" s="35"/>
      <c r="R776" s="35"/>
      <c r="S776" s="35"/>
      <c r="T776" s="35"/>
      <c r="U776" s="35"/>
      <c r="V776" s="35"/>
      <c r="W776" s="35"/>
      <c r="X776" s="35"/>
      <c r="Y776" s="35"/>
      <c r="Z776" s="35"/>
      <c r="AA776" s="35"/>
      <c r="AB776" s="35"/>
      <c r="AC776" s="35"/>
      <c r="AD776" s="35"/>
    </row>
    <row r="777" spans="1:30" x14ac:dyDescent="0.25">
      <c r="A777" s="35"/>
      <c r="B777" s="35"/>
      <c r="C777" s="35"/>
      <c r="D777" s="35"/>
      <c r="E777" s="35"/>
      <c r="F777" s="35"/>
      <c r="G777" s="35"/>
      <c r="H777" s="35"/>
      <c r="I777" s="35"/>
      <c r="J777" s="35"/>
      <c r="K777" s="35"/>
      <c r="L777" s="36"/>
      <c r="M777" s="35"/>
      <c r="N777" s="35"/>
      <c r="O777" s="35"/>
      <c r="P777" s="35"/>
      <c r="Q777" s="35"/>
      <c r="R777" s="35"/>
      <c r="S777" s="35"/>
      <c r="T777" s="35"/>
      <c r="U777" s="35"/>
      <c r="V777" s="35"/>
      <c r="W777" s="35"/>
      <c r="X777" s="35"/>
      <c r="Y777" s="35"/>
      <c r="Z777" s="35"/>
      <c r="AA777" s="35"/>
      <c r="AB777" s="35"/>
      <c r="AC777" s="35"/>
      <c r="AD777" s="35"/>
    </row>
    <row r="778" spans="1:30" x14ac:dyDescent="0.25">
      <c r="A778" s="35"/>
      <c r="B778" s="35"/>
      <c r="C778" s="35"/>
      <c r="D778" s="35"/>
      <c r="E778" s="35"/>
      <c r="F778" s="35"/>
      <c r="G778" s="35"/>
      <c r="H778" s="35"/>
      <c r="I778" s="35"/>
      <c r="J778" s="35"/>
      <c r="K778" s="35"/>
      <c r="L778" s="36"/>
      <c r="M778" s="35"/>
      <c r="N778" s="35"/>
      <c r="O778" s="35"/>
      <c r="P778" s="35"/>
      <c r="Q778" s="35"/>
      <c r="R778" s="35"/>
      <c r="S778" s="35"/>
      <c r="T778" s="35"/>
      <c r="U778" s="35"/>
      <c r="V778" s="35"/>
      <c r="W778" s="35"/>
      <c r="X778" s="35"/>
      <c r="Y778" s="35"/>
      <c r="Z778" s="35"/>
      <c r="AA778" s="35"/>
      <c r="AB778" s="35"/>
      <c r="AC778" s="35"/>
      <c r="AD778" s="35"/>
    </row>
    <row r="779" spans="1:30" x14ac:dyDescent="0.25">
      <c r="A779" s="35"/>
      <c r="B779" s="35"/>
      <c r="C779" s="35"/>
      <c r="D779" s="35"/>
      <c r="E779" s="35"/>
      <c r="F779" s="35"/>
      <c r="G779" s="35"/>
      <c r="H779" s="35"/>
      <c r="I779" s="35"/>
      <c r="J779" s="35"/>
      <c r="K779" s="35"/>
      <c r="L779" s="36"/>
      <c r="M779" s="35"/>
      <c r="N779" s="35"/>
      <c r="O779" s="35"/>
      <c r="P779" s="35"/>
      <c r="Q779" s="35"/>
      <c r="R779" s="35"/>
      <c r="S779" s="35"/>
      <c r="T779" s="35"/>
      <c r="U779" s="35"/>
      <c r="V779" s="35"/>
      <c r="W779" s="35"/>
      <c r="X779" s="35"/>
      <c r="Y779" s="35"/>
      <c r="Z779" s="35"/>
      <c r="AA779" s="35"/>
      <c r="AB779" s="35"/>
      <c r="AC779" s="35"/>
      <c r="AD779" s="35"/>
    </row>
    <row r="780" spans="1:30" x14ac:dyDescent="0.25">
      <c r="A780" s="35"/>
      <c r="B780" s="35"/>
      <c r="C780" s="35"/>
      <c r="D780" s="35"/>
      <c r="E780" s="35"/>
      <c r="F780" s="35"/>
      <c r="G780" s="35"/>
      <c r="H780" s="35"/>
      <c r="I780" s="35"/>
      <c r="J780" s="35"/>
      <c r="K780" s="35"/>
      <c r="L780" s="36"/>
      <c r="M780" s="35"/>
      <c r="N780" s="35"/>
      <c r="O780" s="35"/>
      <c r="P780" s="35"/>
      <c r="Q780" s="35"/>
      <c r="R780" s="35"/>
      <c r="S780" s="35"/>
      <c r="T780" s="35"/>
      <c r="U780" s="35"/>
      <c r="V780" s="35"/>
      <c r="W780" s="35"/>
      <c r="X780" s="35"/>
      <c r="Y780" s="35"/>
      <c r="Z780" s="35"/>
      <c r="AA780" s="35"/>
      <c r="AB780" s="35"/>
      <c r="AC780" s="35"/>
      <c r="AD780" s="35"/>
    </row>
    <row r="781" spans="1:30" x14ac:dyDescent="0.25">
      <c r="A781" s="35"/>
      <c r="B781" s="35"/>
      <c r="C781" s="35"/>
      <c r="D781" s="35"/>
      <c r="E781" s="35"/>
      <c r="F781" s="35"/>
      <c r="G781" s="35"/>
      <c r="H781" s="35"/>
      <c r="I781" s="35"/>
      <c r="J781" s="35"/>
      <c r="K781" s="35"/>
      <c r="L781" s="36"/>
      <c r="M781" s="35"/>
      <c r="N781" s="35"/>
      <c r="O781" s="35"/>
      <c r="P781" s="35"/>
      <c r="Q781" s="35"/>
      <c r="R781" s="35"/>
      <c r="S781" s="35"/>
      <c r="T781" s="35"/>
      <c r="U781" s="35"/>
      <c r="V781" s="35"/>
      <c r="W781" s="35"/>
      <c r="X781" s="35"/>
      <c r="Y781" s="35"/>
      <c r="Z781" s="35"/>
      <c r="AA781" s="35"/>
      <c r="AB781" s="35"/>
      <c r="AC781" s="35"/>
      <c r="AD781" s="35"/>
    </row>
    <row r="782" spans="1:30" x14ac:dyDescent="0.25">
      <c r="A782" s="35"/>
      <c r="B782" s="35"/>
      <c r="C782" s="35"/>
      <c r="D782" s="35"/>
      <c r="E782" s="35"/>
      <c r="F782" s="35"/>
      <c r="G782" s="35"/>
      <c r="H782" s="35"/>
      <c r="I782" s="35"/>
      <c r="J782" s="35"/>
      <c r="K782" s="35"/>
      <c r="L782" s="36"/>
      <c r="M782" s="35"/>
      <c r="N782" s="35"/>
      <c r="O782" s="35"/>
      <c r="P782" s="35"/>
      <c r="Q782" s="35"/>
      <c r="R782" s="35"/>
      <c r="S782" s="35"/>
      <c r="T782" s="35"/>
      <c r="U782" s="35"/>
      <c r="V782" s="35"/>
      <c r="W782" s="35"/>
      <c r="X782" s="35"/>
      <c r="Y782" s="35"/>
      <c r="Z782" s="35"/>
      <c r="AA782" s="35"/>
      <c r="AB782" s="35"/>
      <c r="AC782" s="35"/>
      <c r="AD782" s="35"/>
    </row>
    <row r="783" spans="1:30" x14ac:dyDescent="0.25">
      <c r="A783" s="35"/>
      <c r="B783" s="35"/>
      <c r="C783" s="35"/>
      <c r="D783" s="35"/>
      <c r="E783" s="35"/>
      <c r="F783" s="35"/>
      <c r="G783" s="35"/>
      <c r="H783" s="35"/>
      <c r="I783" s="35"/>
      <c r="J783" s="35"/>
      <c r="K783" s="35"/>
      <c r="L783" s="36"/>
      <c r="M783" s="35"/>
      <c r="N783" s="35"/>
      <c r="O783" s="35"/>
      <c r="P783" s="35"/>
      <c r="Q783" s="35"/>
      <c r="R783" s="35"/>
      <c r="S783" s="35"/>
      <c r="T783" s="35"/>
      <c r="U783" s="35"/>
      <c r="V783" s="35"/>
      <c r="W783" s="35"/>
      <c r="X783" s="35"/>
      <c r="Y783" s="35"/>
      <c r="Z783" s="35"/>
      <c r="AA783" s="35"/>
      <c r="AB783" s="35"/>
      <c r="AC783" s="35"/>
      <c r="AD783" s="35"/>
    </row>
    <row r="784" spans="1:30" x14ac:dyDescent="0.25">
      <c r="A784" s="35"/>
      <c r="B784" s="35"/>
      <c r="C784" s="35"/>
      <c r="D784" s="35"/>
      <c r="E784" s="35"/>
      <c r="F784" s="35"/>
      <c r="G784" s="35"/>
      <c r="H784" s="35"/>
      <c r="I784" s="35"/>
      <c r="J784" s="35"/>
      <c r="K784" s="35"/>
      <c r="L784" s="36"/>
      <c r="M784" s="35"/>
      <c r="N784" s="35"/>
      <c r="O784" s="35"/>
      <c r="P784" s="35"/>
      <c r="Q784" s="35"/>
      <c r="R784" s="35"/>
      <c r="S784" s="35"/>
      <c r="T784" s="35"/>
      <c r="U784" s="35"/>
      <c r="V784" s="35"/>
      <c r="W784" s="35"/>
      <c r="X784" s="35"/>
      <c r="Y784" s="35"/>
      <c r="Z784" s="35"/>
      <c r="AA784" s="35"/>
      <c r="AB784" s="35"/>
      <c r="AC784" s="35"/>
      <c r="AD784" s="35"/>
    </row>
    <row r="785" spans="1:30" x14ac:dyDescent="0.25">
      <c r="A785" s="35"/>
      <c r="B785" s="35"/>
      <c r="C785" s="35"/>
      <c r="D785" s="35"/>
      <c r="E785" s="35"/>
      <c r="F785" s="35"/>
      <c r="G785" s="35"/>
      <c r="H785" s="35"/>
      <c r="I785" s="35"/>
      <c r="J785" s="35"/>
      <c r="K785" s="35"/>
      <c r="L785" s="36"/>
      <c r="M785" s="35"/>
      <c r="N785" s="35"/>
      <c r="O785" s="35"/>
      <c r="P785" s="35"/>
      <c r="Q785" s="35"/>
      <c r="R785" s="35"/>
      <c r="S785" s="35"/>
      <c r="T785" s="35"/>
      <c r="U785" s="35"/>
      <c r="V785" s="35"/>
      <c r="W785" s="35"/>
      <c r="X785" s="35"/>
      <c r="Y785" s="35"/>
      <c r="Z785" s="35"/>
      <c r="AA785" s="35"/>
      <c r="AB785" s="35"/>
      <c r="AC785" s="35"/>
      <c r="AD785" s="35"/>
    </row>
    <row r="786" spans="1:30" x14ac:dyDescent="0.25">
      <c r="A786" s="35"/>
      <c r="B786" s="35"/>
      <c r="C786" s="35"/>
      <c r="D786" s="35"/>
      <c r="E786" s="35"/>
      <c r="F786" s="35"/>
      <c r="G786" s="35"/>
      <c r="H786" s="35"/>
      <c r="I786" s="35"/>
      <c r="J786" s="35"/>
      <c r="K786" s="35"/>
      <c r="L786" s="36"/>
      <c r="M786" s="35"/>
      <c r="N786" s="35"/>
      <c r="O786" s="35"/>
      <c r="P786" s="35"/>
      <c r="Q786" s="35"/>
      <c r="R786" s="35"/>
      <c r="S786" s="35"/>
      <c r="T786" s="35"/>
      <c r="U786" s="35"/>
      <c r="V786" s="35"/>
      <c r="W786" s="35"/>
      <c r="X786" s="35"/>
      <c r="Y786" s="35"/>
      <c r="Z786" s="35"/>
      <c r="AA786" s="35"/>
      <c r="AB786" s="35"/>
      <c r="AC786" s="35"/>
      <c r="AD786" s="35"/>
    </row>
    <row r="787" spans="1:30" x14ac:dyDescent="0.25">
      <c r="A787" s="35"/>
      <c r="B787" s="35"/>
      <c r="C787" s="35"/>
      <c r="D787" s="35"/>
      <c r="E787" s="35"/>
      <c r="F787" s="35"/>
      <c r="G787" s="35"/>
      <c r="H787" s="35"/>
      <c r="I787" s="35"/>
      <c r="J787" s="35"/>
      <c r="K787" s="35"/>
      <c r="L787" s="36"/>
      <c r="M787" s="35"/>
      <c r="N787" s="35"/>
      <c r="O787" s="35"/>
      <c r="P787" s="35"/>
      <c r="Q787" s="35"/>
      <c r="R787" s="35"/>
      <c r="S787" s="35"/>
      <c r="T787" s="35"/>
      <c r="U787" s="35"/>
      <c r="V787" s="35"/>
      <c r="W787" s="35"/>
      <c r="X787" s="35"/>
      <c r="Y787" s="35"/>
      <c r="Z787" s="35"/>
      <c r="AA787" s="35"/>
      <c r="AB787" s="35"/>
      <c r="AC787" s="35"/>
      <c r="AD787" s="35"/>
    </row>
    <row r="788" spans="1:30" x14ac:dyDescent="0.25">
      <c r="A788" s="35"/>
      <c r="B788" s="35"/>
      <c r="C788" s="35"/>
      <c r="D788" s="35"/>
      <c r="E788" s="35"/>
      <c r="F788" s="35"/>
      <c r="G788" s="35"/>
      <c r="H788" s="35"/>
      <c r="I788" s="35"/>
      <c r="J788" s="35"/>
      <c r="K788" s="35"/>
      <c r="L788" s="36"/>
      <c r="M788" s="35"/>
      <c r="N788" s="35"/>
      <c r="O788" s="35"/>
      <c r="P788" s="35"/>
      <c r="Q788" s="35"/>
      <c r="R788" s="35"/>
      <c r="S788" s="35"/>
      <c r="T788" s="35"/>
      <c r="U788" s="35"/>
      <c r="V788" s="35"/>
      <c r="W788" s="35"/>
      <c r="X788" s="35"/>
      <c r="Y788" s="35"/>
      <c r="Z788" s="35"/>
      <c r="AA788" s="35"/>
      <c r="AB788" s="35"/>
      <c r="AC788" s="35"/>
      <c r="AD788" s="35"/>
    </row>
    <row r="789" spans="1:30" x14ac:dyDescent="0.25">
      <c r="A789" s="35"/>
      <c r="B789" s="35"/>
      <c r="C789" s="35"/>
      <c r="D789" s="35"/>
      <c r="E789" s="35"/>
      <c r="F789" s="35"/>
      <c r="G789" s="35"/>
      <c r="H789" s="35"/>
      <c r="I789" s="35"/>
      <c r="J789" s="35"/>
      <c r="K789" s="35"/>
      <c r="L789" s="36"/>
      <c r="M789" s="35"/>
      <c r="N789" s="35"/>
      <c r="O789" s="35"/>
      <c r="P789" s="35"/>
      <c r="Q789" s="35"/>
      <c r="R789" s="35"/>
      <c r="S789" s="35"/>
      <c r="T789" s="35"/>
      <c r="U789" s="35"/>
      <c r="V789" s="35"/>
      <c r="W789" s="35"/>
      <c r="X789" s="35"/>
      <c r="Y789" s="35"/>
      <c r="Z789" s="35"/>
      <c r="AA789" s="35"/>
      <c r="AB789" s="35"/>
      <c r="AC789" s="35"/>
      <c r="AD789" s="35"/>
    </row>
    <row r="790" spans="1:30" x14ac:dyDescent="0.25">
      <c r="A790" s="35"/>
      <c r="B790" s="35"/>
      <c r="C790" s="35"/>
      <c r="D790" s="35"/>
      <c r="E790" s="35"/>
      <c r="F790" s="35"/>
      <c r="G790" s="35"/>
      <c r="H790" s="35"/>
      <c r="I790" s="35"/>
      <c r="J790" s="35"/>
      <c r="K790" s="35"/>
      <c r="L790" s="36"/>
      <c r="M790" s="35"/>
      <c r="N790" s="35"/>
      <c r="O790" s="35"/>
      <c r="P790" s="35"/>
      <c r="Q790" s="35"/>
      <c r="R790" s="35"/>
      <c r="S790" s="35"/>
      <c r="T790" s="35"/>
      <c r="U790" s="35"/>
      <c r="V790" s="35"/>
      <c r="W790" s="35"/>
      <c r="X790" s="35"/>
      <c r="Y790" s="35"/>
      <c r="Z790" s="35"/>
      <c r="AA790" s="35"/>
      <c r="AB790" s="35"/>
      <c r="AC790" s="35"/>
      <c r="AD790" s="35"/>
    </row>
    <row r="791" spans="1:30" x14ac:dyDescent="0.25">
      <c r="A791" s="35"/>
      <c r="B791" s="35"/>
      <c r="C791" s="35"/>
      <c r="D791" s="35"/>
      <c r="E791" s="35"/>
      <c r="F791" s="35"/>
      <c r="G791" s="35"/>
      <c r="H791" s="35"/>
      <c r="I791" s="35"/>
      <c r="J791" s="35"/>
      <c r="K791" s="35"/>
      <c r="L791" s="36"/>
      <c r="M791" s="35"/>
      <c r="N791" s="35"/>
      <c r="O791" s="35"/>
      <c r="P791" s="35"/>
      <c r="Q791" s="35"/>
      <c r="R791" s="35"/>
      <c r="S791" s="35"/>
      <c r="T791" s="35"/>
      <c r="U791" s="35"/>
      <c r="V791" s="35"/>
      <c r="W791" s="35"/>
      <c r="X791" s="35"/>
      <c r="Y791" s="35"/>
      <c r="Z791" s="35"/>
      <c r="AA791" s="35"/>
      <c r="AB791" s="35"/>
      <c r="AC791" s="35"/>
      <c r="AD791" s="35"/>
    </row>
    <row r="792" spans="1:30" x14ac:dyDescent="0.25">
      <c r="A792" s="35"/>
      <c r="B792" s="35"/>
      <c r="C792" s="35"/>
      <c r="D792" s="35"/>
      <c r="E792" s="35"/>
      <c r="F792" s="35"/>
      <c r="G792" s="35"/>
      <c r="H792" s="35"/>
      <c r="I792" s="35"/>
      <c r="J792" s="35"/>
      <c r="K792" s="35"/>
      <c r="L792" s="36"/>
      <c r="M792" s="35"/>
      <c r="N792" s="35"/>
      <c r="O792" s="35"/>
      <c r="P792" s="35"/>
      <c r="Q792" s="35"/>
      <c r="R792" s="35"/>
      <c r="S792" s="35"/>
      <c r="T792" s="35"/>
      <c r="U792" s="35"/>
      <c r="V792" s="35"/>
      <c r="W792" s="35"/>
      <c r="X792" s="35"/>
      <c r="Y792" s="35"/>
      <c r="Z792" s="35"/>
      <c r="AA792" s="35"/>
      <c r="AB792" s="35"/>
      <c r="AC792" s="35"/>
      <c r="AD792" s="35"/>
    </row>
    <row r="793" spans="1:30" x14ac:dyDescent="0.25">
      <c r="A793" s="35"/>
      <c r="B793" s="35"/>
      <c r="C793" s="35"/>
      <c r="D793" s="35"/>
      <c r="E793" s="35"/>
      <c r="F793" s="35"/>
      <c r="G793" s="35"/>
      <c r="H793" s="35"/>
      <c r="I793" s="35"/>
      <c r="J793" s="35"/>
      <c r="K793" s="35"/>
      <c r="L793" s="36"/>
      <c r="M793" s="35"/>
      <c r="N793" s="35"/>
      <c r="O793" s="35"/>
      <c r="P793" s="35"/>
      <c r="Q793" s="35"/>
      <c r="R793" s="35"/>
      <c r="S793" s="35"/>
      <c r="T793" s="35"/>
      <c r="U793" s="35"/>
      <c r="V793" s="35"/>
      <c r="W793" s="35"/>
      <c r="X793" s="35"/>
      <c r="Y793" s="35"/>
      <c r="Z793" s="35"/>
      <c r="AA793" s="35"/>
      <c r="AB793" s="35"/>
      <c r="AC793" s="35"/>
      <c r="AD793" s="35"/>
    </row>
    <row r="794" spans="1:30" x14ac:dyDescent="0.25">
      <c r="A794" s="35"/>
      <c r="B794" s="35"/>
      <c r="C794" s="35"/>
      <c r="D794" s="35"/>
      <c r="E794" s="35"/>
      <c r="F794" s="35"/>
      <c r="G794" s="35"/>
      <c r="H794" s="35"/>
      <c r="I794" s="35"/>
      <c r="J794" s="35"/>
      <c r="K794" s="35"/>
      <c r="L794" s="36"/>
      <c r="M794" s="35"/>
      <c r="N794" s="35"/>
      <c r="O794" s="35"/>
      <c r="P794" s="35"/>
      <c r="Q794" s="35"/>
      <c r="R794" s="35"/>
      <c r="S794" s="35"/>
      <c r="T794" s="35"/>
      <c r="U794" s="35"/>
      <c r="V794" s="35"/>
      <c r="W794" s="35"/>
      <c r="X794" s="35"/>
      <c r="Y794" s="35"/>
      <c r="Z794" s="35"/>
      <c r="AA794" s="35"/>
      <c r="AB794" s="35"/>
      <c r="AC794" s="35"/>
      <c r="AD794" s="35"/>
    </row>
    <row r="795" spans="1:30" x14ac:dyDescent="0.25">
      <c r="A795" s="35"/>
      <c r="B795" s="35"/>
      <c r="C795" s="35"/>
      <c r="D795" s="35"/>
      <c r="E795" s="35"/>
      <c r="F795" s="35"/>
      <c r="G795" s="35"/>
      <c r="H795" s="35"/>
      <c r="I795" s="35"/>
      <c r="J795" s="35"/>
      <c r="K795" s="35"/>
      <c r="L795" s="36"/>
      <c r="M795" s="35"/>
      <c r="N795" s="35"/>
      <c r="O795" s="35"/>
      <c r="P795" s="35"/>
      <c r="Q795" s="35"/>
      <c r="R795" s="35"/>
      <c r="S795" s="35"/>
      <c r="T795" s="35"/>
      <c r="U795" s="35"/>
      <c r="V795" s="35"/>
      <c r="W795" s="35"/>
      <c r="X795" s="35"/>
      <c r="Y795" s="35"/>
      <c r="Z795" s="35"/>
      <c r="AA795" s="35"/>
      <c r="AB795" s="35"/>
      <c r="AC795" s="35"/>
      <c r="AD795" s="35"/>
    </row>
    <row r="796" spans="1:30" x14ac:dyDescent="0.25">
      <c r="A796" s="35"/>
      <c r="B796" s="35"/>
      <c r="C796" s="35"/>
      <c r="D796" s="35"/>
      <c r="E796" s="35"/>
      <c r="F796" s="35"/>
      <c r="G796" s="35"/>
      <c r="H796" s="35"/>
      <c r="I796" s="35"/>
      <c r="J796" s="35"/>
      <c r="K796" s="35"/>
      <c r="L796" s="36"/>
      <c r="M796" s="35"/>
      <c r="N796" s="35"/>
      <c r="O796" s="35"/>
      <c r="P796" s="35"/>
      <c r="Q796" s="35"/>
      <c r="R796" s="35"/>
      <c r="S796" s="35"/>
      <c r="T796" s="35"/>
      <c r="U796" s="35"/>
      <c r="V796" s="35"/>
      <c r="W796" s="35"/>
      <c r="X796" s="35"/>
      <c r="Y796" s="35"/>
      <c r="Z796" s="35"/>
      <c r="AA796" s="35"/>
      <c r="AB796" s="35"/>
      <c r="AC796" s="35"/>
      <c r="AD796" s="35"/>
    </row>
    <row r="797" spans="1:30" x14ac:dyDescent="0.25">
      <c r="A797" s="35"/>
      <c r="B797" s="35"/>
      <c r="C797" s="35"/>
      <c r="D797" s="35"/>
      <c r="E797" s="35"/>
      <c r="F797" s="35"/>
      <c r="G797" s="35"/>
      <c r="H797" s="35"/>
      <c r="I797" s="35"/>
      <c r="J797" s="35"/>
      <c r="K797" s="35"/>
      <c r="L797" s="36"/>
      <c r="M797" s="35"/>
      <c r="N797" s="35"/>
      <c r="O797" s="35"/>
      <c r="P797" s="35"/>
      <c r="Q797" s="35"/>
      <c r="R797" s="35"/>
      <c r="S797" s="35"/>
      <c r="T797" s="35"/>
      <c r="U797" s="35"/>
      <c r="V797" s="35"/>
      <c r="W797" s="35"/>
      <c r="X797" s="35"/>
      <c r="Y797" s="35"/>
      <c r="Z797" s="35"/>
      <c r="AA797" s="35"/>
      <c r="AB797" s="35"/>
      <c r="AC797" s="35"/>
      <c r="AD797" s="35"/>
    </row>
    <row r="798" spans="1:30" x14ac:dyDescent="0.25">
      <c r="A798" s="35"/>
      <c r="B798" s="35"/>
      <c r="C798" s="35"/>
      <c r="D798" s="35"/>
      <c r="E798" s="35"/>
      <c r="F798" s="35"/>
      <c r="G798" s="35"/>
      <c r="H798" s="35"/>
      <c r="I798" s="35"/>
      <c r="J798" s="35"/>
      <c r="K798" s="35"/>
      <c r="L798" s="36"/>
      <c r="M798" s="35"/>
      <c r="N798" s="35"/>
      <c r="O798" s="35"/>
      <c r="P798" s="35"/>
      <c r="Q798" s="35"/>
      <c r="R798" s="35"/>
      <c r="S798" s="35"/>
      <c r="T798" s="35"/>
      <c r="U798" s="35"/>
      <c r="V798" s="35"/>
      <c r="W798" s="35"/>
      <c r="X798" s="35"/>
      <c r="Y798" s="35"/>
      <c r="Z798" s="35"/>
      <c r="AA798" s="35"/>
      <c r="AB798" s="35"/>
      <c r="AC798" s="35"/>
      <c r="AD798" s="35"/>
    </row>
    <row r="799" spans="1:30" x14ac:dyDescent="0.25">
      <c r="A799" s="35"/>
      <c r="B799" s="35"/>
      <c r="C799" s="35"/>
      <c r="D799" s="35"/>
      <c r="E799" s="35"/>
      <c r="F799" s="35"/>
      <c r="G799" s="35"/>
      <c r="H799" s="35"/>
      <c r="I799" s="35"/>
      <c r="J799" s="35"/>
      <c r="K799" s="35"/>
      <c r="L799" s="36"/>
      <c r="M799" s="35"/>
      <c r="N799" s="35"/>
      <c r="O799" s="35"/>
      <c r="P799" s="35"/>
      <c r="Q799" s="35"/>
      <c r="R799" s="35"/>
      <c r="S799" s="35"/>
      <c r="T799" s="35"/>
      <c r="U799" s="35"/>
      <c r="V799" s="35"/>
      <c r="W799" s="35"/>
      <c r="X799" s="35"/>
      <c r="Y799" s="35"/>
      <c r="Z799" s="35"/>
      <c r="AA799" s="35"/>
      <c r="AB799" s="35"/>
      <c r="AC799" s="35"/>
      <c r="AD799" s="35"/>
    </row>
    <row r="800" spans="1:30" x14ac:dyDescent="0.25">
      <c r="A800" s="35"/>
      <c r="B800" s="35"/>
      <c r="C800" s="35"/>
      <c r="D800" s="35"/>
      <c r="E800" s="35"/>
      <c r="F800" s="35"/>
      <c r="G800" s="35"/>
      <c r="H800" s="35"/>
      <c r="I800" s="35"/>
      <c r="J800" s="35"/>
      <c r="K800" s="35"/>
      <c r="L800" s="36"/>
      <c r="M800" s="35"/>
      <c r="N800" s="35"/>
      <c r="O800" s="35"/>
      <c r="P800" s="35"/>
      <c r="Q800" s="35"/>
      <c r="R800" s="35"/>
      <c r="S800" s="35"/>
      <c r="T800" s="35"/>
      <c r="U800" s="35"/>
      <c r="V800" s="35"/>
      <c r="W800" s="35"/>
      <c r="X800" s="35"/>
      <c r="Y800" s="35"/>
      <c r="Z800" s="35"/>
      <c r="AA800" s="35"/>
      <c r="AB800" s="35"/>
      <c r="AC800" s="35"/>
      <c r="AD800" s="35"/>
    </row>
    <row r="801" spans="1:30" x14ac:dyDescent="0.25">
      <c r="A801" s="35"/>
      <c r="B801" s="35"/>
      <c r="C801" s="35"/>
      <c r="D801" s="35"/>
      <c r="E801" s="35"/>
      <c r="F801" s="35"/>
      <c r="G801" s="35"/>
      <c r="H801" s="35"/>
      <c r="I801" s="35"/>
      <c r="J801" s="35"/>
      <c r="K801" s="35"/>
      <c r="L801" s="36"/>
      <c r="M801" s="35"/>
      <c r="N801" s="35"/>
      <c r="O801" s="35"/>
      <c r="P801" s="35"/>
      <c r="Q801" s="35"/>
      <c r="R801" s="35"/>
      <c r="S801" s="35"/>
      <c r="T801" s="35"/>
      <c r="U801" s="35"/>
      <c r="V801" s="35"/>
      <c r="W801" s="35"/>
      <c r="X801" s="35"/>
      <c r="Y801" s="35"/>
      <c r="Z801" s="35"/>
      <c r="AA801" s="35"/>
      <c r="AB801" s="35"/>
      <c r="AC801" s="35"/>
      <c r="AD801" s="35"/>
    </row>
    <row r="802" spans="1:30" x14ac:dyDescent="0.25">
      <c r="A802" s="35"/>
      <c r="B802" s="35"/>
      <c r="C802" s="35"/>
      <c r="D802" s="35"/>
      <c r="E802" s="35"/>
      <c r="F802" s="35"/>
      <c r="G802" s="35"/>
      <c r="H802" s="35"/>
      <c r="I802" s="35"/>
      <c r="J802" s="35"/>
      <c r="K802" s="35"/>
      <c r="L802" s="36"/>
      <c r="M802" s="35"/>
      <c r="N802" s="35"/>
      <c r="O802" s="35"/>
      <c r="P802" s="35"/>
      <c r="Q802" s="35"/>
      <c r="R802" s="35"/>
      <c r="S802" s="35"/>
      <c r="T802" s="35"/>
      <c r="U802" s="35"/>
      <c r="V802" s="35"/>
      <c r="W802" s="35"/>
      <c r="X802" s="35"/>
      <c r="Y802" s="35"/>
      <c r="Z802" s="35"/>
      <c r="AA802" s="35"/>
      <c r="AB802" s="35"/>
      <c r="AC802" s="35"/>
      <c r="AD802" s="35"/>
    </row>
    <row r="803" spans="1:30" x14ac:dyDescent="0.25">
      <c r="A803" s="35"/>
      <c r="B803" s="35"/>
      <c r="C803" s="35"/>
      <c r="D803" s="35"/>
      <c r="E803" s="35"/>
      <c r="F803" s="35"/>
      <c r="G803" s="35"/>
      <c r="H803" s="35"/>
      <c r="I803" s="35"/>
      <c r="J803" s="35"/>
      <c r="K803" s="35"/>
      <c r="L803" s="36"/>
      <c r="M803" s="35"/>
      <c r="N803" s="35"/>
      <c r="O803" s="35"/>
      <c r="P803" s="35"/>
      <c r="Q803" s="35"/>
      <c r="R803" s="35"/>
      <c r="S803" s="35"/>
      <c r="T803" s="35"/>
      <c r="U803" s="35"/>
      <c r="V803" s="35"/>
      <c r="W803" s="35"/>
      <c r="X803" s="35"/>
      <c r="Y803" s="35"/>
      <c r="Z803" s="35"/>
      <c r="AA803" s="35"/>
      <c r="AB803" s="35"/>
      <c r="AC803" s="35"/>
      <c r="AD803" s="35"/>
    </row>
    <row r="804" spans="1:30" x14ac:dyDescent="0.25">
      <c r="A804" s="35"/>
      <c r="B804" s="35"/>
      <c r="C804" s="35"/>
      <c r="D804" s="35"/>
      <c r="E804" s="35"/>
      <c r="F804" s="35"/>
      <c r="G804" s="35"/>
      <c r="H804" s="35"/>
      <c r="I804" s="35"/>
      <c r="J804" s="35"/>
      <c r="K804" s="35"/>
      <c r="L804" s="36"/>
      <c r="M804" s="35"/>
      <c r="N804" s="35"/>
      <c r="O804" s="35"/>
      <c r="P804" s="35"/>
      <c r="Q804" s="35"/>
      <c r="R804" s="35"/>
      <c r="S804" s="35"/>
      <c r="T804" s="35"/>
      <c r="U804" s="35"/>
      <c r="V804" s="35"/>
      <c r="W804" s="35"/>
      <c r="X804" s="35"/>
      <c r="Y804" s="35"/>
      <c r="Z804" s="35"/>
      <c r="AA804" s="35"/>
      <c r="AB804" s="35"/>
      <c r="AC804" s="35"/>
      <c r="AD804" s="35"/>
    </row>
    <row r="805" spans="1:30" x14ac:dyDescent="0.25">
      <c r="A805" s="35"/>
      <c r="B805" s="35"/>
      <c r="C805" s="35"/>
      <c r="D805" s="35"/>
      <c r="E805" s="35"/>
      <c r="F805" s="35"/>
      <c r="G805" s="35"/>
      <c r="H805" s="35"/>
      <c r="I805" s="35"/>
      <c r="J805" s="35"/>
      <c r="K805" s="35"/>
      <c r="L805" s="36"/>
      <c r="M805" s="35"/>
      <c r="N805" s="35"/>
      <c r="O805" s="35"/>
      <c r="P805" s="35"/>
      <c r="Q805" s="35"/>
      <c r="R805" s="35"/>
      <c r="S805" s="35"/>
      <c r="T805" s="35"/>
      <c r="U805" s="35"/>
      <c r="V805" s="35"/>
      <c r="W805" s="35"/>
      <c r="X805" s="35"/>
      <c r="Y805" s="35"/>
      <c r="Z805" s="35"/>
      <c r="AA805" s="35"/>
      <c r="AB805" s="35"/>
      <c r="AC805" s="35"/>
      <c r="AD805" s="35"/>
    </row>
    <row r="806" spans="1:30" x14ac:dyDescent="0.25">
      <c r="A806" s="35"/>
      <c r="B806" s="35"/>
      <c r="C806" s="35"/>
      <c r="D806" s="35"/>
      <c r="E806" s="35"/>
      <c r="F806" s="35"/>
      <c r="G806" s="35"/>
      <c r="H806" s="35"/>
      <c r="I806" s="35"/>
      <c r="J806" s="35"/>
      <c r="K806" s="35"/>
      <c r="L806" s="36"/>
      <c r="M806" s="35"/>
      <c r="N806" s="35"/>
      <c r="O806" s="35"/>
      <c r="P806" s="35"/>
      <c r="Q806" s="35"/>
      <c r="R806" s="35"/>
      <c r="S806" s="35"/>
      <c r="T806" s="35"/>
      <c r="U806" s="35"/>
      <c r="V806" s="35"/>
      <c r="W806" s="35"/>
      <c r="X806" s="35"/>
      <c r="Y806" s="35"/>
      <c r="Z806" s="35"/>
      <c r="AA806" s="35"/>
      <c r="AB806" s="35"/>
      <c r="AC806" s="35"/>
      <c r="AD806" s="35"/>
    </row>
    <row r="807" spans="1:30" x14ac:dyDescent="0.25">
      <c r="A807" s="35"/>
      <c r="B807" s="35"/>
      <c r="C807" s="35"/>
      <c r="D807" s="35"/>
      <c r="E807" s="35"/>
      <c r="F807" s="35"/>
      <c r="G807" s="35"/>
      <c r="H807" s="35"/>
      <c r="I807" s="35"/>
      <c r="J807" s="35"/>
      <c r="K807" s="35"/>
      <c r="L807" s="36"/>
      <c r="M807" s="35"/>
      <c r="N807" s="35"/>
      <c r="O807" s="35"/>
      <c r="P807" s="35"/>
      <c r="Q807" s="35"/>
      <c r="R807" s="35"/>
      <c r="S807" s="35"/>
      <c r="T807" s="35"/>
      <c r="U807" s="35"/>
      <c r="V807" s="35"/>
      <c r="W807" s="35"/>
      <c r="X807" s="35"/>
      <c r="Y807" s="35"/>
      <c r="Z807" s="35"/>
      <c r="AA807" s="35"/>
      <c r="AB807" s="35"/>
      <c r="AC807" s="35"/>
      <c r="AD807" s="35"/>
    </row>
    <row r="808" spans="1:30" x14ac:dyDescent="0.25">
      <c r="A808" s="35"/>
      <c r="B808" s="35"/>
      <c r="C808" s="35"/>
      <c r="D808" s="35"/>
      <c r="E808" s="35"/>
      <c r="F808" s="35"/>
      <c r="G808" s="35"/>
      <c r="H808" s="35"/>
      <c r="I808" s="35"/>
      <c r="J808" s="35"/>
      <c r="K808" s="35"/>
      <c r="L808" s="36"/>
      <c r="M808" s="35"/>
      <c r="N808" s="35"/>
      <c r="O808" s="35"/>
      <c r="P808" s="35"/>
      <c r="Q808" s="35"/>
      <c r="R808" s="35"/>
      <c r="S808" s="35"/>
      <c r="T808" s="35"/>
      <c r="U808" s="35"/>
      <c r="V808" s="35"/>
      <c r="W808" s="35"/>
      <c r="X808" s="35"/>
      <c r="Y808" s="35"/>
      <c r="Z808" s="35"/>
      <c r="AA808" s="35"/>
      <c r="AB808" s="35"/>
      <c r="AC808" s="35"/>
      <c r="AD808" s="35"/>
    </row>
    <row r="809" spans="1:30" x14ac:dyDescent="0.25">
      <c r="A809" s="35"/>
      <c r="B809" s="35"/>
      <c r="C809" s="35"/>
      <c r="D809" s="35"/>
      <c r="E809" s="35"/>
      <c r="F809" s="35"/>
      <c r="G809" s="35"/>
      <c r="H809" s="35"/>
      <c r="I809" s="35"/>
      <c r="J809" s="35"/>
      <c r="K809" s="35"/>
      <c r="L809" s="36"/>
      <c r="M809" s="35"/>
      <c r="N809" s="35"/>
      <c r="O809" s="35"/>
      <c r="P809" s="35"/>
      <c r="Q809" s="35"/>
      <c r="R809" s="35"/>
      <c r="S809" s="35"/>
      <c r="T809" s="35"/>
      <c r="U809" s="35"/>
      <c r="V809" s="35"/>
      <c r="W809" s="35"/>
      <c r="X809" s="35"/>
      <c r="Y809" s="35"/>
      <c r="Z809" s="35"/>
      <c r="AA809" s="35"/>
      <c r="AB809" s="35"/>
      <c r="AC809" s="35"/>
      <c r="AD809" s="35"/>
    </row>
    <row r="810" spans="1:30" x14ac:dyDescent="0.25">
      <c r="A810" s="35"/>
      <c r="B810" s="35"/>
      <c r="C810" s="35"/>
      <c r="D810" s="35"/>
      <c r="E810" s="35"/>
      <c r="F810" s="35"/>
      <c r="G810" s="35"/>
      <c r="H810" s="35"/>
      <c r="I810" s="35"/>
      <c r="J810" s="35"/>
      <c r="K810" s="35"/>
      <c r="L810" s="36"/>
      <c r="M810" s="35"/>
      <c r="N810" s="35"/>
      <c r="O810" s="35"/>
      <c r="P810" s="35"/>
      <c r="Q810" s="35"/>
      <c r="R810" s="35"/>
      <c r="S810" s="35"/>
      <c r="T810" s="35"/>
      <c r="U810" s="35"/>
      <c r="V810" s="35"/>
      <c r="W810" s="35"/>
      <c r="X810" s="35"/>
      <c r="Y810" s="35"/>
      <c r="Z810" s="35"/>
      <c r="AA810" s="35"/>
      <c r="AB810" s="35"/>
      <c r="AC810" s="35"/>
      <c r="AD810" s="35"/>
    </row>
    <row r="811" spans="1:30" x14ac:dyDescent="0.25">
      <c r="A811" s="35"/>
      <c r="B811" s="35"/>
      <c r="C811" s="35"/>
      <c r="D811" s="35"/>
      <c r="E811" s="35"/>
      <c r="F811" s="35"/>
      <c r="G811" s="35"/>
      <c r="H811" s="35"/>
      <c r="I811" s="35"/>
      <c r="J811" s="35"/>
      <c r="K811" s="35"/>
      <c r="L811" s="36"/>
      <c r="M811" s="35"/>
      <c r="N811" s="35"/>
      <c r="O811" s="35"/>
      <c r="P811" s="35"/>
      <c r="Q811" s="35"/>
      <c r="R811" s="35"/>
      <c r="S811" s="35"/>
      <c r="T811" s="35"/>
      <c r="U811" s="35"/>
      <c r="V811" s="35"/>
      <c r="W811" s="35"/>
      <c r="X811" s="35"/>
      <c r="Y811" s="35"/>
      <c r="Z811" s="35"/>
      <c r="AA811" s="35"/>
      <c r="AB811" s="35"/>
      <c r="AC811" s="35"/>
      <c r="AD811" s="35"/>
    </row>
    <row r="812" spans="1:30" x14ac:dyDescent="0.25">
      <c r="A812" s="35"/>
      <c r="B812" s="35"/>
      <c r="C812" s="35"/>
      <c r="D812" s="35"/>
      <c r="E812" s="35"/>
      <c r="F812" s="35"/>
      <c r="G812" s="35"/>
      <c r="H812" s="35"/>
      <c r="I812" s="35"/>
      <c r="J812" s="35"/>
      <c r="K812" s="35"/>
      <c r="L812" s="36"/>
      <c r="M812" s="35"/>
      <c r="N812" s="35"/>
      <c r="O812" s="35"/>
      <c r="P812" s="35"/>
      <c r="Q812" s="35"/>
      <c r="R812" s="35"/>
      <c r="S812" s="35"/>
      <c r="T812" s="35"/>
      <c r="U812" s="35"/>
      <c r="V812" s="35"/>
      <c r="W812" s="35"/>
      <c r="X812" s="35"/>
      <c r="Y812" s="35"/>
      <c r="Z812" s="35"/>
      <c r="AA812" s="35"/>
      <c r="AB812" s="35"/>
      <c r="AC812" s="35"/>
      <c r="AD812" s="35"/>
    </row>
    <row r="813" spans="1:30" x14ac:dyDescent="0.25">
      <c r="A813" s="35"/>
      <c r="B813" s="35"/>
      <c r="C813" s="35"/>
      <c r="D813" s="35"/>
      <c r="E813" s="35"/>
      <c r="F813" s="35"/>
      <c r="G813" s="35"/>
      <c r="H813" s="35"/>
      <c r="I813" s="35"/>
      <c r="J813" s="35"/>
      <c r="K813" s="35"/>
      <c r="L813" s="36"/>
      <c r="M813" s="35"/>
      <c r="N813" s="35"/>
      <c r="O813" s="35"/>
      <c r="P813" s="35"/>
      <c r="Q813" s="35"/>
      <c r="R813" s="35"/>
      <c r="S813" s="35"/>
      <c r="T813" s="35"/>
      <c r="U813" s="35"/>
      <c r="V813" s="35"/>
      <c r="W813" s="35"/>
      <c r="X813" s="35"/>
      <c r="Y813" s="35"/>
      <c r="Z813" s="35"/>
      <c r="AA813" s="35"/>
      <c r="AB813" s="35"/>
      <c r="AC813" s="35"/>
      <c r="AD813" s="35"/>
    </row>
    <row r="814" spans="1:30" x14ac:dyDescent="0.25">
      <c r="A814" s="35"/>
      <c r="B814" s="35"/>
      <c r="C814" s="35"/>
      <c r="D814" s="35"/>
      <c r="E814" s="35"/>
      <c r="F814" s="35"/>
      <c r="G814" s="35"/>
      <c r="H814" s="35"/>
      <c r="I814" s="35"/>
      <c r="J814" s="35"/>
      <c r="K814" s="35"/>
      <c r="L814" s="36"/>
      <c r="M814" s="35"/>
      <c r="N814" s="35"/>
      <c r="O814" s="35"/>
      <c r="P814" s="35"/>
      <c r="Q814" s="35"/>
      <c r="R814" s="35"/>
      <c r="S814" s="35"/>
      <c r="T814" s="35"/>
      <c r="U814" s="35"/>
      <c r="V814" s="35"/>
      <c r="W814" s="35"/>
      <c r="X814" s="35"/>
      <c r="Y814" s="35"/>
      <c r="Z814" s="35"/>
      <c r="AA814" s="35"/>
      <c r="AB814" s="35"/>
      <c r="AC814" s="35"/>
      <c r="AD814" s="35"/>
    </row>
    <row r="815" spans="1:30" x14ac:dyDescent="0.25">
      <c r="A815" s="35"/>
      <c r="B815" s="35"/>
      <c r="C815" s="35"/>
      <c r="D815" s="35"/>
      <c r="E815" s="35"/>
      <c r="F815" s="35"/>
      <c r="G815" s="35"/>
      <c r="H815" s="35"/>
      <c r="I815" s="35"/>
      <c r="J815" s="35"/>
      <c r="K815" s="35"/>
      <c r="L815" s="36"/>
      <c r="M815" s="35"/>
      <c r="N815" s="35"/>
      <c r="O815" s="35"/>
      <c r="P815" s="35"/>
      <c r="Q815" s="35"/>
      <c r="R815" s="35"/>
      <c r="S815" s="35"/>
      <c r="T815" s="35"/>
      <c r="U815" s="35"/>
      <c r="V815" s="35"/>
      <c r="W815" s="35"/>
      <c r="X815" s="35"/>
      <c r="Y815" s="35"/>
      <c r="Z815" s="35"/>
      <c r="AA815" s="35"/>
      <c r="AB815" s="35"/>
      <c r="AC815" s="35"/>
      <c r="AD815" s="35"/>
    </row>
    <row r="816" spans="1:30" x14ac:dyDescent="0.25">
      <c r="A816" s="35"/>
      <c r="B816" s="35"/>
      <c r="C816" s="35"/>
      <c r="D816" s="35"/>
      <c r="E816" s="35"/>
      <c r="F816" s="35"/>
      <c r="G816" s="35"/>
      <c r="H816" s="35"/>
      <c r="I816" s="35"/>
      <c r="J816" s="35"/>
      <c r="K816" s="35"/>
      <c r="L816" s="36"/>
      <c r="M816" s="35"/>
      <c r="N816" s="35"/>
      <c r="O816" s="35"/>
      <c r="P816" s="35"/>
      <c r="Q816" s="35"/>
      <c r="R816" s="35"/>
      <c r="S816" s="35"/>
      <c r="T816" s="35"/>
      <c r="U816" s="35"/>
      <c r="V816" s="35"/>
      <c r="W816" s="35"/>
      <c r="X816" s="35"/>
      <c r="Y816" s="35"/>
      <c r="Z816" s="35"/>
      <c r="AA816" s="35"/>
      <c r="AB816" s="35"/>
      <c r="AC816" s="35"/>
      <c r="AD816" s="35"/>
    </row>
    <row r="817" spans="1:30" x14ac:dyDescent="0.25">
      <c r="A817" s="35"/>
      <c r="B817" s="35"/>
      <c r="C817" s="35"/>
      <c r="D817" s="35"/>
      <c r="E817" s="35"/>
      <c r="F817" s="35"/>
      <c r="G817" s="35"/>
      <c r="H817" s="35"/>
      <c r="I817" s="35"/>
      <c r="J817" s="35"/>
      <c r="K817" s="35"/>
      <c r="L817" s="36"/>
      <c r="M817" s="35"/>
      <c r="N817" s="35"/>
      <c r="O817" s="35"/>
      <c r="P817" s="35"/>
      <c r="Q817" s="35"/>
      <c r="R817" s="35"/>
      <c r="S817" s="35"/>
      <c r="T817" s="35"/>
      <c r="U817" s="35"/>
      <c r="V817" s="35"/>
      <c r="W817" s="35"/>
      <c r="X817" s="35"/>
      <c r="Y817" s="35"/>
      <c r="Z817" s="35"/>
      <c r="AA817" s="35"/>
      <c r="AB817" s="35"/>
      <c r="AC817" s="35"/>
      <c r="AD817" s="35"/>
    </row>
    <row r="818" spans="1:30" x14ac:dyDescent="0.25">
      <c r="A818" s="35"/>
      <c r="B818" s="35"/>
      <c r="C818" s="35"/>
      <c r="D818" s="35"/>
      <c r="E818" s="35"/>
      <c r="F818" s="35"/>
      <c r="G818" s="35"/>
      <c r="H818" s="35"/>
      <c r="I818" s="35"/>
      <c r="J818" s="35"/>
      <c r="K818" s="35"/>
      <c r="L818" s="36"/>
      <c r="M818" s="35"/>
      <c r="N818" s="35"/>
      <c r="O818" s="35"/>
      <c r="P818" s="35"/>
      <c r="Q818" s="35"/>
      <c r="R818" s="35"/>
      <c r="S818" s="35"/>
      <c r="T818" s="35"/>
      <c r="U818" s="35"/>
      <c r="V818" s="35"/>
      <c r="W818" s="35"/>
      <c r="X818" s="35"/>
      <c r="Y818" s="35"/>
      <c r="Z818" s="35"/>
      <c r="AA818" s="35"/>
      <c r="AB818" s="35"/>
      <c r="AC818" s="35"/>
      <c r="AD818" s="35"/>
    </row>
    <row r="819" spans="1:30" x14ac:dyDescent="0.25">
      <c r="A819" s="35"/>
      <c r="B819" s="35"/>
      <c r="C819" s="35"/>
      <c r="D819" s="35"/>
      <c r="E819" s="35"/>
      <c r="F819" s="35"/>
      <c r="G819" s="35"/>
      <c r="H819" s="35"/>
      <c r="I819" s="35"/>
      <c r="J819" s="35"/>
      <c r="K819" s="35"/>
      <c r="L819" s="36"/>
      <c r="M819" s="35"/>
      <c r="N819" s="35"/>
      <c r="O819" s="35"/>
      <c r="P819" s="35"/>
      <c r="Q819" s="35"/>
      <c r="R819" s="35"/>
      <c r="S819" s="35"/>
      <c r="T819" s="35"/>
      <c r="U819" s="35"/>
      <c r="V819" s="35"/>
      <c r="W819" s="35"/>
      <c r="X819" s="35"/>
      <c r="Y819" s="35"/>
      <c r="Z819" s="35"/>
      <c r="AA819" s="35"/>
      <c r="AB819" s="35"/>
      <c r="AC819" s="35"/>
      <c r="AD819" s="35"/>
    </row>
    <row r="820" spans="1:30" x14ac:dyDescent="0.25">
      <c r="A820" s="35"/>
      <c r="B820" s="35"/>
      <c r="C820" s="35"/>
      <c r="D820" s="35"/>
      <c r="E820" s="35"/>
      <c r="F820" s="35"/>
      <c r="G820" s="35"/>
      <c r="H820" s="35"/>
      <c r="I820" s="35"/>
      <c r="J820" s="35"/>
      <c r="K820" s="35"/>
      <c r="L820" s="36"/>
      <c r="M820" s="35"/>
      <c r="N820" s="35"/>
      <c r="O820" s="35"/>
      <c r="P820" s="35"/>
      <c r="Q820" s="35"/>
      <c r="R820" s="35"/>
      <c r="S820" s="35"/>
      <c r="T820" s="35"/>
      <c r="U820" s="35"/>
      <c r="V820" s="35"/>
      <c r="W820" s="35"/>
      <c r="X820" s="35"/>
      <c r="Y820" s="35"/>
      <c r="Z820" s="35"/>
      <c r="AA820" s="35"/>
      <c r="AB820" s="35"/>
      <c r="AC820" s="35"/>
      <c r="AD820" s="35"/>
    </row>
    <row r="821" spans="1:30" x14ac:dyDescent="0.25">
      <c r="A821" s="35"/>
      <c r="B821" s="35"/>
      <c r="C821" s="35"/>
      <c r="D821" s="35"/>
      <c r="E821" s="35"/>
      <c r="F821" s="35"/>
      <c r="G821" s="35"/>
      <c r="H821" s="35"/>
      <c r="I821" s="35"/>
      <c r="J821" s="35"/>
      <c r="K821" s="35"/>
      <c r="L821" s="36"/>
      <c r="M821" s="35"/>
      <c r="N821" s="35"/>
      <c r="O821" s="35"/>
      <c r="P821" s="35"/>
      <c r="Q821" s="35"/>
      <c r="R821" s="35"/>
      <c r="S821" s="35"/>
      <c r="T821" s="35"/>
      <c r="U821" s="35"/>
      <c r="V821" s="35"/>
      <c r="W821" s="35"/>
      <c r="X821" s="35"/>
      <c r="Y821" s="35"/>
      <c r="Z821" s="35"/>
      <c r="AA821" s="35"/>
      <c r="AB821" s="35"/>
      <c r="AC821" s="35"/>
      <c r="AD821" s="35"/>
    </row>
    <row r="822" spans="1:30" x14ac:dyDescent="0.25">
      <c r="A822" s="35"/>
      <c r="B822" s="35"/>
      <c r="C822" s="35"/>
      <c r="D822" s="35"/>
      <c r="E822" s="35"/>
      <c r="F822" s="35"/>
      <c r="G822" s="35"/>
      <c r="H822" s="35"/>
      <c r="I822" s="35"/>
      <c r="J822" s="35"/>
      <c r="K822" s="35"/>
      <c r="L822" s="36"/>
      <c r="M822" s="35"/>
      <c r="N822" s="35"/>
      <c r="O822" s="35"/>
      <c r="P822" s="35"/>
      <c r="Q822" s="35"/>
      <c r="R822" s="35"/>
      <c r="S822" s="35"/>
      <c r="T822" s="35"/>
      <c r="U822" s="35"/>
      <c r="V822" s="35"/>
      <c r="W822" s="35"/>
      <c r="X822" s="35"/>
      <c r="Y822" s="35"/>
      <c r="Z822" s="35"/>
      <c r="AA822" s="35"/>
      <c r="AB822" s="35"/>
      <c r="AC822" s="35"/>
      <c r="AD822" s="35"/>
    </row>
    <row r="823" spans="1:30" x14ac:dyDescent="0.25">
      <c r="A823" s="35"/>
      <c r="B823" s="35"/>
      <c r="C823" s="35"/>
      <c r="D823" s="35"/>
      <c r="E823" s="35"/>
      <c r="F823" s="35"/>
      <c r="G823" s="35"/>
      <c r="H823" s="35"/>
      <c r="I823" s="35"/>
      <c r="J823" s="35"/>
      <c r="K823" s="35"/>
      <c r="L823" s="36"/>
      <c r="M823" s="35"/>
      <c r="N823" s="35"/>
      <c r="O823" s="35"/>
      <c r="P823" s="35"/>
      <c r="Q823" s="35"/>
      <c r="R823" s="35"/>
      <c r="S823" s="35"/>
      <c r="T823" s="35"/>
      <c r="U823" s="35"/>
      <c r="V823" s="35"/>
      <c r="W823" s="35"/>
      <c r="X823" s="35"/>
      <c r="Y823" s="35"/>
      <c r="Z823" s="35"/>
      <c r="AA823" s="35"/>
      <c r="AB823" s="35"/>
      <c r="AC823" s="35"/>
      <c r="AD823" s="35"/>
    </row>
    <row r="824" spans="1:30" x14ac:dyDescent="0.25">
      <c r="A824" s="35"/>
      <c r="B824" s="35"/>
      <c r="C824" s="35"/>
      <c r="D824" s="35"/>
      <c r="E824" s="35"/>
      <c r="F824" s="35"/>
      <c r="G824" s="35"/>
      <c r="H824" s="35"/>
      <c r="I824" s="35"/>
      <c r="J824" s="35"/>
      <c r="K824" s="35"/>
      <c r="L824" s="36"/>
      <c r="M824" s="35"/>
      <c r="N824" s="35"/>
      <c r="O824" s="35"/>
      <c r="P824" s="35"/>
      <c r="Q824" s="35"/>
      <c r="R824" s="35"/>
      <c r="S824" s="35"/>
      <c r="T824" s="35"/>
      <c r="U824" s="35"/>
      <c r="V824" s="35"/>
      <c r="W824" s="35"/>
      <c r="X824" s="35"/>
      <c r="Y824" s="35"/>
      <c r="Z824" s="35"/>
      <c r="AA824" s="35"/>
      <c r="AB824" s="35"/>
      <c r="AC824" s="35"/>
      <c r="AD824" s="35"/>
    </row>
    <row r="825" spans="1:30" x14ac:dyDescent="0.25">
      <c r="A825" s="35"/>
      <c r="B825" s="35"/>
      <c r="C825" s="35"/>
      <c r="D825" s="35"/>
      <c r="E825" s="35"/>
      <c r="F825" s="35"/>
      <c r="G825" s="35"/>
      <c r="H825" s="35"/>
      <c r="I825" s="35"/>
      <c r="J825" s="35"/>
      <c r="K825" s="35"/>
      <c r="L825" s="36"/>
      <c r="M825" s="35"/>
      <c r="N825" s="35"/>
      <c r="O825" s="35"/>
      <c r="P825" s="35"/>
      <c r="Q825" s="35"/>
      <c r="R825" s="35"/>
      <c r="S825" s="35"/>
      <c r="T825" s="35"/>
      <c r="U825" s="35"/>
      <c r="V825" s="35"/>
      <c r="W825" s="35"/>
      <c r="X825" s="35"/>
      <c r="Y825" s="35"/>
      <c r="Z825" s="35"/>
      <c r="AA825" s="35"/>
      <c r="AB825" s="35"/>
      <c r="AC825" s="35"/>
      <c r="AD825" s="35"/>
    </row>
    <row r="826" spans="1:30" x14ac:dyDescent="0.25">
      <c r="A826" s="35"/>
      <c r="B826" s="35"/>
      <c r="C826" s="35"/>
      <c r="D826" s="35"/>
      <c r="E826" s="35"/>
      <c r="F826" s="35"/>
      <c r="G826" s="35"/>
      <c r="H826" s="35"/>
      <c r="I826" s="35"/>
      <c r="J826" s="35"/>
      <c r="K826" s="35"/>
      <c r="L826" s="36"/>
      <c r="M826" s="35"/>
      <c r="N826" s="35"/>
      <c r="O826" s="35"/>
      <c r="P826" s="35"/>
      <c r="Q826" s="35"/>
      <c r="R826" s="35"/>
      <c r="S826" s="35"/>
      <c r="T826" s="35"/>
      <c r="U826" s="35"/>
      <c r="V826" s="35"/>
      <c r="W826" s="35"/>
      <c r="X826" s="35"/>
      <c r="Y826" s="35"/>
      <c r="Z826" s="35"/>
      <c r="AA826" s="35"/>
      <c r="AB826" s="35"/>
      <c r="AC826" s="35"/>
      <c r="AD826" s="35"/>
    </row>
    <row r="827" spans="1:30" x14ac:dyDescent="0.25">
      <c r="A827" s="35"/>
      <c r="B827" s="35"/>
      <c r="C827" s="35"/>
      <c r="D827" s="35"/>
      <c r="E827" s="35"/>
      <c r="F827" s="35"/>
      <c r="G827" s="35"/>
      <c r="H827" s="35"/>
      <c r="I827" s="35"/>
      <c r="J827" s="35"/>
      <c r="K827" s="35"/>
      <c r="L827" s="36"/>
      <c r="M827" s="35"/>
      <c r="N827" s="35"/>
      <c r="O827" s="35"/>
      <c r="P827" s="35"/>
      <c r="Q827" s="35"/>
      <c r="R827" s="35"/>
      <c r="S827" s="35"/>
      <c r="T827" s="35"/>
      <c r="U827" s="35"/>
      <c r="V827" s="35"/>
      <c r="W827" s="35"/>
      <c r="X827" s="35"/>
      <c r="Y827" s="35"/>
      <c r="Z827" s="35"/>
      <c r="AA827" s="35"/>
      <c r="AB827" s="35"/>
      <c r="AC827" s="35"/>
      <c r="AD827" s="35"/>
    </row>
    <row r="828" spans="1:30" x14ac:dyDescent="0.25">
      <c r="A828" s="35"/>
      <c r="B828" s="35"/>
      <c r="C828" s="35"/>
      <c r="D828" s="35"/>
      <c r="E828" s="35"/>
      <c r="F828" s="35"/>
      <c r="G828" s="35"/>
      <c r="H828" s="35"/>
      <c r="I828" s="35"/>
      <c r="J828" s="35"/>
      <c r="K828" s="35"/>
      <c r="L828" s="36"/>
      <c r="M828" s="35"/>
      <c r="N828" s="35"/>
      <c r="O828" s="35"/>
      <c r="P828" s="35"/>
      <c r="Q828" s="35"/>
      <c r="R828" s="35"/>
      <c r="S828" s="35"/>
      <c r="T828" s="35"/>
      <c r="U828" s="35"/>
      <c r="V828" s="35"/>
      <c r="W828" s="35"/>
      <c r="X828" s="35"/>
      <c r="Y828" s="35"/>
      <c r="Z828" s="35"/>
      <c r="AA828" s="35"/>
      <c r="AB828" s="35"/>
      <c r="AC828" s="35"/>
      <c r="AD828" s="35"/>
    </row>
    <row r="829" spans="1:30" x14ac:dyDescent="0.25">
      <c r="A829" s="35"/>
      <c r="B829" s="35"/>
      <c r="C829" s="35"/>
      <c r="D829" s="35"/>
      <c r="E829" s="35"/>
      <c r="F829" s="35"/>
      <c r="G829" s="35"/>
      <c r="H829" s="35"/>
      <c r="I829" s="35"/>
      <c r="J829" s="35"/>
      <c r="K829" s="35"/>
      <c r="L829" s="36"/>
      <c r="M829" s="35"/>
      <c r="N829" s="35"/>
      <c r="O829" s="35"/>
      <c r="P829" s="35"/>
      <c r="Q829" s="35"/>
      <c r="R829" s="35"/>
      <c r="S829" s="35"/>
      <c r="T829" s="35"/>
      <c r="U829" s="35"/>
      <c r="V829" s="35"/>
      <c r="W829" s="35"/>
      <c r="X829" s="35"/>
      <c r="Y829" s="35"/>
      <c r="Z829" s="35"/>
      <c r="AA829" s="35"/>
      <c r="AB829" s="35"/>
      <c r="AC829" s="35"/>
      <c r="AD829" s="35"/>
    </row>
    <row r="830" spans="1:30" x14ac:dyDescent="0.25">
      <c r="A830" s="35"/>
      <c r="B830" s="35"/>
      <c r="C830" s="35"/>
      <c r="D830" s="35"/>
      <c r="E830" s="35"/>
      <c r="F830" s="35"/>
      <c r="G830" s="35"/>
      <c r="H830" s="35"/>
      <c r="I830" s="35"/>
      <c r="J830" s="35"/>
      <c r="K830" s="35"/>
      <c r="L830" s="36"/>
      <c r="M830" s="35"/>
      <c r="N830" s="35"/>
      <c r="O830" s="35"/>
      <c r="P830" s="35"/>
      <c r="Q830" s="35"/>
      <c r="R830" s="35"/>
      <c r="S830" s="35"/>
      <c r="T830" s="35"/>
      <c r="U830" s="35"/>
      <c r="V830" s="35"/>
      <c r="W830" s="35"/>
      <c r="X830" s="35"/>
      <c r="Y830" s="35"/>
      <c r="Z830" s="35"/>
      <c r="AA830" s="35"/>
      <c r="AB830" s="35"/>
      <c r="AC830" s="35"/>
      <c r="AD830" s="35"/>
    </row>
    <row r="831" spans="1:30" x14ac:dyDescent="0.25">
      <c r="A831" s="35"/>
      <c r="B831" s="35"/>
      <c r="C831" s="35"/>
      <c r="D831" s="35"/>
      <c r="E831" s="35"/>
      <c r="F831" s="35"/>
      <c r="G831" s="35"/>
      <c r="H831" s="35"/>
      <c r="I831" s="35"/>
      <c r="J831" s="35"/>
      <c r="K831" s="35"/>
      <c r="L831" s="36"/>
      <c r="M831" s="35"/>
      <c r="N831" s="35"/>
      <c r="O831" s="35"/>
      <c r="P831" s="35"/>
      <c r="Q831" s="35"/>
      <c r="R831" s="35"/>
      <c r="S831" s="35"/>
      <c r="T831" s="35"/>
      <c r="U831" s="35"/>
      <c r="V831" s="35"/>
      <c r="W831" s="35"/>
      <c r="X831" s="35"/>
      <c r="Y831" s="35"/>
      <c r="Z831" s="35"/>
      <c r="AA831" s="35"/>
      <c r="AB831" s="35"/>
      <c r="AC831" s="35"/>
      <c r="AD831" s="35"/>
    </row>
    <row r="832" spans="1:30" x14ac:dyDescent="0.25">
      <c r="A832" s="35"/>
      <c r="B832" s="35"/>
      <c r="C832" s="35"/>
      <c r="D832" s="35"/>
      <c r="E832" s="35"/>
      <c r="F832" s="35"/>
      <c r="G832" s="35"/>
      <c r="H832" s="35"/>
      <c r="I832" s="35"/>
      <c r="J832" s="35"/>
      <c r="K832" s="35"/>
      <c r="L832" s="36"/>
      <c r="M832" s="35"/>
      <c r="N832" s="35"/>
      <c r="O832" s="35"/>
      <c r="P832" s="35"/>
      <c r="Q832" s="35"/>
      <c r="R832" s="35"/>
      <c r="S832" s="35"/>
      <c r="T832" s="35"/>
      <c r="U832" s="35"/>
      <c r="V832" s="35"/>
      <c r="W832" s="35"/>
      <c r="X832" s="35"/>
      <c r="Y832" s="35"/>
      <c r="Z832" s="35"/>
      <c r="AA832" s="35"/>
      <c r="AB832" s="35"/>
      <c r="AC832" s="35"/>
      <c r="AD832" s="35"/>
    </row>
    <row r="833" spans="1:30" x14ac:dyDescent="0.25">
      <c r="A833" s="35"/>
      <c r="B833" s="35"/>
      <c r="C833" s="35"/>
      <c r="D833" s="35"/>
      <c r="E833" s="35"/>
      <c r="F833" s="35"/>
      <c r="G833" s="35"/>
      <c r="H833" s="35"/>
      <c r="I833" s="35"/>
      <c r="J833" s="35"/>
      <c r="K833" s="35"/>
      <c r="L833" s="36"/>
      <c r="M833" s="35"/>
      <c r="N833" s="35"/>
      <c r="O833" s="35"/>
      <c r="P833" s="35"/>
      <c r="Q833" s="35"/>
      <c r="R833" s="35"/>
      <c r="S833" s="35"/>
      <c r="T833" s="35"/>
      <c r="U833" s="35"/>
      <c r="V833" s="35"/>
      <c r="W833" s="35"/>
      <c r="X833" s="35"/>
      <c r="Y833" s="35"/>
      <c r="Z833" s="35"/>
      <c r="AA833" s="35"/>
      <c r="AB833" s="35"/>
      <c r="AC833" s="35"/>
      <c r="AD833" s="35"/>
    </row>
    <row r="834" spans="1:30" x14ac:dyDescent="0.25">
      <c r="A834" s="35"/>
      <c r="B834" s="35"/>
      <c r="C834" s="35"/>
      <c r="D834" s="35"/>
      <c r="E834" s="35"/>
      <c r="F834" s="35"/>
      <c r="G834" s="35"/>
      <c r="H834" s="35"/>
      <c r="I834" s="35"/>
      <c r="J834" s="35"/>
      <c r="K834" s="35"/>
      <c r="L834" s="36"/>
      <c r="M834" s="35"/>
      <c r="N834" s="35"/>
      <c r="O834" s="35"/>
      <c r="P834" s="35"/>
      <c r="Q834" s="35"/>
      <c r="R834" s="35"/>
      <c r="S834" s="35"/>
      <c r="T834" s="35"/>
      <c r="U834" s="35"/>
      <c r="V834" s="35"/>
      <c r="W834" s="35"/>
      <c r="X834" s="35"/>
      <c r="Y834" s="35"/>
      <c r="Z834" s="35"/>
      <c r="AA834" s="35"/>
      <c r="AB834" s="35"/>
      <c r="AC834" s="35"/>
      <c r="AD834" s="35"/>
    </row>
    <row r="835" spans="1:30" x14ac:dyDescent="0.25">
      <c r="A835" s="35"/>
      <c r="B835" s="35"/>
      <c r="C835" s="35"/>
      <c r="D835" s="35"/>
      <c r="E835" s="35"/>
      <c r="F835" s="35"/>
      <c r="G835" s="35"/>
      <c r="H835" s="35"/>
      <c r="I835" s="35"/>
      <c r="J835" s="35"/>
      <c r="K835" s="35"/>
      <c r="L835" s="36"/>
      <c r="M835" s="35"/>
      <c r="N835" s="35"/>
      <c r="O835" s="35"/>
      <c r="P835" s="35"/>
      <c r="Q835" s="35"/>
      <c r="R835" s="35"/>
      <c r="S835" s="35"/>
      <c r="T835" s="35"/>
      <c r="U835" s="35"/>
      <c r="V835" s="35"/>
      <c r="W835" s="35"/>
      <c r="X835" s="35"/>
      <c r="Y835" s="35"/>
      <c r="Z835" s="35"/>
      <c r="AA835" s="35"/>
      <c r="AB835" s="35"/>
      <c r="AC835" s="35"/>
      <c r="AD835" s="35"/>
    </row>
    <row r="836" spans="1:30" x14ac:dyDescent="0.25">
      <c r="A836" s="35"/>
      <c r="B836" s="35"/>
      <c r="C836" s="35"/>
      <c r="D836" s="35"/>
      <c r="E836" s="35"/>
      <c r="F836" s="35"/>
      <c r="G836" s="35"/>
      <c r="H836" s="35"/>
      <c r="I836" s="35"/>
      <c r="J836" s="35"/>
      <c r="K836" s="35"/>
      <c r="L836" s="36"/>
      <c r="M836" s="35"/>
      <c r="N836" s="35"/>
      <c r="O836" s="35"/>
      <c r="P836" s="35"/>
      <c r="Q836" s="35"/>
      <c r="R836" s="35"/>
      <c r="S836" s="35"/>
      <c r="T836" s="35"/>
      <c r="U836" s="35"/>
      <c r="V836" s="35"/>
      <c r="W836" s="35"/>
      <c r="X836" s="35"/>
      <c r="Y836" s="35"/>
      <c r="Z836" s="35"/>
      <c r="AA836" s="35"/>
      <c r="AB836" s="35"/>
      <c r="AC836" s="35"/>
      <c r="AD836" s="35"/>
    </row>
    <row r="837" spans="1:30" x14ac:dyDescent="0.25">
      <c r="A837" s="35"/>
      <c r="B837" s="35"/>
      <c r="C837" s="35"/>
      <c r="D837" s="35"/>
      <c r="E837" s="35"/>
      <c r="F837" s="35"/>
      <c r="G837" s="35"/>
      <c r="H837" s="35"/>
      <c r="I837" s="35"/>
      <c r="J837" s="35"/>
      <c r="K837" s="35"/>
      <c r="L837" s="36"/>
      <c r="M837" s="35"/>
      <c r="N837" s="35"/>
      <c r="O837" s="35"/>
      <c r="P837" s="35"/>
      <c r="Q837" s="35"/>
      <c r="R837" s="35"/>
      <c r="S837" s="35"/>
      <c r="T837" s="35"/>
      <c r="U837" s="35"/>
      <c r="V837" s="35"/>
      <c r="W837" s="35"/>
      <c r="X837" s="35"/>
      <c r="Y837" s="35"/>
      <c r="Z837" s="35"/>
      <c r="AA837" s="35"/>
      <c r="AB837" s="35"/>
      <c r="AC837" s="35"/>
      <c r="AD837" s="35"/>
    </row>
    <row r="838" spans="1:30" x14ac:dyDescent="0.25">
      <c r="A838" s="35"/>
      <c r="B838" s="35"/>
      <c r="C838" s="35"/>
      <c r="D838" s="35"/>
      <c r="E838" s="35"/>
      <c r="F838" s="35"/>
      <c r="G838" s="35"/>
      <c r="H838" s="35"/>
      <c r="I838" s="35"/>
      <c r="J838" s="35"/>
      <c r="K838" s="35"/>
      <c r="L838" s="36"/>
      <c r="M838" s="35"/>
      <c r="N838" s="35"/>
      <c r="O838" s="35"/>
      <c r="P838" s="35"/>
      <c r="Q838" s="35"/>
      <c r="R838" s="35"/>
      <c r="S838" s="35"/>
      <c r="T838" s="35"/>
      <c r="U838" s="35"/>
      <c r="V838" s="35"/>
      <c r="W838" s="35"/>
      <c r="X838" s="35"/>
      <c r="Y838" s="35"/>
      <c r="Z838" s="35"/>
      <c r="AA838" s="35"/>
      <c r="AB838" s="35"/>
      <c r="AC838" s="35"/>
      <c r="AD838" s="35"/>
    </row>
    <row r="839" spans="1:30" x14ac:dyDescent="0.25">
      <c r="A839" s="35"/>
      <c r="B839" s="35"/>
      <c r="C839" s="35"/>
      <c r="D839" s="35"/>
      <c r="E839" s="35"/>
      <c r="F839" s="35"/>
      <c r="G839" s="35"/>
      <c r="H839" s="35"/>
      <c r="I839" s="35"/>
      <c r="J839" s="35"/>
      <c r="K839" s="35"/>
      <c r="L839" s="36"/>
      <c r="M839" s="35"/>
      <c r="N839" s="35"/>
      <c r="O839" s="35"/>
      <c r="P839" s="35"/>
      <c r="Q839" s="35"/>
      <c r="R839" s="35"/>
      <c r="S839" s="35"/>
      <c r="T839" s="35"/>
      <c r="U839" s="35"/>
      <c r="V839" s="35"/>
      <c r="W839" s="35"/>
      <c r="X839" s="35"/>
      <c r="Y839" s="35"/>
      <c r="Z839" s="35"/>
      <c r="AA839" s="35"/>
      <c r="AB839" s="35"/>
      <c r="AC839" s="35"/>
      <c r="AD839" s="35"/>
    </row>
    <row r="840" spans="1:30" x14ac:dyDescent="0.25">
      <c r="A840" s="35"/>
      <c r="B840" s="35"/>
      <c r="C840" s="35"/>
      <c r="D840" s="35"/>
      <c r="E840" s="35"/>
      <c r="F840" s="35"/>
      <c r="G840" s="35"/>
      <c r="H840" s="35"/>
      <c r="I840" s="35"/>
      <c r="J840" s="35"/>
      <c r="K840" s="35"/>
      <c r="L840" s="36"/>
      <c r="M840" s="35"/>
      <c r="N840" s="35"/>
      <c r="O840" s="35"/>
      <c r="P840" s="35"/>
      <c r="Q840" s="35"/>
      <c r="R840" s="35"/>
      <c r="S840" s="35"/>
      <c r="T840" s="35"/>
      <c r="U840" s="35"/>
      <c r="V840" s="35"/>
      <c r="W840" s="35"/>
      <c r="X840" s="35"/>
      <c r="Y840" s="35"/>
      <c r="Z840" s="35"/>
      <c r="AA840" s="35"/>
      <c r="AB840" s="35"/>
      <c r="AC840" s="35"/>
      <c r="AD840" s="35"/>
    </row>
    <row r="841" spans="1:30" x14ac:dyDescent="0.25">
      <c r="A841" s="35"/>
      <c r="B841" s="35"/>
      <c r="C841" s="35"/>
      <c r="D841" s="35"/>
      <c r="E841" s="35"/>
      <c r="F841" s="35"/>
      <c r="G841" s="35"/>
      <c r="H841" s="35"/>
      <c r="I841" s="35"/>
      <c r="J841" s="35"/>
      <c r="K841" s="35"/>
      <c r="L841" s="36"/>
      <c r="M841" s="35"/>
      <c r="N841" s="35"/>
      <c r="O841" s="35"/>
      <c r="P841" s="35"/>
      <c r="Q841" s="35"/>
      <c r="R841" s="35"/>
      <c r="S841" s="35"/>
      <c r="T841" s="35"/>
      <c r="U841" s="35"/>
      <c r="V841" s="35"/>
      <c r="W841" s="35"/>
      <c r="X841" s="35"/>
      <c r="Y841" s="35"/>
      <c r="Z841" s="35"/>
      <c r="AA841" s="35"/>
      <c r="AB841" s="35"/>
      <c r="AC841" s="35"/>
      <c r="AD841" s="35"/>
    </row>
    <row r="842" spans="1:30" x14ac:dyDescent="0.25">
      <c r="A842" s="35"/>
      <c r="B842" s="35"/>
      <c r="C842" s="35"/>
      <c r="D842" s="35"/>
      <c r="E842" s="35"/>
      <c r="F842" s="35"/>
      <c r="G842" s="35"/>
      <c r="H842" s="35"/>
      <c r="I842" s="35"/>
      <c r="J842" s="35"/>
      <c r="K842" s="35"/>
      <c r="L842" s="36"/>
      <c r="M842" s="35"/>
      <c r="N842" s="35"/>
      <c r="O842" s="35"/>
      <c r="P842" s="35"/>
      <c r="Q842" s="35"/>
      <c r="R842" s="35"/>
      <c r="S842" s="35"/>
      <c r="T842" s="35"/>
      <c r="U842" s="35"/>
      <c r="V842" s="35"/>
      <c r="W842" s="35"/>
      <c r="X842" s="35"/>
      <c r="Y842" s="35"/>
      <c r="Z842" s="35"/>
      <c r="AA842" s="35"/>
      <c r="AB842" s="35"/>
      <c r="AC842" s="35"/>
      <c r="AD842" s="35"/>
    </row>
    <row r="843" spans="1:30" x14ac:dyDescent="0.25">
      <c r="A843" s="35"/>
      <c r="B843" s="35"/>
      <c r="C843" s="35"/>
      <c r="D843" s="35"/>
      <c r="E843" s="35"/>
      <c r="F843" s="35"/>
      <c r="G843" s="35"/>
      <c r="H843" s="35"/>
      <c r="I843" s="35"/>
      <c r="J843" s="35"/>
      <c r="K843" s="35"/>
      <c r="L843" s="36"/>
      <c r="M843" s="35"/>
      <c r="N843" s="35"/>
      <c r="O843" s="35"/>
      <c r="P843" s="35"/>
      <c r="Q843" s="35"/>
      <c r="R843" s="35"/>
      <c r="S843" s="35"/>
      <c r="T843" s="35"/>
      <c r="U843" s="35"/>
      <c r="V843" s="35"/>
      <c r="W843" s="35"/>
      <c r="X843" s="35"/>
      <c r="Y843" s="35"/>
      <c r="Z843" s="35"/>
      <c r="AA843" s="35"/>
      <c r="AB843" s="35"/>
      <c r="AC843" s="35"/>
      <c r="AD843" s="35"/>
    </row>
    <row r="844" spans="1:30" x14ac:dyDescent="0.25">
      <c r="A844" s="35"/>
      <c r="B844" s="35"/>
      <c r="C844" s="35"/>
      <c r="D844" s="35"/>
      <c r="E844" s="35"/>
      <c r="F844" s="35"/>
      <c r="G844" s="35"/>
      <c r="H844" s="35"/>
      <c r="I844" s="35"/>
      <c r="J844" s="35"/>
      <c r="K844" s="35"/>
      <c r="L844" s="36"/>
      <c r="M844" s="35"/>
      <c r="N844" s="35"/>
      <c r="O844" s="35"/>
      <c r="P844" s="35"/>
      <c r="Q844" s="35"/>
      <c r="R844" s="35"/>
      <c r="S844" s="35"/>
      <c r="T844" s="35"/>
      <c r="U844" s="35"/>
      <c r="V844" s="35"/>
      <c r="W844" s="35"/>
      <c r="X844" s="35"/>
      <c r="Y844" s="35"/>
      <c r="Z844" s="35"/>
      <c r="AA844" s="35"/>
      <c r="AB844" s="35"/>
      <c r="AC844" s="35"/>
      <c r="AD844" s="35"/>
    </row>
    <row r="845" spans="1:30" x14ac:dyDescent="0.25">
      <c r="A845" s="35"/>
      <c r="B845" s="35"/>
      <c r="C845" s="35"/>
      <c r="D845" s="35"/>
      <c r="E845" s="35"/>
      <c r="F845" s="35"/>
      <c r="G845" s="35"/>
      <c r="H845" s="35"/>
      <c r="I845" s="35"/>
      <c r="J845" s="35"/>
      <c r="K845" s="35"/>
      <c r="L845" s="36"/>
      <c r="M845" s="35"/>
      <c r="N845" s="35"/>
      <c r="O845" s="35"/>
      <c r="P845" s="35"/>
      <c r="Q845" s="35"/>
      <c r="R845" s="35"/>
      <c r="S845" s="35"/>
      <c r="T845" s="35"/>
      <c r="U845" s="35"/>
      <c r="V845" s="35"/>
      <c r="W845" s="35"/>
      <c r="X845" s="35"/>
      <c r="Y845" s="35"/>
      <c r="Z845" s="35"/>
      <c r="AA845" s="35"/>
      <c r="AB845" s="35"/>
      <c r="AC845" s="35"/>
      <c r="AD845" s="35"/>
    </row>
    <row r="846" spans="1:30" x14ac:dyDescent="0.25">
      <c r="A846" s="35"/>
      <c r="B846" s="35"/>
      <c r="C846" s="35"/>
      <c r="D846" s="35"/>
      <c r="E846" s="35"/>
      <c r="F846" s="35"/>
      <c r="G846" s="35"/>
      <c r="H846" s="35"/>
      <c r="I846" s="35"/>
      <c r="J846" s="35"/>
      <c r="K846" s="35"/>
      <c r="L846" s="36"/>
      <c r="M846" s="35"/>
      <c r="N846" s="35"/>
      <c r="O846" s="35"/>
      <c r="P846" s="35"/>
      <c r="Q846" s="35"/>
      <c r="R846" s="35"/>
      <c r="S846" s="35"/>
      <c r="T846" s="35"/>
      <c r="U846" s="35"/>
      <c r="V846" s="35"/>
      <c r="W846" s="35"/>
      <c r="X846" s="35"/>
      <c r="Y846" s="35"/>
      <c r="Z846" s="35"/>
      <c r="AA846" s="35"/>
      <c r="AB846" s="35"/>
      <c r="AC846" s="35"/>
      <c r="AD846" s="35"/>
    </row>
    <row r="847" spans="1:30" x14ac:dyDescent="0.25">
      <c r="A847" s="35"/>
      <c r="B847" s="35"/>
      <c r="C847" s="35"/>
      <c r="D847" s="35"/>
      <c r="E847" s="35"/>
      <c r="F847" s="35"/>
      <c r="G847" s="35"/>
      <c r="H847" s="35"/>
      <c r="I847" s="35"/>
      <c r="J847" s="35"/>
      <c r="K847" s="35"/>
      <c r="L847" s="36"/>
      <c r="M847" s="35"/>
      <c r="N847" s="35"/>
      <c r="O847" s="35"/>
      <c r="P847" s="35"/>
      <c r="Q847" s="35"/>
      <c r="R847" s="35"/>
      <c r="S847" s="35"/>
      <c r="T847" s="35"/>
      <c r="U847" s="35"/>
      <c r="V847" s="35"/>
      <c r="W847" s="35"/>
      <c r="X847" s="35"/>
      <c r="Y847" s="35"/>
      <c r="Z847" s="35"/>
      <c r="AA847" s="35"/>
      <c r="AB847" s="35"/>
      <c r="AC847" s="35"/>
      <c r="AD847" s="35"/>
    </row>
    <row r="848" spans="1:30" x14ac:dyDescent="0.25">
      <c r="A848" s="35"/>
      <c r="B848" s="35"/>
      <c r="C848" s="35"/>
      <c r="D848" s="35"/>
      <c r="E848" s="35"/>
      <c r="F848" s="35"/>
      <c r="G848" s="35"/>
      <c r="H848" s="35"/>
      <c r="I848" s="35"/>
      <c r="J848" s="35"/>
      <c r="K848" s="35"/>
      <c r="L848" s="36"/>
      <c r="M848" s="35"/>
      <c r="N848" s="35"/>
      <c r="O848" s="35"/>
      <c r="P848" s="35"/>
      <c r="Q848" s="35"/>
      <c r="R848" s="35"/>
      <c r="S848" s="35"/>
      <c r="T848" s="35"/>
      <c r="U848" s="35"/>
      <c r="V848" s="35"/>
      <c r="W848" s="35"/>
      <c r="X848" s="35"/>
      <c r="Y848" s="35"/>
      <c r="Z848" s="35"/>
      <c r="AA848" s="35"/>
      <c r="AB848" s="35"/>
      <c r="AC848" s="35"/>
      <c r="AD848" s="35"/>
    </row>
    <row r="849" spans="1:30" x14ac:dyDescent="0.25">
      <c r="A849" s="35"/>
      <c r="B849" s="35"/>
      <c r="C849" s="35"/>
      <c r="D849" s="35"/>
      <c r="E849" s="35"/>
      <c r="F849" s="35"/>
      <c r="G849" s="35"/>
      <c r="H849" s="35"/>
      <c r="I849" s="35"/>
      <c r="J849" s="35"/>
      <c r="K849" s="35"/>
      <c r="L849" s="36"/>
      <c r="M849" s="35"/>
      <c r="N849" s="35"/>
      <c r="O849" s="35"/>
      <c r="P849" s="35"/>
      <c r="Q849" s="35"/>
      <c r="R849" s="35"/>
      <c r="S849" s="35"/>
      <c r="T849" s="35"/>
      <c r="U849" s="35"/>
      <c r="V849" s="35"/>
      <c r="W849" s="35"/>
      <c r="X849" s="35"/>
      <c r="Y849" s="35"/>
      <c r="Z849" s="35"/>
      <c r="AA849" s="35"/>
      <c r="AB849" s="35"/>
      <c r="AC849" s="35"/>
      <c r="AD849" s="35"/>
    </row>
    <row r="850" spans="1:30" x14ac:dyDescent="0.25">
      <c r="A850" s="35"/>
      <c r="B850" s="35"/>
      <c r="C850" s="35"/>
      <c r="D850" s="35"/>
      <c r="E850" s="35"/>
      <c r="F850" s="35"/>
      <c r="G850" s="35"/>
      <c r="H850" s="35"/>
      <c r="I850" s="35"/>
      <c r="J850" s="35"/>
      <c r="K850" s="35"/>
      <c r="L850" s="36"/>
      <c r="M850" s="35"/>
      <c r="N850" s="35"/>
      <c r="O850" s="35"/>
      <c r="P850" s="35"/>
      <c r="Q850" s="35"/>
      <c r="R850" s="35"/>
      <c r="S850" s="35"/>
      <c r="T850" s="35"/>
      <c r="U850" s="35"/>
      <c r="V850" s="35"/>
      <c r="W850" s="35"/>
      <c r="X850" s="35"/>
      <c r="Y850" s="35"/>
      <c r="Z850" s="35"/>
      <c r="AA850" s="35"/>
      <c r="AB850" s="35"/>
      <c r="AC850" s="35"/>
      <c r="AD850" s="35"/>
    </row>
    <row r="851" spans="1:30" x14ac:dyDescent="0.25">
      <c r="A851" s="35"/>
      <c r="B851" s="35"/>
      <c r="C851" s="35"/>
      <c r="D851" s="35"/>
      <c r="E851" s="35"/>
      <c r="F851" s="35"/>
      <c r="G851" s="35"/>
      <c r="H851" s="35"/>
      <c r="I851" s="35"/>
      <c r="J851" s="35"/>
      <c r="K851" s="35"/>
      <c r="L851" s="36"/>
      <c r="M851" s="35"/>
      <c r="N851" s="35"/>
      <c r="O851" s="35"/>
      <c r="P851" s="35"/>
      <c r="Q851" s="35"/>
      <c r="R851" s="35"/>
      <c r="S851" s="35"/>
      <c r="T851" s="35"/>
      <c r="U851" s="35"/>
      <c r="V851" s="35"/>
      <c r="W851" s="35"/>
      <c r="X851" s="35"/>
      <c r="Y851" s="35"/>
      <c r="Z851" s="35"/>
      <c r="AA851" s="35"/>
      <c r="AB851" s="35"/>
      <c r="AC851" s="35"/>
      <c r="AD851" s="35"/>
    </row>
    <row r="852" spans="1:30" x14ac:dyDescent="0.25">
      <c r="A852" s="35"/>
      <c r="B852" s="35"/>
      <c r="C852" s="35"/>
      <c r="D852" s="35"/>
      <c r="E852" s="35"/>
      <c r="F852" s="35"/>
      <c r="G852" s="35"/>
      <c r="H852" s="35"/>
      <c r="I852" s="35"/>
      <c r="J852" s="35"/>
      <c r="K852" s="35"/>
      <c r="L852" s="36"/>
      <c r="M852" s="35"/>
      <c r="N852" s="35"/>
      <c r="O852" s="35"/>
      <c r="P852" s="35"/>
      <c r="Q852" s="35"/>
      <c r="R852" s="35"/>
      <c r="S852" s="35"/>
      <c r="T852" s="35"/>
      <c r="U852" s="35"/>
      <c r="V852" s="35"/>
      <c r="W852" s="35"/>
      <c r="X852" s="35"/>
      <c r="Y852" s="35"/>
      <c r="Z852" s="35"/>
      <c r="AA852" s="35"/>
      <c r="AB852" s="35"/>
      <c r="AC852" s="35"/>
      <c r="AD852" s="35"/>
    </row>
    <row r="853" spans="1:30" x14ac:dyDescent="0.25">
      <c r="A853" s="35"/>
      <c r="B853" s="35"/>
      <c r="C853" s="35"/>
      <c r="D853" s="35"/>
      <c r="E853" s="35"/>
      <c r="F853" s="35"/>
      <c r="G853" s="35"/>
      <c r="H853" s="35"/>
      <c r="I853" s="35"/>
      <c r="J853" s="35"/>
      <c r="K853" s="35"/>
      <c r="L853" s="36"/>
      <c r="M853" s="35"/>
      <c r="N853" s="35"/>
      <c r="O853" s="35"/>
      <c r="P853" s="35"/>
      <c r="Q853" s="35"/>
      <c r="R853" s="35"/>
      <c r="S853" s="35"/>
      <c r="T853" s="35"/>
      <c r="U853" s="35"/>
      <c r="V853" s="35"/>
      <c r="W853" s="35"/>
      <c r="X853" s="35"/>
      <c r="Y853" s="35"/>
      <c r="Z853" s="35"/>
      <c r="AA853" s="35"/>
      <c r="AB853" s="35"/>
      <c r="AC853" s="35"/>
      <c r="AD853" s="35"/>
    </row>
    <row r="854" spans="1:30" x14ac:dyDescent="0.25">
      <c r="A854" s="35"/>
      <c r="B854" s="35"/>
      <c r="C854" s="35"/>
      <c r="D854" s="35"/>
      <c r="E854" s="35"/>
      <c r="F854" s="35"/>
      <c r="G854" s="35"/>
      <c r="H854" s="35"/>
      <c r="I854" s="35"/>
      <c r="J854" s="35"/>
      <c r="K854" s="35"/>
      <c r="L854" s="36"/>
      <c r="M854" s="35"/>
      <c r="N854" s="35"/>
      <c r="O854" s="35"/>
      <c r="P854" s="35"/>
      <c r="Q854" s="35"/>
      <c r="R854" s="35"/>
      <c r="S854" s="35"/>
      <c r="T854" s="35"/>
      <c r="U854" s="35"/>
      <c r="V854" s="35"/>
      <c r="W854" s="35"/>
      <c r="X854" s="35"/>
      <c r="Y854" s="35"/>
      <c r="Z854" s="35"/>
      <c r="AA854" s="35"/>
      <c r="AB854" s="35"/>
      <c r="AC854" s="35"/>
      <c r="AD854" s="35"/>
    </row>
    <row r="855" spans="1:30" x14ac:dyDescent="0.25">
      <c r="A855" s="35"/>
      <c r="B855" s="35"/>
      <c r="C855" s="35"/>
      <c r="D855" s="35"/>
      <c r="E855" s="35"/>
      <c r="F855" s="35"/>
      <c r="G855" s="35"/>
      <c r="H855" s="35"/>
      <c r="I855" s="35"/>
      <c r="J855" s="35"/>
      <c r="K855" s="35"/>
      <c r="L855" s="36"/>
      <c r="M855" s="35"/>
      <c r="N855" s="35"/>
      <c r="O855" s="35"/>
      <c r="P855" s="35"/>
      <c r="Q855" s="35"/>
      <c r="R855" s="35"/>
      <c r="S855" s="35"/>
      <c r="T855" s="35"/>
      <c r="U855" s="35"/>
      <c r="V855" s="35"/>
      <c r="W855" s="35"/>
      <c r="X855" s="35"/>
      <c r="Y855" s="35"/>
      <c r="Z855" s="35"/>
      <c r="AA855" s="35"/>
      <c r="AB855" s="35"/>
      <c r="AC855" s="35"/>
      <c r="AD855" s="35"/>
    </row>
    <row r="856" spans="1:30" x14ac:dyDescent="0.25">
      <c r="A856" s="35"/>
      <c r="B856" s="35"/>
      <c r="C856" s="35"/>
      <c r="D856" s="35"/>
      <c r="E856" s="35"/>
      <c r="F856" s="35"/>
      <c r="G856" s="35"/>
      <c r="H856" s="35"/>
      <c r="I856" s="35"/>
      <c r="J856" s="35"/>
      <c r="K856" s="35"/>
      <c r="L856" s="36"/>
      <c r="M856" s="35"/>
      <c r="N856" s="35"/>
      <c r="O856" s="35"/>
      <c r="P856" s="35"/>
      <c r="Q856" s="35"/>
      <c r="R856" s="35"/>
      <c r="S856" s="35"/>
      <c r="T856" s="35"/>
      <c r="U856" s="35"/>
      <c r="V856" s="35"/>
      <c r="W856" s="35"/>
      <c r="X856" s="35"/>
      <c r="Y856" s="35"/>
      <c r="Z856" s="35"/>
      <c r="AA856" s="35"/>
      <c r="AB856" s="35"/>
      <c r="AC856" s="35"/>
      <c r="AD856" s="35"/>
    </row>
    <row r="857" spans="1:30" x14ac:dyDescent="0.25">
      <c r="A857" s="35"/>
      <c r="B857" s="35"/>
      <c r="C857" s="35"/>
      <c r="D857" s="35"/>
      <c r="E857" s="35"/>
      <c r="F857" s="35"/>
      <c r="G857" s="35"/>
      <c r="H857" s="35"/>
      <c r="I857" s="35"/>
      <c r="J857" s="35"/>
      <c r="K857" s="35"/>
      <c r="L857" s="36"/>
      <c r="M857" s="35"/>
      <c r="N857" s="35"/>
      <c r="O857" s="35"/>
      <c r="P857" s="35"/>
      <c r="Q857" s="35"/>
      <c r="R857" s="35"/>
      <c r="S857" s="35"/>
      <c r="T857" s="35"/>
      <c r="U857" s="35"/>
      <c r="V857" s="35"/>
      <c r="W857" s="35"/>
      <c r="X857" s="35"/>
      <c r="Y857" s="35"/>
      <c r="Z857" s="35"/>
      <c r="AA857" s="35"/>
      <c r="AB857" s="35"/>
      <c r="AC857" s="35"/>
      <c r="AD857" s="35"/>
    </row>
    <row r="858" spans="1:30" x14ac:dyDescent="0.25">
      <c r="A858" s="35"/>
      <c r="B858" s="35"/>
      <c r="C858" s="35"/>
      <c r="D858" s="35"/>
      <c r="E858" s="35"/>
      <c r="F858" s="35"/>
      <c r="G858" s="35"/>
      <c r="H858" s="35"/>
      <c r="I858" s="35"/>
      <c r="J858" s="35"/>
      <c r="K858" s="35"/>
      <c r="L858" s="36"/>
      <c r="M858" s="35"/>
      <c r="N858" s="35"/>
      <c r="O858" s="35"/>
      <c r="P858" s="35"/>
      <c r="Q858" s="35"/>
      <c r="R858" s="35"/>
      <c r="S858" s="35"/>
      <c r="T858" s="35"/>
      <c r="U858" s="35"/>
      <c r="V858" s="35"/>
      <c r="W858" s="35"/>
      <c r="X858" s="35"/>
      <c r="Y858" s="35"/>
      <c r="Z858" s="35"/>
      <c r="AA858" s="35"/>
      <c r="AB858" s="35"/>
      <c r="AC858" s="35"/>
      <c r="AD858" s="35"/>
    </row>
    <row r="859" spans="1:30" x14ac:dyDescent="0.25">
      <c r="A859" s="35"/>
      <c r="B859" s="35"/>
      <c r="C859" s="35"/>
      <c r="D859" s="35"/>
      <c r="E859" s="35"/>
      <c r="F859" s="35"/>
      <c r="G859" s="35"/>
      <c r="H859" s="35"/>
      <c r="I859" s="35"/>
      <c r="J859" s="35"/>
      <c r="K859" s="35"/>
      <c r="L859" s="36"/>
      <c r="M859" s="35"/>
      <c r="N859" s="35"/>
      <c r="O859" s="35"/>
      <c r="P859" s="35"/>
      <c r="Q859" s="35"/>
      <c r="R859" s="35"/>
      <c r="S859" s="35"/>
      <c r="T859" s="35"/>
      <c r="U859" s="35"/>
      <c r="V859" s="35"/>
      <c r="W859" s="35"/>
      <c r="X859" s="35"/>
      <c r="Y859" s="35"/>
      <c r="Z859" s="35"/>
      <c r="AA859" s="35"/>
      <c r="AB859" s="35"/>
      <c r="AC859" s="35"/>
      <c r="AD859" s="35"/>
    </row>
    <row r="860" spans="1:30" x14ac:dyDescent="0.25">
      <c r="A860" s="35"/>
      <c r="B860" s="35"/>
      <c r="C860" s="35"/>
      <c r="D860" s="35"/>
      <c r="E860" s="35"/>
      <c r="F860" s="35"/>
      <c r="G860" s="35"/>
      <c r="H860" s="35"/>
      <c r="I860" s="35"/>
      <c r="J860" s="35"/>
      <c r="K860" s="35"/>
      <c r="L860" s="36"/>
      <c r="M860" s="35"/>
      <c r="N860" s="35"/>
      <c r="O860" s="35"/>
      <c r="P860" s="35"/>
      <c r="Q860" s="35"/>
      <c r="R860" s="35"/>
      <c r="S860" s="35"/>
      <c r="T860" s="35"/>
      <c r="U860" s="35"/>
      <c r="V860" s="35"/>
      <c r="W860" s="35"/>
      <c r="X860" s="35"/>
      <c r="Y860" s="35"/>
      <c r="Z860" s="35"/>
      <c r="AA860" s="35"/>
      <c r="AB860" s="35"/>
      <c r="AC860" s="35"/>
      <c r="AD860" s="35"/>
    </row>
    <row r="861" spans="1:30" x14ac:dyDescent="0.25">
      <c r="A861" s="35"/>
      <c r="B861" s="35"/>
      <c r="C861" s="35"/>
      <c r="D861" s="35"/>
      <c r="E861" s="35"/>
      <c r="F861" s="35"/>
      <c r="G861" s="35"/>
      <c r="H861" s="35"/>
      <c r="I861" s="35"/>
      <c r="J861" s="35"/>
      <c r="K861" s="35"/>
      <c r="L861" s="36"/>
      <c r="M861" s="35"/>
      <c r="N861" s="35"/>
      <c r="O861" s="35"/>
      <c r="P861" s="35"/>
      <c r="Q861" s="35"/>
      <c r="R861" s="35"/>
      <c r="S861" s="35"/>
      <c r="T861" s="35"/>
      <c r="U861" s="35"/>
      <c r="V861" s="35"/>
      <c r="W861" s="35"/>
      <c r="X861" s="35"/>
      <c r="Y861" s="35"/>
      <c r="Z861" s="35"/>
      <c r="AA861" s="35"/>
      <c r="AB861" s="35"/>
      <c r="AC861" s="35"/>
      <c r="AD861" s="35"/>
    </row>
    <row r="862" spans="1:30" x14ac:dyDescent="0.25">
      <c r="A862" s="35"/>
      <c r="B862" s="35"/>
      <c r="C862" s="35"/>
      <c r="D862" s="35"/>
      <c r="E862" s="35"/>
      <c r="F862" s="35"/>
      <c r="G862" s="35"/>
      <c r="H862" s="35"/>
      <c r="I862" s="35"/>
      <c r="J862" s="35"/>
      <c r="K862" s="35"/>
      <c r="L862" s="36"/>
      <c r="M862" s="35"/>
      <c r="N862" s="35"/>
      <c r="O862" s="35"/>
      <c r="P862" s="35"/>
      <c r="Q862" s="35"/>
      <c r="R862" s="35"/>
      <c r="S862" s="35"/>
      <c r="T862" s="35"/>
      <c r="U862" s="35"/>
      <c r="V862" s="35"/>
      <c r="W862" s="35"/>
      <c r="X862" s="35"/>
      <c r="Y862" s="35"/>
      <c r="Z862" s="35"/>
      <c r="AA862" s="35"/>
      <c r="AB862" s="35"/>
      <c r="AC862" s="35"/>
      <c r="AD862" s="35"/>
    </row>
    <row r="863" spans="1:30" x14ac:dyDescent="0.25">
      <c r="A863" s="35"/>
      <c r="B863" s="35"/>
      <c r="C863" s="35"/>
      <c r="D863" s="35"/>
      <c r="E863" s="35"/>
      <c r="F863" s="35"/>
      <c r="G863" s="35"/>
      <c r="H863" s="35"/>
      <c r="I863" s="35"/>
      <c r="J863" s="35"/>
      <c r="K863" s="35"/>
      <c r="L863" s="36"/>
      <c r="M863" s="35"/>
      <c r="N863" s="35"/>
      <c r="O863" s="35"/>
      <c r="P863" s="35"/>
      <c r="Q863" s="35"/>
      <c r="R863" s="35"/>
      <c r="S863" s="35"/>
      <c r="T863" s="35"/>
      <c r="U863" s="35"/>
      <c r="V863" s="35"/>
      <c r="W863" s="35"/>
      <c r="X863" s="35"/>
      <c r="Y863" s="35"/>
      <c r="Z863" s="35"/>
      <c r="AA863" s="35"/>
      <c r="AB863" s="35"/>
      <c r="AC863" s="35"/>
      <c r="AD863" s="35"/>
    </row>
    <row r="864" spans="1:30" x14ac:dyDescent="0.25">
      <c r="A864" s="35"/>
      <c r="B864" s="35"/>
      <c r="C864" s="35"/>
      <c r="D864" s="35"/>
      <c r="E864" s="35"/>
      <c r="F864" s="35"/>
      <c r="G864" s="35"/>
      <c r="H864" s="35"/>
      <c r="I864" s="35"/>
      <c r="J864" s="35"/>
      <c r="K864" s="35"/>
      <c r="L864" s="36"/>
      <c r="M864" s="35"/>
      <c r="N864" s="35"/>
      <c r="O864" s="35"/>
      <c r="P864" s="35"/>
      <c r="Q864" s="35"/>
      <c r="R864" s="35"/>
      <c r="S864" s="35"/>
      <c r="T864" s="35"/>
      <c r="U864" s="35"/>
      <c r="V864" s="35"/>
      <c r="W864" s="35"/>
      <c r="X864" s="35"/>
      <c r="Y864" s="35"/>
      <c r="Z864" s="35"/>
      <c r="AA864" s="35"/>
      <c r="AB864" s="35"/>
      <c r="AC864" s="35"/>
      <c r="AD864" s="35"/>
    </row>
    <row r="865" spans="1:30" x14ac:dyDescent="0.25">
      <c r="A865" s="35"/>
      <c r="B865" s="35"/>
      <c r="C865" s="35"/>
      <c r="D865" s="35"/>
      <c r="E865" s="35"/>
      <c r="F865" s="35"/>
      <c r="G865" s="35"/>
      <c r="H865" s="35"/>
      <c r="I865" s="35"/>
      <c r="J865" s="35"/>
      <c r="K865" s="35"/>
      <c r="L865" s="36"/>
      <c r="M865" s="35"/>
      <c r="N865" s="35"/>
      <c r="O865" s="35"/>
      <c r="P865" s="35"/>
      <c r="Q865" s="35"/>
      <c r="R865" s="35"/>
      <c r="S865" s="35"/>
      <c r="T865" s="35"/>
      <c r="U865" s="35"/>
      <c r="V865" s="35"/>
      <c r="W865" s="35"/>
      <c r="X865" s="35"/>
      <c r="Y865" s="35"/>
      <c r="Z865" s="35"/>
      <c r="AA865" s="35"/>
      <c r="AB865" s="35"/>
      <c r="AC865" s="35"/>
      <c r="AD865" s="35"/>
    </row>
    <row r="866" spans="1:30" x14ac:dyDescent="0.25">
      <c r="A866" s="35"/>
      <c r="B866" s="35"/>
      <c r="C866" s="35"/>
      <c r="D866" s="35"/>
      <c r="E866" s="35"/>
      <c r="F866" s="35"/>
      <c r="G866" s="35"/>
      <c r="H866" s="35"/>
      <c r="I866" s="35"/>
      <c r="J866" s="35"/>
      <c r="K866" s="35"/>
      <c r="L866" s="36"/>
      <c r="M866" s="35"/>
      <c r="N866" s="35"/>
      <c r="O866" s="35"/>
      <c r="P866" s="35"/>
      <c r="Q866" s="35"/>
      <c r="R866" s="35"/>
      <c r="S866" s="35"/>
      <c r="T866" s="35"/>
      <c r="U866" s="35"/>
      <c r="V866" s="35"/>
      <c r="W866" s="35"/>
      <c r="X866" s="35"/>
      <c r="Y866" s="35"/>
      <c r="Z866" s="35"/>
      <c r="AA866" s="35"/>
      <c r="AB866" s="35"/>
      <c r="AC866" s="35"/>
      <c r="AD866" s="35"/>
    </row>
    <row r="867" spans="1:30" x14ac:dyDescent="0.25">
      <c r="A867" s="35"/>
      <c r="B867" s="35"/>
      <c r="C867" s="35"/>
      <c r="D867" s="35"/>
      <c r="E867" s="35"/>
      <c r="F867" s="35"/>
      <c r="G867" s="35"/>
      <c r="H867" s="35"/>
      <c r="I867" s="35"/>
      <c r="J867" s="35"/>
      <c r="K867" s="35"/>
      <c r="L867" s="36"/>
      <c r="M867" s="35"/>
      <c r="N867" s="35"/>
      <c r="O867" s="35"/>
      <c r="P867" s="35"/>
      <c r="Q867" s="35"/>
      <c r="R867" s="35"/>
      <c r="S867" s="35"/>
      <c r="T867" s="35"/>
      <c r="U867" s="35"/>
      <c r="V867" s="35"/>
      <c r="W867" s="35"/>
      <c r="X867" s="35"/>
      <c r="Y867" s="35"/>
      <c r="Z867" s="35"/>
      <c r="AA867" s="35"/>
      <c r="AB867" s="35"/>
      <c r="AC867" s="35"/>
      <c r="AD867" s="35"/>
    </row>
    <row r="868" spans="1:30" x14ac:dyDescent="0.25">
      <c r="A868" s="35"/>
      <c r="B868" s="35"/>
      <c r="C868" s="35"/>
      <c r="D868" s="35"/>
      <c r="E868" s="35"/>
      <c r="F868" s="35"/>
      <c r="G868" s="35"/>
      <c r="H868" s="35"/>
      <c r="I868" s="35"/>
      <c r="J868" s="35"/>
      <c r="K868" s="35"/>
      <c r="L868" s="36"/>
      <c r="M868" s="35"/>
      <c r="N868" s="35"/>
      <c r="O868" s="35"/>
      <c r="P868" s="35"/>
      <c r="Q868" s="35"/>
      <c r="R868" s="35"/>
      <c r="S868" s="35"/>
      <c r="T868" s="35"/>
      <c r="U868" s="35"/>
      <c r="V868" s="35"/>
      <c r="W868" s="35"/>
      <c r="X868" s="35"/>
      <c r="Y868" s="35"/>
      <c r="Z868" s="35"/>
      <c r="AA868" s="35"/>
      <c r="AB868" s="35"/>
      <c r="AC868" s="35"/>
      <c r="AD868" s="35"/>
    </row>
    <row r="869" spans="1:30" x14ac:dyDescent="0.25">
      <c r="A869" s="35"/>
      <c r="B869" s="35"/>
      <c r="C869" s="35"/>
      <c r="D869" s="35"/>
      <c r="E869" s="35"/>
      <c r="F869" s="35"/>
      <c r="G869" s="35"/>
      <c r="H869" s="35"/>
      <c r="I869" s="35"/>
      <c r="J869" s="35"/>
      <c r="K869" s="35"/>
      <c r="L869" s="36"/>
      <c r="M869" s="35"/>
      <c r="N869" s="35"/>
      <c r="O869" s="35"/>
      <c r="P869" s="35"/>
      <c r="Q869" s="35"/>
      <c r="R869" s="35"/>
      <c r="S869" s="35"/>
      <c r="T869" s="35"/>
      <c r="U869" s="35"/>
      <c r="V869" s="35"/>
      <c r="W869" s="35"/>
      <c r="X869" s="35"/>
      <c r="Y869" s="35"/>
      <c r="Z869" s="35"/>
      <c r="AA869" s="35"/>
      <c r="AB869" s="35"/>
      <c r="AC869" s="35"/>
      <c r="AD869" s="35"/>
    </row>
    <row r="870" spans="1:30" x14ac:dyDescent="0.25">
      <c r="A870" s="35"/>
      <c r="B870" s="35"/>
      <c r="C870" s="35"/>
      <c r="D870" s="35"/>
      <c r="E870" s="35"/>
      <c r="F870" s="35"/>
      <c r="G870" s="35"/>
      <c r="H870" s="35"/>
      <c r="I870" s="35"/>
      <c r="J870" s="35"/>
      <c r="K870" s="35"/>
      <c r="L870" s="36"/>
      <c r="M870" s="35"/>
      <c r="N870" s="35"/>
      <c r="O870" s="35"/>
      <c r="P870" s="35"/>
      <c r="Q870" s="35"/>
      <c r="R870" s="35"/>
      <c r="S870" s="35"/>
      <c r="T870" s="35"/>
      <c r="U870" s="35"/>
      <c r="V870" s="35"/>
      <c r="W870" s="35"/>
      <c r="X870" s="35"/>
      <c r="Y870" s="35"/>
      <c r="Z870" s="35"/>
      <c r="AA870" s="35"/>
      <c r="AB870" s="35"/>
      <c r="AC870" s="35"/>
      <c r="AD870" s="35"/>
    </row>
    <row r="871" spans="1:30" x14ac:dyDescent="0.25">
      <c r="A871" s="35"/>
      <c r="B871" s="35"/>
      <c r="C871" s="35"/>
      <c r="D871" s="35"/>
      <c r="E871" s="35"/>
      <c r="F871" s="35"/>
      <c r="G871" s="35"/>
      <c r="H871" s="35"/>
      <c r="I871" s="35"/>
      <c r="J871" s="35"/>
      <c r="K871" s="35"/>
      <c r="L871" s="36"/>
      <c r="M871" s="35"/>
      <c r="N871" s="35"/>
      <c r="O871" s="35"/>
      <c r="P871" s="35"/>
      <c r="Q871" s="35"/>
      <c r="R871" s="35"/>
      <c r="S871" s="35"/>
      <c r="T871" s="35"/>
      <c r="U871" s="35"/>
      <c r="V871" s="35"/>
      <c r="W871" s="35"/>
      <c r="X871" s="35"/>
      <c r="Y871" s="35"/>
      <c r="Z871" s="35"/>
      <c r="AA871" s="35"/>
      <c r="AB871" s="35"/>
      <c r="AC871" s="35"/>
      <c r="AD871" s="35"/>
    </row>
    <row r="872" spans="1:30" x14ac:dyDescent="0.25">
      <c r="A872" s="35"/>
      <c r="B872" s="35"/>
      <c r="C872" s="35"/>
      <c r="D872" s="35"/>
      <c r="E872" s="35"/>
      <c r="F872" s="35"/>
      <c r="G872" s="35"/>
      <c r="H872" s="35"/>
      <c r="I872" s="35"/>
      <c r="J872" s="35"/>
      <c r="K872" s="35"/>
      <c r="L872" s="36"/>
      <c r="M872" s="35"/>
      <c r="N872" s="35"/>
      <c r="O872" s="35"/>
      <c r="P872" s="35"/>
      <c r="Q872" s="35"/>
      <c r="R872" s="35"/>
      <c r="S872" s="35"/>
      <c r="T872" s="35"/>
      <c r="U872" s="35"/>
      <c r="V872" s="35"/>
      <c r="W872" s="35"/>
      <c r="X872" s="35"/>
      <c r="Y872" s="35"/>
      <c r="Z872" s="35"/>
      <c r="AA872" s="35"/>
      <c r="AB872" s="35"/>
      <c r="AC872" s="35"/>
      <c r="AD872" s="35"/>
    </row>
    <row r="873" spans="1:30" x14ac:dyDescent="0.25">
      <c r="A873" s="35"/>
      <c r="B873" s="35"/>
      <c r="C873" s="35"/>
      <c r="D873" s="35"/>
      <c r="E873" s="35"/>
      <c r="F873" s="35"/>
      <c r="G873" s="35"/>
      <c r="H873" s="35"/>
      <c r="I873" s="35"/>
      <c r="J873" s="35"/>
      <c r="K873" s="35"/>
      <c r="L873" s="36"/>
      <c r="M873" s="35"/>
      <c r="N873" s="35"/>
      <c r="O873" s="35"/>
      <c r="P873" s="35"/>
      <c r="Q873" s="35"/>
      <c r="R873" s="35"/>
      <c r="S873" s="35"/>
      <c r="T873" s="35"/>
      <c r="U873" s="35"/>
      <c r="V873" s="35"/>
      <c r="W873" s="35"/>
      <c r="X873" s="35"/>
      <c r="Y873" s="35"/>
      <c r="Z873" s="35"/>
      <c r="AA873" s="35"/>
      <c r="AB873" s="35"/>
      <c r="AC873" s="35"/>
      <c r="AD873" s="35"/>
    </row>
    <row r="874" spans="1:30" x14ac:dyDescent="0.25">
      <c r="A874" s="35"/>
      <c r="B874" s="35"/>
      <c r="C874" s="35"/>
      <c r="D874" s="35"/>
      <c r="E874" s="35"/>
      <c r="F874" s="35"/>
      <c r="G874" s="35"/>
      <c r="H874" s="35"/>
      <c r="I874" s="35"/>
      <c r="J874" s="35"/>
      <c r="K874" s="35"/>
      <c r="L874" s="36"/>
      <c r="M874" s="35"/>
      <c r="N874" s="35"/>
      <c r="O874" s="35"/>
      <c r="P874" s="35"/>
      <c r="Q874" s="35"/>
      <c r="R874" s="35"/>
      <c r="S874" s="35"/>
      <c r="T874" s="35"/>
      <c r="U874" s="35"/>
      <c r="V874" s="35"/>
      <c r="W874" s="35"/>
      <c r="X874" s="35"/>
      <c r="Y874" s="35"/>
      <c r="Z874" s="35"/>
      <c r="AA874" s="35"/>
      <c r="AB874" s="35"/>
      <c r="AC874" s="35"/>
      <c r="AD874" s="35"/>
    </row>
    <row r="875" spans="1:30" x14ac:dyDescent="0.25">
      <c r="A875" s="35"/>
      <c r="B875" s="35"/>
      <c r="C875" s="35"/>
      <c r="D875" s="35"/>
      <c r="E875" s="35"/>
      <c r="F875" s="35"/>
      <c r="G875" s="35"/>
      <c r="H875" s="35"/>
      <c r="I875" s="35"/>
      <c r="J875" s="35"/>
      <c r="K875" s="35"/>
      <c r="L875" s="36"/>
      <c r="M875" s="35"/>
      <c r="N875" s="35"/>
      <c r="O875" s="35"/>
      <c r="P875" s="35"/>
      <c r="Q875" s="35"/>
      <c r="R875" s="35"/>
      <c r="S875" s="35"/>
      <c r="T875" s="35"/>
      <c r="U875" s="35"/>
      <c r="V875" s="35"/>
      <c r="W875" s="35"/>
      <c r="X875" s="35"/>
      <c r="Y875" s="35"/>
      <c r="Z875" s="35"/>
      <c r="AA875" s="35"/>
      <c r="AB875" s="35"/>
      <c r="AC875" s="35"/>
      <c r="AD875" s="35"/>
    </row>
    <row r="876" spans="1:30" x14ac:dyDescent="0.25">
      <c r="A876" s="35"/>
      <c r="B876" s="35"/>
      <c r="C876" s="35"/>
      <c r="D876" s="35"/>
      <c r="E876" s="35"/>
      <c r="F876" s="35"/>
      <c r="G876" s="35"/>
      <c r="H876" s="35"/>
      <c r="I876" s="35"/>
      <c r="J876" s="35"/>
      <c r="K876" s="35"/>
      <c r="L876" s="36"/>
      <c r="M876" s="35"/>
      <c r="N876" s="35"/>
      <c r="O876" s="35"/>
      <c r="P876" s="35"/>
      <c r="Q876" s="35"/>
      <c r="R876" s="35"/>
      <c r="S876" s="35"/>
      <c r="T876" s="35"/>
      <c r="U876" s="35"/>
      <c r="V876" s="35"/>
      <c r="W876" s="35"/>
      <c r="X876" s="35"/>
      <c r="Y876" s="35"/>
      <c r="Z876" s="35"/>
      <c r="AA876" s="35"/>
      <c r="AB876" s="35"/>
      <c r="AC876" s="35"/>
      <c r="AD876" s="35"/>
    </row>
    <row r="877" spans="1:30" x14ac:dyDescent="0.25">
      <c r="A877" s="35"/>
      <c r="B877" s="35"/>
      <c r="C877" s="35"/>
      <c r="D877" s="35"/>
      <c r="E877" s="35"/>
      <c r="F877" s="35"/>
      <c r="G877" s="35"/>
      <c r="H877" s="35"/>
      <c r="I877" s="35"/>
      <c r="J877" s="35"/>
      <c r="K877" s="35"/>
      <c r="L877" s="36"/>
      <c r="M877" s="35"/>
      <c r="N877" s="35"/>
      <c r="O877" s="35"/>
      <c r="P877" s="35"/>
      <c r="Q877" s="35"/>
      <c r="R877" s="35"/>
      <c r="S877" s="35"/>
      <c r="T877" s="35"/>
      <c r="U877" s="35"/>
      <c r="V877" s="35"/>
      <c r="W877" s="35"/>
      <c r="X877" s="35"/>
      <c r="Y877" s="35"/>
      <c r="Z877" s="35"/>
      <c r="AA877" s="35"/>
      <c r="AB877" s="35"/>
      <c r="AC877" s="35"/>
      <c r="AD877" s="35"/>
    </row>
    <row r="878" spans="1:30" x14ac:dyDescent="0.25">
      <c r="A878" s="35"/>
      <c r="B878" s="35"/>
      <c r="C878" s="35"/>
      <c r="D878" s="35"/>
      <c r="E878" s="35"/>
      <c r="F878" s="35"/>
      <c r="G878" s="35"/>
      <c r="H878" s="35"/>
      <c r="I878" s="35"/>
      <c r="J878" s="35"/>
      <c r="K878" s="35"/>
      <c r="L878" s="36"/>
      <c r="M878" s="35"/>
      <c r="N878" s="35"/>
      <c r="O878" s="35"/>
      <c r="P878" s="35"/>
      <c r="Q878" s="35"/>
      <c r="R878" s="35"/>
      <c r="S878" s="35"/>
      <c r="T878" s="35"/>
      <c r="U878" s="35"/>
      <c r="V878" s="35"/>
      <c r="W878" s="35"/>
      <c r="X878" s="35"/>
      <c r="Y878" s="35"/>
      <c r="Z878" s="35"/>
      <c r="AA878" s="35"/>
      <c r="AB878" s="35"/>
      <c r="AC878" s="35"/>
      <c r="AD878" s="35"/>
    </row>
    <row r="879" spans="1:30" x14ac:dyDescent="0.25">
      <c r="A879" s="35"/>
      <c r="B879" s="35"/>
      <c r="C879" s="35"/>
      <c r="D879" s="35"/>
      <c r="E879" s="35"/>
      <c r="F879" s="35"/>
      <c r="G879" s="35"/>
      <c r="H879" s="35"/>
      <c r="I879" s="35"/>
      <c r="J879" s="35"/>
      <c r="K879" s="35"/>
      <c r="L879" s="36"/>
      <c r="M879" s="35"/>
      <c r="N879" s="35"/>
      <c r="O879" s="35"/>
      <c r="P879" s="35"/>
      <c r="Q879" s="35"/>
      <c r="R879" s="35"/>
      <c r="S879" s="35"/>
      <c r="T879" s="35"/>
      <c r="U879" s="35"/>
      <c r="V879" s="35"/>
      <c r="W879" s="35"/>
      <c r="X879" s="35"/>
      <c r="Y879" s="35"/>
      <c r="Z879" s="35"/>
      <c r="AA879" s="35"/>
      <c r="AB879" s="35"/>
      <c r="AC879" s="35"/>
      <c r="AD879" s="35"/>
    </row>
    <row r="880" spans="1:30" x14ac:dyDescent="0.25">
      <c r="A880" s="35"/>
      <c r="B880" s="35"/>
      <c r="C880" s="35"/>
      <c r="D880" s="35"/>
      <c r="E880" s="35"/>
      <c r="F880" s="35"/>
      <c r="G880" s="35"/>
      <c r="H880" s="35"/>
      <c r="I880" s="35"/>
      <c r="J880" s="35"/>
      <c r="K880" s="35"/>
      <c r="L880" s="36"/>
      <c r="M880" s="35"/>
      <c r="N880" s="35"/>
      <c r="O880" s="35"/>
      <c r="P880" s="35"/>
      <c r="Q880" s="35"/>
      <c r="R880" s="35"/>
      <c r="S880" s="35"/>
      <c r="T880" s="35"/>
      <c r="U880" s="35"/>
      <c r="V880" s="35"/>
      <c r="W880" s="35"/>
      <c r="X880" s="35"/>
      <c r="Y880" s="35"/>
      <c r="Z880" s="35"/>
      <c r="AA880" s="35"/>
      <c r="AB880" s="35"/>
      <c r="AC880" s="35"/>
      <c r="AD880" s="35"/>
    </row>
    <row r="881" spans="1:30" x14ac:dyDescent="0.25">
      <c r="A881" s="35"/>
      <c r="B881" s="35"/>
      <c r="C881" s="35"/>
      <c r="D881" s="35"/>
      <c r="E881" s="35"/>
      <c r="F881" s="35"/>
      <c r="G881" s="35"/>
      <c r="H881" s="35"/>
      <c r="I881" s="35"/>
      <c r="J881" s="35"/>
      <c r="K881" s="35"/>
      <c r="L881" s="36"/>
      <c r="M881" s="35"/>
      <c r="N881" s="35"/>
      <c r="O881" s="35"/>
      <c r="P881" s="35"/>
      <c r="Q881" s="35"/>
      <c r="R881" s="35"/>
      <c r="S881" s="35"/>
      <c r="T881" s="35"/>
      <c r="U881" s="35"/>
      <c r="V881" s="35"/>
      <c r="W881" s="35"/>
      <c r="X881" s="35"/>
      <c r="Y881" s="35"/>
      <c r="Z881" s="35"/>
      <c r="AA881" s="35"/>
      <c r="AB881" s="35"/>
      <c r="AC881" s="35"/>
      <c r="AD881" s="35"/>
    </row>
    <row r="882" spans="1:30" x14ac:dyDescent="0.25">
      <c r="A882" s="35"/>
      <c r="B882" s="35"/>
      <c r="C882" s="35"/>
      <c r="D882" s="35"/>
      <c r="E882" s="35"/>
      <c r="F882" s="35"/>
      <c r="G882" s="35"/>
      <c r="H882" s="35"/>
      <c r="I882" s="35"/>
      <c r="J882" s="35"/>
      <c r="K882" s="35"/>
      <c r="L882" s="36"/>
      <c r="M882" s="35"/>
      <c r="N882" s="35"/>
      <c r="O882" s="35"/>
      <c r="P882" s="35"/>
      <c r="Q882" s="35"/>
      <c r="R882" s="35"/>
      <c r="S882" s="35"/>
      <c r="T882" s="35"/>
      <c r="U882" s="35"/>
      <c r="V882" s="35"/>
      <c r="W882" s="35"/>
      <c r="X882" s="35"/>
      <c r="Y882" s="35"/>
      <c r="Z882" s="35"/>
      <c r="AA882" s="35"/>
      <c r="AB882" s="35"/>
      <c r="AC882" s="35"/>
      <c r="AD882" s="35"/>
    </row>
    <row r="883" spans="1:30" x14ac:dyDescent="0.25">
      <c r="A883" s="35"/>
      <c r="B883" s="35"/>
      <c r="C883" s="35"/>
      <c r="D883" s="35"/>
      <c r="E883" s="35"/>
      <c r="F883" s="35"/>
      <c r="G883" s="35"/>
      <c r="H883" s="35"/>
      <c r="I883" s="35"/>
      <c r="J883" s="35"/>
      <c r="K883" s="35"/>
      <c r="L883" s="36"/>
      <c r="M883" s="35"/>
      <c r="N883" s="35"/>
      <c r="O883" s="35"/>
      <c r="P883" s="35"/>
      <c r="Q883" s="35"/>
      <c r="R883" s="35"/>
      <c r="S883" s="35"/>
      <c r="T883" s="35"/>
      <c r="U883" s="35"/>
      <c r="V883" s="35"/>
      <c r="W883" s="35"/>
      <c r="X883" s="35"/>
      <c r="Y883" s="35"/>
      <c r="Z883" s="35"/>
      <c r="AA883" s="35"/>
      <c r="AB883" s="35"/>
      <c r="AC883" s="35"/>
      <c r="AD883" s="35"/>
    </row>
    <row r="884" spans="1:30" x14ac:dyDescent="0.25">
      <c r="A884" s="35"/>
      <c r="B884" s="35"/>
      <c r="C884" s="35"/>
      <c r="D884" s="35"/>
      <c r="E884" s="35"/>
      <c r="F884" s="35"/>
      <c r="G884" s="35"/>
      <c r="H884" s="35"/>
      <c r="I884" s="35"/>
      <c r="J884" s="35"/>
      <c r="K884" s="35"/>
      <c r="L884" s="36"/>
      <c r="M884" s="35"/>
      <c r="N884" s="35"/>
      <c r="O884" s="35"/>
      <c r="P884" s="35"/>
      <c r="Q884" s="35"/>
      <c r="R884" s="35"/>
      <c r="S884" s="35"/>
      <c r="T884" s="35"/>
      <c r="U884" s="35"/>
      <c r="V884" s="35"/>
      <c r="W884" s="35"/>
      <c r="X884" s="35"/>
      <c r="Y884" s="35"/>
      <c r="Z884" s="35"/>
      <c r="AA884" s="35"/>
      <c r="AB884" s="35"/>
      <c r="AC884" s="35"/>
      <c r="AD884" s="35"/>
    </row>
    <row r="885" spans="1:30" x14ac:dyDescent="0.25">
      <c r="A885" s="35"/>
      <c r="B885" s="35"/>
      <c r="C885" s="35"/>
      <c r="D885" s="35"/>
      <c r="E885" s="35"/>
      <c r="F885" s="35"/>
      <c r="G885" s="35"/>
      <c r="H885" s="35"/>
      <c r="I885" s="35"/>
      <c r="J885" s="35"/>
      <c r="K885" s="35"/>
      <c r="L885" s="36"/>
      <c r="M885" s="35"/>
      <c r="N885" s="35"/>
      <c r="O885" s="35"/>
      <c r="P885" s="35"/>
      <c r="Q885" s="35"/>
      <c r="R885" s="35"/>
      <c r="S885" s="35"/>
      <c r="T885" s="35"/>
      <c r="U885" s="35"/>
      <c r="V885" s="35"/>
      <c r="W885" s="35"/>
      <c r="X885" s="35"/>
      <c r="Y885" s="35"/>
      <c r="Z885" s="35"/>
      <c r="AA885" s="35"/>
      <c r="AB885" s="35"/>
      <c r="AC885" s="35"/>
      <c r="AD885" s="35"/>
    </row>
    <row r="886" spans="1:30" x14ac:dyDescent="0.25">
      <c r="A886" s="35"/>
      <c r="B886" s="35"/>
      <c r="C886" s="35"/>
      <c r="D886" s="35"/>
      <c r="E886" s="35"/>
      <c r="F886" s="35"/>
      <c r="G886" s="35"/>
      <c r="H886" s="35"/>
      <c r="I886" s="35"/>
      <c r="J886" s="35"/>
      <c r="K886" s="35"/>
      <c r="L886" s="36"/>
      <c r="M886" s="35"/>
      <c r="N886" s="35"/>
      <c r="O886" s="35"/>
      <c r="P886" s="35"/>
      <c r="Q886" s="35"/>
      <c r="R886" s="35"/>
      <c r="S886" s="35"/>
      <c r="T886" s="35"/>
      <c r="U886" s="35"/>
      <c r="V886" s="35"/>
      <c r="W886" s="35"/>
      <c r="X886" s="35"/>
      <c r="Y886" s="35"/>
      <c r="Z886" s="35"/>
      <c r="AA886" s="35"/>
      <c r="AB886" s="35"/>
      <c r="AC886" s="35"/>
      <c r="AD886" s="35"/>
    </row>
    <row r="887" spans="1:30" x14ac:dyDescent="0.25">
      <c r="A887" s="35"/>
      <c r="B887" s="35"/>
      <c r="C887" s="35"/>
      <c r="D887" s="35"/>
      <c r="E887" s="35"/>
      <c r="F887" s="35"/>
      <c r="G887" s="35"/>
      <c r="H887" s="35"/>
      <c r="I887" s="35"/>
      <c r="J887" s="35"/>
      <c r="K887" s="35"/>
      <c r="L887" s="36"/>
      <c r="M887" s="35"/>
      <c r="N887" s="35"/>
      <c r="O887" s="35"/>
      <c r="P887" s="35"/>
      <c r="Q887" s="35"/>
      <c r="R887" s="35"/>
      <c r="S887" s="35"/>
      <c r="T887" s="35"/>
      <c r="U887" s="35"/>
      <c r="V887" s="35"/>
      <c r="W887" s="35"/>
      <c r="X887" s="35"/>
      <c r="Y887" s="35"/>
      <c r="Z887" s="35"/>
      <c r="AA887" s="35"/>
      <c r="AB887" s="35"/>
      <c r="AC887" s="35"/>
      <c r="AD887" s="35"/>
    </row>
    <row r="888" spans="1:30" x14ac:dyDescent="0.25">
      <c r="A888" s="35"/>
      <c r="B888" s="35"/>
      <c r="C888" s="35"/>
      <c r="D888" s="35"/>
      <c r="E888" s="35"/>
      <c r="F888" s="35"/>
      <c r="G888" s="35"/>
      <c r="H888" s="35"/>
      <c r="I888" s="35"/>
      <c r="J888" s="35"/>
      <c r="K888" s="35"/>
      <c r="L888" s="36"/>
      <c r="M888" s="35"/>
      <c r="N888" s="35"/>
      <c r="O888" s="35"/>
      <c r="P888" s="35"/>
      <c r="Q888" s="35"/>
      <c r="R888" s="35"/>
      <c r="S888" s="35"/>
      <c r="T888" s="35"/>
      <c r="U888" s="35"/>
      <c r="V888" s="35"/>
      <c r="W888" s="35"/>
      <c r="X888" s="35"/>
      <c r="Y888" s="35"/>
      <c r="Z888" s="35"/>
      <c r="AA888" s="35"/>
      <c r="AB888" s="35"/>
      <c r="AC888" s="35"/>
      <c r="AD888" s="35"/>
    </row>
    <row r="889" spans="1:30" x14ac:dyDescent="0.25">
      <c r="A889" s="35"/>
      <c r="B889" s="35"/>
      <c r="C889" s="35"/>
      <c r="D889" s="35"/>
      <c r="E889" s="35"/>
      <c r="F889" s="35"/>
      <c r="G889" s="35"/>
      <c r="H889" s="35"/>
      <c r="I889" s="35"/>
      <c r="J889" s="35"/>
      <c r="K889" s="35"/>
      <c r="L889" s="36"/>
      <c r="M889" s="35"/>
      <c r="N889" s="35"/>
      <c r="O889" s="35"/>
      <c r="P889" s="35"/>
      <c r="Q889" s="35"/>
      <c r="R889" s="35"/>
      <c r="S889" s="35"/>
      <c r="T889" s="35"/>
      <c r="U889" s="35"/>
      <c r="V889" s="35"/>
      <c r="W889" s="35"/>
      <c r="X889" s="35"/>
      <c r="Y889" s="35"/>
      <c r="Z889" s="35"/>
      <c r="AA889" s="35"/>
      <c r="AB889" s="35"/>
      <c r="AC889" s="35"/>
      <c r="AD889" s="35"/>
    </row>
    <row r="890" spans="1:30" x14ac:dyDescent="0.25">
      <c r="A890" s="35"/>
      <c r="B890" s="35"/>
      <c r="C890" s="35"/>
      <c r="D890" s="35"/>
      <c r="E890" s="35"/>
      <c r="F890" s="35"/>
      <c r="G890" s="35"/>
      <c r="H890" s="35"/>
      <c r="I890" s="35"/>
      <c r="J890" s="35"/>
      <c r="K890" s="35"/>
      <c r="L890" s="36"/>
      <c r="M890" s="35"/>
      <c r="N890" s="35"/>
      <c r="O890" s="35"/>
      <c r="P890" s="35"/>
      <c r="Q890" s="35"/>
      <c r="R890" s="35"/>
      <c r="S890" s="35"/>
      <c r="T890" s="35"/>
      <c r="U890" s="35"/>
      <c r="V890" s="35"/>
      <c r="W890" s="35"/>
      <c r="X890" s="35"/>
      <c r="Y890" s="35"/>
      <c r="Z890" s="35"/>
      <c r="AA890" s="35"/>
      <c r="AB890" s="35"/>
      <c r="AC890" s="35"/>
      <c r="AD890" s="35"/>
    </row>
    <row r="891" spans="1:30" x14ac:dyDescent="0.25">
      <c r="A891" s="35"/>
      <c r="B891" s="35"/>
      <c r="C891" s="35"/>
      <c r="D891" s="35"/>
      <c r="E891" s="35"/>
      <c r="F891" s="35"/>
      <c r="G891" s="35"/>
      <c r="H891" s="35"/>
      <c r="I891" s="35"/>
      <c r="J891" s="35"/>
      <c r="K891" s="35"/>
      <c r="L891" s="36"/>
      <c r="M891" s="35"/>
      <c r="N891" s="35"/>
      <c r="O891" s="35"/>
      <c r="P891" s="35"/>
      <c r="Q891" s="35"/>
      <c r="R891" s="35"/>
      <c r="S891" s="35"/>
      <c r="T891" s="35"/>
      <c r="U891" s="35"/>
      <c r="V891" s="35"/>
      <c r="W891" s="35"/>
      <c r="X891" s="35"/>
      <c r="Y891" s="35"/>
      <c r="Z891" s="35"/>
      <c r="AA891" s="35"/>
      <c r="AB891" s="35"/>
      <c r="AC891" s="35"/>
      <c r="AD891" s="35"/>
    </row>
    <row r="892" spans="1:30" x14ac:dyDescent="0.25">
      <c r="A892" s="35"/>
      <c r="B892" s="35"/>
      <c r="C892" s="35"/>
      <c r="D892" s="35"/>
      <c r="E892" s="35"/>
      <c r="F892" s="35"/>
      <c r="G892" s="35"/>
      <c r="H892" s="35"/>
      <c r="I892" s="35"/>
      <c r="J892" s="35"/>
      <c r="K892" s="35"/>
      <c r="L892" s="36"/>
      <c r="M892" s="35"/>
      <c r="N892" s="35"/>
      <c r="O892" s="35"/>
      <c r="P892" s="35"/>
      <c r="Q892" s="35"/>
      <c r="R892" s="35"/>
      <c r="S892" s="35"/>
      <c r="T892" s="35"/>
      <c r="U892" s="35"/>
      <c r="V892" s="35"/>
      <c r="W892" s="35"/>
      <c r="X892" s="35"/>
      <c r="Y892" s="35"/>
      <c r="Z892" s="35"/>
      <c r="AA892" s="35"/>
      <c r="AB892" s="35"/>
      <c r="AC892" s="35"/>
      <c r="AD892" s="35"/>
    </row>
    <row r="893" spans="1:30" x14ac:dyDescent="0.25">
      <c r="A893" s="35"/>
      <c r="B893" s="35"/>
      <c r="C893" s="35"/>
      <c r="D893" s="35"/>
      <c r="E893" s="35"/>
      <c r="F893" s="35"/>
      <c r="G893" s="35"/>
      <c r="H893" s="35"/>
      <c r="I893" s="35"/>
      <c r="J893" s="35"/>
      <c r="K893" s="35"/>
      <c r="L893" s="36"/>
      <c r="M893" s="35"/>
      <c r="N893" s="35"/>
      <c r="O893" s="35"/>
      <c r="P893" s="35"/>
      <c r="Q893" s="35"/>
      <c r="R893" s="35"/>
      <c r="S893" s="35"/>
      <c r="T893" s="35"/>
      <c r="U893" s="35"/>
      <c r="V893" s="35"/>
      <c r="W893" s="35"/>
      <c r="X893" s="35"/>
      <c r="Y893" s="35"/>
      <c r="Z893" s="35"/>
      <c r="AA893" s="35"/>
      <c r="AB893" s="35"/>
      <c r="AC893" s="35"/>
      <c r="AD893" s="35"/>
    </row>
    <row r="894" spans="1:30" x14ac:dyDescent="0.25">
      <c r="A894" s="35"/>
      <c r="B894" s="35"/>
      <c r="C894" s="35"/>
      <c r="D894" s="35"/>
      <c r="E894" s="35"/>
      <c r="F894" s="35"/>
      <c r="G894" s="35"/>
      <c r="H894" s="35"/>
      <c r="I894" s="35"/>
      <c r="J894" s="35"/>
      <c r="K894" s="35"/>
      <c r="L894" s="36"/>
      <c r="M894" s="35"/>
      <c r="N894" s="35"/>
      <c r="O894" s="35"/>
      <c r="P894" s="35"/>
      <c r="Q894" s="35"/>
      <c r="R894" s="35"/>
      <c r="S894" s="35"/>
      <c r="T894" s="35"/>
      <c r="U894" s="35"/>
      <c r="V894" s="35"/>
      <c r="W894" s="35"/>
      <c r="X894" s="35"/>
      <c r="Y894" s="35"/>
      <c r="Z894" s="35"/>
      <c r="AA894" s="35"/>
      <c r="AB894" s="35"/>
      <c r="AC894" s="35"/>
      <c r="AD894" s="35"/>
    </row>
    <row r="895" spans="1:30" x14ac:dyDescent="0.25">
      <c r="A895" s="35"/>
      <c r="B895" s="35"/>
      <c r="C895" s="35"/>
      <c r="D895" s="35"/>
      <c r="E895" s="35"/>
      <c r="F895" s="35"/>
      <c r="G895" s="35"/>
      <c r="H895" s="35"/>
      <c r="I895" s="35"/>
      <c r="J895" s="35"/>
      <c r="K895" s="35"/>
      <c r="L895" s="36"/>
      <c r="M895" s="35"/>
      <c r="N895" s="35"/>
      <c r="O895" s="35"/>
      <c r="P895" s="35"/>
      <c r="Q895" s="35"/>
      <c r="R895" s="35"/>
      <c r="S895" s="35"/>
      <c r="T895" s="35"/>
      <c r="U895" s="35"/>
      <c r="V895" s="35"/>
      <c r="W895" s="35"/>
      <c r="X895" s="35"/>
      <c r="Y895" s="35"/>
      <c r="Z895" s="35"/>
      <c r="AA895" s="35"/>
      <c r="AB895" s="35"/>
      <c r="AC895" s="35"/>
      <c r="AD895" s="35"/>
    </row>
    <row r="896" spans="1:30" x14ac:dyDescent="0.25">
      <c r="A896" s="35"/>
      <c r="B896" s="35"/>
      <c r="C896" s="35"/>
      <c r="D896" s="35"/>
      <c r="E896" s="35"/>
      <c r="F896" s="35"/>
      <c r="G896" s="35"/>
      <c r="H896" s="35"/>
      <c r="I896" s="35"/>
      <c r="J896" s="35"/>
      <c r="K896" s="35"/>
      <c r="L896" s="36"/>
      <c r="M896" s="35"/>
      <c r="N896" s="35"/>
      <c r="O896" s="35"/>
      <c r="P896" s="35"/>
      <c r="Q896" s="35"/>
      <c r="R896" s="35"/>
      <c r="S896" s="35"/>
      <c r="T896" s="35"/>
      <c r="U896" s="35"/>
      <c r="V896" s="35"/>
      <c r="W896" s="35"/>
      <c r="X896" s="35"/>
      <c r="Y896" s="35"/>
      <c r="Z896" s="35"/>
      <c r="AA896" s="35"/>
      <c r="AB896" s="35"/>
      <c r="AC896" s="35"/>
      <c r="AD896" s="35"/>
    </row>
    <row r="897" spans="1:30" x14ac:dyDescent="0.25">
      <c r="A897" s="35"/>
      <c r="B897" s="35"/>
      <c r="C897" s="35"/>
      <c r="D897" s="35"/>
      <c r="E897" s="35"/>
      <c r="F897" s="35"/>
      <c r="G897" s="35"/>
      <c r="H897" s="35"/>
      <c r="I897" s="35"/>
      <c r="J897" s="35"/>
      <c r="K897" s="35"/>
      <c r="L897" s="36"/>
      <c r="M897" s="35"/>
      <c r="N897" s="35"/>
      <c r="O897" s="35"/>
      <c r="P897" s="35"/>
      <c r="Q897" s="35"/>
      <c r="R897" s="35"/>
      <c r="S897" s="35"/>
      <c r="T897" s="35"/>
      <c r="U897" s="35"/>
      <c r="V897" s="35"/>
      <c r="W897" s="35"/>
      <c r="X897" s="35"/>
      <c r="Y897" s="35"/>
      <c r="Z897" s="35"/>
      <c r="AA897" s="35"/>
      <c r="AB897" s="35"/>
      <c r="AC897" s="35"/>
      <c r="AD897" s="35"/>
    </row>
    <row r="898" spans="1:30" x14ac:dyDescent="0.25">
      <c r="A898" s="35"/>
      <c r="B898" s="35"/>
      <c r="C898" s="35"/>
      <c r="D898" s="35"/>
      <c r="E898" s="35"/>
      <c r="F898" s="35"/>
      <c r="G898" s="35"/>
      <c r="H898" s="35"/>
      <c r="I898" s="35"/>
      <c r="J898" s="35"/>
      <c r="K898" s="35"/>
      <c r="L898" s="36"/>
      <c r="M898" s="35"/>
      <c r="N898" s="35"/>
      <c r="O898" s="35"/>
      <c r="P898" s="35"/>
      <c r="Q898" s="35"/>
      <c r="R898" s="35"/>
      <c r="S898" s="35"/>
      <c r="T898" s="35"/>
      <c r="U898" s="35"/>
      <c r="V898" s="35"/>
      <c r="W898" s="35"/>
      <c r="X898" s="35"/>
      <c r="Y898" s="35"/>
      <c r="Z898" s="35"/>
      <c r="AA898" s="35"/>
      <c r="AB898" s="35"/>
      <c r="AC898" s="35"/>
      <c r="AD898" s="35"/>
    </row>
    <row r="899" spans="1:30" x14ac:dyDescent="0.25">
      <c r="A899" s="35"/>
      <c r="B899" s="35"/>
      <c r="C899" s="35"/>
      <c r="D899" s="35"/>
      <c r="E899" s="35"/>
      <c r="F899" s="35"/>
      <c r="G899" s="35"/>
      <c r="H899" s="35"/>
      <c r="I899" s="35"/>
      <c r="J899" s="35"/>
      <c r="K899" s="35"/>
      <c r="L899" s="36"/>
      <c r="M899" s="35"/>
      <c r="N899" s="35"/>
      <c r="O899" s="35"/>
      <c r="P899" s="35"/>
      <c r="Q899" s="35"/>
      <c r="R899" s="35"/>
      <c r="S899" s="35"/>
      <c r="T899" s="35"/>
      <c r="U899" s="35"/>
      <c r="V899" s="35"/>
      <c r="W899" s="35"/>
      <c r="X899" s="35"/>
      <c r="Y899" s="35"/>
      <c r="Z899" s="35"/>
      <c r="AA899" s="35"/>
      <c r="AB899" s="35"/>
      <c r="AC899" s="35"/>
      <c r="AD899" s="35"/>
    </row>
    <row r="900" spans="1:30" x14ac:dyDescent="0.25">
      <c r="A900" s="35"/>
      <c r="B900" s="35"/>
      <c r="C900" s="35"/>
      <c r="D900" s="35"/>
      <c r="E900" s="35"/>
      <c r="F900" s="35"/>
      <c r="G900" s="35"/>
      <c r="H900" s="35"/>
      <c r="I900" s="35"/>
      <c r="J900" s="35"/>
      <c r="K900" s="35"/>
      <c r="L900" s="36"/>
      <c r="M900" s="35"/>
      <c r="N900" s="35"/>
      <c r="O900" s="35"/>
      <c r="P900" s="35"/>
      <c r="Q900" s="35"/>
      <c r="R900" s="35"/>
      <c r="S900" s="35"/>
      <c r="T900" s="35"/>
      <c r="U900" s="35"/>
      <c r="V900" s="35"/>
      <c r="W900" s="35"/>
      <c r="X900" s="35"/>
      <c r="Y900" s="35"/>
      <c r="Z900" s="35"/>
      <c r="AA900" s="35"/>
      <c r="AB900" s="35"/>
      <c r="AC900" s="35"/>
      <c r="AD900" s="35"/>
    </row>
    <row r="901" spans="1:30" x14ac:dyDescent="0.25">
      <c r="A901" s="35"/>
      <c r="B901" s="35"/>
      <c r="C901" s="35"/>
      <c r="D901" s="35"/>
      <c r="E901" s="35"/>
      <c r="F901" s="35"/>
      <c r="G901" s="35"/>
      <c r="H901" s="35"/>
      <c r="I901" s="35"/>
      <c r="J901" s="35"/>
      <c r="K901" s="35"/>
      <c r="L901" s="36"/>
      <c r="M901" s="35"/>
      <c r="N901" s="35"/>
      <c r="O901" s="35"/>
      <c r="P901" s="35"/>
      <c r="Q901" s="35"/>
      <c r="R901" s="35"/>
      <c r="S901" s="35"/>
      <c r="T901" s="35"/>
      <c r="U901" s="35"/>
      <c r="V901" s="35"/>
      <c r="W901" s="35"/>
      <c r="X901" s="35"/>
      <c r="Y901" s="35"/>
      <c r="Z901" s="35"/>
      <c r="AA901" s="35"/>
      <c r="AB901" s="35"/>
      <c r="AC901" s="35"/>
      <c r="AD901" s="35"/>
    </row>
    <row r="902" spans="1:30" x14ac:dyDescent="0.25">
      <c r="A902" s="35"/>
      <c r="B902" s="35"/>
      <c r="C902" s="35"/>
      <c r="D902" s="35"/>
      <c r="E902" s="35"/>
      <c r="F902" s="35"/>
      <c r="G902" s="35"/>
      <c r="H902" s="35"/>
      <c r="I902" s="35"/>
      <c r="J902" s="35"/>
      <c r="K902" s="35"/>
      <c r="L902" s="36"/>
      <c r="M902" s="35"/>
      <c r="N902" s="35"/>
      <c r="O902" s="35"/>
      <c r="P902" s="35"/>
      <c r="Q902" s="35"/>
      <c r="R902" s="35"/>
      <c r="S902" s="35"/>
      <c r="T902" s="35"/>
      <c r="U902" s="35"/>
      <c r="V902" s="35"/>
      <c r="W902" s="35"/>
      <c r="X902" s="35"/>
      <c r="Y902" s="35"/>
      <c r="Z902" s="35"/>
      <c r="AA902" s="35"/>
      <c r="AB902" s="35"/>
      <c r="AC902" s="35"/>
      <c r="AD902" s="35"/>
    </row>
    <row r="903" spans="1:30" x14ac:dyDescent="0.25">
      <c r="A903" s="35"/>
      <c r="B903" s="35"/>
      <c r="C903" s="35"/>
      <c r="D903" s="35"/>
      <c r="E903" s="35"/>
      <c r="F903" s="35"/>
      <c r="G903" s="35"/>
      <c r="H903" s="35"/>
      <c r="I903" s="35"/>
      <c r="J903" s="35"/>
      <c r="K903" s="35"/>
      <c r="L903" s="36"/>
      <c r="M903" s="35"/>
      <c r="N903" s="35"/>
      <c r="O903" s="35"/>
      <c r="P903" s="35"/>
      <c r="Q903" s="35"/>
      <c r="R903" s="35"/>
      <c r="S903" s="35"/>
      <c r="T903" s="35"/>
      <c r="U903" s="35"/>
      <c r="V903" s="35"/>
      <c r="W903" s="35"/>
      <c r="X903" s="35"/>
      <c r="Y903" s="35"/>
      <c r="Z903" s="35"/>
      <c r="AA903" s="35"/>
      <c r="AB903" s="35"/>
      <c r="AC903" s="35"/>
      <c r="AD903" s="35"/>
    </row>
    <row r="904" spans="1:30" x14ac:dyDescent="0.25">
      <c r="A904" s="35"/>
      <c r="B904" s="35"/>
      <c r="C904" s="35"/>
      <c r="D904" s="35"/>
      <c r="E904" s="35"/>
      <c r="F904" s="35"/>
      <c r="G904" s="35"/>
      <c r="H904" s="35"/>
      <c r="I904" s="35"/>
      <c r="J904" s="35"/>
      <c r="K904" s="35"/>
      <c r="L904" s="36"/>
      <c r="M904" s="35"/>
      <c r="N904" s="35"/>
      <c r="O904" s="35"/>
      <c r="P904" s="35"/>
      <c r="Q904" s="35"/>
      <c r="R904" s="35"/>
      <c r="S904" s="35"/>
      <c r="T904" s="35"/>
      <c r="U904" s="35"/>
      <c r="V904" s="35"/>
      <c r="W904" s="35"/>
      <c r="X904" s="35"/>
      <c r="Y904" s="35"/>
      <c r="Z904" s="35"/>
      <c r="AA904" s="35"/>
      <c r="AB904" s="35"/>
      <c r="AC904" s="35"/>
      <c r="AD904" s="35"/>
    </row>
    <row r="905" spans="1:30" x14ac:dyDescent="0.25">
      <c r="A905" s="35"/>
      <c r="B905" s="35"/>
      <c r="C905" s="35"/>
      <c r="D905" s="35"/>
      <c r="E905" s="35"/>
      <c r="F905" s="35"/>
      <c r="G905" s="35"/>
      <c r="H905" s="35"/>
      <c r="I905" s="35"/>
      <c r="J905" s="35"/>
      <c r="K905" s="35"/>
      <c r="L905" s="36"/>
      <c r="M905" s="35"/>
      <c r="N905" s="35"/>
      <c r="O905" s="35"/>
      <c r="P905" s="35"/>
      <c r="Q905" s="35"/>
      <c r="R905" s="35"/>
      <c r="S905" s="35"/>
      <c r="T905" s="35"/>
      <c r="U905" s="35"/>
      <c r="V905" s="35"/>
      <c r="W905" s="35"/>
      <c r="X905" s="35"/>
      <c r="Y905" s="35"/>
      <c r="Z905" s="35"/>
      <c r="AA905" s="35"/>
      <c r="AB905" s="35"/>
      <c r="AC905" s="35"/>
      <c r="AD905" s="35"/>
    </row>
    <row r="906" spans="1:30" x14ac:dyDescent="0.25">
      <c r="A906" s="35"/>
      <c r="B906" s="35"/>
      <c r="C906" s="35"/>
      <c r="D906" s="35"/>
      <c r="E906" s="35"/>
      <c r="F906" s="35"/>
      <c r="G906" s="35"/>
      <c r="H906" s="35"/>
      <c r="I906" s="35"/>
      <c r="J906" s="35"/>
      <c r="K906" s="35"/>
      <c r="L906" s="36"/>
      <c r="M906" s="35"/>
      <c r="N906" s="35"/>
      <c r="O906" s="35"/>
      <c r="P906" s="35"/>
      <c r="Q906" s="35"/>
      <c r="R906" s="35"/>
      <c r="S906" s="35"/>
      <c r="T906" s="35"/>
      <c r="U906" s="35"/>
      <c r="V906" s="35"/>
      <c r="W906" s="35"/>
      <c r="X906" s="35"/>
      <c r="Y906" s="35"/>
      <c r="Z906" s="35"/>
      <c r="AA906" s="35"/>
      <c r="AB906" s="35"/>
      <c r="AC906" s="35"/>
      <c r="AD906" s="35"/>
    </row>
    <row r="907" spans="1:30" x14ac:dyDescent="0.25">
      <c r="A907" s="35"/>
      <c r="B907" s="35"/>
      <c r="C907" s="35"/>
      <c r="D907" s="35"/>
      <c r="E907" s="35"/>
      <c r="F907" s="35"/>
      <c r="G907" s="35"/>
      <c r="H907" s="35"/>
      <c r="I907" s="35"/>
      <c r="J907" s="35"/>
      <c r="K907" s="35"/>
      <c r="L907" s="36"/>
      <c r="M907" s="35"/>
      <c r="N907" s="35"/>
      <c r="O907" s="35"/>
      <c r="P907" s="35"/>
      <c r="Q907" s="35"/>
      <c r="R907" s="35"/>
      <c r="S907" s="35"/>
      <c r="T907" s="35"/>
      <c r="U907" s="35"/>
      <c r="V907" s="35"/>
      <c r="W907" s="35"/>
      <c r="X907" s="35"/>
      <c r="Y907" s="35"/>
      <c r="Z907" s="35"/>
      <c r="AA907" s="35"/>
      <c r="AB907" s="35"/>
      <c r="AC907" s="35"/>
      <c r="AD907" s="35"/>
    </row>
    <row r="908" spans="1:30" x14ac:dyDescent="0.25">
      <c r="A908" s="35"/>
      <c r="B908" s="35"/>
      <c r="C908" s="35"/>
      <c r="D908" s="35"/>
      <c r="E908" s="35"/>
      <c r="F908" s="35"/>
      <c r="G908" s="35"/>
      <c r="H908" s="35"/>
      <c r="I908" s="35"/>
      <c r="J908" s="35"/>
      <c r="K908" s="35"/>
      <c r="L908" s="36"/>
      <c r="M908" s="35"/>
      <c r="N908" s="35"/>
      <c r="O908" s="35"/>
      <c r="P908" s="35"/>
      <c r="Q908" s="35"/>
      <c r="R908" s="35"/>
      <c r="S908" s="35"/>
      <c r="T908" s="35"/>
      <c r="U908" s="35"/>
      <c r="V908" s="35"/>
      <c r="W908" s="35"/>
      <c r="X908" s="35"/>
      <c r="Y908" s="35"/>
      <c r="Z908" s="35"/>
      <c r="AA908" s="35"/>
      <c r="AB908" s="35"/>
      <c r="AC908" s="35"/>
      <c r="AD908" s="35"/>
    </row>
    <row r="909" spans="1:30" x14ac:dyDescent="0.25">
      <c r="A909" s="35"/>
      <c r="B909" s="35"/>
      <c r="C909" s="35"/>
      <c r="D909" s="35"/>
      <c r="E909" s="35"/>
      <c r="F909" s="35"/>
      <c r="G909" s="35"/>
      <c r="H909" s="35"/>
      <c r="I909" s="35"/>
      <c r="J909" s="35"/>
      <c r="K909" s="35"/>
      <c r="L909" s="36"/>
      <c r="M909" s="35"/>
      <c r="N909" s="35"/>
      <c r="O909" s="35"/>
      <c r="P909" s="35"/>
      <c r="Q909" s="35"/>
      <c r="R909" s="35"/>
      <c r="S909" s="35"/>
      <c r="T909" s="35"/>
      <c r="U909" s="35"/>
      <c r="V909" s="35"/>
      <c r="W909" s="35"/>
      <c r="X909" s="35"/>
      <c r="Y909" s="35"/>
      <c r="Z909" s="35"/>
      <c r="AA909" s="35"/>
      <c r="AB909" s="35"/>
      <c r="AC909" s="35"/>
      <c r="AD909" s="35"/>
    </row>
    <row r="910" spans="1:30" x14ac:dyDescent="0.25">
      <c r="A910" s="35"/>
      <c r="B910" s="35"/>
      <c r="C910" s="35"/>
      <c r="D910" s="35"/>
      <c r="E910" s="35"/>
      <c r="F910" s="35"/>
      <c r="G910" s="35"/>
      <c r="H910" s="35"/>
      <c r="I910" s="35"/>
      <c r="J910" s="35"/>
      <c r="K910" s="35"/>
      <c r="L910" s="36"/>
      <c r="M910" s="35"/>
      <c r="N910" s="35"/>
      <c r="O910" s="35"/>
      <c r="P910" s="35"/>
      <c r="Q910" s="35"/>
      <c r="R910" s="35"/>
      <c r="S910" s="35"/>
      <c r="T910" s="35"/>
      <c r="U910" s="35"/>
      <c r="V910" s="35"/>
      <c r="W910" s="35"/>
      <c r="X910" s="35"/>
      <c r="Y910" s="35"/>
      <c r="Z910" s="35"/>
      <c r="AA910" s="35"/>
      <c r="AB910" s="35"/>
      <c r="AC910" s="35"/>
      <c r="AD910" s="35"/>
    </row>
    <row r="911" spans="1:30" x14ac:dyDescent="0.25">
      <c r="A911" s="35"/>
      <c r="B911" s="35"/>
      <c r="C911" s="35"/>
      <c r="D911" s="35"/>
      <c r="E911" s="35"/>
      <c r="F911" s="35"/>
      <c r="G911" s="35"/>
      <c r="H911" s="35"/>
      <c r="I911" s="35"/>
      <c r="J911" s="35"/>
      <c r="K911" s="35"/>
      <c r="L911" s="36"/>
      <c r="M911" s="35"/>
      <c r="N911" s="35"/>
      <c r="O911" s="35"/>
      <c r="P911" s="35"/>
      <c r="Q911" s="35"/>
      <c r="R911" s="35"/>
      <c r="S911" s="35"/>
      <c r="T911" s="35"/>
      <c r="U911" s="35"/>
      <c r="V911" s="35"/>
      <c r="W911" s="35"/>
      <c r="X911" s="35"/>
      <c r="Y911" s="35"/>
      <c r="Z911" s="35"/>
      <c r="AA911" s="35"/>
      <c r="AB911" s="35"/>
      <c r="AC911" s="35"/>
      <c r="AD911" s="35"/>
    </row>
    <row r="912" spans="1:30" x14ac:dyDescent="0.25">
      <c r="A912" s="35"/>
      <c r="B912" s="35"/>
      <c r="C912" s="35"/>
      <c r="D912" s="35"/>
      <c r="E912" s="35"/>
      <c r="F912" s="35"/>
      <c r="G912" s="35"/>
      <c r="H912" s="35"/>
      <c r="I912" s="35"/>
      <c r="J912" s="35"/>
      <c r="K912" s="35"/>
      <c r="L912" s="36"/>
      <c r="M912" s="35"/>
      <c r="N912" s="35"/>
      <c r="O912" s="35"/>
      <c r="P912" s="35"/>
      <c r="Q912" s="35"/>
      <c r="R912" s="35"/>
      <c r="S912" s="35"/>
      <c r="T912" s="35"/>
      <c r="U912" s="35"/>
      <c r="V912" s="35"/>
      <c r="W912" s="35"/>
      <c r="X912" s="35"/>
      <c r="Y912" s="35"/>
      <c r="Z912" s="35"/>
      <c r="AA912" s="35"/>
      <c r="AB912" s="35"/>
      <c r="AC912" s="35"/>
      <c r="AD912" s="35"/>
    </row>
    <row r="913" spans="1:30" x14ac:dyDescent="0.25">
      <c r="A913" s="35"/>
      <c r="B913" s="35"/>
      <c r="C913" s="35"/>
      <c r="D913" s="35"/>
      <c r="E913" s="35"/>
      <c r="F913" s="35"/>
      <c r="G913" s="35"/>
      <c r="H913" s="35"/>
      <c r="I913" s="35"/>
      <c r="J913" s="35"/>
      <c r="K913" s="35"/>
      <c r="L913" s="36"/>
      <c r="M913" s="35"/>
      <c r="N913" s="35"/>
      <c r="O913" s="35"/>
      <c r="P913" s="35"/>
      <c r="Q913" s="35"/>
      <c r="R913" s="35"/>
      <c r="S913" s="35"/>
      <c r="T913" s="35"/>
      <c r="U913" s="35"/>
      <c r="V913" s="35"/>
      <c r="W913" s="35"/>
      <c r="X913" s="35"/>
      <c r="Y913" s="35"/>
      <c r="Z913" s="35"/>
      <c r="AA913" s="35"/>
      <c r="AB913" s="35"/>
      <c r="AC913" s="35"/>
      <c r="AD913" s="35"/>
    </row>
    <row r="914" spans="1:30" x14ac:dyDescent="0.25">
      <c r="A914" s="35"/>
      <c r="B914" s="35"/>
      <c r="C914" s="35"/>
      <c r="D914" s="35"/>
      <c r="E914" s="35"/>
      <c r="F914" s="35"/>
      <c r="G914" s="35"/>
      <c r="H914" s="35"/>
      <c r="I914" s="35"/>
      <c r="J914" s="35"/>
      <c r="K914" s="35"/>
      <c r="L914" s="36"/>
      <c r="M914" s="35"/>
      <c r="N914" s="35"/>
      <c r="O914" s="35"/>
      <c r="P914" s="35"/>
      <c r="Q914" s="35"/>
      <c r="R914" s="35"/>
      <c r="S914" s="35"/>
      <c r="T914" s="35"/>
      <c r="U914" s="35"/>
      <c r="V914" s="35"/>
      <c r="W914" s="35"/>
      <c r="X914" s="35"/>
      <c r="Y914" s="35"/>
      <c r="Z914" s="35"/>
      <c r="AA914" s="35"/>
      <c r="AB914" s="35"/>
      <c r="AC914" s="35"/>
      <c r="AD914" s="35"/>
    </row>
    <row r="915" spans="1:30" x14ac:dyDescent="0.25">
      <c r="A915" s="35"/>
      <c r="B915" s="35"/>
      <c r="C915" s="35"/>
      <c r="D915" s="35"/>
      <c r="E915" s="35"/>
      <c r="F915" s="35"/>
      <c r="G915" s="35"/>
      <c r="H915" s="35"/>
      <c r="I915" s="35"/>
      <c r="J915" s="35"/>
      <c r="K915" s="35"/>
      <c r="L915" s="36"/>
      <c r="M915" s="35"/>
      <c r="N915" s="35"/>
      <c r="O915" s="35"/>
      <c r="P915" s="35"/>
      <c r="Q915" s="35"/>
      <c r="R915" s="35"/>
      <c r="S915" s="35"/>
      <c r="T915" s="35"/>
      <c r="U915" s="35"/>
      <c r="V915" s="35"/>
      <c r="W915" s="35"/>
      <c r="X915" s="35"/>
      <c r="Y915" s="35"/>
      <c r="Z915" s="35"/>
      <c r="AA915" s="35"/>
      <c r="AB915" s="35"/>
      <c r="AC915" s="35"/>
      <c r="AD915" s="35"/>
    </row>
    <row r="916" spans="1:30" x14ac:dyDescent="0.25">
      <c r="A916" s="35"/>
      <c r="B916" s="35"/>
      <c r="C916" s="35"/>
      <c r="D916" s="35"/>
      <c r="E916" s="35"/>
      <c r="F916" s="35"/>
      <c r="G916" s="35"/>
      <c r="H916" s="35"/>
      <c r="I916" s="35"/>
      <c r="J916" s="35"/>
      <c r="K916" s="35"/>
      <c r="L916" s="36"/>
      <c r="M916" s="35"/>
      <c r="N916" s="35"/>
      <c r="O916" s="35"/>
      <c r="P916" s="35"/>
      <c r="Q916" s="35"/>
      <c r="R916" s="35"/>
      <c r="S916" s="35"/>
      <c r="T916" s="35"/>
      <c r="U916" s="35"/>
      <c r="V916" s="35"/>
      <c r="W916" s="35"/>
      <c r="X916" s="35"/>
      <c r="Y916" s="35"/>
      <c r="Z916" s="35"/>
      <c r="AA916" s="35"/>
      <c r="AB916" s="35"/>
      <c r="AC916" s="35"/>
      <c r="AD916" s="35"/>
    </row>
    <row r="917" spans="1:30" x14ac:dyDescent="0.25">
      <c r="A917" s="35"/>
      <c r="B917" s="35"/>
      <c r="C917" s="35"/>
      <c r="D917" s="35"/>
      <c r="E917" s="35"/>
      <c r="F917" s="35"/>
      <c r="G917" s="35"/>
      <c r="H917" s="35"/>
      <c r="I917" s="35"/>
      <c r="J917" s="35"/>
      <c r="K917" s="35"/>
      <c r="L917" s="36"/>
      <c r="M917" s="35"/>
      <c r="N917" s="35"/>
      <c r="O917" s="35"/>
      <c r="P917" s="35"/>
      <c r="Q917" s="35"/>
      <c r="R917" s="35"/>
      <c r="S917" s="35"/>
      <c r="T917" s="35"/>
      <c r="U917" s="35"/>
      <c r="V917" s="35"/>
      <c r="W917" s="35"/>
      <c r="X917" s="35"/>
      <c r="Y917" s="35"/>
      <c r="Z917" s="35"/>
      <c r="AA917" s="35"/>
      <c r="AB917" s="35"/>
      <c r="AC917" s="35"/>
      <c r="AD917" s="35"/>
    </row>
    <row r="918" spans="1:30" x14ac:dyDescent="0.25">
      <c r="A918" s="35"/>
      <c r="B918" s="35"/>
      <c r="C918" s="35"/>
      <c r="D918" s="35"/>
      <c r="E918" s="35"/>
      <c r="F918" s="35"/>
      <c r="G918" s="35"/>
      <c r="H918" s="35"/>
      <c r="I918" s="35"/>
      <c r="J918" s="35"/>
      <c r="K918" s="35"/>
      <c r="L918" s="36"/>
      <c r="M918" s="35"/>
      <c r="N918" s="35"/>
      <c r="O918" s="35"/>
      <c r="P918" s="35"/>
      <c r="Q918" s="35"/>
      <c r="R918" s="35"/>
      <c r="S918" s="35"/>
      <c r="T918" s="35"/>
      <c r="U918" s="35"/>
      <c r="V918" s="35"/>
      <c r="W918" s="35"/>
      <c r="X918" s="35"/>
      <c r="Y918" s="35"/>
      <c r="Z918" s="35"/>
      <c r="AA918" s="35"/>
      <c r="AB918" s="35"/>
      <c r="AC918" s="35"/>
      <c r="AD918" s="35"/>
    </row>
    <row r="919" spans="1:30" x14ac:dyDescent="0.25">
      <c r="A919" s="35"/>
      <c r="B919" s="35"/>
      <c r="C919" s="35"/>
      <c r="D919" s="35"/>
      <c r="E919" s="35"/>
      <c r="F919" s="35"/>
      <c r="G919" s="35"/>
      <c r="H919" s="35"/>
      <c r="I919" s="35"/>
      <c r="J919" s="35"/>
      <c r="K919" s="35"/>
      <c r="L919" s="36"/>
      <c r="M919" s="35"/>
      <c r="N919" s="35"/>
      <c r="O919" s="35"/>
      <c r="P919" s="35"/>
      <c r="Q919" s="35"/>
      <c r="R919" s="35"/>
      <c r="S919" s="35"/>
      <c r="T919" s="35"/>
      <c r="U919" s="35"/>
      <c r="V919" s="35"/>
      <c r="W919" s="35"/>
      <c r="X919" s="35"/>
      <c r="Y919" s="35"/>
      <c r="Z919" s="35"/>
      <c r="AA919" s="35"/>
      <c r="AB919" s="35"/>
      <c r="AC919" s="35"/>
      <c r="AD919" s="35"/>
    </row>
    <row r="920" spans="1:30" x14ac:dyDescent="0.25">
      <c r="A920" s="35"/>
      <c r="B920" s="35"/>
      <c r="C920" s="35"/>
      <c r="D920" s="35"/>
      <c r="E920" s="35"/>
      <c r="F920" s="35"/>
      <c r="G920" s="35"/>
      <c r="H920" s="35"/>
      <c r="I920" s="35"/>
      <c r="J920" s="35"/>
      <c r="K920" s="35"/>
      <c r="L920" s="36"/>
      <c r="M920" s="35"/>
      <c r="N920" s="35"/>
      <c r="O920" s="35"/>
      <c r="P920" s="35"/>
      <c r="Q920" s="35"/>
      <c r="R920" s="35"/>
      <c r="S920" s="35"/>
      <c r="T920" s="35"/>
      <c r="U920" s="35"/>
      <c r="V920" s="35"/>
      <c r="W920" s="35"/>
      <c r="X920" s="35"/>
      <c r="Y920" s="35"/>
      <c r="Z920" s="35"/>
      <c r="AA920" s="35"/>
      <c r="AB920" s="35"/>
      <c r="AC920" s="35"/>
      <c r="AD920" s="35"/>
    </row>
    <row r="921" spans="1:30" x14ac:dyDescent="0.25">
      <c r="A921" s="35"/>
      <c r="B921" s="35"/>
      <c r="C921" s="35"/>
      <c r="D921" s="35"/>
      <c r="E921" s="35"/>
      <c r="F921" s="35"/>
      <c r="G921" s="35"/>
      <c r="H921" s="35"/>
      <c r="I921" s="35"/>
      <c r="J921" s="35"/>
      <c r="K921" s="35"/>
      <c r="L921" s="36"/>
      <c r="M921" s="35"/>
      <c r="N921" s="35"/>
      <c r="O921" s="35"/>
      <c r="P921" s="35"/>
      <c r="Q921" s="35"/>
      <c r="R921" s="35"/>
      <c r="S921" s="35"/>
      <c r="T921" s="35"/>
      <c r="U921" s="35"/>
      <c r="V921" s="35"/>
      <c r="W921" s="35"/>
      <c r="X921" s="35"/>
      <c r="Y921" s="35"/>
      <c r="Z921" s="35"/>
      <c r="AA921" s="35"/>
      <c r="AB921" s="35"/>
      <c r="AC921" s="35"/>
      <c r="AD921" s="35"/>
    </row>
    <row r="922" spans="1:30" x14ac:dyDescent="0.25">
      <c r="A922" s="35"/>
      <c r="B922" s="35"/>
      <c r="C922" s="35"/>
      <c r="D922" s="35"/>
      <c r="E922" s="35"/>
      <c r="F922" s="35"/>
      <c r="G922" s="35"/>
      <c r="H922" s="35"/>
      <c r="I922" s="35"/>
      <c r="J922" s="35"/>
      <c r="K922" s="35"/>
      <c r="L922" s="36"/>
      <c r="M922" s="35"/>
      <c r="N922" s="35"/>
      <c r="O922" s="35"/>
      <c r="P922" s="35"/>
      <c r="Q922" s="35"/>
      <c r="R922" s="35"/>
      <c r="S922" s="35"/>
      <c r="T922" s="35"/>
      <c r="U922" s="35"/>
      <c r="V922" s="35"/>
      <c r="W922" s="35"/>
      <c r="X922" s="35"/>
      <c r="Y922" s="35"/>
      <c r="Z922" s="35"/>
      <c r="AA922" s="35"/>
      <c r="AB922" s="35"/>
      <c r="AC922" s="35"/>
      <c r="AD922" s="35"/>
    </row>
    <row r="923" spans="1:30" x14ac:dyDescent="0.25">
      <c r="A923" s="35"/>
      <c r="B923" s="35"/>
      <c r="C923" s="35"/>
      <c r="D923" s="35"/>
      <c r="E923" s="35"/>
      <c r="F923" s="35"/>
      <c r="G923" s="35"/>
      <c r="H923" s="35"/>
      <c r="I923" s="35"/>
      <c r="J923" s="35"/>
      <c r="K923" s="35"/>
      <c r="L923" s="36"/>
      <c r="M923" s="35"/>
      <c r="N923" s="35"/>
      <c r="O923" s="35"/>
      <c r="P923" s="35"/>
      <c r="Q923" s="35"/>
      <c r="R923" s="35"/>
      <c r="S923" s="35"/>
      <c r="T923" s="35"/>
      <c r="U923" s="35"/>
      <c r="V923" s="35"/>
      <c r="W923" s="35"/>
      <c r="X923" s="35"/>
      <c r="Y923" s="35"/>
      <c r="Z923" s="35"/>
      <c r="AA923" s="35"/>
      <c r="AB923" s="35"/>
      <c r="AC923" s="35"/>
      <c r="AD923" s="35"/>
    </row>
    <row r="924" spans="1:30" x14ac:dyDescent="0.25">
      <c r="A924" s="35"/>
      <c r="B924" s="35"/>
      <c r="C924" s="35"/>
      <c r="D924" s="35"/>
      <c r="E924" s="35"/>
      <c r="F924" s="35"/>
      <c r="G924" s="35"/>
      <c r="H924" s="35"/>
      <c r="I924" s="35"/>
      <c r="J924" s="35"/>
      <c r="K924" s="35"/>
      <c r="L924" s="36"/>
      <c r="M924" s="35"/>
      <c r="N924" s="35"/>
      <c r="O924" s="35"/>
      <c r="P924" s="35"/>
      <c r="Q924" s="35"/>
      <c r="R924" s="35"/>
      <c r="S924" s="35"/>
      <c r="T924" s="35"/>
      <c r="U924" s="35"/>
      <c r="V924" s="35"/>
      <c r="W924" s="35"/>
      <c r="X924" s="35"/>
      <c r="Y924" s="35"/>
      <c r="Z924" s="35"/>
      <c r="AA924" s="35"/>
      <c r="AB924" s="35"/>
      <c r="AC924" s="35"/>
      <c r="AD924" s="35"/>
    </row>
    <row r="925" spans="1:30" x14ac:dyDescent="0.25">
      <c r="A925" s="35"/>
      <c r="B925" s="35"/>
      <c r="C925" s="35"/>
      <c r="D925" s="35"/>
      <c r="E925" s="35"/>
      <c r="F925" s="35"/>
      <c r="G925" s="35"/>
      <c r="H925" s="35"/>
      <c r="I925" s="35"/>
      <c r="J925" s="35"/>
      <c r="K925" s="35"/>
      <c r="L925" s="36"/>
      <c r="M925" s="35"/>
      <c r="N925" s="35"/>
      <c r="O925" s="35"/>
      <c r="P925" s="35"/>
      <c r="Q925" s="35"/>
      <c r="R925" s="35"/>
      <c r="S925" s="35"/>
      <c r="T925" s="35"/>
      <c r="U925" s="35"/>
      <c r="V925" s="35"/>
      <c r="W925" s="35"/>
      <c r="X925" s="35"/>
      <c r="Y925" s="35"/>
      <c r="Z925" s="35"/>
      <c r="AA925" s="35"/>
      <c r="AB925" s="35"/>
      <c r="AC925" s="35"/>
      <c r="AD925" s="35"/>
    </row>
    <row r="926" spans="1:30" x14ac:dyDescent="0.25">
      <c r="A926" s="35"/>
      <c r="B926" s="35"/>
      <c r="C926" s="35"/>
      <c r="D926" s="35"/>
      <c r="E926" s="35"/>
      <c r="F926" s="35"/>
      <c r="G926" s="35"/>
      <c r="H926" s="35"/>
      <c r="I926" s="35"/>
      <c r="J926" s="35"/>
      <c r="K926" s="35"/>
      <c r="L926" s="36"/>
      <c r="M926" s="35"/>
      <c r="N926" s="35"/>
      <c r="O926" s="35"/>
      <c r="P926" s="35"/>
      <c r="Q926" s="35"/>
      <c r="R926" s="35"/>
      <c r="S926" s="35"/>
      <c r="T926" s="35"/>
      <c r="U926" s="35"/>
      <c r="V926" s="35"/>
      <c r="W926" s="35"/>
      <c r="X926" s="35"/>
      <c r="Y926" s="35"/>
      <c r="Z926" s="35"/>
      <c r="AA926" s="35"/>
      <c r="AB926" s="35"/>
      <c r="AC926" s="35"/>
      <c r="AD926" s="35"/>
    </row>
    <row r="927" spans="1:30" x14ac:dyDescent="0.25">
      <c r="A927" s="35"/>
      <c r="B927" s="35"/>
      <c r="C927" s="35"/>
      <c r="D927" s="35"/>
      <c r="E927" s="35"/>
      <c r="F927" s="35"/>
      <c r="G927" s="35"/>
      <c r="H927" s="35"/>
      <c r="I927" s="35"/>
      <c r="J927" s="35"/>
      <c r="K927" s="35"/>
      <c r="L927" s="36"/>
      <c r="M927" s="35"/>
      <c r="N927" s="35"/>
      <c r="O927" s="35"/>
      <c r="P927" s="35"/>
      <c r="Q927" s="35"/>
      <c r="R927" s="35"/>
      <c r="S927" s="35"/>
      <c r="T927" s="35"/>
      <c r="U927" s="35"/>
      <c r="V927" s="35"/>
      <c r="W927" s="35"/>
      <c r="X927" s="35"/>
      <c r="Y927" s="35"/>
      <c r="Z927" s="35"/>
      <c r="AA927" s="35"/>
      <c r="AB927" s="35"/>
      <c r="AC927" s="35"/>
      <c r="AD927" s="35"/>
    </row>
    <row r="928" spans="1:30" x14ac:dyDescent="0.25">
      <c r="A928" s="35"/>
      <c r="B928" s="35"/>
      <c r="C928" s="35"/>
      <c r="D928" s="35"/>
      <c r="E928" s="35"/>
      <c r="F928" s="35"/>
      <c r="G928" s="35"/>
      <c r="H928" s="35"/>
      <c r="I928" s="35"/>
      <c r="J928" s="35"/>
      <c r="K928" s="35"/>
      <c r="L928" s="36"/>
      <c r="M928" s="35"/>
      <c r="N928" s="35"/>
      <c r="O928" s="35"/>
      <c r="P928" s="35"/>
      <c r="Q928" s="35"/>
      <c r="R928" s="35"/>
      <c r="S928" s="35"/>
      <c r="T928" s="35"/>
      <c r="U928" s="35"/>
      <c r="V928" s="35"/>
      <c r="W928" s="35"/>
      <c r="X928" s="35"/>
      <c r="Y928" s="35"/>
      <c r="Z928" s="35"/>
      <c r="AA928" s="35"/>
      <c r="AB928" s="35"/>
      <c r="AC928" s="35"/>
      <c r="AD928" s="35"/>
    </row>
    <row r="929" spans="1:30" x14ac:dyDescent="0.25">
      <c r="A929" s="35"/>
      <c r="B929" s="35"/>
      <c r="C929" s="35"/>
      <c r="D929" s="35"/>
      <c r="E929" s="35"/>
      <c r="F929" s="35"/>
      <c r="G929" s="35"/>
      <c r="H929" s="35"/>
      <c r="I929" s="35"/>
      <c r="J929" s="35"/>
      <c r="K929" s="35"/>
      <c r="L929" s="36"/>
      <c r="M929" s="35"/>
      <c r="N929" s="35"/>
      <c r="O929" s="35"/>
      <c r="P929" s="35"/>
      <c r="Q929" s="35"/>
      <c r="R929" s="35"/>
      <c r="S929" s="35"/>
      <c r="T929" s="35"/>
      <c r="U929" s="35"/>
      <c r="V929" s="35"/>
      <c r="W929" s="35"/>
      <c r="X929" s="35"/>
      <c r="Y929" s="35"/>
      <c r="Z929" s="35"/>
      <c r="AA929" s="35"/>
      <c r="AB929" s="35"/>
      <c r="AC929" s="35"/>
      <c r="AD929" s="35"/>
    </row>
    <row r="930" spans="1:30" x14ac:dyDescent="0.25">
      <c r="A930" s="35"/>
      <c r="B930" s="35"/>
      <c r="C930" s="35"/>
      <c r="D930" s="35"/>
      <c r="E930" s="35"/>
      <c r="F930" s="35"/>
      <c r="G930" s="35"/>
      <c r="H930" s="35"/>
      <c r="I930" s="35"/>
      <c r="J930" s="35"/>
      <c r="K930" s="35"/>
      <c r="L930" s="36"/>
      <c r="M930" s="35"/>
      <c r="N930" s="35"/>
      <c r="O930" s="35"/>
      <c r="P930" s="35"/>
      <c r="Q930" s="35"/>
      <c r="R930" s="35"/>
      <c r="S930" s="35"/>
      <c r="T930" s="35"/>
      <c r="U930" s="35"/>
      <c r="V930" s="35"/>
      <c r="W930" s="35"/>
      <c r="X930" s="35"/>
      <c r="Y930" s="35"/>
      <c r="Z930" s="35"/>
      <c r="AA930" s="35"/>
      <c r="AB930" s="35"/>
      <c r="AC930" s="35"/>
      <c r="AD930" s="35"/>
    </row>
    <row r="931" spans="1:30" x14ac:dyDescent="0.25">
      <c r="A931" s="35"/>
      <c r="B931" s="35"/>
      <c r="C931" s="35"/>
      <c r="D931" s="35"/>
      <c r="E931" s="35"/>
      <c r="F931" s="35"/>
      <c r="G931" s="35"/>
      <c r="H931" s="35"/>
      <c r="I931" s="35"/>
      <c r="J931" s="35"/>
      <c r="K931" s="35"/>
      <c r="L931" s="36"/>
      <c r="M931" s="35"/>
      <c r="N931" s="35"/>
      <c r="O931" s="35"/>
      <c r="P931" s="35"/>
      <c r="Q931" s="35"/>
      <c r="R931" s="35"/>
      <c r="S931" s="35"/>
      <c r="T931" s="35"/>
      <c r="U931" s="35"/>
      <c r="V931" s="35"/>
      <c r="W931" s="35"/>
      <c r="X931" s="35"/>
      <c r="Y931" s="35"/>
      <c r="Z931" s="35"/>
      <c r="AA931" s="35"/>
      <c r="AB931" s="35"/>
      <c r="AC931" s="35"/>
      <c r="AD931" s="35"/>
    </row>
    <row r="932" spans="1:30" x14ac:dyDescent="0.25">
      <c r="A932" s="35"/>
      <c r="B932" s="35"/>
      <c r="C932" s="35"/>
      <c r="D932" s="35"/>
      <c r="E932" s="35"/>
      <c r="F932" s="35"/>
      <c r="G932" s="35"/>
      <c r="H932" s="35"/>
      <c r="I932" s="35"/>
      <c r="J932" s="35"/>
      <c r="K932" s="35"/>
      <c r="L932" s="36"/>
      <c r="M932" s="35"/>
      <c r="N932" s="35"/>
      <c r="O932" s="35"/>
      <c r="P932" s="35"/>
      <c r="Q932" s="35"/>
      <c r="R932" s="35"/>
      <c r="S932" s="35"/>
      <c r="T932" s="35"/>
      <c r="U932" s="35"/>
      <c r="V932" s="35"/>
      <c r="W932" s="35"/>
      <c r="X932" s="35"/>
      <c r="Y932" s="35"/>
      <c r="Z932" s="35"/>
      <c r="AA932" s="35"/>
      <c r="AB932" s="35"/>
      <c r="AC932" s="35"/>
      <c r="AD932" s="35"/>
    </row>
    <row r="933" spans="1:30" x14ac:dyDescent="0.25">
      <c r="A933" s="35"/>
      <c r="B933" s="35"/>
      <c r="C933" s="35"/>
      <c r="D933" s="35"/>
      <c r="E933" s="35"/>
      <c r="F933" s="35"/>
      <c r="G933" s="35"/>
      <c r="H933" s="35"/>
      <c r="I933" s="35"/>
      <c r="J933" s="35"/>
      <c r="K933" s="35"/>
      <c r="L933" s="36"/>
      <c r="M933" s="35"/>
      <c r="N933" s="35"/>
      <c r="O933" s="35"/>
      <c r="P933" s="35"/>
      <c r="Q933" s="35"/>
      <c r="R933" s="35"/>
      <c r="S933" s="35"/>
      <c r="T933" s="35"/>
      <c r="U933" s="35"/>
      <c r="V933" s="35"/>
      <c r="W933" s="35"/>
      <c r="X933" s="35"/>
      <c r="Y933" s="35"/>
      <c r="Z933" s="35"/>
      <c r="AA933" s="35"/>
      <c r="AB933" s="35"/>
      <c r="AC933" s="35"/>
      <c r="AD933" s="35"/>
    </row>
    <row r="934" spans="1:30" x14ac:dyDescent="0.25">
      <c r="A934" s="35"/>
      <c r="B934" s="35"/>
      <c r="C934" s="35"/>
      <c r="D934" s="35"/>
      <c r="E934" s="35"/>
      <c r="F934" s="35"/>
      <c r="G934" s="35"/>
      <c r="H934" s="35"/>
      <c r="I934" s="35"/>
      <c r="J934" s="35"/>
      <c r="K934" s="35"/>
      <c r="L934" s="36"/>
      <c r="M934" s="35"/>
      <c r="N934" s="35"/>
      <c r="O934" s="35"/>
      <c r="P934" s="35"/>
      <c r="Q934" s="35"/>
      <c r="R934" s="35"/>
      <c r="S934" s="35"/>
      <c r="T934" s="35"/>
      <c r="U934" s="35"/>
      <c r="V934" s="35"/>
      <c r="W934" s="35"/>
      <c r="X934" s="35"/>
      <c r="Y934" s="35"/>
      <c r="Z934" s="35"/>
      <c r="AA934" s="35"/>
      <c r="AB934" s="35"/>
      <c r="AC934" s="35"/>
      <c r="AD934" s="35"/>
    </row>
    <row r="935" spans="1:30" x14ac:dyDescent="0.25">
      <c r="A935" s="35"/>
      <c r="B935" s="35"/>
      <c r="C935" s="35"/>
      <c r="D935" s="35"/>
      <c r="E935" s="35"/>
      <c r="F935" s="35"/>
      <c r="G935" s="35"/>
      <c r="H935" s="35"/>
      <c r="I935" s="35"/>
      <c r="J935" s="35"/>
      <c r="K935" s="35"/>
      <c r="L935" s="36"/>
      <c r="M935" s="35"/>
      <c r="N935" s="35"/>
      <c r="O935" s="35"/>
      <c r="P935" s="35"/>
      <c r="Q935" s="35"/>
      <c r="R935" s="35"/>
      <c r="S935" s="35"/>
      <c r="T935" s="35"/>
      <c r="U935" s="35"/>
      <c r="V935" s="35"/>
      <c r="W935" s="35"/>
      <c r="X935" s="35"/>
      <c r="Y935" s="35"/>
      <c r="Z935" s="35"/>
      <c r="AA935" s="35"/>
      <c r="AB935" s="35"/>
      <c r="AC935" s="35"/>
      <c r="AD935" s="35"/>
    </row>
    <row r="936" spans="1:30" x14ac:dyDescent="0.25">
      <c r="A936" s="35"/>
      <c r="B936" s="35"/>
      <c r="C936" s="35"/>
      <c r="D936" s="35"/>
      <c r="E936" s="35"/>
      <c r="F936" s="35"/>
      <c r="G936" s="35"/>
      <c r="H936" s="35"/>
      <c r="I936" s="35"/>
      <c r="J936" s="35"/>
      <c r="K936" s="35"/>
      <c r="L936" s="36"/>
      <c r="M936" s="35"/>
      <c r="N936" s="35"/>
      <c r="O936" s="35"/>
      <c r="P936" s="35"/>
      <c r="Q936" s="35"/>
      <c r="R936" s="35"/>
      <c r="S936" s="35"/>
      <c r="T936" s="35"/>
      <c r="U936" s="35"/>
      <c r="V936" s="35"/>
      <c r="W936" s="35"/>
      <c r="X936" s="35"/>
      <c r="Y936" s="35"/>
      <c r="Z936" s="35"/>
      <c r="AA936" s="35"/>
      <c r="AB936" s="35"/>
      <c r="AC936" s="35"/>
      <c r="AD936" s="35"/>
    </row>
    <row r="937" spans="1:30" x14ac:dyDescent="0.25">
      <c r="A937" s="35"/>
      <c r="B937" s="35"/>
      <c r="C937" s="35"/>
      <c r="D937" s="35"/>
      <c r="E937" s="35"/>
      <c r="F937" s="35"/>
      <c r="G937" s="35"/>
      <c r="H937" s="35"/>
      <c r="I937" s="35"/>
      <c r="J937" s="35"/>
      <c r="K937" s="35"/>
      <c r="L937" s="36"/>
      <c r="M937" s="35"/>
      <c r="N937" s="35"/>
      <c r="O937" s="35"/>
      <c r="P937" s="35"/>
      <c r="Q937" s="35"/>
      <c r="R937" s="35"/>
      <c r="S937" s="35"/>
      <c r="T937" s="35"/>
      <c r="U937" s="35"/>
      <c r="V937" s="35"/>
      <c r="W937" s="35"/>
      <c r="X937" s="35"/>
      <c r="Y937" s="35"/>
      <c r="Z937" s="35"/>
      <c r="AA937" s="35"/>
      <c r="AB937" s="35"/>
      <c r="AC937" s="35"/>
      <c r="AD937" s="35"/>
    </row>
    <row r="938" spans="1:30" x14ac:dyDescent="0.25">
      <c r="A938" s="35"/>
      <c r="B938" s="35"/>
      <c r="C938" s="35"/>
      <c r="D938" s="35"/>
      <c r="E938" s="35"/>
      <c r="F938" s="35"/>
      <c r="G938" s="35"/>
      <c r="H938" s="35"/>
      <c r="I938" s="35"/>
      <c r="J938" s="35"/>
      <c r="K938" s="35"/>
      <c r="L938" s="36"/>
      <c r="M938" s="35"/>
      <c r="N938" s="35"/>
      <c r="O938" s="35"/>
      <c r="P938" s="35"/>
      <c r="Q938" s="35"/>
      <c r="R938" s="35"/>
      <c r="S938" s="35"/>
      <c r="T938" s="35"/>
      <c r="U938" s="35"/>
      <c r="V938" s="35"/>
      <c r="W938" s="35"/>
      <c r="X938" s="35"/>
      <c r="Y938" s="35"/>
      <c r="Z938" s="35"/>
      <c r="AA938" s="35"/>
      <c r="AB938" s="35"/>
      <c r="AC938" s="35"/>
      <c r="AD938" s="35"/>
    </row>
    <row r="939" spans="1:30" x14ac:dyDescent="0.25">
      <c r="A939" s="35"/>
      <c r="B939" s="35"/>
      <c r="C939" s="35"/>
      <c r="D939" s="35"/>
      <c r="E939" s="35"/>
      <c r="F939" s="35"/>
      <c r="G939" s="35"/>
      <c r="H939" s="35"/>
      <c r="I939" s="35"/>
      <c r="J939" s="35"/>
      <c r="K939" s="35"/>
      <c r="L939" s="36"/>
      <c r="M939" s="35"/>
      <c r="N939" s="35"/>
      <c r="O939" s="35"/>
      <c r="P939" s="35"/>
      <c r="Q939" s="35"/>
      <c r="R939" s="35"/>
      <c r="S939" s="35"/>
      <c r="T939" s="35"/>
      <c r="U939" s="35"/>
      <c r="V939" s="35"/>
      <c r="W939" s="35"/>
      <c r="X939" s="35"/>
      <c r="Y939" s="35"/>
      <c r="Z939" s="35"/>
      <c r="AA939" s="35"/>
      <c r="AB939" s="35"/>
      <c r="AC939" s="35"/>
      <c r="AD939" s="35"/>
    </row>
    <row r="940" spans="1:30" x14ac:dyDescent="0.25">
      <c r="A940" s="35"/>
      <c r="B940" s="35"/>
      <c r="C940" s="35"/>
      <c r="D940" s="35"/>
      <c r="E940" s="35"/>
      <c r="F940" s="35"/>
      <c r="G940" s="35"/>
      <c r="H940" s="35"/>
      <c r="I940" s="35"/>
      <c r="J940" s="35"/>
      <c r="K940" s="35"/>
      <c r="L940" s="36"/>
      <c r="M940" s="35"/>
      <c r="N940" s="35"/>
      <c r="O940" s="35"/>
      <c r="P940" s="35"/>
      <c r="Q940" s="35"/>
      <c r="R940" s="35"/>
      <c r="S940" s="35"/>
      <c r="T940" s="35"/>
      <c r="U940" s="35"/>
      <c r="V940" s="35"/>
      <c r="W940" s="35"/>
      <c r="X940" s="35"/>
      <c r="Y940" s="35"/>
      <c r="Z940" s="35"/>
      <c r="AA940" s="35"/>
      <c r="AB940" s="35"/>
      <c r="AC940" s="35"/>
      <c r="AD940" s="35"/>
    </row>
    <row r="941" spans="1:30" x14ac:dyDescent="0.25">
      <c r="A941" s="35"/>
      <c r="B941" s="35"/>
      <c r="C941" s="35"/>
      <c r="D941" s="35"/>
      <c r="E941" s="35"/>
      <c r="F941" s="35"/>
      <c r="G941" s="35"/>
      <c r="H941" s="35"/>
      <c r="I941" s="35"/>
      <c r="J941" s="35"/>
      <c r="K941" s="35"/>
      <c r="L941" s="36"/>
      <c r="M941" s="35"/>
      <c r="N941" s="35"/>
      <c r="O941" s="35"/>
      <c r="P941" s="35"/>
      <c r="Q941" s="35"/>
      <c r="R941" s="35"/>
      <c r="S941" s="35"/>
      <c r="T941" s="35"/>
      <c r="U941" s="35"/>
      <c r="V941" s="35"/>
      <c r="W941" s="35"/>
      <c r="X941" s="35"/>
      <c r="Y941" s="35"/>
      <c r="Z941" s="35"/>
      <c r="AA941" s="35"/>
      <c r="AB941" s="35"/>
      <c r="AC941" s="35"/>
      <c r="AD941" s="35"/>
    </row>
    <row r="942" spans="1:30" x14ac:dyDescent="0.25">
      <c r="A942" s="35"/>
      <c r="B942" s="35"/>
      <c r="C942" s="35"/>
      <c r="D942" s="35"/>
      <c r="E942" s="35"/>
      <c r="F942" s="35"/>
      <c r="G942" s="35"/>
      <c r="H942" s="35"/>
      <c r="I942" s="35"/>
      <c r="J942" s="35"/>
      <c r="K942" s="35"/>
      <c r="L942" s="36"/>
      <c r="M942" s="35"/>
      <c r="N942" s="35"/>
      <c r="O942" s="35"/>
      <c r="P942" s="35"/>
      <c r="Q942" s="35"/>
      <c r="R942" s="35"/>
      <c r="S942" s="35"/>
      <c r="T942" s="35"/>
      <c r="U942" s="35"/>
      <c r="V942" s="35"/>
      <c r="W942" s="35"/>
      <c r="X942" s="35"/>
      <c r="Y942" s="35"/>
      <c r="Z942" s="35"/>
      <c r="AA942" s="35"/>
      <c r="AB942" s="35"/>
      <c r="AC942" s="35"/>
      <c r="AD942" s="35"/>
    </row>
    <row r="943" spans="1:30" x14ac:dyDescent="0.25">
      <c r="A943" s="35"/>
      <c r="B943" s="35"/>
      <c r="C943" s="35"/>
      <c r="D943" s="35"/>
      <c r="E943" s="35"/>
      <c r="F943" s="35"/>
      <c r="G943" s="35"/>
      <c r="H943" s="35"/>
      <c r="I943" s="35"/>
      <c r="J943" s="35"/>
      <c r="K943" s="35"/>
      <c r="L943" s="36"/>
      <c r="M943" s="35"/>
      <c r="N943" s="35"/>
      <c r="O943" s="35"/>
      <c r="P943" s="35"/>
      <c r="Q943" s="35"/>
      <c r="R943" s="35"/>
      <c r="S943" s="35"/>
      <c r="T943" s="35"/>
      <c r="U943" s="35"/>
      <c r="V943" s="35"/>
      <c r="W943" s="35"/>
      <c r="X943" s="35"/>
      <c r="Y943" s="35"/>
      <c r="Z943" s="35"/>
      <c r="AA943" s="35"/>
      <c r="AB943" s="35"/>
      <c r="AC943" s="35"/>
      <c r="AD943" s="35"/>
    </row>
    <row r="944" spans="1:30" x14ac:dyDescent="0.25">
      <c r="A944" s="35"/>
      <c r="B944" s="35"/>
      <c r="C944" s="35"/>
      <c r="D944" s="35"/>
      <c r="E944" s="35"/>
      <c r="F944" s="35"/>
      <c r="G944" s="35"/>
      <c r="H944" s="35"/>
      <c r="I944" s="35"/>
      <c r="J944" s="35"/>
      <c r="K944" s="35"/>
      <c r="L944" s="36"/>
      <c r="M944" s="35"/>
      <c r="N944" s="35"/>
      <c r="O944" s="35"/>
      <c r="P944" s="35"/>
      <c r="Q944" s="35"/>
      <c r="R944" s="35"/>
      <c r="S944" s="35"/>
      <c r="T944" s="35"/>
      <c r="U944" s="35"/>
      <c r="V944" s="35"/>
      <c r="W944" s="35"/>
      <c r="X944" s="35"/>
      <c r="Y944" s="35"/>
      <c r="Z944" s="35"/>
      <c r="AA944" s="35"/>
      <c r="AB944" s="35"/>
      <c r="AC944" s="35"/>
      <c r="AD944" s="35"/>
    </row>
    <row r="945" spans="1:30" x14ac:dyDescent="0.25">
      <c r="A945" s="35"/>
      <c r="B945" s="35"/>
      <c r="C945" s="35"/>
      <c r="D945" s="35"/>
      <c r="E945" s="35"/>
      <c r="F945" s="35"/>
      <c r="G945" s="35"/>
      <c r="H945" s="35"/>
      <c r="I945" s="35"/>
      <c r="J945" s="35"/>
      <c r="K945" s="35"/>
      <c r="L945" s="36"/>
      <c r="M945" s="35"/>
      <c r="N945" s="35"/>
      <c r="O945" s="35"/>
      <c r="P945" s="35"/>
      <c r="Q945" s="35"/>
      <c r="R945" s="35"/>
      <c r="S945" s="35"/>
      <c r="T945" s="35"/>
      <c r="U945" s="35"/>
      <c r="V945" s="35"/>
      <c r="W945" s="35"/>
      <c r="X945" s="35"/>
      <c r="Y945" s="35"/>
      <c r="Z945" s="35"/>
      <c r="AA945" s="35"/>
      <c r="AB945" s="35"/>
      <c r="AC945" s="35"/>
      <c r="AD945" s="35"/>
    </row>
    <row r="946" spans="1:30" x14ac:dyDescent="0.25">
      <c r="A946" s="35"/>
      <c r="B946" s="35"/>
      <c r="C946" s="35"/>
      <c r="D946" s="35"/>
      <c r="E946" s="35"/>
      <c r="F946" s="35"/>
      <c r="G946" s="35"/>
      <c r="H946" s="35"/>
      <c r="I946" s="35"/>
      <c r="J946" s="35"/>
      <c r="K946" s="35"/>
      <c r="L946" s="36"/>
      <c r="M946" s="35"/>
      <c r="N946" s="35"/>
      <c r="O946" s="35"/>
      <c r="P946" s="35"/>
      <c r="Q946" s="35"/>
      <c r="R946" s="35"/>
      <c r="S946" s="35"/>
      <c r="T946" s="35"/>
      <c r="U946" s="35"/>
      <c r="V946" s="35"/>
      <c r="W946" s="35"/>
      <c r="X946" s="35"/>
      <c r="Y946" s="35"/>
      <c r="Z946" s="35"/>
      <c r="AA946" s="35"/>
      <c r="AB946" s="35"/>
      <c r="AC946" s="35"/>
      <c r="AD946" s="35"/>
    </row>
    <row r="947" spans="1:30" x14ac:dyDescent="0.25">
      <c r="A947" s="35"/>
      <c r="B947" s="35"/>
      <c r="C947" s="35"/>
      <c r="D947" s="35"/>
      <c r="E947" s="35"/>
      <c r="F947" s="35"/>
      <c r="G947" s="35"/>
      <c r="H947" s="35"/>
      <c r="I947" s="35"/>
      <c r="J947" s="35"/>
      <c r="K947" s="35"/>
      <c r="L947" s="36"/>
      <c r="M947" s="35"/>
      <c r="N947" s="35"/>
      <c r="O947" s="35"/>
      <c r="P947" s="35"/>
      <c r="Q947" s="35"/>
      <c r="R947" s="35"/>
      <c r="S947" s="35"/>
      <c r="T947" s="35"/>
      <c r="U947" s="35"/>
      <c r="V947" s="35"/>
      <c r="W947" s="35"/>
      <c r="X947" s="35"/>
      <c r="Y947" s="35"/>
      <c r="Z947" s="35"/>
      <c r="AA947" s="35"/>
      <c r="AB947" s="35"/>
      <c r="AC947" s="35"/>
      <c r="AD947" s="35"/>
    </row>
    <row r="948" spans="1:30" x14ac:dyDescent="0.25">
      <c r="A948" s="35"/>
      <c r="B948" s="35"/>
      <c r="C948" s="35"/>
      <c r="D948" s="35"/>
      <c r="E948" s="35"/>
      <c r="F948" s="35"/>
      <c r="G948" s="35"/>
      <c r="H948" s="35"/>
      <c r="I948" s="35"/>
      <c r="J948" s="35"/>
      <c r="K948" s="35"/>
      <c r="L948" s="36"/>
      <c r="M948" s="35"/>
      <c r="N948" s="35"/>
      <c r="O948" s="35"/>
      <c r="P948" s="35"/>
      <c r="Q948" s="35"/>
      <c r="R948" s="35"/>
      <c r="S948" s="35"/>
      <c r="T948" s="35"/>
      <c r="U948" s="35"/>
      <c r="V948" s="35"/>
      <c r="W948" s="35"/>
      <c r="X948" s="35"/>
      <c r="Y948" s="35"/>
      <c r="Z948" s="35"/>
      <c r="AA948" s="35"/>
      <c r="AB948" s="35"/>
      <c r="AC948" s="35"/>
      <c r="AD948" s="35"/>
    </row>
    <row r="949" spans="1:30" x14ac:dyDescent="0.25">
      <c r="A949" s="35"/>
      <c r="B949" s="35"/>
      <c r="C949" s="35"/>
      <c r="D949" s="35"/>
      <c r="E949" s="35"/>
      <c r="F949" s="35"/>
      <c r="G949" s="35"/>
      <c r="H949" s="35"/>
      <c r="I949" s="35"/>
      <c r="J949" s="35"/>
      <c r="K949" s="35"/>
      <c r="L949" s="36"/>
      <c r="M949" s="35"/>
      <c r="N949" s="35"/>
      <c r="O949" s="35"/>
      <c r="P949" s="35"/>
      <c r="Q949" s="35"/>
      <c r="R949" s="35"/>
      <c r="S949" s="35"/>
      <c r="T949" s="35"/>
      <c r="U949" s="35"/>
      <c r="V949" s="35"/>
      <c r="W949" s="35"/>
      <c r="X949" s="35"/>
      <c r="Y949" s="35"/>
      <c r="Z949" s="35"/>
      <c r="AA949" s="35"/>
      <c r="AB949" s="35"/>
      <c r="AC949" s="35"/>
      <c r="AD949" s="35"/>
    </row>
    <row r="950" spans="1:30" x14ac:dyDescent="0.25">
      <c r="A950" s="35"/>
      <c r="B950" s="35"/>
      <c r="C950" s="35"/>
      <c r="D950" s="35"/>
      <c r="E950" s="35"/>
      <c r="F950" s="35"/>
      <c r="G950" s="35"/>
      <c r="H950" s="35"/>
      <c r="I950" s="35"/>
      <c r="J950" s="35"/>
      <c r="K950" s="35"/>
      <c r="L950" s="36"/>
      <c r="M950" s="35"/>
      <c r="N950" s="35"/>
      <c r="O950" s="35"/>
      <c r="P950" s="35"/>
      <c r="Q950" s="35"/>
      <c r="R950" s="35"/>
      <c r="S950" s="35"/>
      <c r="T950" s="35"/>
      <c r="U950" s="35"/>
      <c r="V950" s="35"/>
      <c r="W950" s="35"/>
      <c r="X950" s="35"/>
      <c r="Y950" s="35"/>
      <c r="Z950" s="35"/>
      <c r="AA950" s="35"/>
      <c r="AB950" s="35"/>
      <c r="AC950" s="35"/>
      <c r="AD950" s="35"/>
    </row>
    <row r="951" spans="1:30" x14ac:dyDescent="0.25">
      <c r="A951" s="35"/>
      <c r="B951" s="35"/>
      <c r="C951" s="35"/>
      <c r="D951" s="35"/>
      <c r="E951" s="35"/>
      <c r="F951" s="35"/>
      <c r="G951" s="35"/>
      <c r="H951" s="35"/>
      <c r="I951" s="35"/>
      <c r="J951" s="35"/>
      <c r="K951" s="35"/>
      <c r="L951" s="36"/>
      <c r="M951" s="35"/>
      <c r="N951" s="35"/>
      <c r="O951" s="35"/>
      <c r="P951" s="35"/>
      <c r="Q951" s="35"/>
      <c r="R951" s="35"/>
      <c r="S951" s="35"/>
      <c r="T951" s="35"/>
      <c r="U951" s="35"/>
      <c r="V951" s="35"/>
      <c r="W951" s="35"/>
      <c r="X951" s="35"/>
      <c r="Y951" s="35"/>
      <c r="Z951" s="35"/>
      <c r="AA951" s="35"/>
      <c r="AB951" s="35"/>
      <c r="AC951" s="35"/>
      <c r="AD951" s="35"/>
    </row>
    <row r="952" spans="1:30" x14ac:dyDescent="0.25">
      <c r="A952" s="35"/>
      <c r="B952" s="35"/>
      <c r="C952" s="35"/>
      <c r="D952" s="35"/>
      <c r="E952" s="35"/>
      <c r="F952" s="35"/>
      <c r="G952" s="35"/>
      <c r="H952" s="35"/>
      <c r="I952" s="35"/>
      <c r="J952" s="35"/>
      <c r="K952" s="35"/>
      <c r="L952" s="36"/>
      <c r="M952" s="35"/>
      <c r="N952" s="35"/>
      <c r="O952" s="35"/>
      <c r="P952" s="35"/>
      <c r="Q952" s="35"/>
      <c r="R952" s="35"/>
      <c r="S952" s="35"/>
      <c r="T952" s="35"/>
      <c r="U952" s="35"/>
      <c r="V952" s="35"/>
      <c r="W952" s="35"/>
      <c r="X952" s="35"/>
      <c r="Y952" s="35"/>
      <c r="Z952" s="35"/>
      <c r="AA952" s="35"/>
      <c r="AB952" s="35"/>
      <c r="AC952" s="35"/>
      <c r="AD952" s="35"/>
    </row>
    <row r="953" spans="1:30" x14ac:dyDescent="0.25">
      <c r="A953" s="35"/>
      <c r="B953" s="35"/>
      <c r="C953" s="35"/>
      <c r="D953" s="35"/>
      <c r="E953" s="35"/>
      <c r="F953" s="35"/>
      <c r="G953" s="35"/>
      <c r="H953" s="35"/>
      <c r="I953" s="35"/>
      <c r="J953" s="35"/>
      <c r="K953" s="35"/>
      <c r="L953" s="36"/>
      <c r="M953" s="35"/>
      <c r="N953" s="35"/>
      <c r="O953" s="35"/>
      <c r="P953" s="35"/>
      <c r="Q953" s="35"/>
      <c r="R953" s="35"/>
      <c r="S953" s="35"/>
      <c r="T953" s="35"/>
      <c r="U953" s="35"/>
      <c r="V953" s="35"/>
      <c r="W953" s="35"/>
      <c r="X953" s="35"/>
      <c r="Y953" s="35"/>
      <c r="Z953" s="35"/>
      <c r="AA953" s="35"/>
      <c r="AB953" s="35"/>
      <c r="AC953" s="35"/>
      <c r="AD953" s="35"/>
    </row>
    <row r="954" spans="1:30" x14ac:dyDescent="0.25">
      <c r="A954" s="35"/>
      <c r="B954" s="35"/>
      <c r="C954" s="35"/>
      <c r="D954" s="35"/>
      <c r="E954" s="35"/>
      <c r="F954" s="35"/>
      <c r="G954" s="35"/>
      <c r="H954" s="35"/>
      <c r="I954" s="35"/>
      <c r="J954" s="35"/>
      <c r="K954" s="35"/>
      <c r="L954" s="36"/>
      <c r="M954" s="35"/>
      <c r="N954" s="35"/>
      <c r="O954" s="35"/>
      <c r="P954" s="35"/>
      <c r="Q954" s="35"/>
      <c r="R954" s="35"/>
      <c r="S954" s="35"/>
      <c r="T954" s="35"/>
      <c r="U954" s="35"/>
      <c r="V954" s="35"/>
      <c r="W954" s="35"/>
      <c r="X954" s="35"/>
      <c r="Y954" s="35"/>
      <c r="Z954" s="35"/>
      <c r="AA954" s="35"/>
      <c r="AB954" s="35"/>
      <c r="AC954" s="35"/>
      <c r="AD954" s="35"/>
    </row>
    <row r="955" spans="1:30" x14ac:dyDescent="0.25">
      <c r="A955" s="35"/>
      <c r="B955" s="35"/>
      <c r="C955" s="35"/>
      <c r="D955" s="35"/>
      <c r="E955" s="35"/>
      <c r="F955" s="35"/>
      <c r="G955" s="35"/>
      <c r="H955" s="35"/>
      <c r="I955" s="35"/>
      <c r="J955" s="35"/>
      <c r="K955" s="35"/>
      <c r="L955" s="36"/>
      <c r="M955" s="35"/>
      <c r="N955" s="35"/>
      <c r="O955" s="35"/>
      <c r="P955" s="35"/>
      <c r="Q955" s="35"/>
      <c r="R955" s="35"/>
      <c r="S955" s="35"/>
      <c r="T955" s="35"/>
      <c r="U955" s="35"/>
      <c r="V955" s="35"/>
      <c r="W955" s="35"/>
      <c r="X955" s="35"/>
      <c r="Y955" s="35"/>
      <c r="Z955" s="35"/>
      <c r="AA955" s="35"/>
      <c r="AB955" s="35"/>
      <c r="AC955" s="35"/>
      <c r="AD955" s="35"/>
    </row>
    <row r="956" spans="1:30" x14ac:dyDescent="0.25">
      <c r="A956" s="35"/>
      <c r="B956" s="35"/>
      <c r="C956" s="35"/>
      <c r="D956" s="35"/>
      <c r="E956" s="35"/>
      <c r="F956" s="35"/>
      <c r="G956" s="35"/>
      <c r="H956" s="35"/>
      <c r="I956" s="35"/>
      <c r="J956" s="35"/>
      <c r="K956" s="35"/>
      <c r="L956" s="36"/>
      <c r="M956" s="35"/>
      <c r="N956" s="35"/>
      <c r="O956" s="35"/>
      <c r="P956" s="35"/>
      <c r="Q956" s="35"/>
      <c r="R956" s="35"/>
      <c r="S956" s="35"/>
      <c r="T956" s="35"/>
      <c r="U956" s="35"/>
      <c r="V956" s="35"/>
      <c r="W956" s="35"/>
      <c r="X956" s="35"/>
      <c r="Y956" s="35"/>
      <c r="Z956" s="35"/>
      <c r="AA956" s="35"/>
      <c r="AB956" s="35"/>
      <c r="AC956" s="35"/>
      <c r="AD956" s="35"/>
    </row>
    <row r="957" spans="1:30" x14ac:dyDescent="0.25">
      <c r="A957" s="35"/>
      <c r="B957" s="35"/>
      <c r="C957" s="35"/>
      <c r="D957" s="35"/>
      <c r="E957" s="35"/>
      <c r="F957" s="35"/>
      <c r="G957" s="35"/>
      <c r="H957" s="35"/>
      <c r="I957" s="35"/>
      <c r="J957" s="35"/>
      <c r="K957" s="35"/>
      <c r="L957" s="36"/>
      <c r="M957" s="35"/>
      <c r="N957" s="35"/>
      <c r="O957" s="35"/>
      <c r="P957" s="35"/>
      <c r="Q957" s="35"/>
      <c r="R957" s="35"/>
      <c r="S957" s="35"/>
      <c r="T957" s="35"/>
      <c r="U957" s="35"/>
      <c r="V957" s="35"/>
      <c r="W957" s="35"/>
      <c r="X957" s="35"/>
      <c r="Y957" s="35"/>
      <c r="Z957" s="35"/>
      <c r="AA957" s="35"/>
      <c r="AB957" s="35"/>
      <c r="AC957" s="35"/>
      <c r="AD957" s="35"/>
    </row>
    <row r="958" spans="1:30" x14ac:dyDescent="0.25">
      <c r="A958" s="35"/>
      <c r="B958" s="35"/>
      <c r="C958" s="35"/>
      <c r="D958" s="35"/>
      <c r="E958" s="35"/>
      <c r="F958" s="35"/>
      <c r="G958" s="35"/>
      <c r="H958" s="35"/>
      <c r="I958" s="35"/>
      <c r="J958" s="35"/>
      <c r="K958" s="35"/>
      <c r="L958" s="36"/>
      <c r="M958" s="35"/>
      <c r="N958" s="35"/>
      <c r="O958" s="35"/>
      <c r="P958" s="35"/>
      <c r="Q958" s="35"/>
      <c r="R958" s="35"/>
      <c r="S958" s="35"/>
      <c r="T958" s="35"/>
      <c r="U958" s="35"/>
      <c r="V958" s="35"/>
      <c r="W958" s="35"/>
      <c r="X958" s="35"/>
      <c r="Y958" s="35"/>
      <c r="Z958" s="35"/>
      <c r="AA958" s="35"/>
      <c r="AB958" s="35"/>
      <c r="AC958" s="35"/>
      <c r="AD958" s="35"/>
    </row>
    <row r="959" spans="1:30" x14ac:dyDescent="0.25">
      <c r="A959" s="35"/>
      <c r="B959" s="35"/>
      <c r="C959" s="35"/>
      <c r="D959" s="35"/>
      <c r="E959" s="35"/>
      <c r="F959" s="35"/>
      <c r="G959" s="35"/>
      <c r="H959" s="35"/>
      <c r="I959" s="35"/>
      <c r="J959" s="35"/>
      <c r="K959" s="35"/>
      <c r="L959" s="36"/>
      <c r="M959" s="35"/>
      <c r="N959" s="35"/>
      <c r="O959" s="35"/>
      <c r="P959" s="35"/>
      <c r="Q959" s="35"/>
      <c r="R959" s="35"/>
      <c r="S959" s="35"/>
      <c r="T959" s="35"/>
      <c r="U959" s="35"/>
      <c r="V959" s="35"/>
      <c r="W959" s="35"/>
      <c r="X959" s="35"/>
      <c r="Y959" s="35"/>
      <c r="Z959" s="35"/>
      <c r="AA959" s="35"/>
      <c r="AB959" s="35"/>
      <c r="AC959" s="35"/>
      <c r="AD959" s="35"/>
    </row>
    <row r="960" spans="1:30" x14ac:dyDescent="0.25">
      <c r="A960" s="35"/>
      <c r="B960" s="35"/>
      <c r="C960" s="35"/>
      <c r="D960" s="35"/>
      <c r="E960" s="35"/>
      <c r="F960" s="35"/>
      <c r="G960" s="35"/>
      <c r="H960" s="35"/>
      <c r="I960" s="35"/>
      <c r="J960" s="35"/>
      <c r="K960" s="35"/>
      <c r="L960" s="36"/>
      <c r="M960" s="35"/>
      <c r="N960" s="35"/>
      <c r="O960" s="35"/>
      <c r="P960" s="35"/>
      <c r="Q960" s="35"/>
      <c r="R960" s="35"/>
      <c r="S960" s="35"/>
      <c r="T960" s="35"/>
      <c r="U960" s="35"/>
      <c r="V960" s="35"/>
      <c r="W960" s="35"/>
      <c r="X960" s="35"/>
      <c r="Y960" s="35"/>
      <c r="Z960" s="35"/>
      <c r="AA960" s="35"/>
      <c r="AB960" s="35"/>
      <c r="AC960" s="35"/>
      <c r="AD960" s="35"/>
    </row>
    <row r="961" spans="1:30" x14ac:dyDescent="0.25">
      <c r="A961" s="35"/>
      <c r="B961" s="35"/>
      <c r="C961" s="35"/>
      <c r="D961" s="35"/>
      <c r="E961" s="35"/>
      <c r="F961" s="35"/>
      <c r="G961" s="35"/>
      <c r="H961" s="35"/>
      <c r="I961" s="35"/>
      <c r="J961" s="35"/>
      <c r="K961" s="35"/>
      <c r="L961" s="36"/>
      <c r="M961" s="35"/>
      <c r="N961" s="35"/>
      <c r="O961" s="35"/>
      <c r="P961" s="35"/>
      <c r="Q961" s="35"/>
      <c r="R961" s="35"/>
      <c r="S961" s="35"/>
      <c r="T961" s="35"/>
      <c r="U961" s="35"/>
      <c r="V961" s="35"/>
      <c r="W961" s="35"/>
      <c r="X961" s="35"/>
      <c r="Y961" s="35"/>
      <c r="Z961" s="35"/>
      <c r="AA961" s="35"/>
      <c r="AB961" s="35"/>
      <c r="AC961" s="35"/>
      <c r="AD961" s="35"/>
    </row>
    <row r="962" spans="1:30" x14ac:dyDescent="0.25">
      <c r="A962" s="35"/>
      <c r="B962" s="35"/>
      <c r="C962" s="35"/>
      <c r="D962" s="35"/>
      <c r="E962" s="35"/>
      <c r="F962" s="35"/>
      <c r="G962" s="35"/>
      <c r="H962" s="35"/>
      <c r="I962" s="35"/>
      <c r="J962" s="35"/>
      <c r="K962" s="35"/>
      <c r="L962" s="36"/>
      <c r="M962" s="35"/>
      <c r="N962" s="35"/>
      <c r="O962" s="35"/>
      <c r="P962" s="35"/>
      <c r="Q962" s="35"/>
      <c r="R962" s="35"/>
      <c r="S962" s="35"/>
      <c r="T962" s="35"/>
      <c r="U962" s="35"/>
      <c r="V962" s="35"/>
      <c r="W962" s="35"/>
      <c r="X962" s="35"/>
      <c r="Y962" s="35"/>
      <c r="Z962" s="35"/>
      <c r="AA962" s="35"/>
      <c r="AB962" s="35"/>
      <c r="AC962" s="35"/>
      <c r="AD962" s="35"/>
    </row>
    <row r="963" spans="1:30" x14ac:dyDescent="0.25">
      <c r="A963" s="35"/>
      <c r="B963" s="35"/>
      <c r="C963" s="35"/>
      <c r="D963" s="35"/>
      <c r="E963" s="35"/>
      <c r="F963" s="35"/>
      <c r="G963" s="35"/>
      <c r="H963" s="35"/>
      <c r="I963" s="35"/>
      <c r="J963" s="35"/>
      <c r="K963" s="35"/>
      <c r="L963" s="36"/>
      <c r="M963" s="35"/>
      <c r="N963" s="35"/>
      <c r="O963" s="35"/>
      <c r="P963" s="35"/>
      <c r="Q963" s="35"/>
      <c r="R963" s="35"/>
      <c r="S963" s="35"/>
      <c r="T963" s="35"/>
      <c r="U963" s="35"/>
      <c r="V963" s="35"/>
      <c r="W963" s="35"/>
      <c r="X963" s="35"/>
      <c r="Y963" s="35"/>
      <c r="Z963" s="35"/>
      <c r="AA963" s="35"/>
      <c r="AB963" s="35"/>
      <c r="AC963" s="35"/>
      <c r="AD963" s="35"/>
    </row>
    <row r="964" spans="1:30" x14ac:dyDescent="0.25">
      <c r="A964" s="35"/>
      <c r="B964" s="35"/>
      <c r="C964" s="35"/>
      <c r="D964" s="35"/>
      <c r="E964" s="35"/>
      <c r="F964" s="35"/>
      <c r="G964" s="35"/>
      <c r="H964" s="35"/>
      <c r="I964" s="35"/>
      <c r="J964" s="35"/>
      <c r="K964" s="35"/>
      <c r="L964" s="36"/>
      <c r="M964" s="35"/>
      <c r="N964" s="35"/>
      <c r="O964" s="35"/>
      <c r="P964" s="35"/>
      <c r="Q964" s="35"/>
      <c r="R964" s="35"/>
      <c r="S964" s="35"/>
      <c r="T964" s="35"/>
      <c r="U964" s="35"/>
      <c r="V964" s="35"/>
      <c r="W964" s="35"/>
      <c r="X964" s="35"/>
      <c r="Y964" s="35"/>
      <c r="Z964" s="35"/>
      <c r="AA964" s="35"/>
      <c r="AB964" s="35"/>
      <c r="AC964" s="35"/>
      <c r="AD964" s="35"/>
    </row>
    <row r="965" spans="1:30" x14ac:dyDescent="0.25">
      <c r="A965" s="35"/>
      <c r="B965" s="35"/>
      <c r="C965" s="35"/>
      <c r="D965" s="35"/>
      <c r="E965" s="35"/>
      <c r="F965" s="35"/>
      <c r="G965" s="35"/>
      <c r="H965" s="35"/>
      <c r="I965" s="35"/>
      <c r="J965" s="35"/>
      <c r="K965" s="35"/>
      <c r="L965" s="36"/>
      <c r="M965" s="35"/>
      <c r="N965" s="35"/>
      <c r="O965" s="35"/>
      <c r="P965" s="35"/>
      <c r="Q965" s="35"/>
      <c r="R965" s="35"/>
      <c r="S965" s="35"/>
      <c r="T965" s="35"/>
      <c r="U965" s="35"/>
      <c r="V965" s="35"/>
      <c r="W965" s="35"/>
      <c r="X965" s="35"/>
      <c r="Y965" s="35"/>
      <c r="Z965" s="35"/>
      <c r="AA965" s="35"/>
      <c r="AB965" s="35"/>
      <c r="AC965" s="35"/>
      <c r="AD965" s="35"/>
    </row>
    <row r="966" spans="1:30" x14ac:dyDescent="0.25">
      <c r="A966" s="35"/>
      <c r="B966" s="35"/>
      <c r="C966" s="35"/>
      <c r="D966" s="35"/>
      <c r="E966" s="35"/>
      <c r="F966" s="35"/>
      <c r="G966" s="35"/>
      <c r="H966" s="35"/>
      <c r="I966" s="35"/>
      <c r="J966" s="35"/>
      <c r="K966" s="35"/>
      <c r="L966" s="36"/>
      <c r="M966" s="35"/>
      <c r="N966" s="35"/>
      <c r="O966" s="35"/>
      <c r="P966" s="35"/>
      <c r="Q966" s="35"/>
      <c r="R966" s="35"/>
      <c r="S966" s="35"/>
      <c r="T966" s="35"/>
      <c r="U966" s="35"/>
      <c r="V966" s="35"/>
      <c r="W966" s="35"/>
      <c r="X966" s="35"/>
      <c r="Y966" s="35"/>
      <c r="Z966" s="35"/>
      <c r="AA966" s="35"/>
      <c r="AB966" s="35"/>
      <c r="AC966" s="35"/>
      <c r="AD966" s="35"/>
    </row>
    <row r="967" spans="1:30" x14ac:dyDescent="0.25">
      <c r="A967" s="35"/>
      <c r="B967" s="35"/>
      <c r="C967" s="35"/>
      <c r="D967" s="35"/>
      <c r="E967" s="35"/>
      <c r="F967" s="35"/>
      <c r="G967" s="35"/>
      <c r="H967" s="35"/>
      <c r="I967" s="35"/>
      <c r="J967" s="35"/>
      <c r="K967" s="35"/>
      <c r="L967" s="36"/>
      <c r="M967" s="35"/>
      <c r="N967" s="35"/>
      <c r="O967" s="35"/>
      <c r="P967" s="35"/>
      <c r="Q967" s="35"/>
      <c r="R967" s="35"/>
      <c r="S967" s="35"/>
      <c r="T967" s="35"/>
      <c r="U967" s="35"/>
      <c r="V967" s="35"/>
      <c r="W967" s="35"/>
      <c r="X967" s="35"/>
      <c r="Y967" s="35"/>
      <c r="Z967" s="35"/>
      <c r="AA967" s="35"/>
      <c r="AB967" s="35"/>
      <c r="AC967" s="35"/>
      <c r="AD967" s="35"/>
    </row>
    <row r="968" spans="1:30" x14ac:dyDescent="0.25">
      <c r="A968" s="35"/>
      <c r="B968" s="35"/>
      <c r="C968" s="35"/>
      <c r="D968" s="35"/>
      <c r="E968" s="35"/>
      <c r="F968" s="35"/>
      <c r="G968" s="35"/>
      <c r="H968" s="35"/>
      <c r="I968" s="35"/>
      <c r="J968" s="35"/>
      <c r="K968" s="35"/>
      <c r="L968" s="36"/>
      <c r="M968" s="35"/>
      <c r="N968" s="35"/>
      <c r="O968" s="35"/>
      <c r="P968" s="35"/>
      <c r="Q968" s="35"/>
      <c r="R968" s="35"/>
      <c r="S968" s="35"/>
      <c r="T968" s="35"/>
      <c r="U968" s="35"/>
      <c r="V968" s="35"/>
      <c r="W968" s="35"/>
      <c r="X968" s="35"/>
      <c r="Y968" s="35"/>
      <c r="Z968" s="35"/>
      <c r="AA968" s="35"/>
      <c r="AB968" s="35"/>
      <c r="AC968" s="35"/>
      <c r="AD968" s="35"/>
    </row>
    <row r="969" spans="1:30" x14ac:dyDescent="0.25">
      <c r="A969" s="35"/>
      <c r="B969" s="35"/>
      <c r="C969" s="35"/>
      <c r="D969" s="35"/>
      <c r="E969" s="35"/>
      <c r="F969" s="35"/>
      <c r="G969" s="35"/>
      <c r="H969" s="35"/>
      <c r="I969" s="35"/>
      <c r="J969" s="35"/>
      <c r="K969" s="35"/>
      <c r="L969" s="36"/>
      <c r="M969" s="35"/>
      <c r="N969" s="35"/>
      <c r="O969" s="35"/>
      <c r="P969" s="35"/>
      <c r="Q969" s="35"/>
      <c r="R969" s="35"/>
      <c r="S969" s="35"/>
      <c r="T969" s="35"/>
      <c r="U969" s="35"/>
      <c r="V969" s="35"/>
      <c r="W969" s="35"/>
      <c r="X969" s="35"/>
      <c r="Y969" s="35"/>
      <c r="Z969" s="35"/>
      <c r="AA969" s="35"/>
      <c r="AB969" s="35"/>
      <c r="AC969" s="35"/>
      <c r="AD969" s="35"/>
    </row>
    <row r="970" spans="1:30" x14ac:dyDescent="0.25">
      <c r="A970" s="35"/>
      <c r="B970" s="35"/>
      <c r="C970" s="35"/>
      <c r="D970" s="35"/>
      <c r="E970" s="35"/>
      <c r="F970" s="35"/>
      <c r="G970" s="35"/>
      <c r="H970" s="35"/>
      <c r="I970" s="35"/>
      <c r="J970" s="35"/>
      <c r="K970" s="35"/>
      <c r="L970" s="36"/>
      <c r="M970" s="35"/>
      <c r="N970" s="35"/>
      <c r="O970" s="35"/>
      <c r="P970" s="35"/>
      <c r="Q970" s="35"/>
      <c r="R970" s="35"/>
      <c r="S970" s="35"/>
      <c r="T970" s="35"/>
      <c r="U970" s="35"/>
      <c r="V970" s="35"/>
      <c r="W970" s="35"/>
      <c r="X970" s="35"/>
      <c r="Y970" s="35"/>
      <c r="Z970" s="35"/>
      <c r="AA970" s="35"/>
      <c r="AB970" s="35"/>
      <c r="AC970" s="35"/>
      <c r="AD970" s="35"/>
    </row>
    <row r="971" spans="1:30" x14ac:dyDescent="0.25">
      <c r="A971" s="35"/>
      <c r="B971" s="35"/>
      <c r="C971" s="35"/>
      <c r="D971" s="35"/>
      <c r="E971" s="35"/>
      <c r="F971" s="35"/>
      <c r="G971" s="35"/>
      <c r="H971" s="35"/>
      <c r="I971" s="35"/>
      <c r="J971" s="35"/>
      <c r="K971" s="35"/>
      <c r="L971" s="36"/>
      <c r="M971" s="35"/>
      <c r="N971" s="35"/>
      <c r="O971" s="35"/>
      <c r="P971" s="35"/>
      <c r="Q971" s="35"/>
      <c r="R971" s="35"/>
      <c r="S971" s="35"/>
      <c r="T971" s="35"/>
      <c r="U971" s="35"/>
      <c r="V971" s="35"/>
      <c r="W971" s="35"/>
      <c r="X971" s="35"/>
      <c r="Y971" s="35"/>
      <c r="Z971" s="35"/>
      <c r="AA971" s="35"/>
      <c r="AB971" s="35"/>
      <c r="AC971" s="35"/>
      <c r="AD971" s="35"/>
    </row>
    <row r="972" spans="1:30" x14ac:dyDescent="0.25">
      <c r="A972" s="35"/>
      <c r="B972" s="35"/>
      <c r="C972" s="35"/>
      <c r="D972" s="35"/>
      <c r="E972" s="35"/>
      <c r="F972" s="35"/>
      <c r="G972" s="35"/>
      <c r="H972" s="35"/>
      <c r="I972" s="35"/>
      <c r="J972" s="35"/>
      <c r="K972" s="35"/>
      <c r="L972" s="36"/>
      <c r="M972" s="35"/>
      <c r="N972" s="35"/>
      <c r="O972" s="35"/>
      <c r="P972" s="35"/>
      <c r="Q972" s="35"/>
      <c r="R972" s="35"/>
      <c r="S972" s="35"/>
      <c r="T972" s="35"/>
      <c r="U972" s="35"/>
      <c r="V972" s="35"/>
      <c r="W972" s="35"/>
      <c r="X972" s="35"/>
      <c r="Y972" s="35"/>
      <c r="Z972" s="35"/>
      <c r="AA972" s="35"/>
      <c r="AB972" s="35"/>
      <c r="AC972" s="35"/>
      <c r="AD972" s="35"/>
    </row>
    <row r="973" spans="1:30" x14ac:dyDescent="0.25">
      <c r="A973" s="35"/>
      <c r="B973" s="35"/>
      <c r="C973" s="35"/>
      <c r="D973" s="35"/>
      <c r="E973" s="35"/>
      <c r="F973" s="35"/>
      <c r="G973" s="35"/>
      <c r="H973" s="35"/>
      <c r="I973" s="35"/>
      <c r="J973" s="35"/>
      <c r="K973" s="35"/>
      <c r="L973" s="36"/>
      <c r="M973" s="35"/>
      <c r="N973" s="35"/>
      <c r="O973" s="35"/>
      <c r="P973" s="35"/>
      <c r="Q973" s="35"/>
      <c r="R973" s="35"/>
      <c r="S973" s="35"/>
      <c r="T973" s="35"/>
      <c r="U973" s="35"/>
      <c r="V973" s="35"/>
      <c r="W973" s="35"/>
      <c r="X973" s="35"/>
      <c r="Y973" s="35"/>
      <c r="Z973" s="35"/>
      <c r="AA973" s="35"/>
      <c r="AB973" s="35"/>
      <c r="AC973" s="35"/>
      <c r="AD973" s="35"/>
    </row>
    <row r="974" spans="1:30" x14ac:dyDescent="0.25">
      <c r="A974" s="35"/>
      <c r="B974" s="35"/>
      <c r="C974" s="35"/>
      <c r="D974" s="35"/>
      <c r="E974" s="35"/>
      <c r="F974" s="35"/>
      <c r="G974" s="35"/>
      <c r="H974" s="35"/>
      <c r="I974" s="35"/>
      <c r="J974" s="35"/>
      <c r="K974" s="35"/>
      <c r="L974" s="36"/>
      <c r="M974" s="35"/>
      <c r="N974" s="35"/>
      <c r="O974" s="35"/>
      <c r="P974" s="35"/>
      <c r="Q974" s="35"/>
      <c r="R974" s="35"/>
      <c r="S974" s="35"/>
      <c r="T974" s="35"/>
      <c r="U974" s="35"/>
      <c r="V974" s="35"/>
      <c r="W974" s="35"/>
      <c r="X974" s="35"/>
      <c r="Y974" s="35"/>
      <c r="Z974" s="35"/>
      <c r="AA974" s="35"/>
      <c r="AB974" s="35"/>
      <c r="AC974" s="35"/>
      <c r="AD974" s="35"/>
    </row>
    <row r="975" spans="1:30" x14ac:dyDescent="0.25">
      <c r="A975" s="35"/>
      <c r="B975" s="35"/>
      <c r="C975" s="35"/>
      <c r="D975" s="35"/>
      <c r="E975" s="35"/>
      <c r="F975" s="35"/>
      <c r="G975" s="35"/>
      <c r="H975" s="35"/>
      <c r="I975" s="35"/>
      <c r="J975" s="35"/>
      <c r="K975" s="35"/>
      <c r="L975" s="36"/>
      <c r="M975" s="35"/>
      <c r="N975" s="35"/>
      <c r="O975" s="35"/>
      <c r="P975" s="35"/>
      <c r="Q975" s="35"/>
      <c r="R975" s="35"/>
      <c r="S975" s="35"/>
      <c r="T975" s="35"/>
      <c r="U975" s="35"/>
      <c r="V975" s="35"/>
      <c r="W975" s="35"/>
      <c r="X975" s="35"/>
      <c r="Y975" s="35"/>
      <c r="Z975" s="35"/>
      <c r="AA975" s="35"/>
      <c r="AB975" s="35"/>
      <c r="AC975" s="35"/>
      <c r="AD975" s="35"/>
    </row>
    <row r="976" spans="1:30" x14ac:dyDescent="0.25">
      <c r="A976" s="35"/>
      <c r="B976" s="35"/>
      <c r="C976" s="35"/>
      <c r="D976" s="35"/>
      <c r="E976" s="35"/>
      <c r="F976" s="35"/>
      <c r="G976" s="35"/>
      <c r="H976" s="35"/>
      <c r="I976" s="35"/>
      <c r="J976" s="35"/>
      <c r="K976" s="35"/>
      <c r="L976" s="36"/>
      <c r="M976" s="35"/>
      <c r="N976" s="35"/>
      <c r="O976" s="35"/>
      <c r="P976" s="35"/>
      <c r="Q976" s="35"/>
      <c r="R976" s="35"/>
      <c r="S976" s="35"/>
      <c r="T976" s="35"/>
      <c r="U976" s="35"/>
      <c r="V976" s="35"/>
      <c r="W976" s="35"/>
      <c r="X976" s="35"/>
      <c r="Y976" s="35"/>
      <c r="Z976" s="35"/>
      <c r="AA976" s="35"/>
      <c r="AB976" s="35"/>
      <c r="AC976" s="35"/>
      <c r="AD976" s="35"/>
    </row>
    <row r="977" spans="1:30" x14ac:dyDescent="0.25">
      <c r="A977" s="35"/>
      <c r="B977" s="35"/>
      <c r="C977" s="35"/>
      <c r="D977" s="35"/>
      <c r="E977" s="35"/>
      <c r="F977" s="35"/>
      <c r="G977" s="35"/>
      <c r="H977" s="35"/>
      <c r="I977" s="35"/>
      <c r="J977" s="35"/>
      <c r="K977" s="35"/>
      <c r="L977" s="36"/>
      <c r="M977" s="35"/>
      <c r="N977" s="35"/>
      <c r="O977" s="35"/>
      <c r="P977" s="35"/>
      <c r="Q977" s="35"/>
      <c r="R977" s="35"/>
      <c r="S977" s="35"/>
      <c r="T977" s="35"/>
      <c r="U977" s="35"/>
      <c r="V977" s="35"/>
      <c r="W977" s="35"/>
      <c r="X977" s="35"/>
      <c r="Y977" s="35"/>
      <c r="Z977" s="35"/>
      <c r="AA977" s="35"/>
      <c r="AB977" s="35"/>
      <c r="AC977" s="35"/>
      <c r="AD977" s="35"/>
    </row>
    <row r="978" spans="1:30" x14ac:dyDescent="0.25">
      <c r="A978" s="35"/>
      <c r="B978" s="35"/>
      <c r="C978" s="35"/>
      <c r="D978" s="35"/>
      <c r="E978" s="35"/>
      <c r="F978" s="35"/>
      <c r="G978" s="35"/>
      <c r="H978" s="35"/>
      <c r="I978" s="35"/>
      <c r="J978" s="35"/>
      <c r="K978" s="35"/>
      <c r="L978" s="36"/>
      <c r="M978" s="35"/>
      <c r="N978" s="35"/>
      <c r="O978" s="35"/>
      <c r="P978" s="35"/>
      <c r="Q978" s="35"/>
      <c r="R978" s="35"/>
      <c r="S978" s="35"/>
      <c r="T978" s="35"/>
      <c r="U978" s="35"/>
      <c r="V978" s="35"/>
      <c r="W978" s="35"/>
      <c r="X978" s="35"/>
      <c r="Y978" s="35"/>
      <c r="Z978" s="35"/>
      <c r="AA978" s="35"/>
      <c r="AB978" s="35"/>
      <c r="AC978" s="35"/>
      <c r="AD978" s="35"/>
    </row>
    <row r="979" spans="1:30" x14ac:dyDescent="0.25">
      <c r="A979" s="35"/>
      <c r="B979" s="35"/>
      <c r="C979" s="35"/>
      <c r="D979" s="35"/>
      <c r="E979" s="35"/>
      <c r="F979" s="35"/>
      <c r="G979" s="35"/>
      <c r="H979" s="35"/>
      <c r="I979" s="35"/>
      <c r="J979" s="35"/>
      <c r="K979" s="35"/>
      <c r="L979" s="36"/>
      <c r="M979" s="35"/>
      <c r="N979" s="35"/>
      <c r="O979" s="35"/>
      <c r="P979" s="35"/>
      <c r="Q979" s="35"/>
      <c r="R979" s="35"/>
      <c r="S979" s="35"/>
      <c r="T979" s="35"/>
      <c r="U979" s="35"/>
      <c r="V979" s="35"/>
      <c r="W979" s="35"/>
      <c r="X979" s="35"/>
      <c r="Y979" s="35"/>
      <c r="Z979" s="35"/>
      <c r="AA979" s="35"/>
      <c r="AB979" s="35"/>
      <c r="AC979" s="35"/>
      <c r="AD979" s="35"/>
    </row>
    <row r="980" spans="1:30" x14ac:dyDescent="0.25">
      <c r="A980" s="35"/>
      <c r="B980" s="35"/>
      <c r="C980" s="35"/>
      <c r="D980" s="35"/>
      <c r="E980" s="35"/>
      <c r="F980" s="35"/>
      <c r="G980" s="35"/>
      <c r="H980" s="35"/>
      <c r="I980" s="35"/>
      <c r="J980" s="35"/>
      <c r="K980" s="35"/>
      <c r="L980" s="36"/>
      <c r="M980" s="35"/>
      <c r="N980" s="35"/>
      <c r="O980" s="35"/>
      <c r="P980" s="35"/>
      <c r="Q980" s="35"/>
      <c r="R980" s="35"/>
      <c r="S980" s="35"/>
      <c r="T980" s="35"/>
      <c r="U980" s="35"/>
      <c r="V980" s="35"/>
      <c r="W980" s="35"/>
      <c r="X980" s="35"/>
      <c r="Y980" s="35"/>
      <c r="Z980" s="35"/>
      <c r="AA980" s="35"/>
      <c r="AB980" s="35"/>
      <c r="AC980" s="35"/>
      <c r="AD980" s="35"/>
    </row>
    <row r="981" spans="1:30" x14ac:dyDescent="0.25">
      <c r="A981" s="35"/>
      <c r="B981" s="35"/>
      <c r="C981" s="35"/>
      <c r="D981" s="35"/>
      <c r="E981" s="35"/>
      <c r="F981" s="35"/>
      <c r="G981" s="35"/>
      <c r="H981" s="35"/>
      <c r="I981" s="35"/>
      <c r="J981" s="35"/>
      <c r="K981" s="35"/>
      <c r="L981" s="36"/>
      <c r="M981" s="35"/>
      <c r="N981" s="35"/>
      <c r="O981" s="35"/>
      <c r="P981" s="35"/>
      <c r="Q981" s="35"/>
      <c r="R981" s="35"/>
      <c r="S981" s="35"/>
      <c r="T981" s="35"/>
      <c r="U981" s="35"/>
      <c r="V981" s="35"/>
      <c r="W981" s="35"/>
      <c r="X981" s="35"/>
      <c r="Y981" s="35"/>
      <c r="Z981" s="35"/>
      <c r="AA981" s="35"/>
      <c r="AB981" s="35"/>
      <c r="AC981" s="35"/>
      <c r="AD981" s="35"/>
    </row>
    <row r="982" spans="1:30" x14ac:dyDescent="0.25">
      <c r="A982" s="35"/>
      <c r="B982" s="35"/>
      <c r="C982" s="35"/>
      <c r="D982" s="35"/>
      <c r="E982" s="35"/>
      <c r="F982" s="35"/>
      <c r="G982" s="35"/>
      <c r="H982" s="35"/>
      <c r="I982" s="35"/>
      <c r="J982" s="35"/>
      <c r="K982" s="35"/>
      <c r="L982" s="36"/>
      <c r="M982" s="35"/>
      <c r="N982" s="35"/>
      <c r="O982" s="35"/>
      <c r="P982" s="35"/>
      <c r="Q982" s="35"/>
      <c r="R982" s="35"/>
      <c r="S982" s="35"/>
      <c r="T982" s="35"/>
      <c r="U982" s="35"/>
      <c r="V982" s="35"/>
      <c r="W982" s="35"/>
      <c r="X982" s="35"/>
      <c r="Y982" s="35"/>
      <c r="Z982" s="35"/>
      <c r="AA982" s="35"/>
      <c r="AB982" s="35"/>
      <c r="AC982" s="35"/>
      <c r="AD982" s="35"/>
    </row>
    <row r="983" spans="1:30" x14ac:dyDescent="0.25">
      <c r="A983" s="35"/>
      <c r="B983" s="35"/>
      <c r="C983" s="35"/>
      <c r="D983" s="35"/>
      <c r="E983" s="35"/>
      <c r="F983" s="35"/>
      <c r="G983" s="35"/>
      <c r="H983" s="35"/>
      <c r="I983" s="35"/>
      <c r="J983" s="35"/>
      <c r="K983" s="35"/>
      <c r="L983" s="36"/>
      <c r="M983" s="35"/>
      <c r="N983" s="35"/>
      <c r="O983" s="35"/>
      <c r="P983" s="35"/>
      <c r="Q983" s="35"/>
      <c r="R983" s="35"/>
      <c r="S983" s="35"/>
      <c r="T983" s="35"/>
      <c r="U983" s="35"/>
      <c r="V983" s="35"/>
      <c r="W983" s="35"/>
      <c r="X983" s="35"/>
      <c r="Y983" s="35"/>
      <c r="Z983" s="35"/>
      <c r="AA983" s="35"/>
      <c r="AB983" s="35"/>
      <c r="AC983" s="35"/>
      <c r="AD983" s="35"/>
    </row>
    <row r="984" spans="1:30" x14ac:dyDescent="0.25">
      <c r="A984" s="35"/>
      <c r="B984" s="35"/>
      <c r="C984" s="35"/>
      <c r="D984" s="35"/>
      <c r="E984" s="35"/>
      <c r="F984" s="35"/>
      <c r="G984" s="35"/>
      <c r="H984" s="35"/>
      <c r="I984" s="35"/>
      <c r="J984" s="35"/>
      <c r="K984" s="35"/>
      <c r="L984" s="36"/>
      <c r="M984" s="35"/>
      <c r="N984" s="35"/>
      <c r="O984" s="35"/>
      <c r="P984" s="35"/>
      <c r="Q984" s="35"/>
      <c r="R984" s="35"/>
      <c r="S984" s="35"/>
      <c r="T984" s="35"/>
      <c r="U984" s="35"/>
      <c r="V984" s="35"/>
      <c r="W984" s="35"/>
      <c r="X984" s="35"/>
      <c r="Y984" s="35"/>
      <c r="Z984" s="35"/>
      <c r="AA984" s="35"/>
      <c r="AB984" s="35"/>
      <c r="AC984" s="35"/>
      <c r="AD984" s="35"/>
    </row>
    <row r="985" spans="1:30" x14ac:dyDescent="0.25">
      <c r="A985" s="35"/>
      <c r="B985" s="35"/>
      <c r="C985" s="35"/>
      <c r="D985" s="35"/>
      <c r="E985" s="35"/>
      <c r="F985" s="35"/>
      <c r="G985" s="35"/>
      <c r="H985" s="35"/>
      <c r="I985" s="35"/>
      <c r="J985" s="35"/>
      <c r="K985" s="35"/>
      <c r="L985" s="36"/>
      <c r="M985" s="35"/>
      <c r="N985" s="35"/>
      <c r="O985" s="35"/>
      <c r="P985" s="35"/>
      <c r="Q985" s="35"/>
      <c r="R985" s="35"/>
      <c r="S985" s="35"/>
      <c r="T985" s="35"/>
      <c r="U985" s="35"/>
      <c r="V985" s="35"/>
      <c r="W985" s="35"/>
      <c r="X985" s="35"/>
      <c r="Y985" s="35"/>
      <c r="Z985" s="35"/>
      <c r="AA985" s="35"/>
      <c r="AB985" s="35"/>
      <c r="AC985" s="35"/>
      <c r="AD985" s="35"/>
    </row>
    <row r="986" spans="1:30" x14ac:dyDescent="0.25">
      <c r="A986" s="35"/>
      <c r="B986" s="35"/>
      <c r="C986" s="35"/>
      <c r="D986" s="35"/>
      <c r="E986" s="35"/>
      <c r="F986" s="35"/>
      <c r="G986" s="35"/>
      <c r="H986" s="35"/>
      <c r="I986" s="35"/>
      <c r="J986" s="35"/>
      <c r="K986" s="35"/>
      <c r="L986" s="36"/>
      <c r="M986" s="35"/>
      <c r="N986" s="35"/>
      <c r="O986" s="35"/>
      <c r="P986" s="35"/>
      <c r="Q986" s="35"/>
      <c r="R986" s="35"/>
      <c r="S986" s="35"/>
      <c r="T986" s="35"/>
      <c r="U986" s="35"/>
      <c r="V986" s="35"/>
      <c r="W986" s="35"/>
      <c r="X986" s="35"/>
      <c r="Y986" s="35"/>
      <c r="Z986" s="35"/>
      <c r="AA986" s="35"/>
      <c r="AB986" s="35"/>
      <c r="AC986" s="35"/>
      <c r="AD986" s="35"/>
    </row>
    <row r="987" spans="1:30" x14ac:dyDescent="0.25">
      <c r="A987" s="35"/>
      <c r="B987" s="35"/>
      <c r="C987" s="35"/>
      <c r="D987" s="35"/>
      <c r="E987" s="35"/>
      <c r="F987" s="35"/>
      <c r="G987" s="35"/>
      <c r="H987" s="35"/>
      <c r="I987" s="35"/>
      <c r="J987" s="35"/>
      <c r="K987" s="35"/>
      <c r="L987" s="36"/>
      <c r="M987" s="35"/>
      <c r="N987" s="35"/>
      <c r="O987" s="35"/>
      <c r="P987" s="35"/>
      <c r="Q987" s="35"/>
      <c r="R987" s="35"/>
      <c r="S987" s="35"/>
      <c r="T987" s="35"/>
      <c r="U987" s="35"/>
      <c r="V987" s="35"/>
      <c r="W987" s="35"/>
      <c r="X987" s="35"/>
      <c r="Y987" s="35"/>
      <c r="Z987" s="35"/>
      <c r="AA987" s="35"/>
      <c r="AB987" s="35"/>
      <c r="AC987" s="35"/>
      <c r="AD987" s="35"/>
    </row>
    <row r="988" spans="1:30" x14ac:dyDescent="0.25">
      <c r="A988" s="35"/>
      <c r="B988" s="35"/>
      <c r="C988" s="35"/>
      <c r="D988" s="35"/>
      <c r="E988" s="35"/>
      <c r="F988" s="35"/>
      <c r="G988" s="35"/>
      <c r="H988" s="35"/>
      <c r="I988" s="35"/>
      <c r="J988" s="35"/>
      <c r="K988" s="35"/>
      <c r="L988" s="36"/>
      <c r="M988" s="35"/>
      <c r="N988" s="35"/>
      <c r="O988" s="35"/>
      <c r="P988" s="35"/>
      <c r="Q988" s="35"/>
      <c r="R988" s="35"/>
      <c r="S988" s="35"/>
      <c r="T988" s="35"/>
      <c r="U988" s="35"/>
      <c r="V988" s="35"/>
      <c r="W988" s="35"/>
      <c r="X988" s="35"/>
      <c r="Y988" s="35"/>
      <c r="Z988" s="35"/>
      <c r="AA988" s="35"/>
      <c r="AB988" s="35"/>
      <c r="AC988" s="35"/>
      <c r="AD988" s="35"/>
    </row>
    <row r="989" spans="1:30" x14ac:dyDescent="0.25">
      <c r="A989" s="35"/>
      <c r="B989" s="35"/>
      <c r="C989" s="35"/>
      <c r="D989" s="35"/>
      <c r="E989" s="35"/>
      <c r="F989" s="35"/>
      <c r="G989" s="35"/>
      <c r="H989" s="35"/>
      <c r="I989" s="35"/>
      <c r="J989" s="35"/>
      <c r="K989" s="35"/>
      <c r="L989" s="36"/>
      <c r="M989" s="35"/>
      <c r="N989" s="35"/>
      <c r="O989" s="35"/>
      <c r="P989" s="35"/>
      <c r="Q989" s="35"/>
      <c r="R989" s="35"/>
      <c r="S989" s="35"/>
      <c r="T989" s="35"/>
      <c r="U989" s="35"/>
      <c r="V989" s="35"/>
      <c r="W989" s="35"/>
      <c r="X989" s="35"/>
      <c r="Y989" s="35"/>
      <c r="Z989" s="35"/>
      <c r="AA989" s="35"/>
      <c r="AB989" s="35"/>
      <c r="AC989" s="35"/>
      <c r="AD989" s="35"/>
    </row>
    <row r="990" spans="1:30" x14ac:dyDescent="0.25">
      <c r="A990" s="35"/>
      <c r="B990" s="35"/>
      <c r="C990" s="35"/>
      <c r="D990" s="35"/>
      <c r="E990" s="35"/>
      <c r="F990" s="35"/>
      <c r="G990" s="35"/>
      <c r="H990" s="35"/>
      <c r="I990" s="35"/>
      <c r="J990" s="35"/>
      <c r="K990" s="35"/>
      <c r="L990" s="36"/>
      <c r="M990" s="35"/>
      <c r="N990" s="35"/>
      <c r="O990" s="35"/>
      <c r="P990" s="35"/>
      <c r="Q990" s="35"/>
      <c r="R990" s="35"/>
      <c r="S990" s="35"/>
      <c r="T990" s="35"/>
      <c r="U990" s="35"/>
      <c r="V990" s="35"/>
      <c r="W990" s="35"/>
      <c r="X990" s="35"/>
      <c r="Y990" s="35"/>
      <c r="Z990" s="35"/>
      <c r="AA990" s="35"/>
      <c r="AB990" s="35"/>
      <c r="AC990" s="35"/>
      <c r="AD990" s="35"/>
    </row>
    <row r="991" spans="1:30" x14ac:dyDescent="0.25">
      <c r="A991" s="35"/>
      <c r="B991" s="35"/>
      <c r="C991" s="35"/>
      <c r="D991" s="35"/>
      <c r="E991" s="35"/>
      <c r="F991" s="35"/>
      <c r="G991" s="35"/>
      <c r="H991" s="35"/>
      <c r="I991" s="35"/>
      <c r="J991" s="35"/>
      <c r="K991" s="35"/>
      <c r="L991" s="36"/>
      <c r="M991" s="35"/>
      <c r="N991" s="35"/>
      <c r="O991" s="35"/>
      <c r="P991" s="35"/>
      <c r="Q991" s="35"/>
      <c r="R991" s="35"/>
      <c r="S991" s="35"/>
      <c r="T991" s="35"/>
      <c r="U991" s="35"/>
      <c r="V991" s="35"/>
      <c r="W991" s="35"/>
      <c r="X991" s="35"/>
      <c r="Y991" s="35"/>
      <c r="Z991" s="35"/>
      <c r="AA991" s="35"/>
      <c r="AB991" s="35"/>
      <c r="AC991" s="35"/>
      <c r="AD991" s="35"/>
    </row>
    <row r="992" spans="1:30" x14ac:dyDescent="0.25">
      <c r="A992" s="35"/>
      <c r="B992" s="35"/>
      <c r="C992" s="35"/>
      <c r="D992" s="35"/>
      <c r="E992" s="35"/>
      <c r="F992" s="35"/>
      <c r="G992" s="35"/>
      <c r="H992" s="35"/>
      <c r="I992" s="35"/>
      <c r="J992" s="35"/>
      <c r="K992" s="35"/>
      <c r="L992" s="36"/>
      <c r="M992" s="35"/>
      <c r="N992" s="35"/>
      <c r="O992" s="35"/>
      <c r="P992" s="35"/>
      <c r="Q992" s="35"/>
      <c r="R992" s="35"/>
      <c r="S992" s="35"/>
      <c r="T992" s="35"/>
      <c r="U992" s="35"/>
      <c r="V992" s="35"/>
      <c r="W992" s="35"/>
      <c r="X992" s="35"/>
      <c r="Y992" s="35"/>
      <c r="Z992" s="35"/>
      <c r="AA992" s="35"/>
      <c r="AB992" s="35"/>
      <c r="AC992" s="35"/>
      <c r="AD992" s="35"/>
    </row>
    <row r="993" spans="1:30" x14ac:dyDescent="0.25">
      <c r="A993" s="35"/>
      <c r="B993" s="35"/>
      <c r="C993" s="35"/>
      <c r="D993" s="35"/>
      <c r="E993" s="35"/>
      <c r="F993" s="35"/>
      <c r="G993" s="35"/>
      <c r="H993" s="35"/>
      <c r="I993" s="35"/>
      <c r="J993" s="35"/>
      <c r="K993" s="35"/>
      <c r="L993" s="36"/>
      <c r="M993" s="35"/>
      <c r="N993" s="35"/>
      <c r="O993" s="35"/>
      <c r="P993" s="35"/>
      <c r="Q993" s="35"/>
      <c r="R993" s="35"/>
      <c r="S993" s="35"/>
      <c r="T993" s="35"/>
      <c r="U993" s="35"/>
      <c r="V993" s="35"/>
      <c r="W993" s="35"/>
      <c r="X993" s="35"/>
      <c r="Y993" s="35"/>
      <c r="Z993" s="35"/>
      <c r="AA993" s="35"/>
      <c r="AB993" s="35"/>
      <c r="AC993" s="35"/>
      <c r="AD993" s="35"/>
    </row>
  </sheetData>
  <autoFilter ref="A1:AD219" xr:uid="{00000000-0009-0000-0000-000001000000}"/>
  <conditionalFormatting sqref="J1:K1 M1">
    <cfRule type="cellIs" dxfId="17" priority="6" operator="equal">
      <formula>"Caracterizado"</formula>
    </cfRule>
    <cfRule type="cellIs" dxfId="16" priority="8" operator="equal">
      <formula>"Encuestado"</formula>
    </cfRule>
    <cfRule type="containsText" dxfId="15" priority="9" operator="containsText" text="Asignado">
      <formula>NOT(ISERROR(SEARCH(("Asignado"),(J1))))</formula>
    </cfRule>
    <cfRule type="containsText" dxfId="14" priority="10" operator="containsText" text="Beneficiario">
      <formula>NOT(ISERROR(SEARCH(("Beneficiario"),(J1))))</formula>
    </cfRule>
  </conditionalFormatting>
  <conditionalFormatting sqref="O1">
    <cfRule type="cellIs" dxfId="13" priority="7" operator="equal">
      <formula>"Alta"</formula>
    </cfRule>
  </conditionalFormatting>
  <dataValidations count="7">
    <dataValidation type="list" allowBlank="1" showErrorMessage="1" sqref="M2:M219 M220:M428" xr:uid="{00000000-0002-0000-0100-000000000000}">
      <formula1>"Caracterizado,Encuestado,Asignado,Preasignado,Inactivo"</formula1>
    </dataValidation>
    <dataValidation type="list" allowBlank="1" showErrorMessage="1" sqref="F2:F219" xr:uid="{00000000-0002-0000-0100-000001000000}">
      <formula1>"Manantiales de paz,Oasis de Paz,Altos de oriente 1,Altos de oriente 2,Flores de oriente,San José del Pinar,El regalo de Dios,El siete,Portal de oriente"</formula1>
    </dataValidation>
    <dataValidation type="list" allowBlank="1" showErrorMessage="1" sqref="O2:O219" xr:uid="{00000000-0002-0000-0100-000002000000}">
      <formula1>"Alta,Media,Baja"</formula1>
    </dataValidation>
    <dataValidation type="list" allowBlank="1" showErrorMessage="1" sqref="E2:E219 E220:E428" xr:uid="{00000000-0002-0000-0100-000003000000}">
      <formula1>"Granizal,La Honda,La Nueva Jerusalén"</formula1>
    </dataValidation>
    <dataValidation type="list" allowBlank="1" showErrorMessage="1" sqref="P2:P219 R2:R219 T2:T219 V2:V219 X2:X219 P220:P428 R220:R428 T220:T428 V220:V428 X220:X428" xr:uid="{00000000-0002-0000-0100-000004000000}">
      <formula1>"Construido,Asignado,No asignable"</formula1>
    </dataValidation>
    <dataValidation type="list" allowBlank="1" showErrorMessage="1" sqref="O220:O428" xr:uid="{6B8D2B3F-98FD-4D48-A2B7-8E013AB5313E}">
      <formula1>"Alta,Media Alta,Media,Media Baja,Baja,Sin definir"</formula1>
    </dataValidation>
    <dataValidation type="list" allowBlank="1" showErrorMessage="1" sqref="F220:F428" xr:uid="{385533EA-1547-4432-9CAF-45EDD6C1B1E2}">
      <formula1>"Sector 1,Sector 2,Sector 3,Sector 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69"/>
  <sheetViews>
    <sheetView workbookViewId="0"/>
  </sheetViews>
  <sheetFormatPr defaultColWidth="12.5703125" defaultRowHeight="15.75" customHeight="1" x14ac:dyDescent="0.2"/>
  <cols>
    <col min="1" max="1" width="18.28515625" customWidth="1"/>
    <col min="2" max="2" width="35.5703125" customWidth="1"/>
    <col min="4" max="4" width="15.5703125" customWidth="1"/>
    <col min="5" max="5" width="22.28515625" customWidth="1"/>
    <col min="6" max="6" width="18.28515625" customWidth="1"/>
    <col min="7" max="7" width="28.5703125" customWidth="1"/>
    <col min="8" max="8" width="27.140625" customWidth="1"/>
    <col min="9" max="9" width="15.42578125" customWidth="1"/>
    <col min="10" max="10" width="16.42578125" customWidth="1"/>
    <col min="11" max="11" width="20.85546875" customWidth="1"/>
    <col min="12" max="12" width="22.42578125" customWidth="1"/>
    <col min="13" max="13" width="28.5703125" customWidth="1"/>
    <col min="14" max="14" width="18.85546875" customWidth="1"/>
    <col min="15" max="15" width="24.140625" customWidth="1"/>
    <col min="16" max="16" width="15.7109375" customWidth="1"/>
    <col min="17" max="17" width="15.42578125" customWidth="1"/>
    <col min="19" max="19" width="15.85546875" customWidth="1"/>
    <col min="20" max="20" width="15.7109375" customWidth="1"/>
    <col min="21" max="21" width="16.85546875" customWidth="1"/>
    <col min="22" max="22" width="16" customWidth="1"/>
    <col min="23" max="23" width="18.7109375" customWidth="1"/>
    <col min="24" max="24" width="16.7109375" customWidth="1"/>
    <col min="25" max="25" width="19.5703125" customWidth="1"/>
    <col min="26" max="26" width="28.42578125" customWidth="1"/>
    <col min="28" max="28" width="15.140625" customWidth="1"/>
    <col min="30" max="30" width="17.5703125" customWidth="1"/>
    <col min="31" max="31" width="18.85546875" customWidth="1"/>
  </cols>
  <sheetData>
    <row r="1" spans="1:31" x14ac:dyDescent="0.2">
      <c r="A1" s="37" t="s">
        <v>2581</v>
      </c>
      <c r="B1" s="37" t="s">
        <v>2582</v>
      </c>
      <c r="C1" s="38" t="s">
        <v>2583</v>
      </c>
      <c r="D1" s="37" t="s">
        <v>2584</v>
      </c>
      <c r="E1" s="37" t="s">
        <v>2585</v>
      </c>
      <c r="F1" s="37" t="s">
        <v>2586</v>
      </c>
      <c r="G1" s="37" t="s">
        <v>2828</v>
      </c>
      <c r="H1" s="37" t="s">
        <v>2588</v>
      </c>
      <c r="I1" s="37" t="s">
        <v>2589</v>
      </c>
      <c r="J1" s="37" t="s">
        <v>2590</v>
      </c>
      <c r="K1" s="37" t="s">
        <v>2591</v>
      </c>
      <c r="L1" s="37" t="s">
        <v>2829</v>
      </c>
      <c r="M1" s="37" t="s">
        <v>2593</v>
      </c>
      <c r="N1" s="37" t="s">
        <v>2594</v>
      </c>
      <c r="O1" s="37" t="s">
        <v>2595</v>
      </c>
      <c r="P1" s="37" t="s">
        <v>2596</v>
      </c>
      <c r="Q1" s="37" t="s">
        <v>2597</v>
      </c>
      <c r="R1" s="37" t="s">
        <v>2598</v>
      </c>
      <c r="S1" s="37" t="s">
        <v>2599</v>
      </c>
      <c r="T1" s="37" t="s">
        <v>2600</v>
      </c>
      <c r="U1" s="37" t="s">
        <v>2601</v>
      </c>
      <c r="V1" s="37" t="s">
        <v>2602</v>
      </c>
      <c r="W1" s="37" t="s">
        <v>2603</v>
      </c>
      <c r="X1" s="37" t="s">
        <v>2604</v>
      </c>
      <c r="Y1" s="37" t="s">
        <v>2605</v>
      </c>
      <c r="Z1" s="37" t="s">
        <v>2830</v>
      </c>
      <c r="AA1" s="37" t="s">
        <v>2831</v>
      </c>
      <c r="AB1" s="37" t="s">
        <v>2832</v>
      </c>
      <c r="AC1" s="37" t="s">
        <v>2833</v>
      </c>
      <c r="AD1" s="37" t="s">
        <v>2834</v>
      </c>
      <c r="AE1" s="37" t="s">
        <v>2835</v>
      </c>
    </row>
    <row r="2" spans="1:31" x14ac:dyDescent="0.25">
      <c r="A2" s="39">
        <v>44779</v>
      </c>
      <c r="B2" s="40" t="s">
        <v>2836</v>
      </c>
      <c r="C2" s="41">
        <v>43680662</v>
      </c>
      <c r="D2" s="42">
        <v>3022423396</v>
      </c>
      <c r="E2" s="26" t="s">
        <v>493</v>
      </c>
      <c r="F2" s="32" t="s">
        <v>518</v>
      </c>
      <c r="G2" s="43"/>
      <c r="H2" s="44"/>
      <c r="I2" s="45"/>
      <c r="J2" s="43"/>
      <c r="K2" s="43"/>
      <c r="L2" s="43"/>
      <c r="M2" s="46" t="s">
        <v>2644</v>
      </c>
      <c r="N2" s="47" t="s">
        <v>2837</v>
      </c>
      <c r="O2" s="48" t="s">
        <v>2838</v>
      </c>
      <c r="P2" s="32"/>
      <c r="Q2" s="47"/>
      <c r="R2" s="49"/>
      <c r="S2" s="49"/>
      <c r="T2" s="32"/>
      <c r="U2" s="49"/>
      <c r="V2" s="32"/>
      <c r="W2" s="49"/>
      <c r="X2" s="50"/>
      <c r="Y2" s="49"/>
      <c r="Z2" s="51"/>
      <c r="AA2" s="49"/>
      <c r="AB2" s="49"/>
      <c r="AC2" s="49"/>
      <c r="AD2" s="49"/>
      <c r="AE2" s="49"/>
    </row>
    <row r="3" spans="1:31" x14ac:dyDescent="0.25">
      <c r="A3" s="39">
        <v>44782</v>
      </c>
      <c r="B3" s="40" t="s">
        <v>2839</v>
      </c>
      <c r="C3" s="41">
        <v>43636497</v>
      </c>
      <c r="D3" s="42">
        <v>3216355008</v>
      </c>
      <c r="E3" s="26" t="s">
        <v>493</v>
      </c>
      <c r="F3" s="32" t="s">
        <v>1780</v>
      </c>
      <c r="G3" s="43"/>
      <c r="H3" s="44"/>
      <c r="I3" s="45"/>
      <c r="J3" s="43"/>
      <c r="K3" s="43"/>
      <c r="L3" s="43"/>
      <c r="M3" s="46" t="s">
        <v>2610</v>
      </c>
      <c r="N3" s="52">
        <v>45151</v>
      </c>
      <c r="O3" s="48">
        <v>2</v>
      </c>
      <c r="P3" s="32"/>
      <c r="Q3" s="47"/>
      <c r="R3" s="49"/>
      <c r="S3" s="49"/>
      <c r="T3" s="32"/>
      <c r="U3" s="49"/>
      <c r="V3" s="32"/>
      <c r="W3" s="49"/>
      <c r="X3" s="50"/>
      <c r="Y3" s="49"/>
      <c r="Z3" s="51"/>
      <c r="AA3" s="49"/>
      <c r="AB3" s="49"/>
      <c r="AC3" s="49"/>
      <c r="AD3" s="49"/>
      <c r="AE3" s="49"/>
    </row>
    <row r="4" spans="1:31" x14ac:dyDescent="0.25">
      <c r="A4" s="53">
        <v>44772</v>
      </c>
      <c r="B4" s="40" t="s">
        <v>619</v>
      </c>
      <c r="C4" s="41"/>
      <c r="D4" s="42">
        <v>3024018186</v>
      </c>
      <c r="E4" s="26" t="s">
        <v>493</v>
      </c>
      <c r="F4" s="32" t="s">
        <v>618</v>
      </c>
      <c r="G4" s="43"/>
      <c r="H4" s="44" t="s">
        <v>2840</v>
      </c>
      <c r="I4" s="45">
        <v>3016885303</v>
      </c>
      <c r="J4" s="43"/>
      <c r="K4" s="43"/>
      <c r="L4" s="43"/>
      <c r="M4" s="46" t="s">
        <v>2610</v>
      </c>
      <c r="N4" s="52">
        <v>45151</v>
      </c>
      <c r="O4" s="48" t="s">
        <v>2841</v>
      </c>
      <c r="P4" s="32"/>
      <c r="Q4" s="47"/>
      <c r="R4" s="49"/>
      <c r="S4" s="49"/>
      <c r="T4" s="32"/>
      <c r="U4" s="49"/>
      <c r="V4" s="32"/>
      <c r="W4" s="49"/>
      <c r="X4" s="50"/>
      <c r="Y4" s="49"/>
      <c r="Z4" s="51"/>
      <c r="AA4" s="49"/>
      <c r="AB4" s="49"/>
      <c r="AC4" s="49"/>
      <c r="AD4" s="49"/>
      <c r="AE4" s="49"/>
    </row>
    <row r="5" spans="1:31" x14ac:dyDescent="0.25">
      <c r="A5" s="39">
        <v>44782</v>
      </c>
      <c r="B5" s="40" t="s">
        <v>2842</v>
      </c>
      <c r="C5" s="41">
        <v>43734632</v>
      </c>
      <c r="D5" s="42">
        <v>3162595318</v>
      </c>
      <c r="E5" s="26" t="s">
        <v>493</v>
      </c>
      <c r="F5" s="32" t="s">
        <v>1724</v>
      </c>
      <c r="G5" s="43"/>
      <c r="H5" s="44"/>
      <c r="I5" s="45"/>
      <c r="J5" s="43"/>
      <c r="K5" s="43"/>
      <c r="L5" s="43"/>
      <c r="M5" s="46" t="s">
        <v>2644</v>
      </c>
      <c r="N5" s="52">
        <v>44772</v>
      </c>
      <c r="O5" s="48" t="s">
        <v>2622</v>
      </c>
      <c r="P5" s="32" t="s">
        <v>2646</v>
      </c>
      <c r="Q5" s="54">
        <v>44835</v>
      </c>
      <c r="R5" s="49"/>
      <c r="S5" s="49"/>
      <c r="T5" s="32"/>
      <c r="U5" s="55"/>
      <c r="V5" s="32" t="s">
        <v>2646</v>
      </c>
      <c r="W5" s="40" t="s">
        <v>2843</v>
      </c>
      <c r="X5" s="50"/>
      <c r="Y5" s="49"/>
      <c r="Z5" s="51" t="s">
        <v>2844</v>
      </c>
      <c r="AA5" s="49"/>
      <c r="AB5" s="49"/>
      <c r="AC5" s="49"/>
      <c r="AD5" s="49"/>
      <c r="AE5" s="49"/>
    </row>
    <row r="6" spans="1:31" x14ac:dyDescent="0.25">
      <c r="A6" s="39">
        <v>45017</v>
      </c>
      <c r="B6" s="40" t="s">
        <v>2845</v>
      </c>
      <c r="C6" s="41"/>
      <c r="D6" s="42">
        <v>3226809083</v>
      </c>
      <c r="E6" s="26" t="s">
        <v>493</v>
      </c>
      <c r="F6" s="32"/>
      <c r="G6" s="43"/>
      <c r="H6" s="44"/>
      <c r="I6" s="45"/>
      <c r="J6" s="43"/>
      <c r="K6" s="43"/>
      <c r="L6" s="43"/>
      <c r="M6" s="46" t="s">
        <v>2613</v>
      </c>
      <c r="N6" s="56"/>
      <c r="O6" s="48" t="s">
        <v>2841</v>
      </c>
      <c r="P6" s="32"/>
      <c r="Q6" s="56"/>
      <c r="R6" s="49"/>
      <c r="S6" s="49"/>
      <c r="T6" s="32"/>
      <c r="U6" s="49"/>
      <c r="V6" s="32"/>
      <c r="W6" s="49"/>
      <c r="X6" s="50"/>
      <c r="Y6" s="49"/>
      <c r="Z6" s="51"/>
      <c r="AA6" s="49"/>
      <c r="AB6" s="49"/>
      <c r="AC6" s="49"/>
      <c r="AD6" s="49"/>
      <c r="AE6" s="49"/>
    </row>
    <row r="7" spans="1:31" x14ac:dyDescent="0.25">
      <c r="A7" s="53">
        <v>44948</v>
      </c>
      <c r="B7" s="40" t="s">
        <v>2846</v>
      </c>
      <c r="C7" s="41">
        <v>42881987</v>
      </c>
      <c r="D7" s="42">
        <v>3128805147</v>
      </c>
      <c r="E7" s="26" t="s">
        <v>493</v>
      </c>
      <c r="F7" s="32"/>
      <c r="G7" s="43"/>
      <c r="H7" s="44"/>
      <c r="I7" s="45"/>
      <c r="J7" s="43"/>
      <c r="K7" s="43"/>
      <c r="L7" s="43"/>
      <c r="M7" s="46" t="s">
        <v>2644</v>
      </c>
      <c r="N7" s="56" t="s">
        <v>2847</v>
      </c>
      <c r="O7" s="48" t="s">
        <v>2848</v>
      </c>
      <c r="P7" s="32" t="s">
        <v>2646</v>
      </c>
      <c r="Q7" s="54">
        <v>45080</v>
      </c>
      <c r="R7" s="49"/>
      <c r="S7" s="49"/>
      <c r="T7" s="32"/>
      <c r="U7" s="55"/>
      <c r="V7" s="32"/>
      <c r="W7" s="55"/>
      <c r="X7" s="50"/>
      <c r="Y7" s="49"/>
      <c r="Z7" s="51" t="s">
        <v>2849</v>
      </c>
      <c r="AA7" s="49"/>
      <c r="AB7" s="49"/>
      <c r="AC7" s="49"/>
      <c r="AD7" s="49"/>
      <c r="AE7" s="49"/>
    </row>
    <row r="8" spans="1:31" x14ac:dyDescent="0.25">
      <c r="A8" s="53"/>
      <c r="B8" s="40" t="s">
        <v>2850</v>
      </c>
      <c r="C8" s="41"/>
      <c r="D8" s="42"/>
      <c r="E8" s="26" t="s">
        <v>493</v>
      </c>
      <c r="F8" s="32"/>
      <c r="G8" s="43"/>
      <c r="H8" s="44"/>
      <c r="I8" s="45"/>
      <c r="J8" s="43"/>
      <c r="K8" s="43"/>
      <c r="L8" s="43"/>
      <c r="M8" s="46" t="s">
        <v>2644</v>
      </c>
      <c r="N8" s="56"/>
      <c r="O8" s="48"/>
      <c r="P8" s="32" t="s">
        <v>2646</v>
      </c>
      <c r="Q8" s="52">
        <v>44429</v>
      </c>
      <c r="R8" s="49"/>
      <c r="S8" s="49"/>
      <c r="T8" s="32"/>
      <c r="U8" s="57"/>
      <c r="V8" s="32"/>
      <c r="W8" s="57"/>
      <c r="X8" s="50"/>
      <c r="Y8" s="49"/>
      <c r="Z8" s="51"/>
      <c r="AA8" s="49"/>
      <c r="AB8" s="49"/>
      <c r="AC8" s="49"/>
      <c r="AD8" s="49"/>
      <c r="AE8" s="49"/>
    </row>
    <row r="9" spans="1:31" x14ac:dyDescent="0.25">
      <c r="A9" s="53"/>
      <c r="B9" s="40" t="s">
        <v>2851</v>
      </c>
      <c r="C9" s="41"/>
      <c r="D9" s="42"/>
      <c r="E9" s="26" t="s">
        <v>493</v>
      </c>
      <c r="F9" s="32"/>
      <c r="G9" s="43"/>
      <c r="H9" s="44"/>
      <c r="I9" s="45"/>
      <c r="J9" s="43"/>
      <c r="K9" s="43"/>
      <c r="L9" s="43"/>
      <c r="M9" s="46" t="s">
        <v>2644</v>
      </c>
      <c r="N9" s="56"/>
      <c r="O9" s="48"/>
      <c r="P9" s="32" t="s">
        <v>2646</v>
      </c>
      <c r="Q9" s="52">
        <v>44429</v>
      </c>
      <c r="R9" s="49"/>
      <c r="S9" s="49"/>
      <c r="T9" s="32"/>
      <c r="U9" s="57"/>
      <c r="V9" s="32"/>
      <c r="W9" s="57"/>
      <c r="X9" s="50"/>
      <c r="Y9" s="49"/>
      <c r="Z9" s="51"/>
      <c r="AA9" s="49"/>
      <c r="AB9" s="49"/>
      <c r="AC9" s="49"/>
      <c r="AD9" s="49"/>
      <c r="AE9" s="49"/>
    </row>
    <row r="10" spans="1:31" x14ac:dyDescent="0.25">
      <c r="A10" s="53">
        <v>45002</v>
      </c>
      <c r="B10" s="40" t="s">
        <v>2852</v>
      </c>
      <c r="C10" s="41"/>
      <c r="D10" s="42">
        <v>3057875785</v>
      </c>
      <c r="E10" s="26" t="s">
        <v>493</v>
      </c>
      <c r="F10" s="32"/>
      <c r="G10" s="43"/>
      <c r="H10" s="44"/>
      <c r="I10" s="45"/>
      <c r="J10" s="43"/>
      <c r="K10" s="43"/>
      <c r="L10" s="43"/>
      <c r="M10" s="46" t="s">
        <v>2613</v>
      </c>
      <c r="N10" s="56"/>
      <c r="O10" s="48" t="s">
        <v>2841</v>
      </c>
      <c r="P10" s="32"/>
      <c r="Q10" s="56"/>
      <c r="R10" s="49"/>
      <c r="S10" s="49"/>
      <c r="T10" s="32"/>
      <c r="U10" s="49"/>
      <c r="V10" s="32"/>
      <c r="W10" s="49"/>
      <c r="X10" s="50"/>
      <c r="Y10" s="49"/>
      <c r="Z10" s="51"/>
      <c r="AA10" s="49"/>
      <c r="AB10" s="49"/>
      <c r="AC10" s="49"/>
      <c r="AD10" s="49"/>
      <c r="AE10" s="49"/>
    </row>
    <row r="11" spans="1:31" x14ac:dyDescent="0.25">
      <c r="A11" s="53">
        <v>44982</v>
      </c>
      <c r="B11" s="40" t="s">
        <v>2853</v>
      </c>
      <c r="C11" s="41"/>
      <c r="D11" s="42">
        <v>3015474607</v>
      </c>
      <c r="E11" s="26" t="s">
        <v>493</v>
      </c>
      <c r="F11" s="32"/>
      <c r="G11" s="43"/>
      <c r="H11" s="44"/>
      <c r="I11" s="45"/>
      <c r="J11" s="43"/>
      <c r="K11" s="43"/>
      <c r="L11" s="43"/>
      <c r="M11" s="46" t="s">
        <v>2648</v>
      </c>
      <c r="N11" s="56"/>
      <c r="O11" s="48" t="s">
        <v>2841</v>
      </c>
      <c r="P11" s="32"/>
      <c r="Q11" s="56"/>
      <c r="R11" s="49"/>
      <c r="S11" s="49"/>
      <c r="T11" s="32"/>
      <c r="U11" s="49"/>
      <c r="V11" s="32"/>
      <c r="W11" s="49"/>
      <c r="X11" s="50"/>
      <c r="Y11" s="49"/>
      <c r="Z11" s="51"/>
      <c r="AA11" s="49"/>
      <c r="AB11" s="49"/>
      <c r="AC11" s="49"/>
      <c r="AD11" s="49"/>
      <c r="AE11" s="49"/>
    </row>
    <row r="12" spans="1:31" x14ac:dyDescent="0.25">
      <c r="A12" s="53">
        <v>45002</v>
      </c>
      <c r="B12" s="40" t="s">
        <v>2854</v>
      </c>
      <c r="C12" s="41"/>
      <c r="D12" s="42">
        <v>3246499851</v>
      </c>
      <c r="E12" s="26" t="s">
        <v>493</v>
      </c>
      <c r="F12" s="32"/>
      <c r="G12" s="43"/>
      <c r="H12" s="44"/>
      <c r="I12" s="45"/>
      <c r="J12" s="43"/>
      <c r="K12" s="43"/>
      <c r="L12" s="43"/>
      <c r="M12" s="46" t="s">
        <v>2610</v>
      </c>
      <c r="N12" s="56"/>
      <c r="O12" s="48" t="s">
        <v>2841</v>
      </c>
      <c r="P12" s="32"/>
      <c r="Q12" s="56"/>
      <c r="R12" s="49"/>
      <c r="S12" s="49"/>
      <c r="T12" s="32"/>
      <c r="U12" s="49"/>
      <c r="V12" s="32"/>
      <c r="W12" s="49"/>
      <c r="X12" s="50"/>
      <c r="Y12" s="49"/>
      <c r="Z12" s="51"/>
      <c r="AA12" s="49"/>
      <c r="AB12" s="49"/>
      <c r="AC12" s="49"/>
      <c r="AD12" s="49"/>
      <c r="AE12" s="49"/>
    </row>
    <row r="13" spans="1:31" x14ac:dyDescent="0.25">
      <c r="A13" s="53">
        <v>44765</v>
      </c>
      <c r="B13" s="40" t="s">
        <v>2855</v>
      </c>
      <c r="C13" s="41">
        <v>71765379</v>
      </c>
      <c r="D13" s="42">
        <v>3016071884</v>
      </c>
      <c r="E13" s="26" t="s">
        <v>493</v>
      </c>
      <c r="F13" s="32"/>
      <c r="G13" s="43"/>
      <c r="H13" s="44" t="s">
        <v>580</v>
      </c>
      <c r="I13" s="45">
        <v>3017540769</v>
      </c>
      <c r="J13" s="43"/>
      <c r="K13" s="43"/>
      <c r="L13" s="43"/>
      <c r="M13" s="46" t="s">
        <v>2610</v>
      </c>
      <c r="N13" s="52">
        <v>45151</v>
      </c>
      <c r="O13" s="48">
        <v>2</v>
      </c>
      <c r="P13" s="32"/>
      <c r="Q13" s="56"/>
      <c r="R13" s="49"/>
      <c r="S13" s="49"/>
      <c r="T13" s="32"/>
      <c r="U13" s="49"/>
      <c r="V13" s="32"/>
      <c r="W13" s="49"/>
      <c r="X13" s="50"/>
      <c r="Y13" s="49"/>
      <c r="Z13" s="51"/>
      <c r="AA13" s="49"/>
      <c r="AB13" s="49"/>
      <c r="AC13" s="49"/>
      <c r="AD13" s="49"/>
      <c r="AE13" s="49"/>
    </row>
    <row r="14" spans="1:31" x14ac:dyDescent="0.25">
      <c r="A14" s="53">
        <v>44982</v>
      </c>
      <c r="B14" s="40" t="s">
        <v>2856</v>
      </c>
      <c r="C14" s="41">
        <v>1216723263</v>
      </c>
      <c r="D14" s="42">
        <v>3116849696</v>
      </c>
      <c r="E14" s="26" t="s">
        <v>493</v>
      </c>
      <c r="F14" s="32"/>
      <c r="G14" s="43"/>
      <c r="H14" s="44" t="s">
        <v>2857</v>
      </c>
      <c r="I14" s="45">
        <v>3116849696</v>
      </c>
      <c r="J14" s="43"/>
      <c r="K14" s="43"/>
      <c r="L14" s="43"/>
      <c r="M14" s="46" t="s">
        <v>2644</v>
      </c>
      <c r="N14" s="52">
        <v>45032</v>
      </c>
      <c r="O14" s="48" t="s">
        <v>2622</v>
      </c>
      <c r="P14" s="32" t="s">
        <v>2646</v>
      </c>
      <c r="Q14" s="52">
        <v>45241</v>
      </c>
      <c r="R14" s="49"/>
      <c r="S14" s="49"/>
      <c r="T14" s="32"/>
      <c r="U14" s="57"/>
      <c r="V14" s="32" t="s">
        <v>2646</v>
      </c>
      <c r="W14" s="57">
        <v>45430</v>
      </c>
      <c r="X14" s="50"/>
      <c r="Y14" s="49"/>
      <c r="Z14" s="51" t="s">
        <v>2858</v>
      </c>
      <c r="AA14" s="49"/>
      <c r="AB14" s="49"/>
      <c r="AC14" s="49"/>
      <c r="AD14" s="49"/>
      <c r="AE14" s="49"/>
    </row>
    <row r="15" spans="1:31" x14ac:dyDescent="0.25">
      <c r="A15" s="53">
        <v>45136</v>
      </c>
      <c r="B15" s="40" t="s">
        <v>1065</v>
      </c>
      <c r="C15" s="41"/>
      <c r="D15" s="42">
        <v>3113458554</v>
      </c>
      <c r="E15" s="26" t="s">
        <v>493</v>
      </c>
      <c r="F15" s="32"/>
      <c r="G15" s="43"/>
      <c r="H15" s="44" t="s">
        <v>1066</v>
      </c>
      <c r="I15" s="45">
        <v>3237525192</v>
      </c>
      <c r="J15" s="43"/>
      <c r="K15" s="43"/>
      <c r="L15" s="43"/>
      <c r="M15" s="46" t="s">
        <v>2613</v>
      </c>
      <c r="N15" s="56"/>
      <c r="O15" s="48" t="s">
        <v>2841</v>
      </c>
      <c r="P15" s="32"/>
      <c r="Q15" s="56"/>
      <c r="R15" s="49"/>
      <c r="S15" s="49"/>
      <c r="T15" s="32"/>
      <c r="U15" s="49"/>
      <c r="V15" s="32"/>
      <c r="W15" s="49"/>
      <c r="X15" s="50"/>
      <c r="Y15" s="49"/>
      <c r="Z15" s="51"/>
      <c r="AA15" s="49"/>
      <c r="AB15" s="49"/>
      <c r="AC15" s="49"/>
      <c r="AD15" s="49"/>
      <c r="AE15" s="49"/>
    </row>
    <row r="16" spans="1:31" x14ac:dyDescent="0.25">
      <c r="A16" s="39">
        <v>44779</v>
      </c>
      <c r="B16" s="40" t="s">
        <v>2859</v>
      </c>
      <c r="C16" s="41">
        <v>15537475</v>
      </c>
      <c r="D16" s="42">
        <v>3145830260</v>
      </c>
      <c r="E16" s="26" t="s">
        <v>493</v>
      </c>
      <c r="F16" s="32"/>
      <c r="G16" s="43"/>
      <c r="H16" s="44"/>
      <c r="I16" s="45"/>
      <c r="J16" s="43"/>
      <c r="K16" s="43"/>
      <c r="L16" s="43"/>
      <c r="M16" s="46" t="s">
        <v>2644</v>
      </c>
      <c r="N16" s="54">
        <v>44779</v>
      </c>
      <c r="O16" s="48" t="s">
        <v>2838</v>
      </c>
      <c r="P16" s="32" t="s">
        <v>2646</v>
      </c>
      <c r="Q16" s="54">
        <v>44835</v>
      </c>
      <c r="R16" s="49"/>
      <c r="S16" s="49"/>
      <c r="T16" s="32"/>
      <c r="U16" s="55"/>
      <c r="V16" s="32"/>
      <c r="W16" s="55"/>
      <c r="X16" s="50"/>
      <c r="Y16" s="49"/>
      <c r="Z16" s="51"/>
      <c r="AA16" s="49"/>
      <c r="AB16" s="49"/>
      <c r="AC16" s="49"/>
      <c r="AD16" s="49"/>
      <c r="AE16" s="49"/>
    </row>
    <row r="17" spans="1:31" x14ac:dyDescent="0.25">
      <c r="A17" s="39"/>
      <c r="B17" s="40" t="s">
        <v>2860</v>
      </c>
      <c r="C17" s="41"/>
      <c r="D17" s="42"/>
      <c r="E17" s="26" t="s">
        <v>493</v>
      </c>
      <c r="F17" s="32"/>
      <c r="G17" s="43"/>
      <c r="H17" s="44"/>
      <c r="I17" s="45"/>
      <c r="J17" s="43"/>
      <c r="K17" s="43"/>
      <c r="L17" s="43"/>
      <c r="M17" s="46" t="s">
        <v>2644</v>
      </c>
      <c r="N17" s="56"/>
      <c r="O17" s="48"/>
      <c r="P17" s="32" t="s">
        <v>2646</v>
      </c>
      <c r="Q17" s="56" t="s">
        <v>2861</v>
      </c>
      <c r="R17" s="49"/>
      <c r="S17" s="49"/>
      <c r="T17" s="32"/>
      <c r="U17" s="40"/>
      <c r="V17" s="32"/>
      <c r="W17" s="40"/>
      <c r="X17" s="50"/>
      <c r="Y17" s="49"/>
      <c r="Z17" s="51"/>
      <c r="AA17" s="49"/>
      <c r="AB17" s="49"/>
      <c r="AC17" s="49"/>
      <c r="AD17" s="49"/>
      <c r="AE17" s="49"/>
    </row>
    <row r="18" spans="1:31" x14ac:dyDescent="0.25">
      <c r="A18" s="53">
        <v>44769</v>
      </c>
      <c r="B18" s="40" t="s">
        <v>2862</v>
      </c>
      <c r="C18" s="41">
        <v>1152716660</v>
      </c>
      <c r="D18" s="42">
        <v>3136947626</v>
      </c>
      <c r="E18" s="26" t="s">
        <v>493</v>
      </c>
      <c r="F18" s="32"/>
      <c r="G18" s="43"/>
      <c r="H18" s="44"/>
      <c r="I18" s="45"/>
      <c r="J18" s="43"/>
      <c r="K18" s="43"/>
      <c r="L18" s="43"/>
      <c r="M18" s="46" t="s">
        <v>2648</v>
      </c>
      <c r="N18" s="54">
        <v>44779</v>
      </c>
      <c r="O18" s="48" t="s">
        <v>2622</v>
      </c>
      <c r="P18" s="32"/>
      <c r="Q18" s="56"/>
      <c r="R18" s="49"/>
      <c r="S18" s="49"/>
      <c r="T18" s="32"/>
      <c r="U18" s="49"/>
      <c r="V18" s="32"/>
      <c r="W18" s="49"/>
      <c r="X18" s="50"/>
      <c r="Y18" s="49"/>
      <c r="Z18" s="51" t="s">
        <v>2863</v>
      </c>
      <c r="AA18" s="49"/>
      <c r="AB18" s="49"/>
      <c r="AC18" s="49"/>
      <c r="AD18" s="49"/>
      <c r="AE18" s="49"/>
    </row>
    <row r="19" spans="1:31" x14ac:dyDescent="0.25">
      <c r="A19" s="53">
        <v>45039</v>
      </c>
      <c r="B19" s="40" t="s">
        <v>2864</v>
      </c>
      <c r="C19" s="41">
        <v>1146437089</v>
      </c>
      <c r="D19" s="42">
        <v>3009631423</v>
      </c>
      <c r="E19" s="26" t="s">
        <v>493</v>
      </c>
      <c r="F19" s="32"/>
      <c r="G19" s="43"/>
      <c r="H19" s="44" t="s">
        <v>2865</v>
      </c>
      <c r="I19" s="45">
        <v>3024018186</v>
      </c>
      <c r="J19" s="43"/>
      <c r="K19" s="43"/>
      <c r="L19" s="43"/>
      <c r="M19" s="46" t="s">
        <v>2610</v>
      </c>
      <c r="N19" s="52">
        <v>45039</v>
      </c>
      <c r="O19" s="48" t="s">
        <v>2838</v>
      </c>
      <c r="P19" s="32"/>
      <c r="Q19" s="56"/>
      <c r="R19" s="49"/>
      <c r="S19" s="49"/>
      <c r="T19" s="32"/>
      <c r="U19" s="49"/>
      <c r="V19" s="32"/>
      <c r="W19" s="49"/>
      <c r="X19" s="50"/>
      <c r="Y19" s="49"/>
      <c r="Z19" s="51" t="s">
        <v>2866</v>
      </c>
      <c r="AA19" s="49"/>
      <c r="AB19" s="49"/>
      <c r="AC19" s="49"/>
      <c r="AD19" s="49"/>
      <c r="AE19" s="49"/>
    </row>
    <row r="20" spans="1:31" x14ac:dyDescent="0.25">
      <c r="A20" s="53">
        <v>44772</v>
      </c>
      <c r="B20" s="40" t="s">
        <v>2867</v>
      </c>
      <c r="C20" s="41">
        <v>71643257</v>
      </c>
      <c r="D20" s="42">
        <v>3207030201</v>
      </c>
      <c r="E20" s="26" t="s">
        <v>493</v>
      </c>
      <c r="F20" s="32"/>
      <c r="G20" s="43"/>
      <c r="H20" s="44"/>
      <c r="I20" s="45"/>
      <c r="J20" s="43"/>
      <c r="K20" s="43"/>
      <c r="L20" s="43"/>
      <c r="M20" s="46" t="s">
        <v>2610</v>
      </c>
      <c r="N20" s="52">
        <v>44772</v>
      </c>
      <c r="O20" s="48" t="s">
        <v>2848</v>
      </c>
      <c r="P20" s="32"/>
      <c r="Q20" s="56"/>
      <c r="R20" s="49"/>
      <c r="S20" s="49"/>
      <c r="T20" s="32"/>
      <c r="U20" s="49"/>
      <c r="V20" s="32"/>
      <c r="W20" s="49"/>
      <c r="X20" s="50"/>
      <c r="Y20" s="49"/>
      <c r="Z20" s="51" t="s">
        <v>2868</v>
      </c>
      <c r="AA20" s="49"/>
      <c r="AB20" s="49"/>
      <c r="AC20" s="49"/>
      <c r="AD20" s="49"/>
      <c r="AE20" s="49"/>
    </row>
    <row r="21" spans="1:31" x14ac:dyDescent="0.25">
      <c r="A21" s="53">
        <v>45122</v>
      </c>
      <c r="B21" s="40" t="s">
        <v>2869</v>
      </c>
      <c r="C21" s="41"/>
      <c r="D21" s="42">
        <v>3108223302</v>
      </c>
      <c r="E21" s="58" t="s">
        <v>493</v>
      </c>
      <c r="F21" s="59"/>
      <c r="G21" s="43"/>
      <c r="H21" s="44"/>
      <c r="I21" s="45"/>
      <c r="J21" s="43"/>
      <c r="K21" s="43"/>
      <c r="L21" s="43"/>
      <c r="M21" s="46" t="s">
        <v>2613</v>
      </c>
      <c r="N21" s="56"/>
      <c r="O21" s="48" t="s">
        <v>2838</v>
      </c>
      <c r="P21" s="59"/>
      <c r="Q21" s="56"/>
      <c r="R21" s="60"/>
      <c r="S21" s="60"/>
      <c r="T21" s="59"/>
      <c r="U21" s="60"/>
      <c r="V21" s="59"/>
      <c r="W21" s="60"/>
      <c r="X21" s="60"/>
      <c r="Y21" s="60"/>
      <c r="Z21" s="51" t="s">
        <v>2870</v>
      </c>
      <c r="AA21" s="60"/>
      <c r="AB21" s="60"/>
      <c r="AC21" s="60"/>
      <c r="AD21" s="60"/>
      <c r="AE21" s="60"/>
    </row>
    <row r="22" spans="1:31" x14ac:dyDescent="0.25">
      <c r="A22" s="39">
        <v>36547</v>
      </c>
      <c r="B22" s="40" t="s">
        <v>2871</v>
      </c>
      <c r="C22" s="41">
        <v>3650155</v>
      </c>
      <c r="D22" s="42"/>
      <c r="E22" s="26" t="s">
        <v>493</v>
      </c>
      <c r="F22" s="32"/>
      <c r="G22" s="43"/>
      <c r="H22" s="44"/>
      <c r="I22" s="45"/>
      <c r="J22" s="43"/>
      <c r="K22" s="43"/>
      <c r="L22" s="43"/>
      <c r="M22" s="46" t="s">
        <v>2610</v>
      </c>
      <c r="N22" s="52">
        <v>44703</v>
      </c>
      <c r="O22" s="48" t="s">
        <v>2622</v>
      </c>
      <c r="P22" s="32"/>
      <c r="Q22" s="56"/>
      <c r="R22" s="49"/>
      <c r="S22" s="49"/>
      <c r="T22" s="32"/>
      <c r="U22" s="49"/>
      <c r="V22" s="32"/>
      <c r="W22" s="49"/>
      <c r="X22" s="50"/>
      <c r="Y22" s="49"/>
      <c r="Z22" s="51"/>
      <c r="AA22" s="49"/>
      <c r="AB22" s="49"/>
      <c r="AC22" s="49"/>
      <c r="AD22" s="49"/>
      <c r="AE22" s="49"/>
    </row>
    <row r="23" spans="1:31" x14ac:dyDescent="0.25">
      <c r="A23" s="39">
        <v>44779</v>
      </c>
      <c r="B23" s="40" t="s">
        <v>749</v>
      </c>
      <c r="C23" s="41"/>
      <c r="D23" s="42">
        <v>3216071362</v>
      </c>
      <c r="E23" s="26" t="s">
        <v>493</v>
      </c>
      <c r="F23" s="32"/>
      <c r="G23" s="43"/>
      <c r="H23" s="44" t="s">
        <v>750</v>
      </c>
      <c r="I23" s="45">
        <v>3136008255</v>
      </c>
      <c r="J23" s="43"/>
      <c r="K23" s="43"/>
      <c r="L23" s="43"/>
      <c r="M23" s="46" t="s">
        <v>2613</v>
      </c>
      <c r="N23" s="56"/>
      <c r="O23" s="48" t="s">
        <v>2841</v>
      </c>
      <c r="P23" s="32"/>
      <c r="Q23" s="56"/>
      <c r="R23" s="49"/>
      <c r="S23" s="49"/>
      <c r="T23" s="32"/>
      <c r="U23" s="49"/>
      <c r="V23" s="32"/>
      <c r="W23" s="49"/>
      <c r="X23" s="50"/>
      <c r="Y23" s="49"/>
      <c r="Z23" s="51"/>
      <c r="AA23" s="49"/>
      <c r="AB23" s="49"/>
      <c r="AC23" s="49"/>
      <c r="AD23" s="49"/>
      <c r="AE23" s="49"/>
    </row>
    <row r="24" spans="1:31" x14ac:dyDescent="0.25">
      <c r="A24" s="53">
        <v>45136</v>
      </c>
      <c r="B24" s="40" t="s">
        <v>2872</v>
      </c>
      <c r="C24" s="41"/>
      <c r="D24" s="42">
        <v>3245576702</v>
      </c>
      <c r="E24" s="26" t="s">
        <v>493</v>
      </c>
      <c r="F24" s="32"/>
      <c r="G24" s="43"/>
      <c r="H24" s="44" t="s">
        <v>2873</v>
      </c>
      <c r="I24" s="45">
        <v>3218191967</v>
      </c>
      <c r="J24" s="43"/>
      <c r="K24" s="43"/>
      <c r="L24" s="43"/>
      <c r="M24" s="46" t="s">
        <v>2613</v>
      </c>
      <c r="N24" s="56"/>
      <c r="O24" s="48" t="s">
        <v>2841</v>
      </c>
      <c r="P24" s="32"/>
      <c r="Q24" s="56"/>
      <c r="R24" s="49"/>
      <c r="S24" s="49"/>
      <c r="T24" s="32"/>
      <c r="U24" s="49"/>
      <c r="V24" s="32"/>
      <c r="W24" s="49"/>
      <c r="X24" s="50"/>
      <c r="Y24" s="49"/>
      <c r="Z24" s="51" t="s">
        <v>2874</v>
      </c>
      <c r="AA24" s="49"/>
      <c r="AB24" s="49"/>
      <c r="AC24" s="49"/>
      <c r="AD24" s="49"/>
      <c r="AE24" s="49"/>
    </row>
    <row r="25" spans="1:31" x14ac:dyDescent="0.25">
      <c r="A25" s="39">
        <v>44779</v>
      </c>
      <c r="B25" s="40" t="s">
        <v>2875</v>
      </c>
      <c r="C25" s="41">
        <v>43661031</v>
      </c>
      <c r="D25" s="42">
        <v>3126045749</v>
      </c>
      <c r="E25" s="26" t="s">
        <v>493</v>
      </c>
      <c r="F25" s="32"/>
      <c r="G25" s="43"/>
      <c r="H25" s="44"/>
      <c r="I25" s="45"/>
      <c r="J25" s="43"/>
      <c r="K25" s="43"/>
      <c r="L25" s="43"/>
      <c r="M25" s="46" t="s">
        <v>2648</v>
      </c>
      <c r="N25" s="54">
        <v>44779</v>
      </c>
      <c r="O25" s="48" t="s">
        <v>2622</v>
      </c>
      <c r="P25" s="32"/>
      <c r="Q25" s="56"/>
      <c r="R25" s="49"/>
      <c r="S25" s="49"/>
      <c r="T25" s="32"/>
      <c r="U25" s="49"/>
      <c r="V25" s="32"/>
      <c r="W25" s="49"/>
      <c r="X25" s="50"/>
      <c r="Y25" s="49"/>
      <c r="Z25" s="51" t="s">
        <v>2876</v>
      </c>
      <c r="AA25" s="49"/>
      <c r="AB25" s="49"/>
      <c r="AC25" s="49"/>
      <c r="AD25" s="49"/>
      <c r="AE25" s="49"/>
    </row>
    <row r="26" spans="1:31" x14ac:dyDescent="0.25">
      <c r="A26" s="53">
        <v>44863</v>
      </c>
      <c r="B26" s="40" t="s">
        <v>2877</v>
      </c>
      <c r="C26" s="41">
        <v>1066571380</v>
      </c>
      <c r="D26" s="42">
        <v>3223175727</v>
      </c>
      <c r="E26" s="26" t="s">
        <v>493</v>
      </c>
      <c r="F26" s="32"/>
      <c r="G26" s="43"/>
      <c r="H26" s="44"/>
      <c r="I26" s="45"/>
      <c r="J26" s="43"/>
      <c r="K26" s="43"/>
      <c r="L26" s="43"/>
      <c r="M26" s="46" t="s">
        <v>2644</v>
      </c>
      <c r="N26" s="54">
        <v>44779</v>
      </c>
      <c r="O26" s="48" t="s">
        <v>2622</v>
      </c>
      <c r="P26" s="32" t="s">
        <v>2646</v>
      </c>
      <c r="Q26" s="54">
        <v>44835</v>
      </c>
      <c r="R26" s="49"/>
      <c r="S26" s="49"/>
      <c r="T26" s="32"/>
      <c r="U26" s="55"/>
      <c r="V26" s="32"/>
      <c r="W26" s="55"/>
      <c r="X26" s="50"/>
      <c r="Y26" s="49"/>
      <c r="Z26" s="51" t="s">
        <v>2878</v>
      </c>
      <c r="AA26" s="49"/>
      <c r="AB26" s="49"/>
      <c r="AC26" s="49"/>
      <c r="AD26" s="49"/>
      <c r="AE26" s="49"/>
    </row>
    <row r="27" spans="1:31" x14ac:dyDescent="0.25">
      <c r="A27" s="53">
        <v>44773</v>
      </c>
      <c r="B27" s="40" t="s">
        <v>2879</v>
      </c>
      <c r="C27" s="41">
        <v>21588455</v>
      </c>
      <c r="D27" s="42">
        <v>3005531098</v>
      </c>
      <c r="E27" s="26" t="s">
        <v>493</v>
      </c>
      <c r="F27" s="32"/>
      <c r="G27" s="43"/>
      <c r="H27" s="44"/>
      <c r="I27" s="45"/>
      <c r="J27" s="43"/>
      <c r="K27" s="43"/>
      <c r="L27" s="43"/>
      <c r="M27" s="46" t="s">
        <v>2610</v>
      </c>
      <c r="N27" s="52">
        <v>44773</v>
      </c>
      <c r="O27" s="48" t="s">
        <v>2838</v>
      </c>
      <c r="P27" s="32"/>
      <c r="Q27" s="56"/>
      <c r="R27" s="49"/>
      <c r="S27" s="49"/>
      <c r="T27" s="32"/>
      <c r="U27" s="49"/>
      <c r="V27" s="32"/>
      <c r="W27" s="49"/>
      <c r="X27" s="50"/>
      <c r="Y27" s="49"/>
      <c r="Z27" s="51" t="s">
        <v>2880</v>
      </c>
      <c r="AA27" s="49"/>
      <c r="AB27" s="49"/>
      <c r="AC27" s="49"/>
      <c r="AD27" s="49"/>
      <c r="AE27" s="49"/>
    </row>
    <row r="28" spans="1:31" x14ac:dyDescent="0.25">
      <c r="A28" s="39">
        <v>44779</v>
      </c>
      <c r="B28" s="40" t="s">
        <v>2881</v>
      </c>
      <c r="C28" s="41">
        <v>6459642</v>
      </c>
      <c r="D28" s="42">
        <v>3105265039</v>
      </c>
      <c r="E28" s="26" t="s">
        <v>493</v>
      </c>
      <c r="F28" s="32"/>
      <c r="G28" s="43"/>
      <c r="H28" s="44"/>
      <c r="I28" s="45"/>
      <c r="J28" s="43"/>
      <c r="K28" s="43"/>
      <c r="L28" s="43"/>
      <c r="M28" s="46" t="s">
        <v>2644</v>
      </c>
      <c r="N28" s="54">
        <v>44779</v>
      </c>
      <c r="O28" s="48" t="s">
        <v>2622</v>
      </c>
      <c r="P28" s="32" t="s">
        <v>2646</v>
      </c>
      <c r="Q28" s="54">
        <v>44835</v>
      </c>
      <c r="R28" s="49"/>
      <c r="S28" s="49"/>
      <c r="T28" s="32"/>
      <c r="U28" s="55"/>
      <c r="V28" s="32"/>
      <c r="W28" s="55"/>
      <c r="X28" s="50"/>
      <c r="Y28" s="49"/>
      <c r="Z28" s="51" t="s">
        <v>2882</v>
      </c>
      <c r="AA28" s="49"/>
      <c r="AB28" s="49"/>
      <c r="AC28" s="49"/>
      <c r="AD28" s="49"/>
      <c r="AE28" s="49"/>
    </row>
    <row r="29" spans="1:31" x14ac:dyDescent="0.25">
      <c r="A29" s="53"/>
      <c r="B29" s="40" t="s">
        <v>2883</v>
      </c>
      <c r="C29" s="41"/>
      <c r="D29" s="42"/>
      <c r="E29" s="26" t="s">
        <v>493</v>
      </c>
      <c r="F29" s="32"/>
      <c r="G29" s="43"/>
      <c r="H29" s="44"/>
      <c r="I29" s="45"/>
      <c r="J29" s="43"/>
      <c r="K29" s="43"/>
      <c r="L29" s="43"/>
      <c r="M29" s="46" t="s">
        <v>2644</v>
      </c>
      <c r="N29" s="56"/>
      <c r="O29" s="48"/>
      <c r="P29" s="32" t="s">
        <v>2646</v>
      </c>
      <c r="Q29" s="54">
        <v>44506</v>
      </c>
      <c r="R29" s="49"/>
      <c r="S29" s="49"/>
      <c r="T29" s="32"/>
      <c r="U29" s="55"/>
      <c r="V29" s="32"/>
      <c r="W29" s="55"/>
      <c r="X29" s="50"/>
      <c r="Y29" s="49"/>
      <c r="Z29" s="51"/>
      <c r="AA29" s="49"/>
      <c r="AB29" s="49"/>
      <c r="AC29" s="49"/>
      <c r="AD29" s="49"/>
      <c r="AE29" s="49"/>
    </row>
    <row r="30" spans="1:31" x14ac:dyDescent="0.25">
      <c r="A30" s="39">
        <v>44779</v>
      </c>
      <c r="B30" s="40" t="s">
        <v>2884</v>
      </c>
      <c r="C30" s="41">
        <v>1032252665</v>
      </c>
      <c r="D30" s="42">
        <v>3183337047</v>
      </c>
      <c r="E30" s="26" t="s">
        <v>493</v>
      </c>
      <c r="F30" s="32"/>
      <c r="G30" s="43"/>
      <c r="H30" s="44"/>
      <c r="I30" s="45"/>
      <c r="J30" s="43"/>
      <c r="K30" s="43"/>
      <c r="L30" s="43"/>
      <c r="M30" s="46" t="s">
        <v>2644</v>
      </c>
      <c r="N30" s="54">
        <v>44779</v>
      </c>
      <c r="O30" s="48" t="s">
        <v>2838</v>
      </c>
      <c r="P30" s="32" t="s">
        <v>2646</v>
      </c>
      <c r="Q30" s="52">
        <v>45241</v>
      </c>
      <c r="R30" s="49"/>
      <c r="S30" s="49"/>
      <c r="T30" s="32" t="s">
        <v>2646</v>
      </c>
      <c r="U30" s="57">
        <v>45241</v>
      </c>
      <c r="V30" s="32"/>
      <c r="W30" s="57"/>
      <c r="X30" s="50"/>
      <c r="Y30" s="49"/>
      <c r="Z30" s="51" t="s">
        <v>2885</v>
      </c>
      <c r="AA30" s="49"/>
      <c r="AB30" s="49"/>
      <c r="AC30" s="49"/>
      <c r="AD30" s="49"/>
      <c r="AE30" s="49"/>
    </row>
    <row r="31" spans="1:31" x14ac:dyDescent="0.25">
      <c r="A31" s="53">
        <v>45060</v>
      </c>
      <c r="B31" s="40" t="s">
        <v>2886</v>
      </c>
      <c r="C31" s="41"/>
      <c r="D31" s="42">
        <v>3108222145</v>
      </c>
      <c r="E31" s="26" t="s">
        <v>493</v>
      </c>
      <c r="F31" s="32"/>
      <c r="G31" s="43"/>
      <c r="H31" s="44"/>
      <c r="I31" s="45"/>
      <c r="J31" s="43"/>
      <c r="K31" s="43"/>
      <c r="L31" s="43"/>
      <c r="M31" s="46" t="s">
        <v>2613</v>
      </c>
      <c r="N31" s="56"/>
      <c r="O31" s="48" t="s">
        <v>2841</v>
      </c>
      <c r="P31" s="32"/>
      <c r="Q31" s="56"/>
      <c r="R31" s="49"/>
      <c r="S31" s="49"/>
      <c r="T31" s="32"/>
      <c r="U31" s="49"/>
      <c r="V31" s="32"/>
      <c r="W31" s="49"/>
      <c r="X31" s="50"/>
      <c r="Y31" s="49"/>
      <c r="Z31" s="51"/>
      <c r="AA31" s="49"/>
      <c r="AB31" s="49"/>
      <c r="AC31" s="49"/>
      <c r="AD31" s="49"/>
      <c r="AE31" s="49"/>
    </row>
    <row r="32" spans="1:31" x14ac:dyDescent="0.25">
      <c r="A32" s="39">
        <v>44779</v>
      </c>
      <c r="B32" s="40" t="s">
        <v>2887</v>
      </c>
      <c r="C32" s="41"/>
      <c r="D32" s="42">
        <v>3137019339</v>
      </c>
      <c r="E32" s="26" t="s">
        <v>493</v>
      </c>
      <c r="F32" s="32"/>
      <c r="G32" s="43"/>
      <c r="H32" s="44" t="s">
        <v>1794</v>
      </c>
      <c r="I32" s="45">
        <v>3125834034</v>
      </c>
      <c r="J32" s="43"/>
      <c r="K32" s="43"/>
      <c r="L32" s="43"/>
      <c r="M32" s="46" t="s">
        <v>2610</v>
      </c>
      <c r="N32" s="52">
        <v>45151</v>
      </c>
      <c r="O32" s="48" t="s">
        <v>2841</v>
      </c>
      <c r="P32" s="32"/>
      <c r="Q32" s="56"/>
      <c r="R32" s="49"/>
      <c r="S32" s="49"/>
      <c r="T32" s="32"/>
      <c r="U32" s="49"/>
      <c r="V32" s="32"/>
      <c r="W32" s="49"/>
      <c r="X32" s="50"/>
      <c r="Y32" s="49"/>
      <c r="Z32" s="51"/>
      <c r="AA32" s="49"/>
      <c r="AB32" s="49"/>
      <c r="AC32" s="49"/>
      <c r="AD32" s="49"/>
      <c r="AE32" s="49"/>
    </row>
    <row r="33" spans="1:31" x14ac:dyDescent="0.25">
      <c r="A33" s="53">
        <v>45043</v>
      </c>
      <c r="B33" s="40" t="s">
        <v>2888</v>
      </c>
      <c r="C33" s="41"/>
      <c r="D33" s="42">
        <v>3125952150</v>
      </c>
      <c r="E33" s="26" t="s">
        <v>493</v>
      </c>
      <c r="F33" s="32"/>
      <c r="G33" s="43"/>
      <c r="H33" s="44"/>
      <c r="I33" s="45"/>
      <c r="J33" s="43"/>
      <c r="K33" s="43"/>
      <c r="L33" s="43"/>
      <c r="M33" s="46" t="s">
        <v>2613</v>
      </c>
      <c r="N33" s="56"/>
      <c r="O33" s="48" t="s">
        <v>2841</v>
      </c>
      <c r="P33" s="32"/>
      <c r="Q33" s="56"/>
      <c r="R33" s="49"/>
      <c r="S33" s="49"/>
      <c r="T33" s="32"/>
      <c r="U33" s="49"/>
      <c r="V33" s="32"/>
      <c r="W33" s="49"/>
      <c r="X33" s="50"/>
      <c r="Y33" s="49"/>
      <c r="Z33" s="51"/>
      <c r="AA33" s="49"/>
      <c r="AB33" s="49"/>
      <c r="AC33" s="49"/>
      <c r="AD33" s="49"/>
      <c r="AE33" s="49"/>
    </row>
    <row r="34" spans="1:31" x14ac:dyDescent="0.25">
      <c r="A34" s="53">
        <v>45041</v>
      </c>
      <c r="B34" s="40" t="s">
        <v>2889</v>
      </c>
      <c r="C34" s="41"/>
      <c r="D34" s="42">
        <v>3112762111</v>
      </c>
      <c r="E34" s="26" t="s">
        <v>493</v>
      </c>
      <c r="F34" s="32"/>
      <c r="G34" s="43"/>
      <c r="H34" s="44"/>
      <c r="I34" s="45"/>
      <c r="J34" s="43"/>
      <c r="K34" s="43"/>
      <c r="L34" s="43"/>
      <c r="M34" s="46" t="s">
        <v>2613</v>
      </c>
      <c r="N34" s="56"/>
      <c r="O34" s="48" t="s">
        <v>2841</v>
      </c>
      <c r="P34" s="32"/>
      <c r="Q34" s="56"/>
      <c r="R34" s="49"/>
      <c r="S34" s="49"/>
      <c r="T34" s="32"/>
      <c r="U34" s="49"/>
      <c r="V34" s="32"/>
      <c r="W34" s="49"/>
      <c r="X34" s="50"/>
      <c r="Y34" s="49"/>
      <c r="Z34" s="51"/>
      <c r="AA34" s="49"/>
      <c r="AB34" s="49"/>
      <c r="AC34" s="49"/>
      <c r="AD34" s="49"/>
      <c r="AE34" s="49"/>
    </row>
    <row r="35" spans="1:31" x14ac:dyDescent="0.25">
      <c r="A35" s="53">
        <v>44982</v>
      </c>
      <c r="B35" s="40" t="s">
        <v>2890</v>
      </c>
      <c r="C35" s="41"/>
      <c r="D35" s="42">
        <v>3125973230</v>
      </c>
      <c r="E35" s="26" t="s">
        <v>493</v>
      </c>
      <c r="F35" s="32"/>
      <c r="G35" s="43"/>
      <c r="H35" s="44"/>
      <c r="I35" s="45"/>
      <c r="J35" s="43"/>
      <c r="K35" s="43"/>
      <c r="L35" s="43"/>
      <c r="M35" s="46" t="s">
        <v>2613</v>
      </c>
      <c r="N35" s="56"/>
      <c r="O35" s="48" t="s">
        <v>2841</v>
      </c>
      <c r="P35" s="32"/>
      <c r="Q35" s="56"/>
      <c r="R35" s="49"/>
      <c r="S35" s="49"/>
      <c r="T35" s="32"/>
      <c r="U35" s="49"/>
      <c r="V35" s="32"/>
      <c r="W35" s="49"/>
      <c r="X35" s="50"/>
      <c r="Y35" s="49"/>
      <c r="Z35" s="51"/>
      <c r="AA35" s="49"/>
      <c r="AB35" s="49"/>
      <c r="AC35" s="49"/>
      <c r="AD35" s="49"/>
      <c r="AE35" s="49"/>
    </row>
    <row r="36" spans="1:31" x14ac:dyDescent="0.25">
      <c r="A36" s="53">
        <v>45151</v>
      </c>
      <c r="B36" s="40" t="s">
        <v>2891</v>
      </c>
      <c r="C36" s="41">
        <v>43208578</v>
      </c>
      <c r="D36" s="42">
        <v>3025490535</v>
      </c>
      <c r="E36" s="26" t="s">
        <v>493</v>
      </c>
      <c r="F36" s="32"/>
      <c r="G36" s="43"/>
      <c r="H36" s="44"/>
      <c r="I36" s="45"/>
      <c r="J36" s="43"/>
      <c r="K36" s="43"/>
      <c r="L36" s="43"/>
      <c r="M36" s="46" t="s">
        <v>2610</v>
      </c>
      <c r="N36" s="52">
        <v>45151</v>
      </c>
      <c r="O36" s="48">
        <v>3</v>
      </c>
      <c r="P36" s="32"/>
      <c r="Q36" s="56"/>
      <c r="R36" s="49"/>
      <c r="S36" s="49"/>
      <c r="T36" s="32"/>
      <c r="U36" s="49"/>
      <c r="V36" s="32"/>
      <c r="W36" s="49"/>
      <c r="X36" s="50"/>
      <c r="Y36" s="49"/>
      <c r="Z36" s="51" t="s">
        <v>2892</v>
      </c>
      <c r="AA36" s="49"/>
      <c r="AB36" s="49"/>
      <c r="AC36" s="49"/>
      <c r="AD36" s="49"/>
      <c r="AE36" s="49"/>
    </row>
    <row r="37" spans="1:31" x14ac:dyDescent="0.25">
      <c r="A37" s="53">
        <v>45136</v>
      </c>
      <c r="B37" s="40" t="s">
        <v>2893</v>
      </c>
      <c r="C37" s="41">
        <v>32201406</v>
      </c>
      <c r="D37" s="42">
        <v>3106857493</v>
      </c>
      <c r="E37" s="26" t="s">
        <v>493</v>
      </c>
      <c r="F37" s="32"/>
      <c r="G37" s="43"/>
      <c r="H37" s="44"/>
      <c r="I37" s="45"/>
      <c r="J37" s="43"/>
      <c r="K37" s="43"/>
      <c r="L37" s="43"/>
      <c r="M37" s="46" t="s">
        <v>2644</v>
      </c>
      <c r="N37" s="56" t="s">
        <v>2894</v>
      </c>
      <c r="O37" s="48">
        <v>3</v>
      </c>
      <c r="P37" s="32" t="s">
        <v>2646</v>
      </c>
      <c r="Q37" s="52">
        <v>45584</v>
      </c>
      <c r="R37" s="49"/>
      <c r="S37" s="49"/>
      <c r="T37" s="32"/>
      <c r="U37" s="61"/>
      <c r="V37" s="32"/>
      <c r="W37" s="61"/>
      <c r="X37" s="50"/>
      <c r="Y37" s="49"/>
      <c r="Z37" s="51" t="s">
        <v>2895</v>
      </c>
      <c r="AA37" s="49"/>
      <c r="AB37" s="49"/>
      <c r="AC37" s="49"/>
      <c r="AD37" s="49"/>
      <c r="AE37" s="49"/>
    </row>
    <row r="38" spans="1:31" x14ac:dyDescent="0.25">
      <c r="A38" s="53">
        <v>45136</v>
      </c>
      <c r="B38" s="40" t="s">
        <v>2896</v>
      </c>
      <c r="C38" s="41"/>
      <c r="D38" s="42">
        <v>3042398098</v>
      </c>
      <c r="E38" s="26" t="s">
        <v>493</v>
      </c>
      <c r="F38" s="32"/>
      <c r="G38" s="43"/>
      <c r="H38" s="44"/>
      <c r="I38" s="45"/>
      <c r="J38" s="43"/>
      <c r="K38" s="43"/>
      <c r="L38" s="43"/>
      <c r="M38" s="46" t="s">
        <v>2613</v>
      </c>
      <c r="N38" s="56"/>
      <c r="O38" s="48" t="s">
        <v>2841</v>
      </c>
      <c r="P38" s="32"/>
      <c r="Q38" s="56"/>
      <c r="R38" s="49"/>
      <c r="S38" s="49"/>
      <c r="T38" s="32"/>
      <c r="U38" s="49"/>
      <c r="V38" s="32"/>
      <c r="W38" s="49"/>
      <c r="X38" s="50"/>
      <c r="Y38" s="49"/>
      <c r="Z38" s="51" t="s">
        <v>2897</v>
      </c>
      <c r="AA38" s="49"/>
      <c r="AB38" s="49"/>
      <c r="AC38" s="49"/>
      <c r="AD38" s="49"/>
      <c r="AE38" s="49"/>
    </row>
    <row r="39" spans="1:31" x14ac:dyDescent="0.25">
      <c r="A39" s="39">
        <v>44716</v>
      </c>
      <c r="B39" s="40" t="s">
        <v>2898</v>
      </c>
      <c r="C39" s="41">
        <v>32104621</v>
      </c>
      <c r="D39" s="42">
        <v>3208552641</v>
      </c>
      <c r="E39" s="26" t="s">
        <v>493</v>
      </c>
      <c r="F39" s="32"/>
      <c r="G39" s="43"/>
      <c r="H39" s="44"/>
      <c r="I39" s="45"/>
      <c r="J39" s="43"/>
      <c r="K39" s="43"/>
      <c r="L39" s="43"/>
      <c r="M39" s="46" t="s">
        <v>2648</v>
      </c>
      <c r="N39" s="54">
        <v>44716</v>
      </c>
      <c r="O39" s="48" t="s">
        <v>2622</v>
      </c>
      <c r="P39" s="32"/>
      <c r="Q39" s="56"/>
      <c r="R39" s="49"/>
      <c r="S39" s="49"/>
      <c r="T39" s="32"/>
      <c r="U39" s="49"/>
      <c r="V39" s="32"/>
      <c r="W39" s="49"/>
      <c r="X39" s="50"/>
      <c r="Y39" s="49"/>
      <c r="Z39" s="51" t="s">
        <v>2899</v>
      </c>
      <c r="AA39" s="49"/>
      <c r="AB39" s="49"/>
      <c r="AC39" s="49"/>
      <c r="AD39" s="49"/>
      <c r="AE39" s="49"/>
    </row>
    <row r="40" spans="1:31" x14ac:dyDescent="0.25">
      <c r="A40" s="53">
        <v>44863</v>
      </c>
      <c r="B40" s="40" t="s">
        <v>664</v>
      </c>
      <c r="C40" s="41">
        <v>43928373</v>
      </c>
      <c r="D40" s="42">
        <v>3016890804</v>
      </c>
      <c r="E40" s="26" t="s">
        <v>493</v>
      </c>
      <c r="F40" s="32"/>
      <c r="G40" s="43"/>
      <c r="H40" s="44" t="s">
        <v>2900</v>
      </c>
      <c r="I40" s="45">
        <v>3003115908</v>
      </c>
      <c r="J40" s="43"/>
      <c r="K40" s="43"/>
      <c r="L40" s="43"/>
      <c r="M40" s="46" t="s">
        <v>2610</v>
      </c>
      <c r="N40" s="52">
        <v>45151</v>
      </c>
      <c r="O40" s="48">
        <v>3</v>
      </c>
      <c r="P40" s="32"/>
      <c r="Q40" s="56"/>
      <c r="R40" s="49"/>
      <c r="S40" s="49"/>
      <c r="T40" s="32"/>
      <c r="U40" s="49"/>
      <c r="V40" s="32"/>
      <c r="W40" s="49"/>
      <c r="X40" s="50"/>
      <c r="Y40" s="49"/>
      <c r="Z40" s="51" t="s">
        <v>668</v>
      </c>
      <c r="AA40" s="49"/>
      <c r="AB40" s="49"/>
      <c r="AC40" s="49"/>
      <c r="AD40" s="49"/>
      <c r="AE40" s="49"/>
    </row>
    <row r="41" spans="1:31" x14ac:dyDescent="0.25">
      <c r="A41" s="53">
        <v>44969</v>
      </c>
      <c r="B41" s="40" t="s">
        <v>1204</v>
      </c>
      <c r="C41" s="41">
        <v>15929401</v>
      </c>
      <c r="D41" s="42">
        <v>3003843051</v>
      </c>
      <c r="E41" s="26" t="s">
        <v>493</v>
      </c>
      <c r="F41" s="32"/>
      <c r="G41" s="43"/>
      <c r="H41" s="44" t="s">
        <v>2901</v>
      </c>
      <c r="I41" s="45">
        <v>3003843051</v>
      </c>
      <c r="J41" s="43"/>
      <c r="K41" s="43"/>
      <c r="L41" s="43"/>
      <c r="M41" s="46" t="s">
        <v>2644</v>
      </c>
      <c r="N41" s="52">
        <v>44969</v>
      </c>
      <c r="O41" s="48" t="s">
        <v>2622</v>
      </c>
      <c r="P41" s="32" t="s">
        <v>2646</v>
      </c>
      <c r="Q41" s="52">
        <v>45241</v>
      </c>
      <c r="R41" s="49"/>
      <c r="S41" s="49"/>
      <c r="T41" s="46"/>
      <c r="U41" s="40"/>
      <c r="V41" s="46"/>
      <c r="W41" s="40"/>
      <c r="X41" s="50"/>
      <c r="Y41" s="49"/>
      <c r="Z41" s="51" t="s">
        <v>2902</v>
      </c>
      <c r="AA41" s="49"/>
      <c r="AB41" s="49"/>
      <c r="AC41" s="49"/>
      <c r="AD41" s="49"/>
      <c r="AE41" s="49"/>
    </row>
    <row r="42" spans="1:31" x14ac:dyDescent="0.25">
      <c r="A42" s="53">
        <v>44772</v>
      </c>
      <c r="B42" s="40" t="s">
        <v>2903</v>
      </c>
      <c r="C42" s="41">
        <v>1017199665</v>
      </c>
      <c r="D42" s="42">
        <v>3012717803</v>
      </c>
      <c r="E42" s="26" t="s">
        <v>493</v>
      </c>
      <c r="F42" s="32"/>
      <c r="G42" s="43"/>
      <c r="H42" s="44"/>
      <c r="I42" s="45"/>
      <c r="J42" s="43"/>
      <c r="K42" s="43"/>
      <c r="L42" s="43"/>
      <c r="M42" s="46" t="s">
        <v>2644</v>
      </c>
      <c r="N42" s="52">
        <v>44772</v>
      </c>
      <c r="O42" s="48" t="s">
        <v>2622</v>
      </c>
      <c r="P42" s="32" t="s">
        <v>2646</v>
      </c>
      <c r="Q42" s="54">
        <v>44835</v>
      </c>
      <c r="R42" s="49"/>
      <c r="S42" s="49"/>
      <c r="T42" s="32"/>
      <c r="U42" s="55"/>
      <c r="V42" s="32"/>
      <c r="W42" s="55"/>
      <c r="X42" s="50"/>
      <c r="Y42" s="49"/>
      <c r="Z42" s="51" t="s">
        <v>2904</v>
      </c>
      <c r="AA42" s="49"/>
      <c r="AB42" s="49"/>
      <c r="AC42" s="49"/>
      <c r="AD42" s="49"/>
      <c r="AE42" s="49"/>
    </row>
    <row r="43" spans="1:31" x14ac:dyDescent="0.25">
      <c r="A43" s="53">
        <v>45002</v>
      </c>
      <c r="B43" s="40" t="s">
        <v>2905</v>
      </c>
      <c r="C43" s="41"/>
      <c r="D43" s="42">
        <v>3053318301</v>
      </c>
      <c r="E43" s="26" t="s">
        <v>493</v>
      </c>
      <c r="F43" s="32"/>
      <c r="G43" s="43"/>
      <c r="H43" s="44"/>
      <c r="I43" s="45"/>
      <c r="J43" s="43"/>
      <c r="K43" s="43"/>
      <c r="L43" s="43"/>
      <c r="M43" s="46" t="s">
        <v>2613</v>
      </c>
      <c r="N43" s="56"/>
      <c r="O43" s="48" t="s">
        <v>2841</v>
      </c>
      <c r="P43" s="32"/>
      <c r="Q43" s="56"/>
      <c r="R43" s="49"/>
      <c r="S43" s="49"/>
      <c r="T43" s="32"/>
      <c r="U43" s="49"/>
      <c r="V43" s="32"/>
      <c r="W43" s="49"/>
      <c r="X43" s="50"/>
      <c r="Y43" s="49"/>
      <c r="Z43" s="51"/>
      <c r="AA43" s="49"/>
      <c r="AB43" s="49"/>
      <c r="AC43" s="49"/>
      <c r="AD43" s="49"/>
      <c r="AE43" s="49"/>
    </row>
    <row r="44" spans="1:31" x14ac:dyDescent="0.25">
      <c r="A44" s="53">
        <v>44772</v>
      </c>
      <c r="B44" s="40" t="s">
        <v>2906</v>
      </c>
      <c r="C44" s="41">
        <v>50920651</v>
      </c>
      <c r="D44" s="42">
        <v>3148385554</v>
      </c>
      <c r="E44" s="26" t="s">
        <v>493</v>
      </c>
      <c r="F44" s="32"/>
      <c r="G44" s="43"/>
      <c r="H44" s="44"/>
      <c r="I44" s="45"/>
      <c r="J44" s="43"/>
      <c r="K44" s="43"/>
      <c r="L44" s="43"/>
      <c r="M44" s="46" t="s">
        <v>2644</v>
      </c>
      <c r="N44" s="52">
        <v>44772</v>
      </c>
      <c r="O44" s="48" t="s">
        <v>2838</v>
      </c>
      <c r="P44" s="32" t="s">
        <v>2646</v>
      </c>
      <c r="Q44" s="62">
        <v>44835</v>
      </c>
      <c r="R44" s="49"/>
      <c r="S44" s="49"/>
      <c r="T44" s="32"/>
      <c r="U44" s="63"/>
      <c r="V44" s="32"/>
      <c r="W44" s="63"/>
      <c r="X44" s="50"/>
      <c r="Y44" s="49"/>
      <c r="Z44" s="51" t="s">
        <v>2907</v>
      </c>
      <c r="AA44" s="49"/>
      <c r="AB44" s="49"/>
      <c r="AC44" s="49"/>
      <c r="AD44" s="49"/>
      <c r="AE44" s="49"/>
    </row>
    <row r="45" spans="1:31" x14ac:dyDescent="0.25">
      <c r="A45" s="53">
        <v>44863</v>
      </c>
      <c r="B45" s="40" t="s">
        <v>504</v>
      </c>
      <c r="C45" s="41"/>
      <c r="D45" s="42">
        <v>3012846786</v>
      </c>
      <c r="E45" s="26" t="s">
        <v>493</v>
      </c>
      <c r="F45" s="32"/>
      <c r="G45" s="43"/>
      <c r="H45" s="44" t="s">
        <v>505</v>
      </c>
      <c r="I45" s="45">
        <v>3124223154</v>
      </c>
      <c r="J45" s="43"/>
      <c r="K45" s="43"/>
      <c r="L45" s="43"/>
      <c r="M45" s="46" t="s">
        <v>2613</v>
      </c>
      <c r="N45" s="56"/>
      <c r="O45" s="48" t="s">
        <v>2848</v>
      </c>
      <c r="P45" s="32"/>
      <c r="Q45" s="56"/>
      <c r="R45" s="49"/>
      <c r="S45" s="49"/>
      <c r="T45" s="32"/>
      <c r="U45" s="49"/>
      <c r="V45" s="32"/>
      <c r="W45" s="49"/>
      <c r="X45" s="50"/>
      <c r="Y45" s="49"/>
      <c r="Z45" s="51" t="s">
        <v>511</v>
      </c>
      <c r="AA45" s="49"/>
      <c r="AB45" s="49"/>
      <c r="AC45" s="49"/>
      <c r="AD45" s="49"/>
      <c r="AE45" s="49"/>
    </row>
    <row r="46" spans="1:31" x14ac:dyDescent="0.25">
      <c r="A46" s="39">
        <v>44779</v>
      </c>
      <c r="B46" s="40" t="s">
        <v>2908</v>
      </c>
      <c r="C46" s="41">
        <v>39305766</v>
      </c>
      <c r="D46" s="42">
        <v>3223167626</v>
      </c>
      <c r="E46" s="26" t="s">
        <v>493</v>
      </c>
      <c r="F46" s="32"/>
      <c r="G46" s="43"/>
      <c r="H46" s="44"/>
      <c r="I46" s="45"/>
      <c r="J46" s="43"/>
      <c r="K46" s="43"/>
      <c r="L46" s="43"/>
      <c r="M46" s="46" t="s">
        <v>2644</v>
      </c>
      <c r="N46" s="54">
        <v>44779</v>
      </c>
      <c r="O46" s="48" t="s">
        <v>2622</v>
      </c>
      <c r="P46" s="32" t="s">
        <v>2646</v>
      </c>
      <c r="Q46" s="54">
        <v>44835</v>
      </c>
      <c r="R46" s="49"/>
      <c r="S46" s="49"/>
      <c r="T46" s="32"/>
      <c r="U46" s="55"/>
      <c r="V46" s="32" t="s">
        <v>2646</v>
      </c>
      <c r="W46" s="55">
        <v>45369</v>
      </c>
      <c r="X46" s="50"/>
      <c r="Y46" s="49"/>
      <c r="Z46" s="51" t="s">
        <v>2909</v>
      </c>
      <c r="AA46" s="49"/>
      <c r="AB46" s="49"/>
      <c r="AC46" s="49"/>
      <c r="AD46" s="49"/>
      <c r="AE46" s="49"/>
    </row>
    <row r="47" spans="1:31" x14ac:dyDescent="0.25">
      <c r="A47" s="53">
        <v>45136</v>
      </c>
      <c r="B47" s="40" t="s">
        <v>1040</v>
      </c>
      <c r="C47" s="41">
        <v>1020405540</v>
      </c>
      <c r="D47" s="42">
        <v>3175734276</v>
      </c>
      <c r="E47" s="26" t="s">
        <v>493</v>
      </c>
      <c r="F47" s="32"/>
      <c r="G47" s="43"/>
      <c r="H47" s="44" t="s">
        <v>1041</v>
      </c>
      <c r="I47" s="45">
        <v>3145363536</v>
      </c>
      <c r="J47" s="43"/>
      <c r="K47" s="43"/>
      <c r="L47" s="43"/>
      <c r="M47" s="46" t="s">
        <v>2648</v>
      </c>
      <c r="N47" s="52">
        <v>45151</v>
      </c>
      <c r="O47" s="48">
        <v>1</v>
      </c>
      <c r="P47" s="32"/>
      <c r="Q47" s="56"/>
      <c r="R47" s="49"/>
      <c r="S47" s="49"/>
      <c r="T47" s="32"/>
      <c r="U47" s="49"/>
      <c r="V47" s="32"/>
      <c r="W47" s="61"/>
      <c r="X47" s="50"/>
      <c r="Y47" s="49"/>
      <c r="Z47" s="51" t="s">
        <v>2910</v>
      </c>
      <c r="AA47" s="49"/>
      <c r="AB47" s="49"/>
      <c r="AC47" s="49"/>
      <c r="AD47" s="49"/>
      <c r="AE47" s="49"/>
    </row>
    <row r="48" spans="1:31" x14ac:dyDescent="0.25">
      <c r="A48" s="39">
        <v>44779</v>
      </c>
      <c r="B48" s="40" t="s">
        <v>431</v>
      </c>
      <c r="C48" s="41"/>
      <c r="D48" s="42">
        <v>3007378377</v>
      </c>
      <c r="E48" s="26" t="s">
        <v>493</v>
      </c>
      <c r="F48" s="32"/>
      <c r="G48" s="43"/>
      <c r="H48" s="44"/>
      <c r="I48" s="45">
        <v>3246296014</v>
      </c>
      <c r="J48" s="43"/>
      <c r="K48" s="43"/>
      <c r="L48" s="43"/>
      <c r="M48" s="46" t="s">
        <v>2613</v>
      </c>
      <c r="N48" s="56"/>
      <c r="O48" s="48" t="s">
        <v>2841</v>
      </c>
      <c r="P48" s="32"/>
      <c r="Q48" s="56"/>
      <c r="R48" s="49"/>
      <c r="S48" s="49"/>
      <c r="T48" s="32"/>
      <c r="U48" s="49"/>
      <c r="V48" s="32"/>
      <c r="W48" s="49"/>
      <c r="X48" s="50"/>
      <c r="Y48" s="49"/>
      <c r="Z48" s="51"/>
      <c r="AA48" s="49"/>
      <c r="AB48" s="49"/>
      <c r="AC48" s="49"/>
      <c r="AD48" s="49"/>
      <c r="AE48" s="49"/>
    </row>
    <row r="49" spans="1:31" x14ac:dyDescent="0.25">
      <c r="A49" s="39">
        <v>44782</v>
      </c>
      <c r="B49" s="40" t="s">
        <v>599</v>
      </c>
      <c r="C49" s="41"/>
      <c r="D49" s="42"/>
      <c r="E49" s="26" t="s">
        <v>493</v>
      </c>
      <c r="F49" s="32"/>
      <c r="G49" s="43"/>
      <c r="H49" s="44" t="s">
        <v>601</v>
      </c>
      <c r="I49" s="45">
        <v>3104550523</v>
      </c>
      <c r="J49" s="43"/>
      <c r="K49" s="43"/>
      <c r="L49" s="43"/>
      <c r="M49" s="46" t="s">
        <v>2613</v>
      </c>
      <c r="N49" s="56"/>
      <c r="O49" s="48" t="s">
        <v>2841</v>
      </c>
      <c r="P49" s="32"/>
      <c r="Q49" s="64"/>
      <c r="R49" s="49"/>
      <c r="S49" s="49"/>
      <c r="T49" s="32"/>
      <c r="U49" s="49"/>
      <c r="V49" s="32"/>
      <c r="W49" s="49"/>
      <c r="X49" s="50"/>
      <c r="Y49" s="49"/>
      <c r="Z49" s="51"/>
      <c r="AA49" s="49"/>
      <c r="AB49" s="49"/>
      <c r="AC49" s="49"/>
      <c r="AD49" s="49"/>
      <c r="AE49" s="49"/>
    </row>
    <row r="50" spans="1:31" x14ac:dyDescent="0.25">
      <c r="A50" s="47"/>
      <c r="B50" s="40" t="s">
        <v>2911</v>
      </c>
      <c r="C50" s="41"/>
      <c r="D50" s="42"/>
      <c r="E50" s="26" t="s">
        <v>493</v>
      </c>
      <c r="F50" s="32"/>
      <c r="G50" s="43"/>
      <c r="H50" s="44"/>
      <c r="I50" s="45"/>
      <c r="J50" s="43"/>
      <c r="K50" s="43"/>
      <c r="L50" s="43"/>
      <c r="M50" s="46" t="s">
        <v>2644</v>
      </c>
      <c r="N50" s="56"/>
      <c r="O50" s="48"/>
      <c r="P50" s="32" t="s">
        <v>2646</v>
      </c>
      <c r="Q50" s="52">
        <v>44429</v>
      </c>
      <c r="R50" s="49"/>
      <c r="S50" s="49"/>
      <c r="T50" s="32"/>
      <c r="U50" s="57"/>
      <c r="V50" s="32"/>
      <c r="W50" s="57"/>
      <c r="X50" s="50"/>
      <c r="Y50" s="49"/>
      <c r="Z50" s="51"/>
      <c r="AA50" s="49"/>
      <c r="AB50" s="49"/>
      <c r="AC50" s="49"/>
      <c r="AD50" s="49"/>
      <c r="AE50" s="49"/>
    </row>
    <row r="51" spans="1:31" x14ac:dyDescent="0.25">
      <c r="A51" s="53">
        <v>45039</v>
      </c>
      <c r="B51" s="40" t="s">
        <v>2912</v>
      </c>
      <c r="C51" s="41"/>
      <c r="D51" s="42">
        <v>3243301684</v>
      </c>
      <c r="E51" s="26" t="s">
        <v>493</v>
      </c>
      <c r="F51" s="32"/>
      <c r="G51" s="43"/>
      <c r="H51" s="44"/>
      <c r="I51" s="45"/>
      <c r="J51" s="43"/>
      <c r="K51" s="43"/>
      <c r="L51" s="43"/>
      <c r="M51" s="46" t="s">
        <v>2613</v>
      </c>
      <c r="N51" s="56"/>
      <c r="O51" s="48" t="s">
        <v>2841</v>
      </c>
      <c r="P51" s="32"/>
      <c r="Q51" s="56"/>
      <c r="R51" s="49"/>
      <c r="S51" s="49"/>
      <c r="T51" s="32"/>
      <c r="U51" s="49"/>
      <c r="V51" s="32"/>
      <c r="W51" s="49"/>
      <c r="X51" s="50"/>
      <c r="Y51" s="49"/>
      <c r="Z51" s="51"/>
      <c r="AA51" s="49"/>
      <c r="AB51" s="49"/>
      <c r="AC51" s="49"/>
      <c r="AD51" s="49"/>
      <c r="AE51" s="49"/>
    </row>
    <row r="52" spans="1:31" x14ac:dyDescent="0.25">
      <c r="A52" s="39">
        <v>44992</v>
      </c>
      <c r="B52" s="40" t="s">
        <v>2913</v>
      </c>
      <c r="C52" s="41"/>
      <c r="D52" s="42">
        <v>3104362003</v>
      </c>
      <c r="E52" s="26" t="s">
        <v>493</v>
      </c>
      <c r="F52" s="32"/>
      <c r="G52" s="43"/>
      <c r="H52" s="44" t="s">
        <v>845</v>
      </c>
      <c r="I52" s="45">
        <v>3122665798</v>
      </c>
      <c r="J52" s="43"/>
      <c r="K52" s="43"/>
      <c r="L52" s="43"/>
      <c r="M52" s="46" t="s">
        <v>2613</v>
      </c>
      <c r="N52" s="56"/>
      <c r="O52" s="48" t="s">
        <v>2841</v>
      </c>
      <c r="P52" s="32"/>
      <c r="Q52" s="56"/>
      <c r="R52" s="49"/>
      <c r="S52" s="49"/>
      <c r="T52" s="32"/>
      <c r="U52" s="49"/>
      <c r="V52" s="32"/>
      <c r="W52" s="49"/>
      <c r="X52" s="50"/>
      <c r="Y52" s="49"/>
      <c r="Z52" s="51" t="s">
        <v>847</v>
      </c>
      <c r="AA52" s="49"/>
      <c r="AB52" s="49"/>
      <c r="AC52" s="49"/>
      <c r="AD52" s="49"/>
      <c r="AE52" s="49"/>
    </row>
    <row r="53" spans="1:31" x14ac:dyDescent="0.25">
      <c r="A53" s="39">
        <v>44779</v>
      </c>
      <c r="B53" s="40" t="s">
        <v>2914</v>
      </c>
      <c r="C53" s="41"/>
      <c r="D53" s="42">
        <v>3042731974</v>
      </c>
      <c r="E53" s="26" t="s">
        <v>493</v>
      </c>
      <c r="F53" s="32"/>
      <c r="G53" s="43"/>
      <c r="H53" s="44"/>
      <c r="I53" s="45"/>
      <c r="J53" s="43"/>
      <c r="K53" s="43"/>
      <c r="L53" s="43"/>
      <c r="M53" s="46" t="s">
        <v>2648</v>
      </c>
      <c r="N53" s="52">
        <v>45151</v>
      </c>
      <c r="O53" s="48" t="s">
        <v>2841</v>
      </c>
      <c r="P53" s="32"/>
      <c r="Q53" s="56"/>
      <c r="R53" s="49"/>
      <c r="S53" s="49"/>
      <c r="T53" s="32"/>
      <c r="U53" s="49"/>
      <c r="V53" s="32"/>
      <c r="W53" s="49"/>
      <c r="X53" s="50"/>
      <c r="Y53" s="49"/>
      <c r="Z53" s="51"/>
      <c r="AA53" s="49"/>
      <c r="AB53" s="49"/>
      <c r="AC53" s="49"/>
      <c r="AD53" s="49"/>
      <c r="AE53" s="49"/>
    </row>
    <row r="54" spans="1:31" x14ac:dyDescent="0.25">
      <c r="A54" s="39">
        <v>44781</v>
      </c>
      <c r="B54" s="40" t="s">
        <v>440</v>
      </c>
      <c r="C54" s="41"/>
      <c r="D54" s="42">
        <v>3205518368</v>
      </c>
      <c r="E54" s="26" t="s">
        <v>493</v>
      </c>
      <c r="F54" s="32"/>
      <c r="G54" s="43"/>
      <c r="H54" s="44" t="s">
        <v>2915</v>
      </c>
      <c r="I54" s="45">
        <v>3148385554</v>
      </c>
      <c r="J54" s="43"/>
      <c r="K54" s="43"/>
      <c r="L54" s="43"/>
      <c r="M54" s="46" t="s">
        <v>2610</v>
      </c>
      <c r="N54" s="52">
        <v>45151</v>
      </c>
      <c r="O54" s="48" t="s">
        <v>2622</v>
      </c>
      <c r="P54" s="32"/>
      <c r="Q54" s="56"/>
      <c r="R54" s="49"/>
      <c r="S54" s="49"/>
      <c r="T54" s="32"/>
      <c r="U54" s="49"/>
      <c r="V54" s="32"/>
      <c r="W54" s="49"/>
      <c r="X54" s="50"/>
      <c r="Y54" s="49"/>
      <c r="Z54" s="51"/>
      <c r="AA54" s="49"/>
      <c r="AB54" s="49"/>
      <c r="AC54" s="49"/>
      <c r="AD54" s="49"/>
      <c r="AE54" s="49"/>
    </row>
    <row r="55" spans="1:31" x14ac:dyDescent="0.25">
      <c r="A55" s="53">
        <v>44969</v>
      </c>
      <c r="B55" s="40" t="s">
        <v>2916</v>
      </c>
      <c r="C55" s="41">
        <v>71600712</v>
      </c>
      <c r="D55" s="42">
        <v>3007275020</v>
      </c>
      <c r="E55" s="26" t="s">
        <v>493</v>
      </c>
      <c r="F55" s="32"/>
      <c r="G55" s="43"/>
      <c r="H55" s="44"/>
      <c r="I55" s="45"/>
      <c r="J55" s="43"/>
      <c r="K55" s="43"/>
      <c r="L55" s="43"/>
      <c r="M55" s="46" t="s">
        <v>2648</v>
      </c>
      <c r="N55" s="52">
        <v>44969</v>
      </c>
      <c r="O55" s="48" t="s">
        <v>2622</v>
      </c>
      <c r="P55" s="32"/>
      <c r="Q55" s="56"/>
      <c r="R55" s="49"/>
      <c r="S55" s="49"/>
      <c r="T55" s="32"/>
      <c r="U55" s="49"/>
      <c r="V55" s="32"/>
      <c r="W55" s="49"/>
      <c r="X55" s="50"/>
      <c r="Y55" s="49"/>
      <c r="Z55" s="51" t="s">
        <v>2917</v>
      </c>
      <c r="AA55" s="49"/>
      <c r="AB55" s="49"/>
      <c r="AC55" s="49"/>
      <c r="AD55" s="49"/>
      <c r="AE55" s="49"/>
    </row>
    <row r="56" spans="1:31" x14ac:dyDescent="0.25">
      <c r="A56" s="39">
        <v>44779</v>
      </c>
      <c r="B56" s="40" t="s">
        <v>2918</v>
      </c>
      <c r="C56" s="41">
        <v>1007746657</v>
      </c>
      <c r="D56" s="42">
        <v>3217331921</v>
      </c>
      <c r="E56" s="26" t="s">
        <v>493</v>
      </c>
      <c r="F56" s="32"/>
      <c r="G56" s="43"/>
      <c r="H56" s="44"/>
      <c r="I56" s="45"/>
      <c r="J56" s="43"/>
      <c r="K56" s="43"/>
      <c r="L56" s="43"/>
      <c r="M56" s="46" t="s">
        <v>2648</v>
      </c>
      <c r="N56" s="54">
        <v>44779</v>
      </c>
      <c r="O56" s="48" t="s">
        <v>2622</v>
      </c>
      <c r="P56" s="32"/>
      <c r="Q56" s="56"/>
      <c r="R56" s="49"/>
      <c r="S56" s="49"/>
      <c r="T56" s="32"/>
      <c r="U56" s="49"/>
      <c r="V56" s="32"/>
      <c r="W56" s="49"/>
      <c r="X56" s="50"/>
      <c r="Y56" s="49"/>
      <c r="Z56" s="51" t="s">
        <v>2919</v>
      </c>
      <c r="AA56" s="49"/>
      <c r="AB56" s="49"/>
      <c r="AC56" s="49"/>
      <c r="AD56" s="49"/>
      <c r="AE56" s="49"/>
    </row>
    <row r="57" spans="1:31" x14ac:dyDescent="0.25">
      <c r="A57" s="47"/>
      <c r="B57" s="40" t="s">
        <v>2920</v>
      </c>
      <c r="C57" s="41"/>
      <c r="D57" s="42"/>
      <c r="E57" s="26" t="s">
        <v>493</v>
      </c>
      <c r="F57" s="32"/>
      <c r="G57" s="43"/>
      <c r="H57" s="44"/>
      <c r="I57" s="45"/>
      <c r="J57" s="43"/>
      <c r="K57" s="43"/>
      <c r="L57" s="43"/>
      <c r="M57" s="46" t="s">
        <v>2644</v>
      </c>
      <c r="N57" s="56"/>
      <c r="O57" s="48"/>
      <c r="P57" s="32" t="s">
        <v>2646</v>
      </c>
      <c r="Q57" s="52">
        <v>44429</v>
      </c>
      <c r="R57" s="49"/>
      <c r="S57" s="49"/>
      <c r="T57" s="32"/>
      <c r="U57" s="57"/>
      <c r="V57" s="32"/>
      <c r="W57" s="57"/>
      <c r="X57" s="50"/>
      <c r="Y57" s="49"/>
      <c r="Z57" s="51"/>
      <c r="AA57" s="49"/>
      <c r="AB57" s="49"/>
      <c r="AC57" s="49"/>
      <c r="AD57" s="49"/>
      <c r="AE57" s="49"/>
    </row>
    <row r="58" spans="1:31" x14ac:dyDescent="0.25">
      <c r="A58" s="53">
        <v>44863</v>
      </c>
      <c r="B58" s="40" t="s">
        <v>634</v>
      </c>
      <c r="C58" s="41"/>
      <c r="D58" s="42">
        <v>3236069901</v>
      </c>
      <c r="E58" s="26" t="s">
        <v>493</v>
      </c>
      <c r="F58" s="32"/>
      <c r="G58" s="43"/>
      <c r="H58" s="44" t="s">
        <v>635</v>
      </c>
      <c r="I58" s="45">
        <v>3145830260</v>
      </c>
      <c r="J58" s="43"/>
      <c r="K58" s="43"/>
      <c r="L58" s="43"/>
      <c r="M58" s="46" t="s">
        <v>2613</v>
      </c>
      <c r="N58" s="56"/>
      <c r="O58" s="48" t="s">
        <v>2841</v>
      </c>
      <c r="P58" s="32"/>
      <c r="Q58" s="56"/>
      <c r="R58" s="49"/>
      <c r="S58" s="49"/>
      <c r="T58" s="32"/>
      <c r="U58" s="49"/>
      <c r="V58" s="32"/>
      <c r="W58" s="49"/>
      <c r="X58" s="50"/>
      <c r="Y58" s="49"/>
      <c r="Z58" s="51" t="s">
        <v>2921</v>
      </c>
      <c r="AA58" s="49"/>
      <c r="AB58" s="49"/>
      <c r="AC58" s="49"/>
      <c r="AD58" s="49"/>
      <c r="AE58" s="49"/>
    </row>
    <row r="59" spans="1:31" x14ac:dyDescent="0.25">
      <c r="A59" s="39">
        <v>44779</v>
      </c>
      <c r="B59" s="40" t="s">
        <v>2922</v>
      </c>
      <c r="C59" s="41">
        <v>1017245325</v>
      </c>
      <c r="D59" s="42">
        <v>3043940294</v>
      </c>
      <c r="E59" s="26" t="s">
        <v>493</v>
      </c>
      <c r="F59" s="32"/>
      <c r="G59" s="43"/>
      <c r="H59" s="44"/>
      <c r="I59" s="45"/>
      <c r="J59" s="43"/>
      <c r="K59" s="43"/>
      <c r="L59" s="43"/>
      <c r="M59" s="46" t="s">
        <v>2610</v>
      </c>
      <c r="N59" s="54">
        <v>44779</v>
      </c>
      <c r="O59" s="48" t="s">
        <v>2838</v>
      </c>
      <c r="P59" s="32"/>
      <c r="Q59" s="56"/>
      <c r="R59" s="49"/>
      <c r="S59" s="49"/>
      <c r="T59" s="32"/>
      <c r="U59" s="49"/>
      <c r="V59" s="32"/>
      <c r="W59" s="49"/>
      <c r="X59" s="50"/>
      <c r="Y59" s="49"/>
      <c r="Z59" s="51" t="s">
        <v>2923</v>
      </c>
      <c r="AA59" s="49"/>
      <c r="AB59" s="49"/>
      <c r="AC59" s="49"/>
      <c r="AD59" s="49"/>
      <c r="AE59" s="49"/>
    </row>
    <row r="60" spans="1:31" x14ac:dyDescent="0.25">
      <c r="A60" s="53">
        <v>44772</v>
      </c>
      <c r="B60" s="40" t="s">
        <v>2924</v>
      </c>
      <c r="C60" s="41"/>
      <c r="D60" s="42">
        <v>3216396747</v>
      </c>
      <c r="E60" s="26" t="s">
        <v>493</v>
      </c>
      <c r="F60" s="32"/>
      <c r="G60" s="43"/>
      <c r="H60" s="44"/>
      <c r="I60" s="45"/>
      <c r="J60" s="43"/>
      <c r="K60" s="43"/>
      <c r="L60" s="43"/>
      <c r="M60" s="46" t="s">
        <v>2613</v>
      </c>
      <c r="N60" s="56"/>
      <c r="O60" s="48" t="s">
        <v>2841</v>
      </c>
      <c r="P60" s="32"/>
      <c r="Q60" s="56"/>
      <c r="R60" s="49"/>
      <c r="S60" s="49"/>
      <c r="T60" s="32"/>
      <c r="U60" s="49"/>
      <c r="V60" s="32"/>
      <c r="W60" s="49"/>
      <c r="X60" s="50"/>
      <c r="Y60" s="49"/>
      <c r="Z60" s="51"/>
      <c r="AA60" s="49"/>
      <c r="AB60" s="49"/>
      <c r="AC60" s="49"/>
      <c r="AD60" s="49"/>
      <c r="AE60" s="49"/>
    </row>
    <row r="61" spans="1:31" x14ac:dyDescent="0.25">
      <c r="A61" s="53">
        <v>44703</v>
      </c>
      <c r="B61" s="40" t="s">
        <v>2925</v>
      </c>
      <c r="C61" s="41"/>
      <c r="D61" s="42">
        <v>3045984463</v>
      </c>
      <c r="E61" s="26" t="s">
        <v>493</v>
      </c>
      <c r="F61" s="32"/>
      <c r="G61" s="43"/>
      <c r="H61" s="44"/>
      <c r="I61" s="45"/>
      <c r="J61" s="43"/>
      <c r="K61" s="43"/>
      <c r="L61" s="43"/>
      <c r="M61" s="46" t="s">
        <v>2613</v>
      </c>
      <c r="N61" s="56"/>
      <c r="O61" s="48" t="s">
        <v>2841</v>
      </c>
      <c r="P61" s="32"/>
      <c r="Q61" s="56"/>
      <c r="R61" s="49"/>
      <c r="S61" s="49"/>
      <c r="T61" s="32"/>
      <c r="U61" s="49"/>
      <c r="V61" s="32"/>
      <c r="W61" s="49"/>
      <c r="X61" s="50"/>
      <c r="Y61" s="49"/>
      <c r="Z61" s="51"/>
      <c r="AA61" s="49"/>
      <c r="AB61" s="49"/>
      <c r="AC61" s="49"/>
      <c r="AD61" s="49"/>
      <c r="AE61" s="49"/>
    </row>
    <row r="62" spans="1:31" x14ac:dyDescent="0.25">
      <c r="A62" s="39">
        <v>45017</v>
      </c>
      <c r="B62" s="40" t="s">
        <v>2926</v>
      </c>
      <c r="C62" s="41"/>
      <c r="D62" s="42">
        <v>3009635672</v>
      </c>
      <c r="E62" s="26" t="s">
        <v>493</v>
      </c>
      <c r="F62" s="32"/>
      <c r="G62" s="43"/>
      <c r="H62" s="44"/>
      <c r="I62" s="45"/>
      <c r="J62" s="43"/>
      <c r="K62" s="43"/>
      <c r="L62" s="43"/>
      <c r="M62" s="46" t="s">
        <v>2613</v>
      </c>
      <c r="N62" s="56"/>
      <c r="O62" s="48" t="s">
        <v>2841</v>
      </c>
      <c r="P62" s="32"/>
      <c r="Q62" s="56"/>
      <c r="R62" s="49"/>
      <c r="S62" s="49"/>
      <c r="T62" s="32"/>
      <c r="U62" s="49"/>
      <c r="V62" s="32"/>
      <c r="W62" s="49"/>
      <c r="X62" s="50"/>
      <c r="Y62" s="49"/>
      <c r="Z62" s="51"/>
      <c r="AA62" s="49"/>
      <c r="AB62" s="49"/>
      <c r="AC62" s="49"/>
      <c r="AD62" s="49"/>
      <c r="AE62" s="49"/>
    </row>
    <row r="63" spans="1:31" x14ac:dyDescent="0.25">
      <c r="A63" s="53">
        <v>45039</v>
      </c>
      <c r="B63" s="40" t="s">
        <v>2927</v>
      </c>
      <c r="C63" s="41">
        <v>8419682</v>
      </c>
      <c r="D63" s="42">
        <v>3225855278</v>
      </c>
      <c r="E63" s="26" t="s">
        <v>493</v>
      </c>
      <c r="F63" s="32"/>
      <c r="G63" s="43"/>
      <c r="H63" s="44"/>
      <c r="I63" s="45">
        <v>3205699487</v>
      </c>
      <c r="J63" s="43"/>
      <c r="K63" s="43"/>
      <c r="L63" s="43"/>
      <c r="M63" s="46" t="s">
        <v>2610</v>
      </c>
      <c r="N63" s="52">
        <v>45039</v>
      </c>
      <c r="O63" s="48" t="s">
        <v>2838</v>
      </c>
      <c r="P63" s="32"/>
      <c r="Q63" s="56"/>
      <c r="R63" s="49"/>
      <c r="S63" s="49"/>
      <c r="T63" s="32"/>
      <c r="U63" s="49"/>
      <c r="V63" s="32"/>
      <c r="W63" s="49"/>
      <c r="X63" s="50"/>
      <c r="Y63" s="49"/>
      <c r="Z63" s="51" t="s">
        <v>2928</v>
      </c>
      <c r="AA63" s="49"/>
      <c r="AB63" s="49"/>
      <c r="AC63" s="49"/>
      <c r="AD63" s="49"/>
      <c r="AE63" s="49"/>
    </row>
    <row r="64" spans="1:31" x14ac:dyDescent="0.25">
      <c r="A64" s="53">
        <v>45039</v>
      </c>
      <c r="B64" s="40" t="s">
        <v>2929</v>
      </c>
      <c r="C64" s="41"/>
      <c r="D64" s="42">
        <v>3023926663</v>
      </c>
      <c r="E64" s="26" t="s">
        <v>493</v>
      </c>
      <c r="F64" s="32"/>
      <c r="G64" s="43"/>
      <c r="H64" s="44"/>
      <c r="I64" s="45"/>
      <c r="J64" s="43"/>
      <c r="K64" s="43"/>
      <c r="L64" s="43"/>
      <c r="M64" s="46" t="s">
        <v>2613</v>
      </c>
      <c r="N64" s="56"/>
      <c r="O64" s="48" t="s">
        <v>2841</v>
      </c>
      <c r="P64" s="32"/>
      <c r="Q64" s="56"/>
      <c r="R64" s="49"/>
      <c r="S64" s="49"/>
      <c r="T64" s="32"/>
      <c r="U64" s="49"/>
      <c r="V64" s="32"/>
      <c r="W64" s="49"/>
      <c r="X64" s="50"/>
      <c r="Y64" s="49"/>
      <c r="Z64" s="51"/>
      <c r="AA64" s="49"/>
      <c r="AB64" s="49"/>
      <c r="AC64" s="49"/>
      <c r="AD64" s="49"/>
      <c r="AE64" s="49"/>
    </row>
    <row r="65" spans="1:31" x14ac:dyDescent="0.25">
      <c r="A65" s="39">
        <v>44779</v>
      </c>
      <c r="B65" s="40" t="s">
        <v>2930</v>
      </c>
      <c r="C65" s="41">
        <v>1001360152</v>
      </c>
      <c r="D65" s="42">
        <v>3023971350</v>
      </c>
      <c r="E65" s="26" t="s">
        <v>493</v>
      </c>
      <c r="F65" s="32"/>
      <c r="G65" s="43"/>
      <c r="H65" s="44" t="s">
        <v>2931</v>
      </c>
      <c r="I65" s="45">
        <v>3145205867</v>
      </c>
      <c r="J65" s="43"/>
      <c r="K65" s="43"/>
      <c r="L65" s="43"/>
      <c r="M65" s="46" t="s">
        <v>2648</v>
      </c>
      <c r="N65" s="52">
        <v>44948</v>
      </c>
      <c r="O65" s="48" t="s">
        <v>2838</v>
      </c>
      <c r="P65" s="32"/>
      <c r="Q65" s="56"/>
      <c r="R65" s="49"/>
      <c r="S65" s="49"/>
      <c r="T65" s="32"/>
      <c r="U65" s="49"/>
      <c r="V65" s="32"/>
      <c r="W65" s="49"/>
      <c r="X65" s="50"/>
      <c r="Y65" s="49"/>
      <c r="Z65" s="51" t="s">
        <v>2932</v>
      </c>
      <c r="AA65" s="49"/>
      <c r="AB65" s="49"/>
      <c r="AC65" s="49"/>
      <c r="AD65" s="49"/>
      <c r="AE65" s="49"/>
    </row>
    <row r="66" spans="1:31" x14ac:dyDescent="0.25">
      <c r="A66" s="53">
        <v>44948</v>
      </c>
      <c r="B66" s="40" t="s">
        <v>2933</v>
      </c>
      <c r="C66" s="41">
        <v>1214720607</v>
      </c>
      <c r="D66" s="42">
        <v>300788371</v>
      </c>
      <c r="E66" s="26" t="s">
        <v>493</v>
      </c>
      <c r="F66" s="32"/>
      <c r="G66" s="43"/>
      <c r="H66" s="44" t="s">
        <v>2934</v>
      </c>
      <c r="I66" s="45">
        <v>3215985163</v>
      </c>
      <c r="J66" s="43"/>
      <c r="K66" s="43"/>
      <c r="L66" s="43"/>
      <c r="M66" s="46" t="s">
        <v>2610</v>
      </c>
      <c r="N66" s="52">
        <v>44948</v>
      </c>
      <c r="O66" s="48" t="s">
        <v>2838</v>
      </c>
      <c r="P66" s="32"/>
      <c r="Q66" s="56"/>
      <c r="R66" s="49"/>
      <c r="S66" s="49"/>
      <c r="T66" s="32"/>
      <c r="U66" s="49"/>
      <c r="V66" s="32"/>
      <c r="W66" s="49"/>
      <c r="X66" s="50"/>
      <c r="Y66" s="49"/>
      <c r="Z66" s="51" t="s">
        <v>2935</v>
      </c>
      <c r="AA66" s="49"/>
      <c r="AB66" s="49"/>
      <c r="AC66" s="49"/>
      <c r="AD66" s="49"/>
      <c r="AE66" s="49"/>
    </row>
    <row r="67" spans="1:31" x14ac:dyDescent="0.25">
      <c r="A67" s="47"/>
      <c r="B67" s="40" t="s">
        <v>2936</v>
      </c>
      <c r="C67" s="41"/>
      <c r="D67" s="42"/>
      <c r="E67" s="26" t="s">
        <v>493</v>
      </c>
      <c r="F67" s="32"/>
      <c r="G67" s="43"/>
      <c r="H67" s="44"/>
      <c r="I67" s="45"/>
      <c r="J67" s="43"/>
      <c r="K67" s="43"/>
      <c r="L67" s="43"/>
      <c r="M67" s="46" t="s">
        <v>2644</v>
      </c>
      <c r="N67" s="56"/>
      <c r="O67" s="48"/>
      <c r="P67" s="32" t="s">
        <v>2646</v>
      </c>
      <c r="Q67" s="54">
        <v>44506</v>
      </c>
      <c r="R67" s="49"/>
      <c r="S67" s="49"/>
      <c r="T67" s="32"/>
      <c r="U67" s="55"/>
      <c r="V67" s="32"/>
      <c r="W67" s="55"/>
      <c r="X67" s="50"/>
      <c r="Y67" s="49"/>
      <c r="Z67" s="51"/>
      <c r="AA67" s="49"/>
      <c r="AB67" s="49"/>
      <c r="AC67" s="49"/>
      <c r="AD67" s="49"/>
      <c r="AE67" s="49"/>
    </row>
    <row r="68" spans="1:31" x14ac:dyDescent="0.25">
      <c r="A68" s="47"/>
      <c r="B68" s="40" t="s">
        <v>2937</v>
      </c>
      <c r="C68" s="41"/>
      <c r="D68" s="42"/>
      <c r="E68" s="26" t="s">
        <v>493</v>
      </c>
      <c r="F68" s="32"/>
      <c r="G68" s="43"/>
      <c r="H68" s="44"/>
      <c r="I68" s="45"/>
      <c r="J68" s="43"/>
      <c r="K68" s="43"/>
      <c r="L68" s="43"/>
      <c r="M68" s="46" t="s">
        <v>2644</v>
      </c>
      <c r="N68" s="56"/>
      <c r="O68" s="48"/>
      <c r="P68" s="32" t="s">
        <v>2646</v>
      </c>
      <c r="Q68" s="56" t="s">
        <v>2938</v>
      </c>
      <c r="R68" s="49"/>
      <c r="S68" s="49"/>
      <c r="T68" s="32"/>
      <c r="U68" s="40"/>
      <c r="V68" s="32"/>
      <c r="W68" s="40"/>
      <c r="X68" s="50"/>
      <c r="Y68" s="49"/>
      <c r="Z68" s="51"/>
      <c r="AA68" s="49"/>
      <c r="AB68" s="49"/>
      <c r="AC68" s="49"/>
      <c r="AD68" s="49"/>
      <c r="AE68" s="49"/>
    </row>
    <row r="69" spans="1:31" x14ac:dyDescent="0.25">
      <c r="A69" s="53">
        <v>44969</v>
      </c>
      <c r="B69" s="40" t="s">
        <v>2939</v>
      </c>
      <c r="C69" s="41"/>
      <c r="D69" s="42">
        <v>3025490535</v>
      </c>
      <c r="E69" s="26" t="s">
        <v>493</v>
      </c>
      <c r="F69" s="32"/>
      <c r="G69" s="43"/>
      <c r="H69" s="44" t="s">
        <v>803</v>
      </c>
      <c r="I69" s="45">
        <v>3242267000</v>
      </c>
      <c r="J69" s="43"/>
      <c r="K69" s="43"/>
      <c r="L69" s="43"/>
      <c r="M69" s="46" t="s">
        <v>2613</v>
      </c>
      <c r="N69" s="56"/>
      <c r="O69" s="48" t="s">
        <v>2841</v>
      </c>
      <c r="P69" s="32"/>
      <c r="Q69" s="56"/>
      <c r="R69" s="49"/>
      <c r="S69" s="49"/>
      <c r="T69" s="32"/>
      <c r="U69" s="49"/>
      <c r="V69" s="32"/>
      <c r="W69" s="49"/>
      <c r="X69" s="50"/>
      <c r="Y69" s="49"/>
      <c r="Z69" s="51"/>
      <c r="AA69" s="49"/>
      <c r="AB69" s="49"/>
      <c r="AC69" s="49"/>
      <c r="AD69" s="49"/>
      <c r="AE69" s="49"/>
    </row>
    <row r="70" spans="1:31" x14ac:dyDescent="0.25">
      <c r="A70" s="53">
        <v>45122</v>
      </c>
      <c r="B70" s="40" t="s">
        <v>2940</v>
      </c>
      <c r="C70" s="41"/>
      <c r="D70" s="42">
        <v>3126730952</v>
      </c>
      <c r="E70" s="26" t="s">
        <v>493</v>
      </c>
      <c r="F70" s="32"/>
      <c r="G70" s="43"/>
      <c r="H70" s="44"/>
      <c r="I70" s="45"/>
      <c r="J70" s="43"/>
      <c r="K70" s="43"/>
      <c r="L70" s="43"/>
      <c r="M70" s="46" t="s">
        <v>2613</v>
      </c>
      <c r="N70" s="56"/>
      <c r="O70" s="48" t="s">
        <v>2841</v>
      </c>
      <c r="P70" s="32"/>
      <c r="Q70" s="56"/>
      <c r="R70" s="49"/>
      <c r="S70" s="49"/>
      <c r="T70" s="32"/>
      <c r="U70" s="49"/>
      <c r="V70" s="32"/>
      <c r="W70" s="49"/>
      <c r="X70" s="50"/>
      <c r="Y70" s="49"/>
      <c r="Z70" s="51" t="s">
        <v>2941</v>
      </c>
      <c r="AA70" s="49"/>
      <c r="AB70" s="49"/>
      <c r="AC70" s="49"/>
      <c r="AD70" s="49"/>
      <c r="AE70" s="49"/>
    </row>
    <row r="71" spans="1:31" x14ac:dyDescent="0.25">
      <c r="A71" s="39">
        <v>44779</v>
      </c>
      <c r="B71" s="40" t="s">
        <v>2942</v>
      </c>
      <c r="C71" s="41">
        <v>3584351</v>
      </c>
      <c r="D71" s="42">
        <v>3057787576</v>
      </c>
      <c r="E71" s="26" t="s">
        <v>493</v>
      </c>
      <c r="F71" s="32"/>
      <c r="G71" s="43"/>
      <c r="H71" s="44"/>
      <c r="I71" s="45"/>
      <c r="J71" s="43"/>
      <c r="K71" s="43"/>
      <c r="L71" s="43"/>
      <c r="M71" s="46" t="s">
        <v>2610</v>
      </c>
      <c r="N71" s="54">
        <v>44779</v>
      </c>
      <c r="O71" s="48" t="s">
        <v>2848</v>
      </c>
      <c r="P71" s="32"/>
      <c r="Q71" s="56"/>
      <c r="R71" s="49"/>
      <c r="S71" s="49"/>
      <c r="T71" s="32"/>
      <c r="U71" s="49"/>
      <c r="V71" s="32"/>
      <c r="W71" s="49"/>
      <c r="X71" s="50"/>
      <c r="Y71" s="49"/>
      <c r="Z71" s="51" t="s">
        <v>2943</v>
      </c>
      <c r="AA71" s="49"/>
      <c r="AB71" s="49"/>
      <c r="AC71" s="49"/>
      <c r="AD71" s="49"/>
      <c r="AE71" s="49"/>
    </row>
    <row r="72" spans="1:31" x14ac:dyDescent="0.25">
      <c r="A72" s="53">
        <v>44863</v>
      </c>
      <c r="B72" s="40" t="s">
        <v>2944</v>
      </c>
      <c r="C72" s="41">
        <v>71994983</v>
      </c>
      <c r="D72" s="42">
        <v>3225785113</v>
      </c>
      <c r="E72" s="26" t="s">
        <v>493</v>
      </c>
      <c r="F72" s="32"/>
      <c r="G72" s="43"/>
      <c r="H72" s="44" t="s">
        <v>2945</v>
      </c>
      <c r="I72" s="45">
        <v>3148682755</v>
      </c>
      <c r="J72" s="43"/>
      <c r="K72" s="43"/>
      <c r="L72" s="43"/>
      <c r="M72" s="46" t="s">
        <v>2610</v>
      </c>
      <c r="N72" s="52">
        <v>45039</v>
      </c>
      <c r="O72" s="48" t="s">
        <v>2848</v>
      </c>
      <c r="P72" s="32"/>
      <c r="Q72" s="56"/>
      <c r="R72" s="49"/>
      <c r="S72" s="49"/>
      <c r="T72" s="32"/>
      <c r="U72" s="49"/>
      <c r="V72" s="32"/>
      <c r="W72" s="49"/>
      <c r="X72" s="50"/>
      <c r="Y72" s="49"/>
      <c r="Z72" s="51"/>
      <c r="AA72" s="49"/>
      <c r="AB72" s="49"/>
      <c r="AC72" s="49"/>
      <c r="AD72" s="49"/>
      <c r="AE72" s="49"/>
    </row>
    <row r="73" spans="1:31" x14ac:dyDescent="0.25">
      <c r="A73" s="53">
        <v>44757</v>
      </c>
      <c r="B73" s="40" t="s">
        <v>2946</v>
      </c>
      <c r="C73" s="41">
        <v>6622064</v>
      </c>
      <c r="D73" s="42">
        <v>3146602926</v>
      </c>
      <c r="E73" s="26" t="s">
        <v>493</v>
      </c>
      <c r="F73" s="32"/>
      <c r="G73" s="43"/>
      <c r="H73" s="44"/>
      <c r="I73" s="45"/>
      <c r="J73" s="43"/>
      <c r="K73" s="43"/>
      <c r="L73" s="43"/>
      <c r="M73" s="46" t="s">
        <v>2648</v>
      </c>
      <c r="N73" s="54">
        <v>44779</v>
      </c>
      <c r="O73" s="48" t="s">
        <v>2622</v>
      </c>
      <c r="P73" s="32"/>
      <c r="Q73" s="56"/>
      <c r="R73" s="49"/>
      <c r="S73" s="49"/>
      <c r="T73" s="32"/>
      <c r="U73" s="49"/>
      <c r="V73" s="32"/>
      <c r="W73" s="49"/>
      <c r="X73" s="50"/>
      <c r="Y73" s="49"/>
      <c r="Z73" s="51" t="s">
        <v>2947</v>
      </c>
      <c r="AA73" s="49"/>
      <c r="AB73" s="49"/>
      <c r="AC73" s="49"/>
      <c r="AD73" s="49"/>
      <c r="AE73" s="49"/>
    </row>
    <row r="74" spans="1:31" x14ac:dyDescent="0.25">
      <c r="A74" s="39">
        <v>44779</v>
      </c>
      <c r="B74" s="40" t="s">
        <v>762</v>
      </c>
      <c r="C74" s="41"/>
      <c r="D74" s="42">
        <v>3017229877</v>
      </c>
      <c r="E74" s="26" t="s">
        <v>493</v>
      </c>
      <c r="F74" s="32"/>
      <c r="G74" s="43"/>
      <c r="H74" s="44"/>
      <c r="I74" s="45"/>
      <c r="J74" s="43"/>
      <c r="K74" s="43"/>
      <c r="L74" s="43"/>
      <c r="M74" s="46" t="s">
        <v>2613</v>
      </c>
      <c r="N74" s="56"/>
      <c r="O74" s="48" t="s">
        <v>2841</v>
      </c>
      <c r="P74" s="32"/>
      <c r="Q74" s="56"/>
      <c r="R74" s="49"/>
      <c r="S74" s="49"/>
      <c r="T74" s="32"/>
      <c r="U74" s="49"/>
      <c r="V74" s="32"/>
      <c r="W74" s="49"/>
      <c r="X74" s="50"/>
      <c r="Y74" s="49"/>
      <c r="Z74" s="51" t="s">
        <v>765</v>
      </c>
      <c r="AA74" s="49"/>
      <c r="AB74" s="49"/>
      <c r="AC74" s="49"/>
      <c r="AD74" s="49"/>
      <c r="AE74" s="49"/>
    </row>
    <row r="75" spans="1:31" x14ac:dyDescent="0.25">
      <c r="A75" s="53">
        <v>45039</v>
      </c>
      <c r="B75" s="40" t="s">
        <v>2948</v>
      </c>
      <c r="C75" s="41"/>
      <c r="D75" s="42">
        <v>3002961411</v>
      </c>
      <c r="E75" s="26" t="s">
        <v>493</v>
      </c>
      <c r="F75" s="32"/>
      <c r="G75" s="43"/>
      <c r="H75" s="44"/>
      <c r="I75" s="45"/>
      <c r="J75" s="43"/>
      <c r="K75" s="43"/>
      <c r="L75" s="43"/>
      <c r="M75" s="46" t="s">
        <v>2613</v>
      </c>
      <c r="N75" s="56"/>
      <c r="O75" s="48" t="s">
        <v>2841</v>
      </c>
      <c r="P75" s="32"/>
      <c r="Q75" s="56"/>
      <c r="R75" s="49"/>
      <c r="S75" s="49"/>
      <c r="T75" s="32"/>
      <c r="U75" s="49"/>
      <c r="V75" s="32"/>
      <c r="W75" s="49"/>
      <c r="X75" s="50"/>
      <c r="Y75" s="49"/>
      <c r="Z75" s="51"/>
      <c r="AA75" s="49"/>
      <c r="AB75" s="49"/>
      <c r="AC75" s="49"/>
      <c r="AD75" s="49"/>
      <c r="AE75" s="49"/>
    </row>
    <row r="76" spans="1:31" x14ac:dyDescent="0.25">
      <c r="A76" s="47" t="s">
        <v>2949</v>
      </c>
      <c r="B76" s="40" t="s">
        <v>513</v>
      </c>
      <c r="C76" s="41"/>
      <c r="D76" s="42">
        <v>3045894705</v>
      </c>
      <c r="E76" s="26" t="s">
        <v>493</v>
      </c>
      <c r="F76" s="32"/>
      <c r="G76" s="43"/>
      <c r="H76" s="44" t="s">
        <v>514</v>
      </c>
      <c r="I76" s="45"/>
      <c r="J76" s="43"/>
      <c r="K76" s="43"/>
      <c r="L76" s="43"/>
      <c r="M76" s="46" t="s">
        <v>2613</v>
      </c>
      <c r="N76" s="56"/>
      <c r="O76" s="48" t="s">
        <v>2841</v>
      </c>
      <c r="P76" s="32"/>
      <c r="Q76" s="56"/>
      <c r="R76" s="49"/>
      <c r="S76" s="49"/>
      <c r="T76" s="32"/>
      <c r="U76" s="49"/>
      <c r="V76" s="32"/>
      <c r="W76" s="49"/>
      <c r="X76" s="50"/>
      <c r="Y76" s="49"/>
      <c r="Z76" s="51"/>
      <c r="AA76" s="49"/>
      <c r="AB76" s="49"/>
      <c r="AC76" s="49"/>
      <c r="AD76" s="49"/>
      <c r="AE76" s="49"/>
    </row>
    <row r="77" spans="1:31" x14ac:dyDescent="0.25">
      <c r="A77" s="47"/>
      <c r="B77" s="40" t="s">
        <v>2950</v>
      </c>
      <c r="C77" s="41"/>
      <c r="D77" s="42"/>
      <c r="E77" s="26" t="s">
        <v>493</v>
      </c>
      <c r="F77" s="32"/>
      <c r="G77" s="43"/>
      <c r="H77" s="44"/>
      <c r="I77" s="45"/>
      <c r="J77" s="43"/>
      <c r="K77" s="43"/>
      <c r="L77" s="43"/>
      <c r="M77" s="46" t="s">
        <v>2644</v>
      </c>
      <c r="N77" s="56"/>
      <c r="O77" s="48"/>
      <c r="P77" s="32" t="s">
        <v>2646</v>
      </c>
      <c r="Q77" s="54">
        <v>44506</v>
      </c>
      <c r="R77" s="49"/>
      <c r="S77" s="49"/>
      <c r="T77" s="32"/>
      <c r="U77" s="55"/>
      <c r="V77" s="32"/>
      <c r="W77" s="55"/>
      <c r="X77" s="50"/>
      <c r="Y77" s="49"/>
      <c r="Z77" s="51"/>
      <c r="AA77" s="49"/>
      <c r="AB77" s="49"/>
      <c r="AC77" s="49"/>
      <c r="AD77" s="49"/>
      <c r="AE77" s="49"/>
    </row>
    <row r="78" spans="1:31" x14ac:dyDescent="0.25">
      <c r="A78" s="39">
        <v>44780</v>
      </c>
      <c r="B78" s="40" t="s">
        <v>2951</v>
      </c>
      <c r="C78" s="41"/>
      <c r="D78" s="42"/>
      <c r="E78" s="26" t="s">
        <v>493</v>
      </c>
      <c r="F78" s="32"/>
      <c r="G78" s="43"/>
      <c r="H78" s="44" t="s">
        <v>2952</v>
      </c>
      <c r="I78" s="45">
        <v>3015859727</v>
      </c>
      <c r="J78" s="43"/>
      <c r="K78" s="43"/>
      <c r="L78" s="43"/>
      <c r="M78" s="46" t="s">
        <v>2613</v>
      </c>
      <c r="N78" s="56"/>
      <c r="O78" s="48" t="s">
        <v>2838</v>
      </c>
      <c r="P78" s="32"/>
      <c r="Q78" s="56"/>
      <c r="R78" s="49"/>
      <c r="S78" s="49"/>
      <c r="T78" s="32"/>
      <c r="U78" s="49"/>
      <c r="V78" s="32"/>
      <c r="W78" s="49"/>
      <c r="X78" s="50"/>
      <c r="Y78" s="49"/>
      <c r="Z78" s="51"/>
      <c r="AA78" s="49"/>
      <c r="AB78" s="49"/>
      <c r="AC78" s="49"/>
      <c r="AD78" s="49"/>
      <c r="AE78" s="49"/>
    </row>
    <row r="79" spans="1:31" x14ac:dyDescent="0.25">
      <c r="A79" s="53">
        <v>44765</v>
      </c>
      <c r="B79" s="40" t="s">
        <v>2953</v>
      </c>
      <c r="C79" s="41">
        <v>1017177474</v>
      </c>
      <c r="D79" s="42"/>
      <c r="E79" s="26" t="s">
        <v>493</v>
      </c>
      <c r="F79" s="32"/>
      <c r="G79" s="43"/>
      <c r="H79" s="44"/>
      <c r="I79" s="45"/>
      <c r="J79" s="43"/>
      <c r="K79" s="43"/>
      <c r="L79" s="43"/>
      <c r="M79" s="46" t="s">
        <v>2610</v>
      </c>
      <c r="N79" s="52">
        <v>44765</v>
      </c>
      <c r="O79" s="48" t="s">
        <v>2838</v>
      </c>
      <c r="P79" s="32"/>
      <c r="Q79" s="56"/>
      <c r="R79" s="49"/>
      <c r="S79" s="49"/>
      <c r="T79" s="32"/>
      <c r="U79" s="49"/>
      <c r="V79" s="32"/>
      <c r="W79" s="49"/>
      <c r="X79" s="50"/>
      <c r="Y79" s="49"/>
      <c r="Z79" s="51" t="s">
        <v>2954</v>
      </c>
      <c r="AA79" s="49"/>
      <c r="AB79" s="49"/>
      <c r="AC79" s="49"/>
      <c r="AD79" s="49"/>
      <c r="AE79" s="49"/>
    </row>
    <row r="80" spans="1:31" x14ac:dyDescent="0.25">
      <c r="A80" s="53">
        <v>44982</v>
      </c>
      <c r="B80" s="40" t="s">
        <v>2955</v>
      </c>
      <c r="C80" s="41"/>
      <c r="D80" s="42">
        <v>3001495140</v>
      </c>
      <c r="E80" s="26" t="s">
        <v>493</v>
      </c>
      <c r="F80" s="32"/>
      <c r="G80" s="43"/>
      <c r="H80" s="44"/>
      <c r="I80" s="45"/>
      <c r="J80" s="43"/>
      <c r="K80" s="43"/>
      <c r="L80" s="43"/>
      <c r="M80" s="46" t="s">
        <v>2613</v>
      </c>
      <c r="N80" s="56"/>
      <c r="O80" s="48" t="s">
        <v>2841</v>
      </c>
      <c r="P80" s="32"/>
      <c r="Q80" s="56"/>
      <c r="R80" s="49"/>
      <c r="S80" s="49"/>
      <c r="T80" s="32"/>
      <c r="U80" s="49"/>
      <c r="V80" s="32"/>
      <c r="W80" s="49"/>
      <c r="X80" s="50"/>
      <c r="Y80" s="49"/>
      <c r="Z80" s="51"/>
      <c r="AA80" s="49"/>
      <c r="AB80" s="49"/>
      <c r="AC80" s="49"/>
      <c r="AD80" s="49"/>
      <c r="AE80" s="49"/>
    </row>
    <row r="81" spans="1:31" x14ac:dyDescent="0.25">
      <c r="A81" s="47"/>
      <c r="B81" s="40" t="s">
        <v>2956</v>
      </c>
      <c r="C81" s="41"/>
      <c r="D81" s="42"/>
      <c r="E81" s="26" t="s">
        <v>493</v>
      </c>
      <c r="F81" s="32"/>
      <c r="G81" s="43"/>
      <c r="H81" s="44"/>
      <c r="I81" s="45"/>
      <c r="J81" s="43"/>
      <c r="K81" s="43"/>
      <c r="L81" s="43"/>
      <c r="M81" s="46" t="s">
        <v>2644</v>
      </c>
      <c r="N81" s="56"/>
      <c r="O81" s="48"/>
      <c r="P81" s="32" t="s">
        <v>2646</v>
      </c>
      <c r="Q81" s="54">
        <v>44506</v>
      </c>
      <c r="R81" s="49"/>
      <c r="S81" s="49"/>
      <c r="T81" s="32"/>
      <c r="U81" s="55"/>
      <c r="V81" s="32"/>
      <c r="W81" s="55"/>
      <c r="X81" s="50"/>
      <c r="Y81" s="49"/>
      <c r="Z81" s="51"/>
      <c r="AA81" s="49"/>
      <c r="AB81" s="49"/>
      <c r="AC81" s="49"/>
      <c r="AD81" s="49"/>
      <c r="AE81" s="49"/>
    </row>
    <row r="82" spans="1:31" x14ac:dyDescent="0.25">
      <c r="A82" s="53">
        <v>45136</v>
      </c>
      <c r="B82" s="40" t="s">
        <v>2957</v>
      </c>
      <c r="C82" s="41"/>
      <c r="D82" s="42">
        <v>3196823566</v>
      </c>
      <c r="E82" s="26" t="s">
        <v>493</v>
      </c>
      <c r="F82" s="32"/>
      <c r="G82" s="43"/>
      <c r="H82" s="44"/>
      <c r="I82" s="45"/>
      <c r="J82" s="43"/>
      <c r="K82" s="43"/>
      <c r="L82" s="43"/>
      <c r="M82" s="46" t="s">
        <v>2613</v>
      </c>
      <c r="N82" s="56"/>
      <c r="O82" s="48" t="s">
        <v>2841</v>
      </c>
      <c r="P82" s="32"/>
      <c r="Q82" s="56"/>
      <c r="R82" s="49"/>
      <c r="S82" s="49"/>
      <c r="T82" s="32"/>
      <c r="U82" s="49"/>
      <c r="V82" s="32"/>
      <c r="W82" s="49"/>
      <c r="X82" s="50"/>
      <c r="Y82" s="49"/>
      <c r="Z82" s="51"/>
      <c r="AA82" s="49"/>
      <c r="AB82" s="49"/>
      <c r="AC82" s="49"/>
      <c r="AD82" s="49"/>
      <c r="AE82" s="49"/>
    </row>
    <row r="83" spans="1:31" x14ac:dyDescent="0.25">
      <c r="A83" s="53">
        <v>44969</v>
      </c>
      <c r="B83" s="40" t="s">
        <v>2958</v>
      </c>
      <c r="C83" s="41"/>
      <c r="D83" s="42">
        <v>3225383400</v>
      </c>
      <c r="E83" s="26" t="s">
        <v>493</v>
      </c>
      <c r="F83" s="32"/>
      <c r="G83" s="43"/>
      <c r="H83" s="44"/>
      <c r="I83" s="45"/>
      <c r="J83" s="43"/>
      <c r="K83" s="43"/>
      <c r="L83" s="43"/>
      <c r="M83" s="46" t="s">
        <v>2613</v>
      </c>
      <c r="N83" s="56"/>
      <c r="O83" s="48" t="s">
        <v>2841</v>
      </c>
      <c r="P83" s="32"/>
      <c r="Q83" s="56"/>
      <c r="R83" s="49"/>
      <c r="S83" s="49"/>
      <c r="T83" s="32"/>
      <c r="U83" s="49"/>
      <c r="V83" s="32"/>
      <c r="W83" s="49"/>
      <c r="X83" s="50"/>
      <c r="Y83" s="49"/>
      <c r="Z83" s="51" t="s">
        <v>2959</v>
      </c>
      <c r="AA83" s="49"/>
      <c r="AB83" s="49"/>
      <c r="AC83" s="49"/>
      <c r="AD83" s="49"/>
      <c r="AE83" s="49"/>
    </row>
    <row r="84" spans="1:31" x14ac:dyDescent="0.25">
      <c r="A84" s="53">
        <v>44742</v>
      </c>
      <c r="B84" s="40" t="s">
        <v>2960</v>
      </c>
      <c r="C84" s="41">
        <v>43817930</v>
      </c>
      <c r="D84" s="42">
        <v>3215985163</v>
      </c>
      <c r="E84" s="26" t="s">
        <v>493</v>
      </c>
      <c r="F84" s="32"/>
      <c r="G84" s="43"/>
      <c r="H84" s="44"/>
      <c r="I84" s="45"/>
      <c r="J84" s="43"/>
      <c r="K84" s="43"/>
      <c r="L84" s="43"/>
      <c r="M84" s="46" t="s">
        <v>2610</v>
      </c>
      <c r="N84" s="54">
        <v>44779</v>
      </c>
      <c r="O84" s="48" t="s">
        <v>2838</v>
      </c>
      <c r="P84" s="32"/>
      <c r="Q84" s="64"/>
      <c r="R84" s="49"/>
      <c r="S84" s="49"/>
      <c r="T84" s="32"/>
      <c r="U84" s="49"/>
      <c r="V84" s="32"/>
      <c r="W84" s="49"/>
      <c r="X84" s="50"/>
      <c r="Y84" s="49"/>
      <c r="Z84" s="51" t="s">
        <v>2961</v>
      </c>
      <c r="AA84" s="49"/>
      <c r="AB84" s="49"/>
      <c r="AC84" s="49"/>
      <c r="AD84" s="49"/>
      <c r="AE84" s="49"/>
    </row>
    <row r="85" spans="1:31" x14ac:dyDescent="0.25">
      <c r="A85" s="53">
        <v>45136</v>
      </c>
      <c r="B85" s="40" t="s">
        <v>2962</v>
      </c>
      <c r="C85" s="41"/>
      <c r="D85" s="42">
        <v>3135940347</v>
      </c>
      <c r="E85" s="26" t="s">
        <v>493</v>
      </c>
      <c r="F85" s="32"/>
      <c r="G85" s="43"/>
      <c r="H85" s="44"/>
      <c r="I85" s="45"/>
      <c r="J85" s="43"/>
      <c r="K85" s="43"/>
      <c r="L85" s="43"/>
      <c r="M85" s="46" t="s">
        <v>2613</v>
      </c>
      <c r="N85" s="56"/>
      <c r="O85" s="48" t="s">
        <v>2841</v>
      </c>
      <c r="P85" s="32"/>
      <c r="Q85" s="56"/>
      <c r="R85" s="49"/>
      <c r="S85" s="49"/>
      <c r="T85" s="32"/>
      <c r="U85" s="49"/>
      <c r="V85" s="32"/>
      <c r="W85" s="49"/>
      <c r="X85" s="50"/>
      <c r="Y85" s="49"/>
      <c r="Z85" s="51" t="s">
        <v>2963</v>
      </c>
      <c r="AA85" s="49"/>
      <c r="AB85" s="49"/>
      <c r="AC85" s="49"/>
      <c r="AD85" s="49"/>
      <c r="AE85" s="49"/>
    </row>
    <row r="86" spans="1:31" x14ac:dyDescent="0.25">
      <c r="A86" s="53">
        <v>45039</v>
      </c>
      <c r="B86" s="40" t="s">
        <v>2964</v>
      </c>
      <c r="C86" s="41">
        <v>10953428</v>
      </c>
      <c r="D86" s="42">
        <v>3148133542</v>
      </c>
      <c r="E86" s="26" t="s">
        <v>493</v>
      </c>
      <c r="F86" s="32"/>
      <c r="G86" s="43"/>
      <c r="H86" s="44" t="s">
        <v>2965</v>
      </c>
      <c r="I86" s="45">
        <v>3128921504</v>
      </c>
      <c r="J86" s="43"/>
      <c r="K86" s="43"/>
      <c r="L86" s="43"/>
      <c r="M86" s="46" t="s">
        <v>2610</v>
      </c>
      <c r="N86" s="52">
        <v>45029</v>
      </c>
      <c r="O86" s="48" t="s">
        <v>2848</v>
      </c>
      <c r="P86" s="32"/>
      <c r="Q86" s="56"/>
      <c r="R86" s="49"/>
      <c r="S86" s="49"/>
      <c r="T86" s="32"/>
      <c r="U86" s="49"/>
      <c r="V86" s="32"/>
      <c r="W86" s="49"/>
      <c r="X86" s="50"/>
      <c r="Y86" s="49"/>
      <c r="Z86" s="51" t="s">
        <v>2966</v>
      </c>
      <c r="AA86" s="49"/>
      <c r="AB86" s="49"/>
      <c r="AC86" s="49"/>
      <c r="AD86" s="49"/>
      <c r="AE86" s="49"/>
    </row>
    <row r="87" spans="1:31" x14ac:dyDescent="0.25">
      <c r="A87" s="53">
        <v>45032</v>
      </c>
      <c r="B87" s="40" t="s">
        <v>2967</v>
      </c>
      <c r="C87" s="41"/>
      <c r="D87" s="42">
        <v>3203756973</v>
      </c>
      <c r="E87" s="26" t="s">
        <v>493</v>
      </c>
      <c r="F87" s="32"/>
      <c r="G87" s="43"/>
      <c r="H87" s="44"/>
      <c r="I87" s="45"/>
      <c r="J87" s="43"/>
      <c r="K87" s="43"/>
      <c r="L87" s="43"/>
      <c r="M87" s="46" t="s">
        <v>2613</v>
      </c>
      <c r="N87" s="56"/>
      <c r="O87" s="48" t="s">
        <v>2841</v>
      </c>
      <c r="P87" s="32"/>
      <c r="Q87" s="56"/>
      <c r="R87" s="49"/>
      <c r="S87" s="49"/>
      <c r="T87" s="32"/>
      <c r="U87" s="49"/>
      <c r="V87" s="32"/>
      <c r="W87" s="49"/>
      <c r="X87" s="50"/>
      <c r="Y87" s="49"/>
      <c r="Z87" s="51"/>
      <c r="AA87" s="49"/>
      <c r="AB87" s="49"/>
      <c r="AC87" s="49"/>
      <c r="AD87" s="49"/>
      <c r="AE87" s="49"/>
    </row>
    <row r="88" spans="1:31" x14ac:dyDescent="0.25">
      <c r="A88" s="53">
        <v>44948</v>
      </c>
      <c r="B88" s="40" t="s">
        <v>2968</v>
      </c>
      <c r="C88" s="41">
        <v>1001032306</v>
      </c>
      <c r="D88" s="42">
        <v>3005753862</v>
      </c>
      <c r="E88" s="26" t="s">
        <v>493</v>
      </c>
      <c r="F88" s="32"/>
      <c r="G88" s="43"/>
      <c r="H88" s="44" t="s">
        <v>2969</v>
      </c>
      <c r="I88" s="45">
        <v>3132490389</v>
      </c>
      <c r="J88" s="43"/>
      <c r="K88" s="43"/>
      <c r="L88" s="43"/>
      <c r="M88" s="46" t="s">
        <v>2610</v>
      </c>
      <c r="N88" s="56" t="s">
        <v>2847</v>
      </c>
      <c r="O88" s="48" t="s">
        <v>2838</v>
      </c>
      <c r="P88" s="32"/>
      <c r="Q88" s="56"/>
      <c r="R88" s="49"/>
      <c r="S88" s="49"/>
      <c r="T88" s="32"/>
      <c r="U88" s="49"/>
      <c r="V88" s="32"/>
      <c r="W88" s="49"/>
      <c r="X88" s="50"/>
      <c r="Y88" s="49"/>
      <c r="Z88" s="51" t="s">
        <v>2970</v>
      </c>
      <c r="AA88" s="49"/>
      <c r="AB88" s="49"/>
      <c r="AC88" s="49"/>
      <c r="AD88" s="49"/>
      <c r="AE88" s="49"/>
    </row>
    <row r="89" spans="1:31" x14ac:dyDescent="0.25">
      <c r="A89" s="53">
        <v>44703</v>
      </c>
      <c r="B89" s="40" t="s">
        <v>2971</v>
      </c>
      <c r="C89" s="41">
        <v>1020458824</v>
      </c>
      <c r="D89" s="42">
        <v>3006890125</v>
      </c>
      <c r="E89" s="26" t="s">
        <v>493</v>
      </c>
      <c r="F89" s="32"/>
      <c r="G89" s="43"/>
      <c r="H89" s="44"/>
      <c r="I89" s="45"/>
      <c r="J89" s="43"/>
      <c r="K89" s="43"/>
      <c r="L89" s="43"/>
      <c r="M89" s="46" t="s">
        <v>2610</v>
      </c>
      <c r="N89" s="56" t="s">
        <v>2972</v>
      </c>
      <c r="O89" s="48" t="s">
        <v>2848</v>
      </c>
      <c r="P89" s="32"/>
      <c r="Q89" s="64"/>
      <c r="R89" s="49"/>
      <c r="S89" s="49"/>
      <c r="T89" s="32"/>
      <c r="U89" s="49"/>
      <c r="V89" s="32"/>
      <c r="W89" s="49"/>
      <c r="X89" s="50"/>
      <c r="Y89" s="49"/>
      <c r="Z89" s="51" t="s">
        <v>2973</v>
      </c>
      <c r="AA89" s="49"/>
      <c r="AB89" s="49"/>
      <c r="AC89" s="49"/>
      <c r="AD89" s="49"/>
      <c r="AE89" s="49"/>
    </row>
    <row r="90" spans="1:31" x14ac:dyDescent="0.25">
      <c r="A90" s="47"/>
      <c r="B90" s="40" t="s">
        <v>2974</v>
      </c>
      <c r="C90" s="41"/>
      <c r="D90" s="42"/>
      <c r="E90" s="26" t="s">
        <v>493</v>
      </c>
      <c r="F90" s="32"/>
      <c r="G90" s="43"/>
      <c r="H90" s="44"/>
      <c r="I90" s="45"/>
      <c r="J90" s="43"/>
      <c r="K90" s="43"/>
      <c r="L90" s="43"/>
      <c r="M90" s="46" t="s">
        <v>2644</v>
      </c>
      <c r="N90" s="56"/>
      <c r="O90" s="48"/>
      <c r="P90" s="32" t="s">
        <v>2646</v>
      </c>
      <c r="Q90" s="54">
        <v>44506</v>
      </c>
      <c r="R90" s="49"/>
      <c r="S90" s="49"/>
      <c r="T90" s="32"/>
      <c r="U90" s="55"/>
      <c r="V90" s="32"/>
      <c r="W90" s="55"/>
      <c r="X90" s="50"/>
      <c r="Y90" s="49"/>
      <c r="Z90" s="51"/>
      <c r="AA90" s="49"/>
      <c r="AB90" s="49"/>
      <c r="AC90" s="49"/>
      <c r="AD90" s="49"/>
      <c r="AE90" s="49"/>
    </row>
    <row r="91" spans="1:31" x14ac:dyDescent="0.25">
      <c r="A91" s="53">
        <v>44948</v>
      </c>
      <c r="B91" s="40" t="s">
        <v>2975</v>
      </c>
      <c r="C91" s="41">
        <v>1017250881</v>
      </c>
      <c r="D91" s="42">
        <v>3137053213</v>
      </c>
      <c r="E91" s="26" t="s">
        <v>493</v>
      </c>
      <c r="F91" s="32"/>
      <c r="G91" s="43"/>
      <c r="H91" s="44" t="s">
        <v>2976</v>
      </c>
      <c r="I91" s="45">
        <v>3118341348</v>
      </c>
      <c r="J91" s="43"/>
      <c r="K91" s="43"/>
      <c r="L91" s="43"/>
      <c r="M91" s="46" t="s">
        <v>2610</v>
      </c>
      <c r="N91" s="52">
        <v>44948</v>
      </c>
      <c r="O91" s="48" t="s">
        <v>2977</v>
      </c>
      <c r="P91" s="32"/>
      <c r="Q91" s="56"/>
      <c r="R91" s="49"/>
      <c r="S91" s="49"/>
      <c r="T91" s="32"/>
      <c r="U91" s="49"/>
      <c r="V91" s="32"/>
      <c r="W91" s="49"/>
      <c r="X91" s="50"/>
      <c r="Y91" s="49"/>
      <c r="Z91" s="51" t="s">
        <v>2978</v>
      </c>
      <c r="AA91" s="49"/>
      <c r="AB91" s="49"/>
      <c r="AC91" s="49"/>
      <c r="AD91" s="49"/>
      <c r="AE91" s="49"/>
    </row>
    <row r="92" spans="1:31" x14ac:dyDescent="0.25">
      <c r="A92" s="53">
        <v>45165</v>
      </c>
      <c r="B92" s="40" t="s">
        <v>1201</v>
      </c>
      <c r="C92" s="41"/>
      <c r="D92" s="42">
        <v>3126027511</v>
      </c>
      <c r="E92" s="26" t="s">
        <v>493</v>
      </c>
      <c r="F92" s="32"/>
      <c r="G92" s="43"/>
      <c r="H92" s="44" t="s">
        <v>1202</v>
      </c>
      <c r="I92" s="45">
        <v>3017229877</v>
      </c>
      <c r="J92" s="43"/>
      <c r="K92" s="43"/>
      <c r="L92" s="43"/>
      <c r="M92" s="46" t="s">
        <v>2613</v>
      </c>
      <c r="N92" s="56"/>
      <c r="O92" s="48" t="s">
        <v>2841</v>
      </c>
      <c r="P92" s="32"/>
      <c r="Q92" s="56"/>
      <c r="R92" s="49"/>
      <c r="S92" s="49"/>
      <c r="T92" s="32"/>
      <c r="U92" s="49"/>
      <c r="V92" s="32"/>
      <c r="W92" s="49"/>
      <c r="X92" s="50"/>
      <c r="Y92" s="49"/>
      <c r="Z92" s="51"/>
      <c r="AA92" s="49"/>
      <c r="AB92" s="49"/>
      <c r="AC92" s="49"/>
      <c r="AD92" s="49"/>
      <c r="AE92" s="49"/>
    </row>
    <row r="93" spans="1:31" x14ac:dyDescent="0.25">
      <c r="A93" s="39">
        <v>44779</v>
      </c>
      <c r="B93" s="40" t="s">
        <v>2979</v>
      </c>
      <c r="C93" s="41">
        <v>28566919</v>
      </c>
      <c r="D93" s="42">
        <v>3234429750</v>
      </c>
      <c r="E93" s="26" t="s">
        <v>493</v>
      </c>
      <c r="F93" s="32"/>
      <c r="G93" s="43"/>
      <c r="H93" s="44"/>
      <c r="I93" s="45"/>
      <c r="J93" s="43"/>
      <c r="K93" s="43"/>
      <c r="L93" s="43"/>
      <c r="M93" s="46" t="s">
        <v>2610</v>
      </c>
      <c r="N93" s="54">
        <v>44779</v>
      </c>
      <c r="O93" s="48" t="s">
        <v>2838</v>
      </c>
      <c r="P93" s="32"/>
      <c r="Q93" s="56"/>
      <c r="R93" s="49"/>
      <c r="S93" s="49"/>
      <c r="T93" s="32"/>
      <c r="U93" s="49"/>
      <c r="V93" s="32"/>
      <c r="W93" s="49"/>
      <c r="X93" s="50"/>
      <c r="Y93" s="49"/>
      <c r="Z93" s="51" t="s">
        <v>2980</v>
      </c>
      <c r="AA93" s="49"/>
      <c r="AB93" s="49"/>
      <c r="AC93" s="49"/>
      <c r="AD93" s="49"/>
      <c r="AE93" s="49"/>
    </row>
    <row r="94" spans="1:31" x14ac:dyDescent="0.25">
      <c r="A94" s="39">
        <v>44779</v>
      </c>
      <c r="B94" s="40" t="s">
        <v>2981</v>
      </c>
      <c r="C94" s="41">
        <v>42687167</v>
      </c>
      <c r="D94" s="42">
        <v>3235832014</v>
      </c>
      <c r="E94" s="58" t="s">
        <v>493</v>
      </c>
      <c r="F94" s="65"/>
      <c r="G94" s="43"/>
      <c r="H94" s="44"/>
      <c r="I94" s="45"/>
      <c r="J94" s="43"/>
      <c r="K94" s="43"/>
      <c r="L94" s="43"/>
      <c r="M94" s="46" t="s">
        <v>2648</v>
      </c>
      <c r="N94" s="54">
        <v>44779</v>
      </c>
      <c r="O94" s="48" t="s">
        <v>2656</v>
      </c>
      <c r="P94" s="65"/>
      <c r="Q94" s="56"/>
      <c r="R94" s="60"/>
      <c r="S94" s="60"/>
      <c r="T94" s="65"/>
      <c r="U94" s="60"/>
      <c r="V94" s="65"/>
      <c r="W94" s="60"/>
      <c r="X94" s="66"/>
      <c r="Y94" s="60"/>
      <c r="Z94" s="51" t="s">
        <v>2982</v>
      </c>
      <c r="AA94" s="60"/>
      <c r="AB94" s="60"/>
      <c r="AC94" s="60"/>
      <c r="AD94" s="60"/>
      <c r="AE94" s="60"/>
    </row>
    <row r="95" spans="1:31" x14ac:dyDescent="0.25">
      <c r="A95" s="47"/>
      <c r="B95" s="40" t="s">
        <v>2983</v>
      </c>
      <c r="C95" s="41"/>
      <c r="D95" s="42"/>
      <c r="E95" s="58" t="s">
        <v>493</v>
      </c>
      <c r="F95" s="65"/>
      <c r="G95" s="43"/>
      <c r="H95" s="44"/>
      <c r="I95" s="45"/>
      <c r="J95" s="43"/>
      <c r="K95" s="43"/>
      <c r="L95" s="43"/>
      <c r="M95" s="46" t="s">
        <v>2644</v>
      </c>
      <c r="N95" s="56"/>
      <c r="O95" s="48"/>
      <c r="P95" s="65" t="s">
        <v>2646</v>
      </c>
      <c r="Q95" s="54">
        <v>44506</v>
      </c>
      <c r="R95" s="60"/>
      <c r="S95" s="60"/>
      <c r="T95" s="65"/>
      <c r="U95" s="55"/>
      <c r="V95" s="65"/>
      <c r="W95" s="55"/>
      <c r="X95" s="66"/>
      <c r="Y95" s="60"/>
      <c r="Z95" s="51"/>
      <c r="AA95" s="60"/>
      <c r="AB95" s="60"/>
      <c r="AC95" s="60"/>
      <c r="AD95" s="60"/>
      <c r="AE95" s="60"/>
    </row>
    <row r="96" spans="1:31" x14ac:dyDescent="0.25">
      <c r="A96" s="53">
        <v>44779</v>
      </c>
      <c r="B96" s="40" t="s">
        <v>2984</v>
      </c>
      <c r="C96" s="41">
        <v>43519623</v>
      </c>
      <c r="D96" s="42">
        <v>3128143956</v>
      </c>
      <c r="E96" s="26" t="s">
        <v>493</v>
      </c>
      <c r="F96" s="32"/>
      <c r="G96" s="43"/>
      <c r="H96" s="44"/>
      <c r="I96" s="45"/>
      <c r="J96" s="43"/>
      <c r="K96" s="43"/>
      <c r="L96" s="43"/>
      <c r="M96" s="46" t="s">
        <v>2644</v>
      </c>
      <c r="N96" s="52">
        <v>44779</v>
      </c>
      <c r="O96" s="48" t="s">
        <v>2622</v>
      </c>
      <c r="P96" s="32" t="s">
        <v>2646</v>
      </c>
      <c r="Q96" s="52">
        <v>45116</v>
      </c>
      <c r="R96" s="49"/>
      <c r="S96" s="49"/>
      <c r="T96" s="32"/>
      <c r="U96" s="57"/>
      <c r="V96" s="32" t="s">
        <v>2646</v>
      </c>
      <c r="W96" s="57">
        <v>45430</v>
      </c>
      <c r="X96" s="50"/>
      <c r="Y96" s="49"/>
      <c r="Z96" s="51" t="s">
        <v>2985</v>
      </c>
      <c r="AA96" s="49"/>
      <c r="AB96" s="49"/>
      <c r="AC96" s="49"/>
      <c r="AD96" s="49"/>
      <c r="AE96" s="49"/>
    </row>
    <row r="97" spans="1:31" x14ac:dyDescent="0.25">
      <c r="A97" s="53">
        <v>44948</v>
      </c>
      <c r="B97" s="40" t="s">
        <v>2986</v>
      </c>
      <c r="C97" s="41">
        <v>43101307</v>
      </c>
      <c r="D97" s="42">
        <v>3145206758</v>
      </c>
      <c r="E97" s="26" t="s">
        <v>493</v>
      </c>
      <c r="F97" s="32"/>
      <c r="G97" s="43"/>
      <c r="H97" s="44" t="s">
        <v>2987</v>
      </c>
      <c r="I97" s="45">
        <v>3135113919</v>
      </c>
      <c r="J97" s="43"/>
      <c r="K97" s="43"/>
      <c r="L97" s="43"/>
      <c r="M97" s="46" t="s">
        <v>2644</v>
      </c>
      <c r="N97" s="52">
        <v>44948</v>
      </c>
      <c r="O97" s="48" t="s">
        <v>2622</v>
      </c>
      <c r="P97" s="32" t="s">
        <v>2646</v>
      </c>
      <c r="Q97" s="52">
        <v>45060</v>
      </c>
      <c r="R97" s="49"/>
      <c r="S97" s="49"/>
      <c r="T97" s="32"/>
      <c r="U97" s="57"/>
      <c r="V97" s="32"/>
      <c r="W97" s="57"/>
      <c r="X97" s="50"/>
      <c r="Y97" s="49"/>
      <c r="Z97" s="51" t="s">
        <v>2988</v>
      </c>
      <c r="AA97" s="49"/>
      <c r="AB97" s="49"/>
      <c r="AC97" s="49"/>
      <c r="AD97" s="49"/>
      <c r="AE97" s="49"/>
    </row>
    <row r="98" spans="1:31" x14ac:dyDescent="0.25">
      <c r="A98" s="53">
        <v>45043</v>
      </c>
      <c r="B98" s="40" t="s">
        <v>2989</v>
      </c>
      <c r="C98" s="41">
        <v>43089725</v>
      </c>
      <c r="D98" s="42">
        <v>3001752269</v>
      </c>
      <c r="E98" s="26" t="s">
        <v>493</v>
      </c>
      <c r="F98" s="32"/>
      <c r="G98" s="43"/>
      <c r="H98" s="44"/>
      <c r="I98" s="45"/>
      <c r="J98" s="43"/>
      <c r="K98" s="43"/>
      <c r="L98" s="43"/>
      <c r="M98" s="46" t="s">
        <v>2613</v>
      </c>
      <c r="N98" s="52"/>
      <c r="O98" s="48"/>
      <c r="P98" s="32"/>
      <c r="Q98" s="52"/>
      <c r="R98" s="49"/>
      <c r="S98" s="49"/>
      <c r="T98" s="32"/>
      <c r="U98" s="57"/>
      <c r="V98" s="32"/>
      <c r="W98" s="57"/>
      <c r="X98" s="50"/>
      <c r="Y98" s="49"/>
      <c r="Z98" s="51"/>
      <c r="AA98" s="49"/>
      <c r="AB98" s="49"/>
      <c r="AC98" s="49"/>
      <c r="AD98" s="49"/>
      <c r="AE98" s="49"/>
    </row>
    <row r="99" spans="1:31" x14ac:dyDescent="0.25">
      <c r="A99" s="53">
        <v>44772</v>
      </c>
      <c r="B99" s="40" t="s">
        <v>2990</v>
      </c>
      <c r="C99" s="41">
        <v>37843485</v>
      </c>
      <c r="D99" s="42">
        <v>3242063138</v>
      </c>
      <c r="E99" s="26" t="s">
        <v>493</v>
      </c>
      <c r="F99" s="32"/>
      <c r="G99" s="43"/>
      <c r="H99" s="44"/>
      <c r="I99" s="45"/>
      <c r="J99" s="43"/>
      <c r="K99" s="43"/>
      <c r="L99" s="43"/>
      <c r="M99" s="46" t="s">
        <v>2610</v>
      </c>
      <c r="N99" s="52">
        <v>45165</v>
      </c>
      <c r="O99" s="48">
        <v>1</v>
      </c>
      <c r="P99" s="32"/>
      <c r="Q99" s="56"/>
      <c r="R99" s="49"/>
      <c r="S99" s="49"/>
      <c r="T99" s="32"/>
      <c r="U99" s="49"/>
      <c r="V99" s="32"/>
      <c r="W99" s="49"/>
      <c r="X99" s="50"/>
      <c r="Y99" s="49"/>
      <c r="Z99" s="51" t="s">
        <v>2991</v>
      </c>
      <c r="AA99" s="49"/>
      <c r="AB99" s="49"/>
      <c r="AC99" s="49"/>
      <c r="AD99" s="49"/>
      <c r="AE99" s="49"/>
    </row>
    <row r="100" spans="1:31" x14ac:dyDescent="0.25">
      <c r="A100" s="53">
        <v>44779</v>
      </c>
      <c r="B100" s="40" t="s">
        <v>2992</v>
      </c>
      <c r="C100" s="41">
        <v>8337775</v>
      </c>
      <c r="D100" s="42">
        <v>3113143037</v>
      </c>
      <c r="E100" s="26" t="s">
        <v>493</v>
      </c>
      <c r="F100" s="32"/>
      <c r="G100" s="43"/>
      <c r="H100" s="44"/>
      <c r="I100" s="45"/>
      <c r="J100" s="43"/>
      <c r="K100" s="43"/>
      <c r="L100" s="43"/>
      <c r="M100" s="46" t="s">
        <v>2610</v>
      </c>
      <c r="N100" s="52">
        <v>44779</v>
      </c>
      <c r="O100" s="48" t="s">
        <v>2838</v>
      </c>
      <c r="P100" s="32"/>
      <c r="Q100" s="56"/>
      <c r="R100" s="49"/>
      <c r="S100" s="49"/>
      <c r="T100" s="32"/>
      <c r="U100" s="49"/>
      <c r="V100" s="32"/>
      <c r="W100" s="49"/>
      <c r="X100" s="50"/>
      <c r="Y100" s="49"/>
      <c r="Z100" s="51" t="s">
        <v>2993</v>
      </c>
      <c r="AA100" s="49"/>
      <c r="AB100" s="49"/>
      <c r="AC100" s="49"/>
      <c r="AD100" s="49"/>
      <c r="AE100" s="49"/>
    </row>
    <row r="101" spans="1:31" x14ac:dyDescent="0.25">
      <c r="A101" s="39">
        <v>45039</v>
      </c>
      <c r="B101" s="40" t="s">
        <v>2994</v>
      </c>
      <c r="C101" s="41">
        <v>42487524</v>
      </c>
      <c r="D101" s="42">
        <v>3215067271</v>
      </c>
      <c r="E101" s="26" t="s">
        <v>493</v>
      </c>
      <c r="F101" s="32"/>
      <c r="G101" s="43"/>
      <c r="H101" s="44"/>
      <c r="I101" s="45">
        <v>3146444518</v>
      </c>
      <c r="J101" s="43"/>
      <c r="K101" s="43"/>
      <c r="L101" s="43"/>
      <c r="M101" s="46" t="s">
        <v>2610</v>
      </c>
      <c r="N101" s="54">
        <v>45039</v>
      </c>
      <c r="O101" s="48" t="s">
        <v>2838</v>
      </c>
      <c r="P101" s="32"/>
      <c r="Q101" s="56"/>
      <c r="R101" s="49"/>
      <c r="S101" s="49"/>
      <c r="T101" s="32"/>
      <c r="U101" s="49"/>
      <c r="V101" s="32"/>
      <c r="W101" s="49"/>
      <c r="X101" s="50"/>
      <c r="Y101" s="49"/>
      <c r="Z101" s="51"/>
      <c r="AA101" s="49"/>
      <c r="AB101" s="49"/>
      <c r="AC101" s="49"/>
      <c r="AD101" s="49"/>
      <c r="AE101" s="49"/>
    </row>
    <row r="102" spans="1:31" x14ac:dyDescent="0.25">
      <c r="A102" s="53">
        <v>45136</v>
      </c>
      <c r="B102" s="40" t="s">
        <v>2995</v>
      </c>
      <c r="C102" s="41"/>
      <c r="D102" s="42">
        <v>3207384352</v>
      </c>
      <c r="E102" s="26" t="s">
        <v>493</v>
      </c>
      <c r="F102" s="32"/>
      <c r="G102" s="43"/>
      <c r="H102" s="44" t="s">
        <v>1034</v>
      </c>
      <c r="I102" s="45">
        <v>3013119576</v>
      </c>
      <c r="J102" s="43"/>
      <c r="K102" s="43"/>
      <c r="L102" s="43"/>
      <c r="M102" s="46" t="s">
        <v>2613</v>
      </c>
      <c r="N102" s="52"/>
      <c r="O102" s="48" t="s">
        <v>2841</v>
      </c>
      <c r="P102" s="32"/>
      <c r="Q102" s="56"/>
      <c r="R102" s="49"/>
      <c r="S102" s="49"/>
      <c r="T102" s="32"/>
      <c r="U102" s="49"/>
      <c r="V102" s="32"/>
      <c r="W102" s="49"/>
      <c r="X102" s="50"/>
      <c r="Y102" s="49"/>
      <c r="Z102" s="51" t="s">
        <v>1037</v>
      </c>
      <c r="AA102" s="49"/>
      <c r="AB102" s="49"/>
      <c r="AC102" s="49"/>
      <c r="AD102" s="49"/>
      <c r="AE102" s="49"/>
    </row>
    <row r="103" spans="1:31" x14ac:dyDescent="0.25">
      <c r="A103" s="53">
        <v>45136</v>
      </c>
      <c r="B103" s="40" t="s">
        <v>1026</v>
      </c>
      <c r="C103" s="41"/>
      <c r="D103" s="42">
        <v>3135107357</v>
      </c>
      <c r="E103" s="26" t="s">
        <v>493</v>
      </c>
      <c r="F103" s="32"/>
      <c r="G103" s="43"/>
      <c r="H103" s="44" t="s">
        <v>1027</v>
      </c>
      <c r="I103" s="45">
        <v>6042811659</v>
      </c>
      <c r="J103" s="43"/>
      <c r="K103" s="43"/>
      <c r="L103" s="43"/>
      <c r="M103" s="46" t="s">
        <v>2613</v>
      </c>
      <c r="N103" s="56"/>
      <c r="O103" s="48" t="s">
        <v>2841</v>
      </c>
      <c r="P103" s="32"/>
      <c r="Q103" s="56"/>
      <c r="R103" s="49"/>
      <c r="S103" s="49"/>
      <c r="T103" s="32"/>
      <c r="U103" s="49"/>
      <c r="V103" s="32"/>
      <c r="W103" s="49"/>
      <c r="X103" s="50"/>
      <c r="Y103" s="49"/>
      <c r="Z103" s="51" t="s">
        <v>2996</v>
      </c>
      <c r="AA103" s="49"/>
      <c r="AB103" s="49"/>
      <c r="AC103" s="49"/>
      <c r="AD103" s="49"/>
      <c r="AE103" s="49"/>
    </row>
    <row r="104" spans="1:31" x14ac:dyDescent="0.25">
      <c r="A104" s="53">
        <v>45136</v>
      </c>
      <c r="B104" s="40" t="s">
        <v>2997</v>
      </c>
      <c r="C104" s="41">
        <v>43662139</v>
      </c>
      <c r="D104" s="42">
        <v>3113020534</v>
      </c>
      <c r="E104" s="26" t="s">
        <v>493</v>
      </c>
      <c r="F104" s="32"/>
      <c r="G104" s="43"/>
      <c r="H104" s="44" t="s">
        <v>1054</v>
      </c>
      <c r="I104" s="45">
        <v>3024532821</v>
      </c>
      <c r="J104" s="43"/>
      <c r="K104" s="43"/>
      <c r="L104" s="43"/>
      <c r="M104" s="46" t="s">
        <v>2610</v>
      </c>
      <c r="N104" s="52">
        <v>45151</v>
      </c>
      <c r="O104" s="48">
        <v>3</v>
      </c>
      <c r="P104" s="32"/>
      <c r="Q104" s="56"/>
      <c r="R104" s="49"/>
      <c r="S104" s="49"/>
      <c r="T104" s="32"/>
      <c r="U104" s="49"/>
      <c r="V104" s="32"/>
      <c r="W104" s="49"/>
      <c r="X104" s="50"/>
      <c r="Y104" s="49"/>
      <c r="Z104" s="51" t="s">
        <v>2998</v>
      </c>
      <c r="AA104" s="49"/>
      <c r="AB104" s="49"/>
      <c r="AC104" s="49"/>
      <c r="AD104" s="49"/>
      <c r="AE104" s="49"/>
    </row>
    <row r="105" spans="1:31" x14ac:dyDescent="0.25">
      <c r="A105" s="53">
        <v>44948</v>
      </c>
      <c r="B105" s="40" t="s">
        <v>2999</v>
      </c>
      <c r="C105" s="41">
        <v>1063282525</v>
      </c>
      <c r="D105" s="42">
        <v>3226056855</v>
      </c>
      <c r="E105" s="26" t="s">
        <v>493</v>
      </c>
      <c r="F105" s="32"/>
      <c r="G105" s="43"/>
      <c r="H105" s="44"/>
      <c r="I105" s="45" t="s">
        <v>3000</v>
      </c>
      <c r="J105" s="43"/>
      <c r="K105" s="43"/>
      <c r="L105" s="43"/>
      <c r="M105" s="46" t="s">
        <v>2644</v>
      </c>
      <c r="N105" s="52">
        <v>44948</v>
      </c>
      <c r="O105" s="48" t="s">
        <v>2838</v>
      </c>
      <c r="P105" s="32" t="s">
        <v>2646</v>
      </c>
      <c r="Q105" s="52">
        <v>45060</v>
      </c>
      <c r="R105" s="49"/>
      <c r="S105" s="49"/>
      <c r="T105" s="32"/>
      <c r="U105" s="49"/>
      <c r="V105" s="32"/>
      <c r="W105" s="49"/>
      <c r="X105" s="50"/>
      <c r="Y105" s="49"/>
      <c r="Z105" s="51" t="s">
        <v>3001</v>
      </c>
      <c r="AA105" s="49"/>
      <c r="AB105" s="49"/>
      <c r="AC105" s="49"/>
      <c r="AD105" s="49"/>
      <c r="AE105" s="49"/>
    </row>
    <row r="106" spans="1:31" x14ac:dyDescent="0.25">
      <c r="A106" s="53">
        <v>45039</v>
      </c>
      <c r="B106" s="40" t="s">
        <v>3002</v>
      </c>
      <c r="C106" s="41"/>
      <c r="D106" s="42">
        <v>3176744813</v>
      </c>
      <c r="E106" s="26" t="s">
        <v>493</v>
      </c>
      <c r="F106" s="32"/>
      <c r="G106" s="43"/>
      <c r="H106" s="44"/>
      <c r="I106" s="45"/>
      <c r="J106" s="43"/>
      <c r="K106" s="43"/>
      <c r="L106" s="43"/>
      <c r="M106" s="46" t="s">
        <v>2613</v>
      </c>
      <c r="N106" s="52"/>
      <c r="O106" s="48" t="s">
        <v>2841</v>
      </c>
      <c r="P106" s="32"/>
      <c r="Q106" s="52"/>
      <c r="R106" s="49"/>
      <c r="S106" s="49"/>
      <c r="T106" s="32"/>
      <c r="U106" s="57"/>
      <c r="V106" s="32"/>
      <c r="W106" s="57"/>
      <c r="X106" s="50"/>
      <c r="Y106" s="49"/>
      <c r="Z106" s="51"/>
      <c r="AA106" s="49"/>
      <c r="AB106" s="49"/>
      <c r="AC106" s="49"/>
      <c r="AD106" s="49"/>
      <c r="AE106" s="49"/>
    </row>
    <row r="107" spans="1:31" x14ac:dyDescent="0.25">
      <c r="A107" s="53">
        <v>45039</v>
      </c>
      <c r="B107" s="40" t="s">
        <v>3003</v>
      </c>
      <c r="C107" s="41"/>
      <c r="D107" s="42"/>
      <c r="E107" s="26" t="s">
        <v>493</v>
      </c>
      <c r="F107" s="32"/>
      <c r="G107" s="43"/>
      <c r="H107" s="44"/>
      <c r="I107" s="45"/>
      <c r="J107" s="43"/>
      <c r="K107" s="43"/>
      <c r="L107" s="43"/>
      <c r="M107" s="46" t="s">
        <v>2613</v>
      </c>
      <c r="N107" s="56"/>
      <c r="O107" s="48" t="s">
        <v>2841</v>
      </c>
      <c r="P107" s="32"/>
      <c r="Q107" s="56"/>
      <c r="R107" s="49"/>
      <c r="S107" s="49"/>
      <c r="T107" s="32"/>
      <c r="U107" s="49"/>
      <c r="V107" s="32"/>
      <c r="W107" s="49"/>
      <c r="X107" s="50"/>
      <c r="Y107" s="49"/>
      <c r="Z107" s="51"/>
      <c r="AA107" s="49"/>
      <c r="AB107" s="49"/>
      <c r="AC107" s="49"/>
      <c r="AD107" s="49"/>
      <c r="AE107" s="49"/>
    </row>
    <row r="108" spans="1:31" x14ac:dyDescent="0.25">
      <c r="A108" s="53">
        <v>45017</v>
      </c>
      <c r="B108" s="40" t="s">
        <v>3004</v>
      </c>
      <c r="C108" s="41"/>
      <c r="D108" s="42">
        <v>3148012983</v>
      </c>
      <c r="E108" s="26" t="s">
        <v>493</v>
      </c>
      <c r="F108" s="32"/>
      <c r="G108" s="43"/>
      <c r="H108" s="44"/>
      <c r="I108" s="45"/>
      <c r="J108" s="43"/>
      <c r="K108" s="43"/>
      <c r="L108" s="43"/>
      <c r="M108" s="46" t="s">
        <v>2644</v>
      </c>
      <c r="N108" s="52">
        <v>45165</v>
      </c>
      <c r="O108" s="48">
        <v>3</v>
      </c>
      <c r="P108" s="32" t="s">
        <v>2646</v>
      </c>
      <c r="Q108" s="52">
        <v>45369</v>
      </c>
      <c r="R108" s="49"/>
      <c r="S108" s="49"/>
      <c r="T108" s="32" t="s">
        <v>2646</v>
      </c>
      <c r="U108" s="61">
        <v>45430</v>
      </c>
      <c r="V108" s="32"/>
      <c r="W108" s="49"/>
      <c r="X108" s="50" t="s">
        <v>2646</v>
      </c>
      <c r="Y108" s="61">
        <v>45430</v>
      </c>
      <c r="Z108" s="51" t="s">
        <v>3005</v>
      </c>
      <c r="AA108" s="49"/>
      <c r="AB108" s="49"/>
      <c r="AC108" s="49"/>
      <c r="AD108" s="49"/>
      <c r="AE108" s="49"/>
    </row>
    <row r="109" spans="1:31" x14ac:dyDescent="0.25">
      <c r="A109" s="39">
        <v>44779</v>
      </c>
      <c r="B109" s="40" t="s">
        <v>3006</v>
      </c>
      <c r="C109" s="41">
        <v>32375161</v>
      </c>
      <c r="D109" s="42">
        <v>3137050193</v>
      </c>
      <c r="E109" s="26" t="s">
        <v>493</v>
      </c>
      <c r="F109" s="32"/>
      <c r="G109" s="45"/>
      <c r="H109" s="44"/>
      <c r="I109" s="45"/>
      <c r="J109" s="45"/>
      <c r="K109" s="45"/>
      <c r="L109" s="45"/>
      <c r="M109" s="51" t="s">
        <v>2610</v>
      </c>
      <c r="N109" s="52">
        <v>44779</v>
      </c>
      <c r="O109" s="48" t="s">
        <v>2838</v>
      </c>
      <c r="P109" s="32"/>
      <c r="Q109" s="52"/>
      <c r="R109" s="49"/>
      <c r="S109" s="49"/>
      <c r="T109" s="32"/>
      <c r="U109" s="57"/>
      <c r="V109" s="32"/>
      <c r="W109" s="57"/>
      <c r="X109" s="50"/>
      <c r="Y109" s="61"/>
      <c r="Z109" s="51" t="s">
        <v>3007</v>
      </c>
      <c r="AA109" s="49"/>
      <c r="AB109" s="49"/>
      <c r="AC109" s="49"/>
      <c r="AD109" s="49"/>
      <c r="AE109" s="49"/>
    </row>
    <row r="110" spans="1:31" x14ac:dyDescent="0.25">
      <c r="A110" s="39">
        <v>44765</v>
      </c>
      <c r="B110" s="40" t="s">
        <v>3008</v>
      </c>
      <c r="C110" s="41"/>
      <c r="D110" s="42">
        <v>3235849116</v>
      </c>
      <c r="E110" s="26" t="s">
        <v>493</v>
      </c>
      <c r="F110" s="32"/>
      <c r="G110" s="45"/>
      <c r="H110" s="44" t="s">
        <v>3009</v>
      </c>
      <c r="I110" s="45">
        <v>3226590339</v>
      </c>
      <c r="J110" s="45"/>
      <c r="K110" s="45"/>
      <c r="L110" s="45"/>
      <c r="M110" s="51" t="s">
        <v>2613</v>
      </c>
      <c r="N110" s="54"/>
      <c r="O110" s="48" t="s">
        <v>2841</v>
      </c>
      <c r="P110" s="32"/>
      <c r="Q110" s="56"/>
      <c r="R110" s="49"/>
      <c r="S110" s="49"/>
      <c r="T110" s="32"/>
      <c r="U110" s="49"/>
      <c r="V110" s="32"/>
      <c r="W110" s="49"/>
      <c r="X110" s="50"/>
      <c r="Y110" s="49"/>
      <c r="Z110" s="51" t="s">
        <v>3010</v>
      </c>
      <c r="AA110" s="49"/>
      <c r="AB110" s="49"/>
      <c r="AC110" s="49"/>
      <c r="AD110" s="49"/>
      <c r="AE110" s="49"/>
    </row>
    <row r="111" spans="1:31" x14ac:dyDescent="0.25">
      <c r="A111" s="53">
        <v>44772</v>
      </c>
      <c r="B111" s="40" t="s">
        <v>3011</v>
      </c>
      <c r="C111" s="41">
        <v>32075923</v>
      </c>
      <c r="D111" s="42">
        <v>3107125144</v>
      </c>
      <c r="E111" s="26" t="s">
        <v>493</v>
      </c>
      <c r="F111" s="32"/>
      <c r="G111" s="45"/>
      <c r="H111" s="44"/>
      <c r="I111" s="45"/>
      <c r="J111" s="45"/>
      <c r="K111" s="45"/>
      <c r="L111" s="45"/>
      <c r="M111" s="51" t="s">
        <v>2610</v>
      </c>
      <c r="N111" s="52">
        <v>44772</v>
      </c>
      <c r="O111" s="48" t="s">
        <v>2848</v>
      </c>
      <c r="P111" s="32"/>
      <c r="Q111" s="56"/>
      <c r="R111" s="49"/>
      <c r="S111" s="49"/>
      <c r="T111" s="32"/>
      <c r="U111" s="49"/>
      <c r="V111" s="32"/>
      <c r="W111" s="49"/>
      <c r="X111" s="50"/>
      <c r="Y111" s="49"/>
      <c r="Z111" s="51" t="s">
        <v>3012</v>
      </c>
      <c r="AA111" s="49"/>
      <c r="AB111" s="49"/>
      <c r="AC111" s="49"/>
      <c r="AD111" s="49"/>
      <c r="AE111" s="49"/>
    </row>
    <row r="112" spans="1:31" x14ac:dyDescent="0.25">
      <c r="A112" s="53">
        <v>44583</v>
      </c>
      <c r="B112" s="40" t="s">
        <v>3013</v>
      </c>
      <c r="C112" s="41">
        <v>21476080</v>
      </c>
      <c r="D112" s="42">
        <v>3145049443</v>
      </c>
      <c r="E112" s="26" t="s">
        <v>493</v>
      </c>
      <c r="F112" s="32"/>
      <c r="G112" s="43"/>
      <c r="H112" s="44"/>
      <c r="I112" s="45">
        <v>3137053213</v>
      </c>
      <c r="J112" s="43"/>
      <c r="K112" s="43"/>
      <c r="L112" s="43"/>
      <c r="M112" s="46" t="s">
        <v>2644</v>
      </c>
      <c r="N112" s="56" t="s">
        <v>2847</v>
      </c>
      <c r="O112" s="48" t="s">
        <v>2838</v>
      </c>
      <c r="P112" s="32" t="s">
        <v>2646</v>
      </c>
      <c r="Q112" s="52">
        <v>45241</v>
      </c>
      <c r="R112" s="49"/>
      <c r="S112" s="49"/>
      <c r="T112" s="32"/>
      <c r="U112" s="49"/>
      <c r="V112" s="32" t="s">
        <v>2646</v>
      </c>
      <c r="W112" s="61">
        <v>45430</v>
      </c>
      <c r="X112" s="50"/>
      <c r="Y112" s="49"/>
      <c r="Z112" s="51"/>
      <c r="AA112" s="49"/>
      <c r="AB112" s="49"/>
      <c r="AC112" s="49"/>
      <c r="AD112" s="49"/>
      <c r="AE112" s="49"/>
    </row>
    <row r="113" spans="1:31" x14ac:dyDescent="0.25">
      <c r="A113" s="53">
        <v>44982</v>
      </c>
      <c r="B113" s="40" t="s">
        <v>3014</v>
      </c>
      <c r="C113" s="41"/>
      <c r="D113" s="42">
        <v>3207885735</v>
      </c>
      <c r="E113" s="26" t="s">
        <v>493</v>
      </c>
      <c r="F113" s="32"/>
      <c r="G113" s="45"/>
      <c r="H113" s="44"/>
      <c r="I113" s="45"/>
      <c r="J113" s="45"/>
      <c r="K113" s="45"/>
      <c r="L113" s="45"/>
      <c r="M113" s="51" t="s">
        <v>2613</v>
      </c>
      <c r="N113" s="56"/>
      <c r="O113" s="48" t="s">
        <v>2841</v>
      </c>
      <c r="P113" s="32"/>
      <c r="Q113" s="52"/>
      <c r="R113" s="49"/>
      <c r="S113" s="49"/>
      <c r="T113" s="32"/>
      <c r="U113" s="57"/>
      <c r="V113" s="32"/>
      <c r="W113" s="57"/>
      <c r="X113" s="50"/>
      <c r="Y113" s="49"/>
      <c r="Z113" s="51"/>
      <c r="AA113" s="49"/>
      <c r="AB113" s="49"/>
      <c r="AC113" s="49"/>
      <c r="AD113" s="49"/>
      <c r="AE113" s="49"/>
    </row>
    <row r="114" spans="1:31" x14ac:dyDescent="0.25">
      <c r="A114" s="53">
        <v>44948</v>
      </c>
      <c r="B114" s="40" t="s">
        <v>3015</v>
      </c>
      <c r="C114" s="41">
        <v>43655787</v>
      </c>
      <c r="D114" s="42">
        <v>3122815942</v>
      </c>
      <c r="E114" s="26" t="s">
        <v>493</v>
      </c>
      <c r="F114" s="32"/>
      <c r="G114" s="45"/>
      <c r="H114" s="44"/>
      <c r="I114" s="45">
        <v>3226543077</v>
      </c>
      <c r="J114" s="45"/>
      <c r="K114" s="45"/>
      <c r="L114" s="45"/>
      <c r="M114" s="51" t="s">
        <v>2610</v>
      </c>
      <c r="N114" s="52">
        <v>44948</v>
      </c>
      <c r="O114" s="48" t="s">
        <v>2848</v>
      </c>
      <c r="P114" s="32"/>
      <c r="Q114" s="56"/>
      <c r="R114" s="49"/>
      <c r="S114" s="49"/>
      <c r="T114" s="32"/>
      <c r="U114" s="49"/>
      <c r="V114" s="32"/>
      <c r="W114" s="49"/>
      <c r="X114" s="50"/>
      <c r="Y114" s="49"/>
      <c r="Z114" s="51" t="s">
        <v>3016</v>
      </c>
      <c r="AA114" s="49"/>
      <c r="AB114" s="49"/>
      <c r="AC114" s="49"/>
      <c r="AD114" s="49"/>
      <c r="AE114" s="49"/>
    </row>
    <row r="115" spans="1:31" x14ac:dyDescent="0.25">
      <c r="A115" s="53">
        <v>44765</v>
      </c>
      <c r="B115" s="40" t="s">
        <v>3017</v>
      </c>
      <c r="C115" s="41">
        <v>43147792</v>
      </c>
      <c r="D115" s="42">
        <v>3243089054</v>
      </c>
      <c r="E115" s="26" t="s">
        <v>493</v>
      </c>
      <c r="F115" s="32"/>
      <c r="G115" s="45"/>
      <c r="H115" s="44"/>
      <c r="I115" s="45"/>
      <c r="J115" s="45"/>
      <c r="K115" s="45"/>
      <c r="L115" s="45"/>
      <c r="M115" s="51" t="s">
        <v>2610</v>
      </c>
      <c r="N115" s="52">
        <v>45165</v>
      </c>
      <c r="O115" s="48">
        <v>1</v>
      </c>
      <c r="P115" s="32"/>
      <c r="Q115" s="56"/>
      <c r="R115" s="49"/>
      <c r="S115" s="49"/>
      <c r="T115" s="32"/>
      <c r="U115" s="49"/>
      <c r="V115" s="32"/>
      <c r="W115" s="49"/>
      <c r="X115" s="50"/>
      <c r="Y115" s="49"/>
      <c r="Z115" s="51" t="s">
        <v>3018</v>
      </c>
      <c r="AA115" s="49"/>
      <c r="AB115" s="49"/>
      <c r="AC115" s="49"/>
      <c r="AD115" s="49"/>
      <c r="AE115" s="49"/>
    </row>
    <row r="116" spans="1:31" x14ac:dyDescent="0.25">
      <c r="A116" s="53"/>
      <c r="B116" s="40" t="s">
        <v>3019</v>
      </c>
      <c r="C116" s="41"/>
      <c r="D116" s="42"/>
      <c r="E116" s="26" t="s">
        <v>493</v>
      </c>
      <c r="F116" s="32"/>
      <c r="G116" s="43"/>
      <c r="H116" s="44"/>
      <c r="I116" s="45"/>
      <c r="J116" s="43"/>
      <c r="K116" s="43"/>
      <c r="L116" s="43"/>
      <c r="M116" s="46" t="s">
        <v>2644</v>
      </c>
      <c r="N116" s="52"/>
      <c r="O116" s="48"/>
      <c r="P116" s="32" t="s">
        <v>2646</v>
      </c>
      <c r="Q116" s="56" t="s">
        <v>2861</v>
      </c>
      <c r="R116" s="49"/>
      <c r="S116" s="49"/>
      <c r="T116" s="32"/>
      <c r="U116" s="49"/>
      <c r="V116" s="32"/>
      <c r="W116" s="49"/>
      <c r="X116" s="50"/>
      <c r="Y116" s="49"/>
      <c r="Z116" s="51"/>
      <c r="AA116" s="49"/>
      <c r="AB116" s="49"/>
      <c r="AC116" s="49"/>
      <c r="AD116" s="49"/>
      <c r="AE116" s="49"/>
    </row>
    <row r="117" spans="1:31" x14ac:dyDescent="0.25">
      <c r="A117" s="39">
        <v>44779</v>
      </c>
      <c r="B117" s="40" t="s">
        <v>3020</v>
      </c>
      <c r="C117" s="41">
        <v>1020420977</v>
      </c>
      <c r="D117" s="42">
        <v>3205699487</v>
      </c>
      <c r="E117" s="26" t="s">
        <v>493</v>
      </c>
      <c r="F117" s="32"/>
      <c r="G117" s="45"/>
      <c r="H117" s="44"/>
      <c r="I117" s="45"/>
      <c r="J117" s="45"/>
      <c r="K117" s="45"/>
      <c r="L117" s="45"/>
      <c r="M117" s="51" t="s">
        <v>2610</v>
      </c>
      <c r="N117" s="52">
        <v>45165</v>
      </c>
      <c r="O117" s="48">
        <v>3</v>
      </c>
      <c r="P117" s="32"/>
      <c r="Q117" s="56"/>
      <c r="R117" s="49"/>
      <c r="S117" s="49"/>
      <c r="T117" s="32"/>
      <c r="U117" s="40"/>
      <c r="V117" s="32"/>
      <c r="W117" s="40"/>
      <c r="X117" s="50"/>
      <c r="Y117" s="49"/>
      <c r="Z117" s="51" t="s">
        <v>3021</v>
      </c>
      <c r="AA117" s="49"/>
      <c r="AB117" s="49"/>
      <c r="AC117" s="49"/>
      <c r="AD117" s="49"/>
      <c r="AE117" s="49"/>
    </row>
    <row r="118" spans="1:31" x14ac:dyDescent="0.25">
      <c r="A118" s="39">
        <v>44765</v>
      </c>
      <c r="B118" s="40" t="s">
        <v>3022</v>
      </c>
      <c r="C118" s="41"/>
      <c r="D118" s="42">
        <v>3107778577</v>
      </c>
      <c r="E118" s="26" t="s">
        <v>493</v>
      </c>
      <c r="F118" s="32"/>
      <c r="G118" s="45"/>
      <c r="H118" s="44" t="s">
        <v>3023</v>
      </c>
      <c r="I118" s="45" t="s">
        <v>3024</v>
      </c>
      <c r="J118" s="45"/>
      <c r="K118" s="45"/>
      <c r="L118" s="45"/>
      <c r="M118" s="51" t="s">
        <v>2610</v>
      </c>
      <c r="N118" s="56" t="s">
        <v>3025</v>
      </c>
      <c r="O118" s="48" t="s">
        <v>2841</v>
      </c>
      <c r="P118" s="32"/>
      <c r="Q118" s="64"/>
      <c r="R118" s="49"/>
      <c r="S118" s="49"/>
      <c r="T118" s="32"/>
      <c r="U118" s="49"/>
      <c r="V118" s="32"/>
      <c r="W118" s="49"/>
      <c r="X118" s="50"/>
      <c r="Y118" s="49"/>
      <c r="Z118" s="51"/>
      <c r="AA118" s="49"/>
      <c r="AB118" s="49"/>
      <c r="AC118" s="49"/>
      <c r="AD118" s="49"/>
      <c r="AE118" s="49"/>
    </row>
    <row r="119" spans="1:31" x14ac:dyDescent="0.25">
      <c r="A119" s="53">
        <v>44779</v>
      </c>
      <c r="B119" s="40" t="s">
        <v>3026</v>
      </c>
      <c r="C119" s="41">
        <v>32469352</v>
      </c>
      <c r="D119" s="42">
        <v>3017099676</v>
      </c>
      <c r="E119" s="26" t="s">
        <v>493</v>
      </c>
      <c r="F119" s="32"/>
      <c r="G119" s="43"/>
      <c r="H119" s="44"/>
      <c r="I119" s="45"/>
      <c r="J119" s="43"/>
      <c r="K119" s="43"/>
      <c r="L119" s="43"/>
      <c r="M119" s="46" t="s">
        <v>2648</v>
      </c>
      <c r="N119" s="54">
        <v>44779</v>
      </c>
      <c r="O119" s="48" t="s">
        <v>2622</v>
      </c>
      <c r="P119" s="32"/>
      <c r="Q119" s="56"/>
      <c r="R119" s="49"/>
      <c r="S119" s="49"/>
      <c r="T119" s="32"/>
      <c r="U119" s="49"/>
      <c r="V119" s="32"/>
      <c r="W119" s="49"/>
      <c r="X119" s="50"/>
      <c r="Y119" s="49"/>
      <c r="Z119" s="51" t="s">
        <v>3027</v>
      </c>
      <c r="AA119" s="49"/>
      <c r="AB119" s="49"/>
      <c r="AC119" s="49"/>
      <c r="AD119" s="49"/>
      <c r="AE119" s="49"/>
    </row>
    <row r="120" spans="1:31" x14ac:dyDescent="0.25">
      <c r="A120" s="39">
        <v>44969</v>
      </c>
      <c r="B120" s="40" t="s">
        <v>3028</v>
      </c>
      <c r="C120" s="41">
        <v>22028606</v>
      </c>
      <c r="D120" s="42">
        <v>3153780056</v>
      </c>
      <c r="E120" s="26" t="s">
        <v>493</v>
      </c>
      <c r="F120" s="32"/>
      <c r="G120" s="43"/>
      <c r="H120" s="44"/>
      <c r="I120" s="45"/>
      <c r="J120" s="43"/>
      <c r="K120" s="43"/>
      <c r="L120" s="43"/>
      <c r="M120" s="46" t="s">
        <v>2610</v>
      </c>
      <c r="N120" s="54">
        <v>44969</v>
      </c>
      <c r="O120" s="48" t="s">
        <v>2838</v>
      </c>
      <c r="P120" s="32"/>
      <c r="Q120" s="56"/>
      <c r="R120" s="49"/>
      <c r="S120" s="49"/>
      <c r="T120" s="32"/>
      <c r="U120" s="49"/>
      <c r="V120" s="32"/>
      <c r="W120" s="49"/>
      <c r="X120" s="50"/>
      <c r="Y120" s="49"/>
      <c r="Z120" s="51" t="s">
        <v>3029</v>
      </c>
      <c r="AA120" s="49"/>
      <c r="AB120" s="49"/>
      <c r="AC120" s="49"/>
      <c r="AD120" s="49"/>
      <c r="AE120" s="49"/>
    </row>
    <row r="121" spans="1:31" x14ac:dyDescent="0.25">
      <c r="A121" s="53">
        <v>44969</v>
      </c>
      <c r="B121" s="40" t="s">
        <v>3030</v>
      </c>
      <c r="C121" s="41">
        <v>98467449</v>
      </c>
      <c r="D121" s="42">
        <v>3105463354</v>
      </c>
      <c r="E121" s="26" t="s">
        <v>493</v>
      </c>
      <c r="F121" s="32"/>
      <c r="G121" s="43"/>
      <c r="H121" s="44"/>
      <c r="I121" s="45"/>
      <c r="J121" s="43"/>
      <c r="K121" s="43"/>
      <c r="L121" s="43"/>
      <c r="M121" s="46" t="s">
        <v>2610</v>
      </c>
      <c r="N121" s="52">
        <v>44969</v>
      </c>
      <c r="O121" s="48" t="s">
        <v>2848</v>
      </c>
      <c r="P121" s="32"/>
      <c r="Q121" s="56"/>
      <c r="R121" s="49"/>
      <c r="S121" s="49"/>
      <c r="T121" s="32"/>
      <c r="U121" s="49"/>
      <c r="V121" s="32"/>
      <c r="W121" s="49"/>
      <c r="X121" s="50"/>
      <c r="Y121" s="49"/>
      <c r="Z121" s="51" t="s">
        <v>3031</v>
      </c>
      <c r="AA121" s="49"/>
      <c r="AB121" s="49"/>
      <c r="AC121" s="49"/>
      <c r="AD121" s="49"/>
      <c r="AE121" s="49"/>
    </row>
    <row r="122" spans="1:31" x14ac:dyDescent="0.25">
      <c r="A122" s="53">
        <v>44836</v>
      </c>
      <c r="B122" s="40" t="s">
        <v>446</v>
      </c>
      <c r="C122" s="41"/>
      <c r="D122" s="42">
        <v>3164956539</v>
      </c>
      <c r="E122" s="26" t="s">
        <v>493</v>
      </c>
      <c r="F122" s="32"/>
      <c r="G122" s="43"/>
      <c r="H122" s="44" t="s">
        <v>447</v>
      </c>
      <c r="I122" s="45">
        <v>3209075217</v>
      </c>
      <c r="J122" s="43"/>
      <c r="K122" s="43"/>
      <c r="L122" s="43"/>
      <c r="M122" s="46" t="s">
        <v>2648</v>
      </c>
      <c r="N122" s="52"/>
      <c r="O122" s="48" t="s">
        <v>2841</v>
      </c>
      <c r="P122" s="32"/>
      <c r="Q122" s="56"/>
      <c r="R122" s="49"/>
      <c r="S122" s="49"/>
      <c r="T122" s="32"/>
      <c r="U122" s="49"/>
      <c r="V122" s="32"/>
      <c r="W122" s="49"/>
      <c r="X122" s="50"/>
      <c r="Y122" s="49"/>
      <c r="Z122" s="51"/>
      <c r="AA122" s="49"/>
      <c r="AB122" s="49"/>
      <c r="AC122" s="49"/>
      <c r="AD122" s="49"/>
      <c r="AE122" s="49"/>
    </row>
    <row r="123" spans="1:31" x14ac:dyDescent="0.25">
      <c r="A123" s="39">
        <v>44772</v>
      </c>
      <c r="B123" s="40" t="s">
        <v>481</v>
      </c>
      <c r="C123" s="41"/>
      <c r="D123" s="42">
        <v>3148211852</v>
      </c>
      <c r="E123" s="26" t="s">
        <v>493</v>
      </c>
      <c r="F123" s="32"/>
      <c r="G123" s="43"/>
      <c r="H123" s="44" t="s">
        <v>3032</v>
      </c>
      <c r="I123" s="45">
        <v>3148211852</v>
      </c>
      <c r="J123" s="43"/>
      <c r="K123" s="43"/>
      <c r="L123" s="43"/>
      <c r="M123" s="46" t="s">
        <v>2613</v>
      </c>
      <c r="N123" s="56"/>
      <c r="O123" s="48" t="s">
        <v>2841</v>
      </c>
      <c r="P123" s="32"/>
      <c r="Q123" s="56"/>
      <c r="R123" s="49"/>
      <c r="S123" s="49"/>
      <c r="T123" s="32"/>
      <c r="U123" s="49"/>
      <c r="V123" s="32"/>
      <c r="W123" s="49"/>
      <c r="X123" s="50"/>
      <c r="Y123" s="49"/>
      <c r="Z123" s="51"/>
      <c r="AA123" s="49"/>
      <c r="AB123" s="49"/>
      <c r="AC123" s="49"/>
      <c r="AD123" s="49"/>
      <c r="AE123" s="49"/>
    </row>
    <row r="124" spans="1:31" x14ac:dyDescent="0.25">
      <c r="A124" s="53">
        <v>44765</v>
      </c>
      <c r="B124" s="40" t="s">
        <v>3033</v>
      </c>
      <c r="C124" s="41">
        <v>1001638622</v>
      </c>
      <c r="D124" s="42">
        <v>3233280458</v>
      </c>
      <c r="E124" s="26" t="s">
        <v>493</v>
      </c>
      <c r="F124" s="32"/>
      <c r="G124" s="43"/>
      <c r="H124" s="44"/>
      <c r="I124" s="45"/>
      <c r="J124" s="43"/>
      <c r="K124" s="43"/>
      <c r="L124" s="43"/>
      <c r="M124" s="46" t="s">
        <v>2610</v>
      </c>
      <c r="N124" s="54">
        <v>44779</v>
      </c>
      <c r="O124" s="48" t="s">
        <v>2848</v>
      </c>
      <c r="P124" s="32"/>
      <c r="Q124" s="56"/>
      <c r="R124" s="49"/>
      <c r="S124" s="49"/>
      <c r="T124" s="32"/>
      <c r="U124" s="49"/>
      <c r="V124" s="32"/>
      <c r="W124" s="49"/>
      <c r="X124" s="50"/>
      <c r="Y124" s="49"/>
      <c r="Z124" s="51" t="s">
        <v>3034</v>
      </c>
      <c r="AA124" s="49"/>
      <c r="AB124" s="49"/>
      <c r="AC124" s="49"/>
      <c r="AD124" s="49"/>
      <c r="AE124" s="49"/>
    </row>
    <row r="125" spans="1:31" x14ac:dyDescent="0.25">
      <c r="A125" s="53">
        <v>44779</v>
      </c>
      <c r="B125" s="40" t="s">
        <v>3035</v>
      </c>
      <c r="C125" s="41">
        <v>21847384</v>
      </c>
      <c r="D125" s="42">
        <v>3177949473</v>
      </c>
      <c r="E125" s="26" t="s">
        <v>493</v>
      </c>
      <c r="F125" s="32"/>
      <c r="G125" s="43"/>
      <c r="H125" s="44" t="s">
        <v>731</v>
      </c>
      <c r="I125" s="45">
        <v>3145420762</v>
      </c>
      <c r="J125" s="43"/>
      <c r="K125" s="43"/>
      <c r="L125" s="43"/>
      <c r="M125" s="46" t="s">
        <v>2613</v>
      </c>
      <c r="N125" s="54"/>
      <c r="O125" s="48" t="s">
        <v>2841</v>
      </c>
      <c r="P125" s="32"/>
      <c r="Q125" s="56"/>
      <c r="R125" s="49"/>
      <c r="S125" s="49"/>
      <c r="T125" s="32"/>
      <c r="U125" s="49"/>
      <c r="V125" s="32"/>
      <c r="W125" s="49"/>
      <c r="X125" s="50"/>
      <c r="Y125" s="49"/>
      <c r="Z125" s="51"/>
      <c r="AA125" s="49"/>
      <c r="AB125" s="49"/>
      <c r="AC125" s="49"/>
      <c r="AD125" s="49"/>
      <c r="AE125" s="49"/>
    </row>
    <row r="126" spans="1:31" x14ac:dyDescent="0.25">
      <c r="A126" s="39">
        <v>44765</v>
      </c>
      <c r="B126" s="40" t="s">
        <v>3036</v>
      </c>
      <c r="C126" s="41">
        <v>1152712841</v>
      </c>
      <c r="D126" s="42">
        <v>3106714093</v>
      </c>
      <c r="E126" s="26" t="s">
        <v>493</v>
      </c>
      <c r="F126" s="32"/>
      <c r="G126" s="43"/>
      <c r="H126" s="44"/>
      <c r="I126" s="45"/>
      <c r="J126" s="43"/>
      <c r="K126" s="43"/>
      <c r="L126" s="43"/>
      <c r="M126" s="46" t="s">
        <v>2644</v>
      </c>
      <c r="N126" s="56" t="s">
        <v>3037</v>
      </c>
      <c r="O126" s="48" t="s">
        <v>2848</v>
      </c>
      <c r="P126" s="32" t="s">
        <v>2646</v>
      </c>
      <c r="Q126" s="52">
        <v>45060</v>
      </c>
      <c r="R126" s="49"/>
      <c r="S126" s="49"/>
      <c r="T126" s="32"/>
      <c r="U126" s="49"/>
      <c r="V126" s="32"/>
      <c r="W126" s="49"/>
      <c r="X126" s="50"/>
      <c r="Y126" s="49"/>
      <c r="Z126" s="51" t="s">
        <v>3038</v>
      </c>
      <c r="AA126" s="49"/>
      <c r="AB126" s="49"/>
      <c r="AC126" s="49"/>
      <c r="AD126" s="49"/>
      <c r="AE126" s="49"/>
    </row>
    <row r="127" spans="1:31" x14ac:dyDescent="0.25">
      <c r="A127" s="53">
        <v>44779</v>
      </c>
      <c r="B127" s="40" t="s">
        <v>3039</v>
      </c>
      <c r="C127" s="41"/>
      <c r="D127" s="42">
        <v>3113143037</v>
      </c>
      <c r="E127" s="26" t="s">
        <v>493</v>
      </c>
      <c r="F127" s="32"/>
      <c r="G127" s="43"/>
      <c r="H127" s="44"/>
      <c r="I127" s="45"/>
      <c r="J127" s="43"/>
      <c r="K127" s="43"/>
      <c r="L127" s="43"/>
      <c r="M127" s="46" t="s">
        <v>2613</v>
      </c>
      <c r="N127" s="56"/>
      <c r="O127" s="48" t="s">
        <v>2838</v>
      </c>
      <c r="P127" s="32"/>
      <c r="Q127" s="52"/>
      <c r="R127" s="49"/>
      <c r="S127" s="49"/>
      <c r="T127" s="32"/>
      <c r="U127" s="57"/>
      <c r="V127" s="32"/>
      <c r="W127" s="57"/>
      <c r="X127" s="50"/>
      <c r="Y127" s="49"/>
      <c r="Z127" s="51" t="s">
        <v>2993</v>
      </c>
      <c r="AA127" s="49"/>
      <c r="AB127" s="49"/>
      <c r="AC127" s="49"/>
      <c r="AD127" s="49"/>
      <c r="AE127" s="49"/>
    </row>
    <row r="128" spans="1:31" x14ac:dyDescent="0.25">
      <c r="A128" s="39">
        <v>44969</v>
      </c>
      <c r="B128" s="40" t="s">
        <v>3040</v>
      </c>
      <c r="C128" s="41">
        <v>42781985</v>
      </c>
      <c r="D128" s="42">
        <v>3127243987</v>
      </c>
      <c r="E128" s="26" t="s">
        <v>493</v>
      </c>
      <c r="F128" s="32"/>
      <c r="G128" s="43"/>
      <c r="H128" s="44"/>
      <c r="I128" s="45"/>
      <c r="J128" s="43"/>
      <c r="K128" s="43"/>
      <c r="L128" s="43"/>
      <c r="M128" s="46" t="s">
        <v>2610</v>
      </c>
      <c r="N128" s="52">
        <v>44969</v>
      </c>
      <c r="O128" s="48" t="s">
        <v>2622</v>
      </c>
      <c r="P128" s="32"/>
      <c r="Q128" s="56"/>
      <c r="R128" s="49"/>
      <c r="S128" s="49"/>
      <c r="T128" s="32"/>
      <c r="U128" s="49"/>
      <c r="V128" s="32"/>
      <c r="W128" s="49"/>
      <c r="X128" s="50"/>
      <c r="Y128" s="49"/>
      <c r="Z128" s="51" t="s">
        <v>3041</v>
      </c>
      <c r="AA128" s="49"/>
      <c r="AB128" s="49"/>
      <c r="AC128" s="49"/>
      <c r="AD128" s="49"/>
      <c r="AE128" s="49"/>
    </row>
    <row r="129" spans="1:31" x14ac:dyDescent="0.25">
      <c r="A129" s="53"/>
      <c r="B129" s="40" t="s">
        <v>3042</v>
      </c>
      <c r="C129" s="41"/>
      <c r="D129" s="42"/>
      <c r="E129" s="26" t="s">
        <v>493</v>
      </c>
      <c r="F129" s="32"/>
      <c r="G129" s="43"/>
      <c r="H129" s="44"/>
      <c r="I129" s="45"/>
      <c r="J129" s="43"/>
      <c r="K129" s="43"/>
      <c r="L129" s="43"/>
      <c r="M129" s="46" t="s">
        <v>2644</v>
      </c>
      <c r="N129" s="52"/>
      <c r="O129" s="48"/>
      <c r="P129" s="32" t="s">
        <v>2646</v>
      </c>
      <c r="Q129" s="52">
        <v>44429</v>
      </c>
      <c r="R129" s="49"/>
      <c r="S129" s="49"/>
      <c r="T129" s="32"/>
      <c r="U129" s="49"/>
      <c r="V129" s="32"/>
      <c r="W129" s="49"/>
      <c r="X129" s="50"/>
      <c r="Y129" s="49"/>
      <c r="Z129" s="51"/>
      <c r="AA129" s="49"/>
      <c r="AB129" s="49"/>
      <c r="AC129" s="49"/>
      <c r="AD129" s="49"/>
      <c r="AE129" s="49"/>
    </row>
    <row r="130" spans="1:31" x14ac:dyDescent="0.25">
      <c r="A130" s="39">
        <v>44779</v>
      </c>
      <c r="B130" s="40" t="s">
        <v>3043</v>
      </c>
      <c r="C130" s="41">
        <v>98458001</v>
      </c>
      <c r="D130" s="42">
        <v>3123822490</v>
      </c>
      <c r="E130" s="26" t="s">
        <v>493</v>
      </c>
      <c r="F130" s="32"/>
      <c r="G130" s="43"/>
      <c r="H130" s="44" t="s">
        <v>519</v>
      </c>
      <c r="I130" s="45">
        <v>3147416259</v>
      </c>
      <c r="J130" s="43"/>
      <c r="K130" s="43"/>
      <c r="L130" s="43"/>
      <c r="M130" s="46" t="s">
        <v>2648</v>
      </c>
      <c r="N130" s="52">
        <v>45039</v>
      </c>
      <c r="O130" s="48" t="s">
        <v>2622</v>
      </c>
      <c r="P130" s="32"/>
      <c r="Q130" s="52"/>
      <c r="R130" s="49"/>
      <c r="S130" s="49"/>
      <c r="T130" s="32"/>
      <c r="U130" s="57"/>
      <c r="V130" s="32"/>
      <c r="W130" s="57"/>
      <c r="X130" s="50"/>
      <c r="Y130" s="49"/>
      <c r="Z130" s="51" t="s">
        <v>3044</v>
      </c>
      <c r="AA130" s="49"/>
      <c r="AB130" s="49"/>
      <c r="AC130" s="49"/>
      <c r="AD130" s="49"/>
      <c r="AE130" s="49"/>
    </row>
    <row r="131" spans="1:31" x14ac:dyDescent="0.25">
      <c r="A131" s="39">
        <v>44779</v>
      </c>
      <c r="B131" s="40" t="s">
        <v>3045</v>
      </c>
      <c r="C131" s="41">
        <v>70782589</v>
      </c>
      <c r="D131" s="42">
        <v>3148012983</v>
      </c>
      <c r="E131" s="26" t="s">
        <v>493</v>
      </c>
      <c r="F131" s="32"/>
      <c r="G131" s="45"/>
      <c r="H131" s="44"/>
      <c r="I131" s="45"/>
      <c r="J131" s="45"/>
      <c r="K131" s="45"/>
      <c r="L131" s="45"/>
      <c r="M131" s="51" t="s">
        <v>2610</v>
      </c>
      <c r="N131" s="52">
        <v>45165</v>
      </c>
      <c r="O131" s="48">
        <v>1</v>
      </c>
      <c r="P131" s="32"/>
      <c r="Q131" s="56"/>
      <c r="R131" s="49"/>
      <c r="S131" s="49"/>
      <c r="T131" s="32"/>
      <c r="U131" s="49"/>
      <c r="V131" s="32"/>
      <c r="W131" s="49"/>
      <c r="X131" s="50"/>
      <c r="Y131" s="49"/>
      <c r="Z131" s="51" t="s">
        <v>3046</v>
      </c>
      <c r="AA131" s="49"/>
      <c r="AB131" s="49"/>
      <c r="AC131" s="49"/>
      <c r="AD131" s="49"/>
      <c r="AE131" s="49"/>
    </row>
    <row r="132" spans="1:31" x14ac:dyDescent="0.25">
      <c r="A132" s="39">
        <v>44772</v>
      </c>
      <c r="B132" s="40" t="s">
        <v>3047</v>
      </c>
      <c r="C132" s="41">
        <v>8334916</v>
      </c>
      <c r="D132" s="42">
        <v>3147825029</v>
      </c>
      <c r="E132" s="26" t="s">
        <v>493</v>
      </c>
      <c r="F132" s="32"/>
      <c r="G132" s="45"/>
      <c r="H132" s="44"/>
      <c r="I132" s="45"/>
      <c r="J132" s="45"/>
      <c r="K132" s="45"/>
      <c r="L132" s="45"/>
      <c r="M132" s="51" t="s">
        <v>2610</v>
      </c>
      <c r="N132" s="52">
        <v>44779</v>
      </c>
      <c r="O132" s="48" t="s">
        <v>2838</v>
      </c>
      <c r="P132" s="32"/>
      <c r="Q132" s="56"/>
      <c r="R132" s="49"/>
      <c r="S132" s="49"/>
      <c r="T132" s="32"/>
      <c r="U132" s="49"/>
      <c r="V132" s="32"/>
      <c r="W132" s="49"/>
      <c r="X132" s="50"/>
      <c r="Y132" s="49"/>
      <c r="Z132" s="51" t="s">
        <v>3048</v>
      </c>
      <c r="AA132" s="49"/>
      <c r="AB132" s="49"/>
      <c r="AC132" s="49"/>
      <c r="AD132" s="49"/>
      <c r="AE132" s="49"/>
    </row>
    <row r="133" spans="1:31" x14ac:dyDescent="0.25">
      <c r="A133" s="53">
        <v>45002</v>
      </c>
      <c r="B133" s="40" t="s">
        <v>3049</v>
      </c>
      <c r="C133" s="41">
        <v>1038813623</v>
      </c>
      <c r="D133" s="42">
        <v>3145043447</v>
      </c>
      <c r="E133" s="26" t="s">
        <v>493</v>
      </c>
      <c r="F133" s="32"/>
      <c r="G133" s="45"/>
      <c r="H133" s="44"/>
      <c r="I133" s="45"/>
      <c r="J133" s="45"/>
      <c r="K133" s="45"/>
      <c r="L133" s="45"/>
      <c r="M133" s="51" t="s">
        <v>2610</v>
      </c>
      <c r="N133" s="54">
        <v>45032</v>
      </c>
      <c r="O133" s="48" t="s">
        <v>2848</v>
      </c>
      <c r="P133" s="32"/>
      <c r="Q133" s="56"/>
      <c r="R133" s="49"/>
      <c r="S133" s="49"/>
      <c r="T133" s="32"/>
      <c r="U133" s="49"/>
      <c r="V133" s="32"/>
      <c r="W133" s="49"/>
      <c r="X133" s="50"/>
      <c r="Y133" s="49"/>
      <c r="Z133" s="51"/>
      <c r="AA133" s="49"/>
      <c r="AB133" s="49"/>
      <c r="AC133" s="49"/>
      <c r="AD133" s="49"/>
      <c r="AE133" s="49"/>
    </row>
    <row r="134" spans="1:31" x14ac:dyDescent="0.25">
      <c r="A134" s="53">
        <v>44765</v>
      </c>
      <c r="B134" s="40" t="s">
        <v>3050</v>
      </c>
      <c r="C134" s="41"/>
      <c r="D134" s="42">
        <v>3016699775</v>
      </c>
      <c r="E134" s="26" t="s">
        <v>493</v>
      </c>
      <c r="F134" s="32"/>
      <c r="G134" s="45"/>
      <c r="H134" s="44"/>
      <c r="I134" s="45"/>
      <c r="J134" s="45"/>
      <c r="K134" s="45"/>
      <c r="L134" s="45"/>
      <c r="M134" s="51" t="s">
        <v>2613</v>
      </c>
      <c r="N134" s="52"/>
      <c r="O134" s="48" t="s">
        <v>2841</v>
      </c>
      <c r="P134" s="32"/>
      <c r="Q134" s="56"/>
      <c r="R134" s="49"/>
      <c r="S134" s="49"/>
      <c r="T134" s="32"/>
      <c r="U134" s="49"/>
      <c r="V134" s="32"/>
      <c r="W134" s="49"/>
      <c r="X134" s="50"/>
      <c r="Y134" s="49"/>
      <c r="Z134" s="51"/>
      <c r="AA134" s="49"/>
      <c r="AB134" s="49"/>
      <c r="AC134" s="49"/>
      <c r="AD134" s="49"/>
      <c r="AE134" s="49"/>
    </row>
    <row r="135" spans="1:31" x14ac:dyDescent="0.25">
      <c r="A135" s="53">
        <v>44779</v>
      </c>
      <c r="B135" s="40" t="s">
        <v>3051</v>
      </c>
      <c r="C135" s="41">
        <v>21491381</v>
      </c>
      <c r="D135" s="42">
        <v>3206086016</v>
      </c>
      <c r="E135" s="26" t="s">
        <v>493</v>
      </c>
      <c r="F135" s="32"/>
      <c r="G135" s="45"/>
      <c r="H135" s="44"/>
      <c r="I135" s="45"/>
      <c r="J135" s="45"/>
      <c r="K135" s="45"/>
      <c r="L135" s="45"/>
      <c r="M135" s="51" t="s">
        <v>2610</v>
      </c>
      <c r="N135" s="54">
        <v>44779</v>
      </c>
      <c r="O135" s="48" t="s">
        <v>2838</v>
      </c>
      <c r="P135" s="32"/>
      <c r="Q135" s="56"/>
      <c r="R135" s="49"/>
      <c r="S135" s="49"/>
      <c r="T135" s="32"/>
      <c r="U135" s="49"/>
      <c r="V135" s="32"/>
      <c r="W135" s="49"/>
      <c r="X135" s="50"/>
      <c r="Y135" s="49"/>
      <c r="Z135" s="51" t="s">
        <v>3052</v>
      </c>
      <c r="AA135" s="49"/>
      <c r="AB135" s="49"/>
      <c r="AC135" s="49"/>
      <c r="AD135" s="49"/>
      <c r="AE135" s="49"/>
    </row>
    <row r="136" spans="1:31" x14ac:dyDescent="0.25">
      <c r="A136" s="39">
        <v>44772</v>
      </c>
      <c r="B136" s="40" t="s">
        <v>3053</v>
      </c>
      <c r="C136" s="41">
        <v>1001988413</v>
      </c>
      <c r="D136" s="42">
        <v>3118341348</v>
      </c>
      <c r="E136" s="26" t="s">
        <v>493</v>
      </c>
      <c r="F136" s="32"/>
      <c r="G136" s="45"/>
      <c r="H136" s="44"/>
      <c r="I136" s="45"/>
      <c r="J136" s="45"/>
      <c r="K136" s="45"/>
      <c r="L136" s="45"/>
      <c r="M136" s="51" t="s">
        <v>2610</v>
      </c>
      <c r="N136" s="54">
        <v>44779</v>
      </c>
      <c r="O136" s="48" t="s">
        <v>2838</v>
      </c>
      <c r="P136" s="32"/>
      <c r="Q136" s="56"/>
      <c r="R136" s="49"/>
      <c r="S136" s="49"/>
      <c r="T136" s="32"/>
      <c r="U136" s="49"/>
      <c r="V136" s="32"/>
      <c r="W136" s="49"/>
      <c r="X136" s="50"/>
      <c r="Y136" s="49"/>
      <c r="Z136" s="51" t="s">
        <v>3054</v>
      </c>
      <c r="AA136" s="49"/>
      <c r="AB136" s="49"/>
      <c r="AC136" s="49"/>
      <c r="AD136" s="49"/>
      <c r="AE136" s="49"/>
    </row>
    <row r="137" spans="1:31" x14ac:dyDescent="0.25">
      <c r="A137" s="53">
        <v>44765</v>
      </c>
      <c r="B137" s="40" t="s">
        <v>3055</v>
      </c>
      <c r="C137" s="41">
        <v>32322308</v>
      </c>
      <c r="D137" s="42">
        <v>3104924279</v>
      </c>
      <c r="E137" s="26" t="s">
        <v>493</v>
      </c>
      <c r="F137" s="32"/>
      <c r="G137" s="45"/>
      <c r="H137" s="44"/>
      <c r="I137" s="45"/>
      <c r="J137" s="45"/>
      <c r="K137" s="45"/>
      <c r="L137" s="45"/>
      <c r="M137" s="51" t="s">
        <v>2610</v>
      </c>
      <c r="N137" s="54">
        <v>44765</v>
      </c>
      <c r="O137" s="48" t="s">
        <v>2622</v>
      </c>
      <c r="P137" s="32"/>
      <c r="Q137" s="56"/>
      <c r="R137" s="49"/>
      <c r="S137" s="49"/>
      <c r="T137" s="32"/>
      <c r="U137" s="49"/>
      <c r="V137" s="32"/>
      <c r="W137" s="49"/>
      <c r="X137" s="50"/>
      <c r="Y137" s="49"/>
      <c r="Z137" s="51" t="s">
        <v>3056</v>
      </c>
      <c r="AA137" s="49"/>
      <c r="AB137" s="49"/>
      <c r="AC137" s="49"/>
      <c r="AD137" s="49"/>
      <c r="AE137" s="49"/>
    </row>
    <row r="138" spans="1:31" x14ac:dyDescent="0.25">
      <c r="A138" s="53">
        <v>44982</v>
      </c>
      <c r="B138" s="40" t="s">
        <v>3057</v>
      </c>
      <c r="C138" s="41"/>
      <c r="D138" s="42">
        <v>3116849696</v>
      </c>
      <c r="E138" s="26" t="s">
        <v>493</v>
      </c>
      <c r="F138" s="32"/>
      <c r="G138" s="45"/>
      <c r="H138" s="44"/>
      <c r="I138" s="45"/>
      <c r="J138" s="45"/>
      <c r="K138" s="45"/>
      <c r="L138" s="45"/>
      <c r="M138" s="51" t="s">
        <v>2613</v>
      </c>
      <c r="N138" s="52"/>
      <c r="O138" s="48" t="s">
        <v>2841</v>
      </c>
      <c r="P138" s="32"/>
      <c r="Q138" s="56"/>
      <c r="R138" s="49"/>
      <c r="S138" s="49"/>
      <c r="T138" s="32"/>
      <c r="U138" s="49"/>
      <c r="V138" s="32"/>
      <c r="W138" s="49"/>
      <c r="X138" s="50"/>
      <c r="Y138" s="49"/>
      <c r="Z138" s="51"/>
      <c r="AA138" s="49"/>
      <c r="AB138" s="49"/>
      <c r="AC138" s="49"/>
      <c r="AD138" s="49"/>
      <c r="AE138" s="49"/>
    </row>
    <row r="139" spans="1:31" x14ac:dyDescent="0.25">
      <c r="A139" s="53">
        <v>44779</v>
      </c>
      <c r="B139" s="40" t="s">
        <v>3058</v>
      </c>
      <c r="C139" s="41">
        <v>42689999</v>
      </c>
      <c r="D139" s="42">
        <v>3043460633</v>
      </c>
      <c r="E139" s="26" t="s">
        <v>493</v>
      </c>
      <c r="F139" s="32"/>
      <c r="G139" s="45"/>
      <c r="H139" s="44"/>
      <c r="I139" s="45"/>
      <c r="J139" s="45"/>
      <c r="K139" s="45"/>
      <c r="L139" s="45"/>
      <c r="M139" s="51" t="s">
        <v>2610</v>
      </c>
      <c r="N139" s="54">
        <v>44779</v>
      </c>
      <c r="O139" s="48" t="s">
        <v>2848</v>
      </c>
      <c r="P139" s="32"/>
      <c r="Q139" s="56"/>
      <c r="R139" s="49"/>
      <c r="S139" s="49"/>
      <c r="T139" s="32"/>
      <c r="U139" s="49"/>
      <c r="V139" s="32"/>
      <c r="W139" s="49"/>
      <c r="X139" s="50"/>
      <c r="Y139" s="49"/>
      <c r="Z139" s="51" t="s">
        <v>3059</v>
      </c>
      <c r="AA139" s="49"/>
      <c r="AB139" s="49"/>
      <c r="AC139" s="49"/>
      <c r="AD139" s="49"/>
      <c r="AE139" s="49"/>
    </row>
    <row r="140" spans="1:31" x14ac:dyDescent="0.25">
      <c r="A140" s="39">
        <v>44765</v>
      </c>
      <c r="B140" s="40" t="s">
        <v>3060</v>
      </c>
      <c r="C140" s="41">
        <v>32201121</v>
      </c>
      <c r="D140" s="42">
        <v>3106857493</v>
      </c>
      <c r="E140" s="26" t="s">
        <v>493</v>
      </c>
      <c r="F140" s="32"/>
      <c r="G140" s="45"/>
      <c r="H140" s="44"/>
      <c r="I140" s="45"/>
      <c r="J140" s="45"/>
      <c r="K140" s="45"/>
      <c r="L140" s="45"/>
      <c r="M140" s="51" t="s">
        <v>2610</v>
      </c>
      <c r="N140" s="54">
        <v>44772</v>
      </c>
      <c r="O140" s="48" t="s">
        <v>2656</v>
      </c>
      <c r="P140" s="32"/>
      <c r="Q140" s="56"/>
      <c r="R140" s="49"/>
      <c r="S140" s="49"/>
      <c r="T140" s="32"/>
      <c r="U140" s="49"/>
      <c r="V140" s="32"/>
      <c r="W140" s="49"/>
      <c r="X140" s="50"/>
      <c r="Y140" s="49"/>
      <c r="Z140" s="51" t="s">
        <v>3061</v>
      </c>
      <c r="AA140" s="49"/>
      <c r="AB140" s="49"/>
      <c r="AC140" s="49"/>
      <c r="AD140" s="49"/>
      <c r="AE140" s="49"/>
    </row>
    <row r="141" spans="1:31" x14ac:dyDescent="0.25">
      <c r="A141" s="47" t="s">
        <v>3062</v>
      </c>
      <c r="B141" s="40" t="s">
        <v>3063</v>
      </c>
      <c r="C141" s="41"/>
      <c r="D141" s="42">
        <v>3137407613</v>
      </c>
      <c r="E141" s="26" t="s">
        <v>493</v>
      </c>
      <c r="F141" s="32"/>
      <c r="G141" s="45"/>
      <c r="H141" s="44" t="s">
        <v>3064</v>
      </c>
      <c r="I141" s="45">
        <v>3223150178</v>
      </c>
      <c r="J141" s="45"/>
      <c r="K141" s="45"/>
      <c r="L141" s="45"/>
      <c r="M141" s="51" t="s">
        <v>2613</v>
      </c>
      <c r="N141" s="52"/>
      <c r="O141" s="48" t="s">
        <v>2841</v>
      </c>
      <c r="P141" s="32"/>
      <c r="Q141" s="56"/>
      <c r="R141" s="49"/>
      <c r="S141" s="49"/>
      <c r="T141" s="32"/>
      <c r="U141" s="49"/>
      <c r="V141" s="32"/>
      <c r="W141" s="49"/>
      <c r="X141" s="50"/>
      <c r="Y141" s="49"/>
      <c r="Z141" s="51"/>
      <c r="AA141" s="49"/>
      <c r="AB141" s="49"/>
      <c r="AC141" s="49"/>
      <c r="AD141" s="49"/>
      <c r="AE141" s="49"/>
    </row>
    <row r="142" spans="1:31" x14ac:dyDescent="0.25">
      <c r="A142" s="53">
        <v>44765</v>
      </c>
      <c r="B142" s="40" t="s">
        <v>3065</v>
      </c>
      <c r="C142" s="41">
        <v>1128437166</v>
      </c>
      <c r="D142" s="42">
        <v>3108342891</v>
      </c>
      <c r="E142" s="26" t="s">
        <v>493</v>
      </c>
      <c r="F142" s="32"/>
      <c r="G142" s="45"/>
      <c r="H142" s="44"/>
      <c r="I142" s="45"/>
      <c r="J142" s="45"/>
      <c r="K142" s="45"/>
      <c r="L142" s="45"/>
      <c r="M142" s="51" t="s">
        <v>2644</v>
      </c>
      <c r="N142" s="52">
        <v>44765</v>
      </c>
      <c r="O142" s="48" t="s">
        <v>2838</v>
      </c>
      <c r="P142" s="32" t="s">
        <v>2646</v>
      </c>
      <c r="Q142" s="52">
        <v>45584</v>
      </c>
      <c r="R142" s="49"/>
      <c r="S142" s="49"/>
      <c r="T142" s="32"/>
      <c r="U142" s="49"/>
      <c r="V142" s="32"/>
      <c r="W142" s="49"/>
      <c r="X142" s="50"/>
      <c r="Y142" s="49"/>
      <c r="Z142" s="51" t="s">
        <v>3066</v>
      </c>
      <c r="AA142" s="49"/>
      <c r="AB142" s="49"/>
      <c r="AC142" s="49"/>
      <c r="AD142" s="49"/>
      <c r="AE142" s="49"/>
    </row>
    <row r="143" spans="1:31" x14ac:dyDescent="0.25">
      <c r="A143" s="53">
        <v>45039</v>
      </c>
      <c r="B143" s="40" t="s">
        <v>3067</v>
      </c>
      <c r="C143" s="41">
        <v>43901715</v>
      </c>
      <c r="D143" s="42">
        <v>3127645930</v>
      </c>
      <c r="E143" s="26" t="s">
        <v>493</v>
      </c>
      <c r="F143" s="32"/>
      <c r="G143" s="45"/>
      <c r="H143" s="44"/>
      <c r="I143" s="45">
        <v>3028004382</v>
      </c>
      <c r="J143" s="45"/>
      <c r="K143" s="45"/>
      <c r="L143" s="45"/>
      <c r="M143" s="51" t="s">
        <v>2610</v>
      </c>
      <c r="N143" s="52">
        <v>45039</v>
      </c>
      <c r="O143" s="48" t="s">
        <v>2848</v>
      </c>
      <c r="P143" s="32"/>
      <c r="Q143" s="52"/>
      <c r="R143" s="49"/>
      <c r="S143" s="49"/>
      <c r="T143" s="32"/>
      <c r="U143" s="61"/>
      <c r="V143" s="32"/>
      <c r="W143" s="61"/>
      <c r="X143" s="50"/>
      <c r="Y143" s="49"/>
      <c r="Z143" s="51" t="s">
        <v>3068</v>
      </c>
      <c r="AA143" s="49"/>
      <c r="AB143" s="49"/>
      <c r="AC143" s="49"/>
      <c r="AD143" s="49"/>
      <c r="AE143" s="49"/>
    </row>
    <row r="144" spans="1:31" x14ac:dyDescent="0.25">
      <c r="A144" s="53">
        <v>44779</v>
      </c>
      <c r="B144" s="40" t="s">
        <v>3069</v>
      </c>
      <c r="C144" s="41">
        <v>43911659</v>
      </c>
      <c r="D144" s="42">
        <v>3234874335</v>
      </c>
      <c r="E144" s="26" t="s">
        <v>493</v>
      </c>
      <c r="F144" s="32"/>
      <c r="G144" s="45"/>
      <c r="H144" s="44"/>
      <c r="I144" s="45"/>
      <c r="J144" s="45"/>
      <c r="K144" s="45"/>
      <c r="L144" s="45"/>
      <c r="M144" s="51" t="s">
        <v>2610</v>
      </c>
      <c r="N144" s="52">
        <v>44779</v>
      </c>
      <c r="O144" s="48" t="s">
        <v>2848</v>
      </c>
      <c r="P144" s="32"/>
      <c r="Q144" s="56"/>
      <c r="R144" s="49"/>
      <c r="S144" s="49"/>
      <c r="T144" s="32"/>
      <c r="U144" s="49"/>
      <c r="V144" s="32"/>
      <c r="W144" s="49"/>
      <c r="X144" s="50"/>
      <c r="Y144" s="49"/>
      <c r="Z144" s="51" t="s">
        <v>3070</v>
      </c>
      <c r="AA144" s="49"/>
      <c r="AB144" s="49"/>
      <c r="AC144" s="49"/>
      <c r="AD144" s="49"/>
      <c r="AE144" s="49"/>
    </row>
    <row r="145" spans="1:31" x14ac:dyDescent="0.25">
      <c r="A145" s="39">
        <v>44717</v>
      </c>
      <c r="B145" s="40" t="s">
        <v>3071</v>
      </c>
      <c r="C145" s="41">
        <v>1045511266</v>
      </c>
      <c r="D145" s="42">
        <v>3126254104</v>
      </c>
      <c r="E145" s="26" t="s">
        <v>493</v>
      </c>
      <c r="F145" s="32"/>
      <c r="G145" s="43"/>
      <c r="H145" s="44"/>
      <c r="I145" s="45"/>
      <c r="J145" s="43"/>
      <c r="K145" s="43"/>
      <c r="L145" s="43"/>
      <c r="M145" s="46" t="s">
        <v>2648</v>
      </c>
      <c r="N145" s="54">
        <v>44717</v>
      </c>
      <c r="O145" s="48" t="s">
        <v>2848</v>
      </c>
      <c r="P145" s="32"/>
      <c r="Q145" s="64"/>
      <c r="R145" s="49"/>
      <c r="S145" s="49"/>
      <c r="T145" s="32"/>
      <c r="U145" s="49"/>
      <c r="V145" s="32"/>
      <c r="W145" s="49"/>
      <c r="X145" s="50"/>
      <c r="Y145" s="49"/>
      <c r="Z145" s="51" t="s">
        <v>3072</v>
      </c>
      <c r="AA145" s="49"/>
      <c r="AB145" s="49"/>
      <c r="AC145" s="49"/>
      <c r="AD145" s="49"/>
      <c r="AE145" s="49"/>
    </row>
    <row r="146" spans="1:31" x14ac:dyDescent="0.25">
      <c r="A146" s="39">
        <v>45122</v>
      </c>
      <c r="B146" s="40" t="s">
        <v>860</v>
      </c>
      <c r="C146" s="41"/>
      <c r="D146" s="42">
        <v>3122251144</v>
      </c>
      <c r="E146" s="26" t="s">
        <v>493</v>
      </c>
      <c r="F146" s="32"/>
      <c r="G146" s="45"/>
      <c r="H146" s="44" t="s">
        <v>861</v>
      </c>
      <c r="I146" s="45">
        <v>3108223302</v>
      </c>
      <c r="J146" s="45"/>
      <c r="K146" s="45"/>
      <c r="L146" s="45"/>
      <c r="M146" s="51" t="s">
        <v>2613</v>
      </c>
      <c r="N146" s="54"/>
      <c r="O146" s="48" t="s">
        <v>2841</v>
      </c>
      <c r="P146" s="32"/>
      <c r="Q146" s="56"/>
      <c r="R146" s="49"/>
      <c r="S146" s="49"/>
      <c r="T146" s="32"/>
      <c r="U146" s="49"/>
      <c r="V146" s="32"/>
      <c r="W146" s="49"/>
      <c r="X146" s="50"/>
      <c r="Y146" s="49"/>
      <c r="Z146" s="51" t="s">
        <v>3073</v>
      </c>
      <c r="AA146" s="49"/>
      <c r="AB146" s="49"/>
      <c r="AC146" s="49"/>
      <c r="AD146" s="49"/>
      <c r="AE146" s="49"/>
    </row>
    <row r="147" spans="1:31" x14ac:dyDescent="0.25">
      <c r="A147" s="53">
        <v>44703</v>
      </c>
      <c r="B147" s="40" t="s">
        <v>753</v>
      </c>
      <c r="C147" s="41"/>
      <c r="D147" s="42">
        <v>3027416506</v>
      </c>
      <c r="E147" s="26" t="s">
        <v>493</v>
      </c>
      <c r="F147" s="32"/>
      <c r="G147" s="45"/>
      <c r="H147" s="44"/>
      <c r="I147" s="45"/>
      <c r="J147" s="45"/>
      <c r="K147" s="45"/>
      <c r="L147" s="45"/>
      <c r="M147" s="51" t="s">
        <v>2613</v>
      </c>
      <c r="N147" s="56"/>
      <c r="O147" s="48" t="s">
        <v>2841</v>
      </c>
      <c r="P147" s="32"/>
      <c r="Q147" s="56"/>
      <c r="R147" s="49"/>
      <c r="S147" s="49"/>
      <c r="T147" s="32"/>
      <c r="U147" s="49"/>
      <c r="V147" s="32"/>
      <c r="W147" s="49"/>
      <c r="X147" s="50"/>
      <c r="Y147" s="49"/>
      <c r="Z147" s="51"/>
      <c r="AA147" s="49"/>
      <c r="AB147" s="49"/>
      <c r="AC147" s="49"/>
      <c r="AD147" s="49"/>
      <c r="AE147" s="49"/>
    </row>
    <row r="148" spans="1:31" x14ac:dyDescent="0.25">
      <c r="A148" s="53">
        <v>44969</v>
      </c>
      <c r="B148" s="40" t="s">
        <v>3074</v>
      </c>
      <c r="C148" s="41">
        <v>1020444930</v>
      </c>
      <c r="D148" s="42">
        <v>3245070666</v>
      </c>
      <c r="E148" s="26" t="s">
        <v>493</v>
      </c>
      <c r="F148" s="32"/>
      <c r="G148" s="45"/>
      <c r="H148" s="44"/>
      <c r="I148" s="45"/>
      <c r="J148" s="45"/>
      <c r="K148" s="45"/>
      <c r="L148" s="45"/>
      <c r="M148" s="51" t="s">
        <v>2610</v>
      </c>
      <c r="N148" s="52">
        <v>44969</v>
      </c>
      <c r="O148" s="48" t="s">
        <v>2838</v>
      </c>
      <c r="P148" s="32"/>
      <c r="Q148" s="56"/>
      <c r="R148" s="49"/>
      <c r="S148" s="49"/>
      <c r="T148" s="32"/>
      <c r="U148" s="49"/>
      <c r="V148" s="32"/>
      <c r="W148" s="49"/>
      <c r="X148" s="50"/>
      <c r="Y148" s="49"/>
      <c r="Z148" s="51" t="s">
        <v>3075</v>
      </c>
      <c r="AA148" s="49"/>
      <c r="AB148" s="49"/>
      <c r="AC148" s="49"/>
      <c r="AD148" s="49"/>
      <c r="AE148" s="49"/>
    </row>
    <row r="149" spans="1:31" x14ac:dyDescent="0.25">
      <c r="A149" s="53">
        <v>44948</v>
      </c>
      <c r="B149" s="40" t="s">
        <v>3076</v>
      </c>
      <c r="C149" s="41" t="s">
        <v>2257</v>
      </c>
      <c r="D149" s="42">
        <v>3001544496</v>
      </c>
      <c r="E149" s="26" t="s">
        <v>493</v>
      </c>
      <c r="F149" s="32"/>
      <c r="G149" s="45"/>
      <c r="H149" s="44"/>
      <c r="I149" s="45"/>
      <c r="J149" s="45"/>
      <c r="K149" s="45"/>
      <c r="L149" s="45"/>
      <c r="M149" s="51" t="s">
        <v>2610</v>
      </c>
      <c r="N149" s="52">
        <v>44948</v>
      </c>
      <c r="O149" s="48" t="s">
        <v>2848</v>
      </c>
      <c r="P149" s="32"/>
      <c r="Q149" s="56"/>
      <c r="R149" s="49"/>
      <c r="S149" s="49"/>
      <c r="T149" s="32"/>
      <c r="U149" s="49"/>
      <c r="V149" s="32"/>
      <c r="W149" s="49"/>
      <c r="X149" s="50"/>
      <c r="Y149" s="49"/>
      <c r="Z149" s="51" t="s">
        <v>3077</v>
      </c>
      <c r="AA149" s="49"/>
      <c r="AB149" s="49"/>
      <c r="AC149" s="49"/>
      <c r="AD149" s="49"/>
      <c r="AE149" s="49"/>
    </row>
    <row r="150" spans="1:31" x14ac:dyDescent="0.25">
      <c r="A150" s="53">
        <v>44779</v>
      </c>
      <c r="B150" s="40" t="s">
        <v>3078</v>
      </c>
      <c r="C150" s="41">
        <v>98649019</v>
      </c>
      <c r="D150" s="42">
        <v>3218952300</v>
      </c>
      <c r="E150" s="26" t="s">
        <v>493</v>
      </c>
      <c r="F150" s="32"/>
      <c r="G150" s="45"/>
      <c r="H150" s="44"/>
      <c r="I150" s="45"/>
      <c r="J150" s="45"/>
      <c r="K150" s="45"/>
      <c r="L150" s="45"/>
      <c r="M150" s="51" t="s">
        <v>2610</v>
      </c>
      <c r="N150" s="52">
        <v>44779</v>
      </c>
      <c r="O150" s="48" t="s">
        <v>2622</v>
      </c>
      <c r="P150" s="32"/>
      <c r="Q150" s="56"/>
      <c r="R150" s="49"/>
      <c r="S150" s="49"/>
      <c r="T150" s="32"/>
      <c r="U150" s="49"/>
      <c r="V150" s="32"/>
      <c r="W150" s="49"/>
      <c r="X150" s="50"/>
      <c r="Y150" s="49"/>
      <c r="Z150" s="51" t="s">
        <v>3079</v>
      </c>
      <c r="AA150" s="49"/>
      <c r="AB150" s="49"/>
      <c r="AC150" s="49"/>
      <c r="AD150" s="49"/>
      <c r="AE150" s="49"/>
    </row>
    <row r="151" spans="1:31" x14ac:dyDescent="0.25">
      <c r="A151" s="39">
        <v>45158</v>
      </c>
      <c r="B151" s="40" t="s">
        <v>3080</v>
      </c>
      <c r="C151" s="41">
        <v>1065007238</v>
      </c>
      <c r="D151" s="42">
        <v>3135213473</v>
      </c>
      <c r="E151" s="26" t="s">
        <v>493</v>
      </c>
      <c r="F151" s="32"/>
      <c r="G151" s="45"/>
      <c r="H151" s="44"/>
      <c r="I151" s="45"/>
      <c r="J151" s="45"/>
      <c r="K151" s="45"/>
      <c r="L151" s="45"/>
      <c r="M151" s="51" t="s">
        <v>2610</v>
      </c>
      <c r="N151" s="54">
        <v>45165</v>
      </c>
      <c r="O151" s="48">
        <v>3</v>
      </c>
      <c r="P151" s="32"/>
      <c r="Q151" s="56"/>
      <c r="R151" s="49"/>
      <c r="S151" s="49"/>
      <c r="T151" s="32"/>
      <c r="U151" s="49"/>
      <c r="V151" s="32"/>
      <c r="W151" s="49"/>
      <c r="X151" s="50"/>
      <c r="Y151" s="49"/>
      <c r="Z151" s="51"/>
      <c r="AA151" s="49"/>
      <c r="AB151" s="49"/>
      <c r="AC151" s="49"/>
      <c r="AD151" s="49"/>
      <c r="AE151" s="49"/>
    </row>
    <row r="152" spans="1:31" x14ac:dyDescent="0.25">
      <c r="A152" s="53">
        <v>44765</v>
      </c>
      <c r="B152" s="40" t="s">
        <v>3081</v>
      </c>
      <c r="C152" s="41">
        <v>1045522257</v>
      </c>
      <c r="D152" s="42">
        <v>3245799029</v>
      </c>
      <c r="E152" s="26" t="s">
        <v>493</v>
      </c>
      <c r="F152" s="32"/>
      <c r="G152" s="43"/>
      <c r="H152" s="44"/>
      <c r="I152" s="45"/>
      <c r="J152" s="43"/>
      <c r="K152" s="43"/>
      <c r="L152" s="43"/>
      <c r="M152" s="46" t="s">
        <v>2644</v>
      </c>
      <c r="N152" s="52">
        <v>44765</v>
      </c>
      <c r="O152" s="48" t="s">
        <v>2622</v>
      </c>
      <c r="P152" s="32" t="s">
        <v>2646</v>
      </c>
      <c r="Q152" s="54">
        <v>44835</v>
      </c>
      <c r="R152" s="49"/>
      <c r="S152" s="49"/>
      <c r="T152" s="32"/>
      <c r="U152" s="49"/>
      <c r="V152" s="32" t="s">
        <v>2646</v>
      </c>
      <c r="W152" s="61">
        <v>45241</v>
      </c>
      <c r="X152" s="50"/>
      <c r="Y152" s="49"/>
      <c r="Z152" s="51" t="s">
        <v>3082</v>
      </c>
      <c r="AA152" s="49"/>
      <c r="AB152" s="49"/>
      <c r="AC152" s="49"/>
      <c r="AD152" s="49"/>
      <c r="AE152" s="49"/>
    </row>
    <row r="153" spans="1:31" x14ac:dyDescent="0.25">
      <c r="A153" s="53">
        <v>44765</v>
      </c>
      <c r="B153" s="40" t="s">
        <v>3083</v>
      </c>
      <c r="C153" s="41">
        <v>1214732928</v>
      </c>
      <c r="D153" s="42">
        <v>3217367286</v>
      </c>
      <c r="E153" s="26" t="s">
        <v>493</v>
      </c>
      <c r="F153" s="32"/>
      <c r="G153" s="45"/>
      <c r="H153" s="44"/>
      <c r="I153" s="45"/>
      <c r="J153" s="45"/>
      <c r="K153" s="45"/>
      <c r="L153" s="45"/>
      <c r="M153" s="51" t="s">
        <v>2610</v>
      </c>
      <c r="N153" s="52">
        <v>44779</v>
      </c>
      <c r="O153" s="48" t="s">
        <v>2838</v>
      </c>
      <c r="P153" s="32"/>
      <c r="Q153" s="54"/>
      <c r="R153" s="49"/>
      <c r="S153" s="49"/>
      <c r="T153" s="32"/>
      <c r="U153" s="55"/>
      <c r="V153" s="32"/>
      <c r="W153" s="55"/>
      <c r="X153" s="50"/>
      <c r="Y153" s="49"/>
      <c r="Z153" s="51" t="s">
        <v>3084</v>
      </c>
      <c r="AA153" s="49"/>
      <c r="AB153" s="49"/>
      <c r="AC153" s="49"/>
      <c r="AD153" s="49"/>
      <c r="AE153" s="49"/>
    </row>
    <row r="154" spans="1:31" x14ac:dyDescent="0.25">
      <c r="A154" s="53">
        <v>45039</v>
      </c>
      <c r="B154" s="40" t="s">
        <v>3085</v>
      </c>
      <c r="C154" s="41">
        <v>43902744</v>
      </c>
      <c r="D154" s="42">
        <v>3233772897</v>
      </c>
      <c r="E154" s="26" t="s">
        <v>493</v>
      </c>
      <c r="F154" s="32"/>
      <c r="G154" s="43"/>
      <c r="H154" s="44"/>
      <c r="I154" s="45"/>
      <c r="J154" s="43"/>
      <c r="K154" s="43"/>
      <c r="L154" s="43"/>
      <c r="M154" s="46" t="s">
        <v>2644</v>
      </c>
      <c r="N154" s="54">
        <v>45039</v>
      </c>
      <c r="O154" s="48"/>
      <c r="P154" s="32" t="s">
        <v>2646</v>
      </c>
      <c r="Q154" s="52">
        <v>45060</v>
      </c>
      <c r="R154" s="49"/>
      <c r="S154" s="49"/>
      <c r="T154" s="32"/>
      <c r="U154" s="49"/>
      <c r="V154" s="32"/>
      <c r="W154" s="49"/>
      <c r="X154" s="50"/>
      <c r="Y154" s="49"/>
      <c r="Z154" s="51" t="s">
        <v>3086</v>
      </c>
      <c r="AA154" s="49"/>
      <c r="AB154" s="49"/>
      <c r="AC154" s="49"/>
      <c r="AD154" s="49"/>
      <c r="AE154" s="49"/>
    </row>
    <row r="155" spans="1:31" x14ac:dyDescent="0.25">
      <c r="A155" s="53">
        <v>44772</v>
      </c>
      <c r="B155" s="40" t="s">
        <v>2952</v>
      </c>
      <c r="C155" s="41">
        <v>37843485</v>
      </c>
      <c r="D155" s="42">
        <v>3015859727</v>
      </c>
      <c r="E155" s="26" t="s">
        <v>493</v>
      </c>
      <c r="F155" s="32"/>
      <c r="G155" s="45"/>
      <c r="H155" s="44" t="s">
        <v>3087</v>
      </c>
      <c r="I155" s="45">
        <v>3242063138</v>
      </c>
      <c r="J155" s="45"/>
      <c r="K155" s="45"/>
      <c r="L155" s="45"/>
      <c r="M155" s="51" t="s">
        <v>2610</v>
      </c>
      <c r="N155" s="52">
        <v>44772</v>
      </c>
      <c r="O155" s="48" t="s">
        <v>2838</v>
      </c>
      <c r="P155" s="32"/>
      <c r="Q155" s="52"/>
      <c r="R155" s="49"/>
      <c r="S155" s="49"/>
      <c r="T155" s="32"/>
      <c r="U155" s="57"/>
      <c r="V155" s="32"/>
      <c r="W155" s="57"/>
      <c r="X155" s="50"/>
      <c r="Y155" s="49"/>
      <c r="Z155" s="51"/>
      <c r="AA155" s="49"/>
      <c r="AB155" s="49"/>
      <c r="AC155" s="49"/>
      <c r="AD155" s="49"/>
      <c r="AE155" s="49"/>
    </row>
    <row r="156" spans="1:31" x14ac:dyDescent="0.25">
      <c r="A156" s="53">
        <v>44738</v>
      </c>
      <c r="B156" s="40" t="s">
        <v>3088</v>
      </c>
      <c r="C156" s="41">
        <v>1018226158</v>
      </c>
      <c r="D156" s="42">
        <v>3004776584</v>
      </c>
      <c r="E156" s="26" t="s">
        <v>493</v>
      </c>
      <c r="F156" s="32"/>
      <c r="G156" s="45"/>
      <c r="H156" s="44" t="s">
        <v>3089</v>
      </c>
      <c r="I156" s="45">
        <v>3217318759</v>
      </c>
      <c r="J156" s="45"/>
      <c r="K156" s="45"/>
      <c r="L156" s="45"/>
      <c r="M156" s="51" t="s">
        <v>2610</v>
      </c>
      <c r="N156" s="52">
        <v>44738</v>
      </c>
      <c r="O156" s="48" t="s">
        <v>2622</v>
      </c>
      <c r="P156" s="32"/>
      <c r="Q156" s="56"/>
      <c r="R156" s="49"/>
      <c r="S156" s="49"/>
      <c r="T156" s="32"/>
      <c r="U156" s="49"/>
      <c r="V156" s="32"/>
      <c r="W156" s="49"/>
      <c r="X156" s="50"/>
      <c r="Y156" s="49"/>
      <c r="Z156" s="51" t="s">
        <v>3090</v>
      </c>
      <c r="AA156" s="49"/>
      <c r="AB156" s="49"/>
      <c r="AC156" s="49"/>
      <c r="AD156" s="49"/>
      <c r="AE156" s="49"/>
    </row>
    <row r="157" spans="1:31" x14ac:dyDescent="0.25">
      <c r="A157" s="53">
        <v>44969</v>
      </c>
      <c r="B157" s="40" t="s">
        <v>3091</v>
      </c>
      <c r="C157" s="41">
        <v>1037572589</v>
      </c>
      <c r="D157" s="42">
        <v>3127278446</v>
      </c>
      <c r="E157" s="26" t="s">
        <v>493</v>
      </c>
      <c r="F157" s="32"/>
      <c r="G157" s="45"/>
      <c r="H157" s="44"/>
      <c r="I157" s="45">
        <v>3013078009</v>
      </c>
      <c r="J157" s="45"/>
      <c r="K157" s="45"/>
      <c r="L157" s="45"/>
      <c r="M157" s="51" t="s">
        <v>2610</v>
      </c>
      <c r="N157" s="52">
        <v>44969</v>
      </c>
      <c r="O157" s="48" t="s">
        <v>2622</v>
      </c>
      <c r="P157" s="32"/>
      <c r="Q157" s="56"/>
      <c r="R157" s="49"/>
      <c r="S157" s="49"/>
      <c r="T157" s="32"/>
      <c r="U157" s="49"/>
      <c r="V157" s="32"/>
      <c r="W157" s="49"/>
      <c r="X157" s="50"/>
      <c r="Y157" s="49"/>
      <c r="Z157" s="51" t="s">
        <v>3092</v>
      </c>
      <c r="AA157" s="49"/>
      <c r="AB157" s="49"/>
      <c r="AC157" s="49"/>
      <c r="AD157" s="49"/>
      <c r="AE157" s="49"/>
    </row>
    <row r="158" spans="1:31" x14ac:dyDescent="0.25">
      <c r="A158" s="53">
        <v>45165</v>
      </c>
      <c r="B158" s="40" t="s">
        <v>3093</v>
      </c>
      <c r="C158" s="41">
        <v>1035305540</v>
      </c>
      <c r="D158" s="42">
        <v>3136008255</v>
      </c>
      <c r="E158" s="26" t="s">
        <v>493</v>
      </c>
      <c r="F158" s="32"/>
      <c r="G158" s="45"/>
      <c r="H158" s="44"/>
      <c r="I158" s="45"/>
      <c r="J158" s="45"/>
      <c r="K158" s="45"/>
      <c r="L158" s="45"/>
      <c r="M158" s="51" t="s">
        <v>2610</v>
      </c>
      <c r="N158" s="52">
        <v>45165</v>
      </c>
      <c r="O158" s="48">
        <v>1</v>
      </c>
      <c r="P158" s="32"/>
      <c r="Q158" s="56"/>
      <c r="R158" s="49"/>
      <c r="S158" s="49"/>
      <c r="T158" s="32"/>
      <c r="U158" s="49"/>
      <c r="V158" s="32"/>
      <c r="W158" s="49"/>
      <c r="X158" s="50"/>
      <c r="Y158" s="49"/>
      <c r="Z158" s="51" t="s">
        <v>3094</v>
      </c>
      <c r="AA158" s="49"/>
      <c r="AB158" s="49"/>
      <c r="AC158" s="49"/>
      <c r="AD158" s="49"/>
      <c r="AE158" s="49"/>
    </row>
    <row r="159" spans="1:31" x14ac:dyDescent="0.25">
      <c r="A159" s="53">
        <v>44779</v>
      </c>
      <c r="B159" s="40" t="s">
        <v>3095</v>
      </c>
      <c r="C159" s="41">
        <v>43889126</v>
      </c>
      <c r="D159" s="42">
        <v>3218074745</v>
      </c>
      <c r="E159" s="26" t="s">
        <v>493</v>
      </c>
      <c r="F159" s="32"/>
      <c r="G159" s="45"/>
      <c r="H159" s="44"/>
      <c r="I159" s="45"/>
      <c r="J159" s="45"/>
      <c r="K159" s="45"/>
      <c r="L159" s="45"/>
      <c r="M159" s="51" t="s">
        <v>2610</v>
      </c>
      <c r="N159" s="52">
        <v>44779</v>
      </c>
      <c r="O159" s="48" t="s">
        <v>2848</v>
      </c>
      <c r="P159" s="32"/>
      <c r="Q159" s="56"/>
      <c r="R159" s="49"/>
      <c r="S159" s="49"/>
      <c r="T159" s="32"/>
      <c r="U159" s="49"/>
      <c r="V159" s="32"/>
      <c r="W159" s="49"/>
      <c r="X159" s="50"/>
      <c r="Y159" s="49"/>
      <c r="Z159" s="51" t="s">
        <v>3096</v>
      </c>
      <c r="AA159" s="49"/>
      <c r="AB159" s="49"/>
      <c r="AC159" s="49"/>
      <c r="AD159" s="49"/>
      <c r="AE159" s="49"/>
    </row>
    <row r="160" spans="1:31" x14ac:dyDescent="0.25">
      <c r="A160" s="39">
        <v>45221</v>
      </c>
      <c r="B160" s="40" t="s">
        <v>3097</v>
      </c>
      <c r="C160" s="41">
        <v>1007377699</v>
      </c>
      <c r="D160" s="42">
        <v>3169021369</v>
      </c>
      <c r="E160" s="26" t="s">
        <v>493</v>
      </c>
      <c r="F160" s="32"/>
      <c r="G160" s="45"/>
      <c r="H160" s="44"/>
      <c r="I160" s="45"/>
      <c r="J160" s="45"/>
      <c r="K160" s="45"/>
      <c r="L160" s="45"/>
      <c r="M160" s="51" t="s">
        <v>2610</v>
      </c>
      <c r="N160" s="52">
        <v>45228</v>
      </c>
      <c r="O160" s="48">
        <v>1</v>
      </c>
      <c r="P160" s="32"/>
      <c r="Q160" s="56"/>
      <c r="R160" s="49"/>
      <c r="S160" s="49"/>
      <c r="T160" s="32"/>
      <c r="U160" s="49"/>
      <c r="V160" s="32"/>
      <c r="W160" s="49"/>
      <c r="X160" s="50"/>
      <c r="Y160" s="49"/>
      <c r="Z160" s="51"/>
      <c r="AA160" s="49"/>
      <c r="AB160" s="49"/>
      <c r="AC160" s="49"/>
      <c r="AD160" s="49"/>
      <c r="AE160" s="49"/>
    </row>
    <row r="161" spans="1:32" x14ac:dyDescent="0.25">
      <c r="A161" s="53">
        <v>45340</v>
      </c>
      <c r="B161" s="40" t="s">
        <v>3098</v>
      </c>
      <c r="C161" s="41">
        <v>1067091746</v>
      </c>
      <c r="D161" s="42">
        <v>3137831624</v>
      </c>
      <c r="E161" s="26" t="s">
        <v>493</v>
      </c>
      <c r="F161" s="32"/>
      <c r="G161" s="45"/>
      <c r="H161" s="44"/>
      <c r="I161" s="45"/>
      <c r="J161" s="45"/>
      <c r="K161" s="45"/>
      <c r="L161" s="45"/>
      <c r="M161" s="51" t="s">
        <v>2610</v>
      </c>
      <c r="N161" s="52">
        <v>45340</v>
      </c>
      <c r="O161" s="48">
        <v>1</v>
      </c>
      <c r="P161" s="32"/>
      <c r="Q161" s="56"/>
      <c r="R161" s="49"/>
      <c r="S161" s="49"/>
      <c r="T161" s="32"/>
      <c r="U161" s="49"/>
      <c r="V161" s="32"/>
      <c r="W161" s="49"/>
      <c r="X161" s="50"/>
      <c r="Y161" s="49"/>
      <c r="Z161" s="51"/>
      <c r="AA161" s="49"/>
      <c r="AB161" s="49"/>
      <c r="AC161" s="49"/>
      <c r="AD161" s="49"/>
      <c r="AE161" s="49"/>
    </row>
    <row r="162" spans="1:32" x14ac:dyDescent="0.25">
      <c r="A162" s="53">
        <v>45340</v>
      </c>
      <c r="B162" s="40" t="s">
        <v>3099</v>
      </c>
      <c r="C162" s="41">
        <v>43101702</v>
      </c>
      <c r="D162" s="42">
        <v>3225820283</v>
      </c>
      <c r="E162" s="26" t="s">
        <v>493</v>
      </c>
      <c r="F162" s="32"/>
      <c r="G162" s="45"/>
      <c r="H162" s="44"/>
      <c r="I162" s="45"/>
      <c r="J162" s="45"/>
      <c r="K162" s="45"/>
      <c r="L162" s="45"/>
      <c r="M162" s="51" t="s">
        <v>2610</v>
      </c>
      <c r="N162" s="52">
        <v>45340</v>
      </c>
      <c r="O162" s="48">
        <v>1</v>
      </c>
      <c r="P162" s="32"/>
      <c r="Q162" s="56"/>
      <c r="R162" s="49"/>
      <c r="S162" s="49"/>
      <c r="T162" s="32"/>
      <c r="U162" s="49"/>
      <c r="V162" s="32"/>
      <c r="W162" s="49"/>
      <c r="X162" s="50"/>
      <c r="Y162" s="49"/>
      <c r="Z162" s="51"/>
      <c r="AA162" s="49"/>
      <c r="AB162" s="49"/>
      <c r="AC162" s="49"/>
      <c r="AD162" s="49"/>
      <c r="AE162" s="49"/>
    </row>
    <row r="163" spans="1:32" x14ac:dyDescent="0.25">
      <c r="A163" s="53">
        <v>45340</v>
      </c>
      <c r="B163" s="40" t="s">
        <v>3100</v>
      </c>
      <c r="C163" s="41">
        <v>43814696</v>
      </c>
      <c r="D163" s="42">
        <v>3154753846</v>
      </c>
      <c r="E163" s="26" t="s">
        <v>493</v>
      </c>
      <c r="F163" s="32"/>
      <c r="G163" s="45"/>
      <c r="H163" s="44"/>
      <c r="I163" s="45"/>
      <c r="J163" s="45"/>
      <c r="K163" s="45"/>
      <c r="L163" s="45"/>
      <c r="M163" s="51" t="s">
        <v>2610</v>
      </c>
      <c r="N163" s="52">
        <v>45340</v>
      </c>
      <c r="O163" s="48">
        <v>2</v>
      </c>
      <c r="P163" s="32"/>
      <c r="Q163" s="56"/>
      <c r="R163" s="49"/>
      <c r="S163" s="49"/>
      <c r="T163" s="32"/>
      <c r="U163" s="49"/>
      <c r="V163" s="32"/>
      <c r="W163" s="49"/>
      <c r="X163" s="50"/>
      <c r="Y163" s="49"/>
      <c r="Z163" s="51"/>
      <c r="AA163" s="49"/>
      <c r="AB163" s="49"/>
      <c r="AC163" s="49"/>
      <c r="AD163" s="49"/>
      <c r="AE163" s="49"/>
    </row>
    <row r="164" spans="1:32" ht="17.25" customHeight="1" x14ac:dyDescent="0.25">
      <c r="A164" s="67"/>
      <c r="B164" s="67"/>
      <c r="C164" s="68"/>
      <c r="D164" s="69"/>
      <c r="E164" s="70"/>
      <c r="F164" s="71"/>
      <c r="G164" s="69"/>
      <c r="H164" s="72"/>
      <c r="I164" s="69"/>
      <c r="J164" s="69"/>
      <c r="K164" s="69"/>
      <c r="L164" s="69"/>
      <c r="M164" s="72"/>
      <c r="N164" s="67"/>
      <c r="O164" s="73"/>
      <c r="P164" s="71"/>
      <c r="Q164" s="74"/>
      <c r="R164" s="71"/>
      <c r="S164" s="71"/>
      <c r="T164" s="71"/>
      <c r="U164" s="74"/>
      <c r="V164" s="71"/>
      <c r="W164" s="74"/>
      <c r="X164" s="71"/>
      <c r="Y164" s="71"/>
      <c r="Z164" s="71"/>
      <c r="AA164" s="71"/>
      <c r="AB164" s="71"/>
      <c r="AC164" s="71"/>
      <c r="AD164" s="71"/>
      <c r="AE164" s="71"/>
      <c r="AF164" s="75"/>
    </row>
    <row r="165" spans="1:32" x14ac:dyDescent="0.25">
      <c r="A165" s="53">
        <v>45340</v>
      </c>
      <c r="B165" s="40" t="s">
        <v>3101</v>
      </c>
      <c r="C165" s="41">
        <v>1035302697</v>
      </c>
      <c r="D165" s="42">
        <v>3235061085</v>
      </c>
      <c r="E165" s="26" t="s">
        <v>493</v>
      </c>
      <c r="F165" s="32"/>
      <c r="G165" s="45" t="s">
        <v>3102</v>
      </c>
      <c r="H165" s="44"/>
      <c r="I165" s="45"/>
      <c r="J165" s="45"/>
      <c r="K165" s="45"/>
      <c r="L165" s="45"/>
      <c r="M165" s="51" t="s">
        <v>2610</v>
      </c>
      <c r="N165" s="52"/>
      <c r="O165" s="48">
        <v>2</v>
      </c>
      <c r="P165" s="32"/>
      <c r="Q165" s="56"/>
      <c r="R165" s="49"/>
      <c r="S165" s="49"/>
      <c r="T165" s="32"/>
      <c r="U165" s="49"/>
      <c r="V165" s="32"/>
      <c r="W165" s="49"/>
      <c r="X165" s="50"/>
      <c r="Y165" s="49"/>
      <c r="Z165" s="51" t="s">
        <v>3103</v>
      </c>
      <c r="AA165" s="49"/>
      <c r="AB165" s="49"/>
      <c r="AC165" s="49"/>
      <c r="AD165" s="49"/>
      <c r="AE165" s="49"/>
    </row>
    <row r="166" spans="1:32" x14ac:dyDescent="0.25">
      <c r="A166" s="53">
        <v>45340</v>
      </c>
      <c r="B166" s="40" t="s">
        <v>3104</v>
      </c>
      <c r="C166" s="41">
        <v>1033653731</v>
      </c>
      <c r="D166" s="42">
        <v>3103859453</v>
      </c>
      <c r="E166" s="26" t="s">
        <v>493</v>
      </c>
      <c r="F166" s="32"/>
      <c r="G166" s="45" t="s">
        <v>3105</v>
      </c>
      <c r="H166" s="44"/>
      <c r="I166" s="45"/>
      <c r="J166" s="45"/>
      <c r="K166" s="45"/>
      <c r="L166" s="45"/>
      <c r="M166" s="51" t="s">
        <v>2610</v>
      </c>
      <c r="N166" s="52"/>
      <c r="O166" s="48">
        <v>2</v>
      </c>
      <c r="P166" s="32"/>
      <c r="Q166" s="56"/>
      <c r="R166" s="49"/>
      <c r="S166" s="49"/>
      <c r="T166" s="32"/>
      <c r="U166" s="49"/>
      <c r="V166" s="32"/>
      <c r="W166" s="49"/>
      <c r="X166" s="50"/>
      <c r="Y166" s="49"/>
      <c r="Z166" s="51"/>
      <c r="AA166" s="49"/>
      <c r="AB166" s="49"/>
      <c r="AC166" s="49"/>
      <c r="AD166" s="49"/>
      <c r="AE166" s="49"/>
    </row>
    <row r="167" spans="1:32" x14ac:dyDescent="0.25">
      <c r="A167" s="53">
        <v>45340</v>
      </c>
      <c r="B167" s="40" t="s">
        <v>3106</v>
      </c>
      <c r="C167" s="41">
        <v>1049564109</v>
      </c>
      <c r="D167" s="42">
        <v>3136160646</v>
      </c>
      <c r="E167" s="26" t="s">
        <v>493</v>
      </c>
      <c r="F167" s="32"/>
      <c r="G167" s="45" t="s">
        <v>3107</v>
      </c>
      <c r="H167" s="44"/>
      <c r="I167" s="45"/>
      <c r="J167" s="45"/>
      <c r="K167" s="45"/>
      <c r="L167" s="45"/>
      <c r="M167" s="51" t="s">
        <v>2610</v>
      </c>
      <c r="N167" s="52"/>
      <c r="O167" s="48">
        <v>1</v>
      </c>
      <c r="P167" s="32"/>
      <c r="Q167" s="56"/>
      <c r="R167" s="49"/>
      <c r="S167" s="49"/>
      <c r="T167" s="32"/>
      <c r="U167" s="49"/>
      <c r="V167" s="32"/>
      <c r="W167" s="49"/>
      <c r="X167" s="50"/>
      <c r="Y167" s="49"/>
      <c r="Z167" s="51" t="s">
        <v>3108</v>
      </c>
      <c r="AA167" s="49"/>
      <c r="AB167" s="49"/>
      <c r="AC167" s="49"/>
      <c r="AD167" s="49"/>
      <c r="AE167" s="49"/>
    </row>
    <row r="168" spans="1:32" x14ac:dyDescent="0.25">
      <c r="A168" s="53">
        <v>45340</v>
      </c>
      <c r="B168" s="40" t="s">
        <v>3109</v>
      </c>
      <c r="C168" s="41">
        <v>43277433</v>
      </c>
      <c r="D168" s="42">
        <v>3233647694</v>
      </c>
      <c r="E168" s="26" t="s">
        <v>493</v>
      </c>
      <c r="F168" s="32"/>
      <c r="G168" s="45" t="s">
        <v>3110</v>
      </c>
      <c r="H168" s="44"/>
      <c r="I168" s="45"/>
      <c r="J168" s="45"/>
      <c r="K168" s="45"/>
      <c r="L168" s="45"/>
      <c r="M168" s="51" t="s">
        <v>2610</v>
      </c>
      <c r="N168" s="52"/>
      <c r="O168" s="48">
        <v>2</v>
      </c>
      <c r="P168" s="32"/>
      <c r="Q168" s="56"/>
      <c r="R168" s="49"/>
      <c r="S168" s="49"/>
      <c r="T168" s="32"/>
      <c r="U168" s="49"/>
      <c r="V168" s="32"/>
      <c r="W168" s="49"/>
      <c r="X168" s="50"/>
      <c r="Y168" s="49"/>
      <c r="Z168" s="51" t="s">
        <v>3111</v>
      </c>
      <c r="AA168" s="49"/>
      <c r="AB168" s="49"/>
      <c r="AC168" s="49"/>
      <c r="AD168" s="49"/>
      <c r="AE168" s="49"/>
    </row>
    <row r="169" spans="1:32" x14ac:dyDescent="0.25">
      <c r="A169" s="53">
        <v>45340</v>
      </c>
      <c r="B169" s="40" t="s">
        <v>3112</v>
      </c>
      <c r="C169" s="41">
        <v>670887</v>
      </c>
      <c r="D169" s="42">
        <v>3103727847</v>
      </c>
      <c r="E169" s="26" t="s">
        <v>493</v>
      </c>
      <c r="F169" s="32"/>
      <c r="G169" s="45" t="s">
        <v>2212</v>
      </c>
      <c r="H169" s="44"/>
      <c r="I169" s="45"/>
      <c r="J169" s="45"/>
      <c r="K169" s="45"/>
      <c r="L169" s="45"/>
      <c r="M169" s="51" t="s">
        <v>2648</v>
      </c>
      <c r="N169" s="52"/>
      <c r="O169" s="48">
        <v>1</v>
      </c>
      <c r="P169" s="32"/>
      <c r="Q169" s="56"/>
      <c r="R169" s="49"/>
      <c r="S169" s="49"/>
      <c r="T169" s="32"/>
      <c r="U169" s="49"/>
      <c r="V169" s="32"/>
      <c r="W169" s="49"/>
      <c r="X169" s="50"/>
      <c r="Y169" s="49"/>
      <c r="Z169" s="51" t="s">
        <v>3113</v>
      </c>
      <c r="AA169" s="49"/>
      <c r="AB169" s="49"/>
      <c r="AC169" s="49"/>
      <c r="AD169" s="49"/>
      <c r="AE169" s="49"/>
    </row>
    <row r="170" spans="1:32" x14ac:dyDescent="0.25">
      <c r="A170" s="53">
        <v>45340</v>
      </c>
      <c r="B170" s="40" t="s">
        <v>1752</v>
      </c>
      <c r="C170" s="41">
        <v>1237443428</v>
      </c>
      <c r="D170" s="42">
        <v>3123957247</v>
      </c>
      <c r="E170" s="26" t="s">
        <v>493</v>
      </c>
      <c r="F170" s="32"/>
      <c r="G170" s="45" t="s">
        <v>3114</v>
      </c>
      <c r="H170" s="44"/>
      <c r="I170" s="45"/>
      <c r="J170" s="45"/>
      <c r="K170" s="45"/>
      <c r="L170" s="45"/>
      <c r="M170" s="51" t="s">
        <v>2610</v>
      </c>
      <c r="N170" s="52"/>
      <c r="O170" s="48">
        <v>1</v>
      </c>
      <c r="P170" s="32"/>
      <c r="Q170" s="56"/>
      <c r="R170" s="49"/>
      <c r="S170" s="49"/>
      <c r="T170" s="32"/>
      <c r="U170" s="49"/>
      <c r="V170" s="32"/>
      <c r="W170" s="49"/>
      <c r="X170" s="50"/>
      <c r="Y170" s="49"/>
      <c r="Z170" s="51" t="s">
        <v>3115</v>
      </c>
      <c r="AA170" s="49"/>
      <c r="AB170" s="49"/>
      <c r="AC170" s="49"/>
      <c r="AD170" s="49"/>
      <c r="AE170" s="49"/>
    </row>
    <row r="171" spans="1:32" x14ac:dyDescent="0.25">
      <c r="A171" s="53">
        <v>45340</v>
      </c>
      <c r="B171" s="40" t="s">
        <v>3116</v>
      </c>
      <c r="C171" s="41">
        <v>43268402</v>
      </c>
      <c r="D171" s="42">
        <v>3235954376</v>
      </c>
      <c r="E171" s="26" t="s">
        <v>493</v>
      </c>
      <c r="F171" s="32"/>
      <c r="G171" s="45" t="s">
        <v>3117</v>
      </c>
      <c r="H171" s="44"/>
      <c r="I171" s="45"/>
      <c r="J171" s="45"/>
      <c r="K171" s="45"/>
      <c r="L171" s="45"/>
      <c r="M171" s="51" t="s">
        <v>2610</v>
      </c>
      <c r="N171" s="52"/>
      <c r="O171" s="48">
        <v>2</v>
      </c>
      <c r="P171" s="32"/>
      <c r="Q171" s="56"/>
      <c r="R171" s="49"/>
      <c r="S171" s="49"/>
      <c r="T171" s="32"/>
      <c r="U171" s="49"/>
      <c r="V171" s="32"/>
      <c r="W171" s="49"/>
      <c r="X171" s="50"/>
      <c r="Y171" s="49"/>
      <c r="Z171" s="51" t="s">
        <v>3118</v>
      </c>
      <c r="AA171" s="49"/>
      <c r="AB171" s="49"/>
      <c r="AC171" s="49"/>
      <c r="AD171" s="49"/>
      <c r="AE171" s="49"/>
    </row>
    <row r="172" spans="1:32" x14ac:dyDescent="0.25">
      <c r="A172" s="53">
        <v>45340</v>
      </c>
      <c r="B172" s="40" t="s">
        <v>3119</v>
      </c>
      <c r="C172" s="41">
        <v>1046954173</v>
      </c>
      <c r="D172" s="42">
        <v>3117057815</v>
      </c>
      <c r="E172" s="26" t="s">
        <v>493</v>
      </c>
      <c r="F172" s="32"/>
      <c r="G172" s="45" t="s">
        <v>3120</v>
      </c>
      <c r="H172" s="44"/>
      <c r="I172" s="45"/>
      <c r="J172" s="45"/>
      <c r="K172" s="45"/>
      <c r="L172" s="45"/>
      <c r="M172" s="51" t="s">
        <v>2610</v>
      </c>
      <c r="N172" s="52"/>
      <c r="O172" s="48">
        <v>1</v>
      </c>
      <c r="P172" s="32"/>
      <c r="Q172" s="56"/>
      <c r="R172" s="49"/>
      <c r="S172" s="49"/>
      <c r="T172" s="32"/>
      <c r="U172" s="49"/>
      <c r="V172" s="32"/>
      <c r="W172" s="49"/>
      <c r="X172" s="50"/>
      <c r="Y172" s="49"/>
      <c r="Z172" s="51" t="s">
        <v>3121</v>
      </c>
      <c r="AA172" s="49"/>
      <c r="AB172" s="49"/>
      <c r="AC172" s="49"/>
      <c r="AD172" s="49"/>
      <c r="AE172" s="49"/>
    </row>
    <row r="173" spans="1:32" x14ac:dyDescent="0.25">
      <c r="A173" s="53">
        <v>45340</v>
      </c>
      <c r="B173" s="40" t="s">
        <v>1731</v>
      </c>
      <c r="C173" s="41">
        <v>26317393</v>
      </c>
      <c r="D173" s="42">
        <v>3215985163</v>
      </c>
      <c r="E173" s="26" t="s">
        <v>493</v>
      </c>
      <c r="F173" s="32"/>
      <c r="G173" s="45" t="s">
        <v>1730</v>
      </c>
      <c r="H173" s="44"/>
      <c r="I173" s="45"/>
      <c r="J173" s="45"/>
      <c r="K173" s="45"/>
      <c r="L173" s="45"/>
      <c r="M173" s="51" t="s">
        <v>2610</v>
      </c>
      <c r="N173" s="52"/>
      <c r="O173" s="48">
        <v>3</v>
      </c>
      <c r="P173" s="32"/>
      <c r="Q173" s="56"/>
      <c r="R173" s="49"/>
      <c r="S173" s="49"/>
      <c r="T173" s="32"/>
      <c r="U173" s="49"/>
      <c r="V173" s="32"/>
      <c r="W173" s="49"/>
      <c r="X173" s="50"/>
      <c r="Y173" s="49"/>
      <c r="Z173" s="51"/>
      <c r="AA173" s="49"/>
      <c r="AB173" s="49"/>
      <c r="AC173" s="49"/>
      <c r="AD173" s="49"/>
      <c r="AE173" s="49"/>
    </row>
    <row r="174" spans="1:32" x14ac:dyDescent="0.25">
      <c r="A174" s="53">
        <v>45340</v>
      </c>
      <c r="B174" s="40" t="s">
        <v>3122</v>
      </c>
      <c r="C174" s="41">
        <v>43910453</v>
      </c>
      <c r="D174" s="42">
        <v>3234513270</v>
      </c>
      <c r="E174" s="26" t="s">
        <v>493</v>
      </c>
      <c r="F174" s="32"/>
      <c r="G174" s="45" t="s">
        <v>199</v>
      </c>
      <c r="H174" s="44"/>
      <c r="I174" s="45"/>
      <c r="J174" s="45"/>
      <c r="K174" s="45"/>
      <c r="L174" s="45"/>
      <c r="M174" s="51" t="s">
        <v>2610</v>
      </c>
      <c r="N174" s="52"/>
      <c r="O174" s="48">
        <v>2</v>
      </c>
      <c r="P174" s="32"/>
      <c r="Q174" s="56"/>
      <c r="R174" s="49"/>
      <c r="S174" s="49"/>
      <c r="T174" s="32"/>
      <c r="U174" s="49"/>
      <c r="V174" s="32"/>
      <c r="W174" s="49"/>
      <c r="X174" s="50"/>
      <c r="Y174" s="49"/>
      <c r="Z174" s="51" t="s">
        <v>3123</v>
      </c>
      <c r="AA174" s="49"/>
      <c r="AB174" s="49"/>
      <c r="AC174" s="49"/>
      <c r="AD174" s="49"/>
      <c r="AE174" s="49"/>
    </row>
    <row r="175" spans="1:32" x14ac:dyDescent="0.25">
      <c r="A175" s="53">
        <v>45340</v>
      </c>
      <c r="B175" s="40" t="s">
        <v>3124</v>
      </c>
      <c r="C175" s="41">
        <v>43117671</v>
      </c>
      <c r="D175" s="42">
        <v>3107175497</v>
      </c>
      <c r="E175" s="26" t="s">
        <v>493</v>
      </c>
      <c r="F175" s="32"/>
      <c r="G175" s="45" t="s">
        <v>3125</v>
      </c>
      <c r="H175" s="44"/>
      <c r="I175" s="45"/>
      <c r="J175" s="45"/>
      <c r="K175" s="45"/>
      <c r="L175" s="45"/>
      <c r="M175" s="51" t="s">
        <v>2610</v>
      </c>
      <c r="N175" s="52"/>
      <c r="O175" s="48">
        <v>2</v>
      </c>
      <c r="P175" s="32"/>
      <c r="Q175" s="56"/>
      <c r="R175" s="49"/>
      <c r="S175" s="49"/>
      <c r="T175" s="32"/>
      <c r="U175" s="49"/>
      <c r="V175" s="32"/>
      <c r="W175" s="49"/>
      <c r="X175" s="50"/>
      <c r="Y175" s="49"/>
      <c r="Z175" s="51" t="s">
        <v>3126</v>
      </c>
      <c r="AA175" s="49"/>
      <c r="AB175" s="49"/>
      <c r="AC175" s="49"/>
      <c r="AD175" s="49"/>
      <c r="AE175" s="49"/>
    </row>
    <row r="176" spans="1:32" x14ac:dyDescent="0.25">
      <c r="A176" s="53">
        <v>45340</v>
      </c>
      <c r="B176" s="40" t="s">
        <v>3127</v>
      </c>
      <c r="C176" s="41">
        <v>71410283</v>
      </c>
      <c r="D176" s="42">
        <v>3116018971</v>
      </c>
      <c r="E176" s="26" t="s">
        <v>493</v>
      </c>
      <c r="F176" s="32"/>
      <c r="G176" s="45" t="s">
        <v>3128</v>
      </c>
      <c r="H176" s="44"/>
      <c r="I176" s="45"/>
      <c r="J176" s="45"/>
      <c r="K176" s="45"/>
      <c r="L176" s="45"/>
      <c r="M176" s="51" t="s">
        <v>2610</v>
      </c>
      <c r="N176" s="52"/>
      <c r="O176" s="48">
        <v>1</v>
      </c>
      <c r="P176" s="32"/>
      <c r="Q176" s="56"/>
      <c r="R176" s="49"/>
      <c r="S176" s="49"/>
      <c r="T176" s="32"/>
      <c r="U176" s="49"/>
      <c r="V176" s="32"/>
      <c r="W176" s="49"/>
      <c r="X176" s="50"/>
      <c r="Y176" s="49"/>
      <c r="Z176" s="51" t="s">
        <v>3129</v>
      </c>
      <c r="AA176" s="49"/>
      <c r="AB176" s="49"/>
      <c r="AC176" s="49"/>
      <c r="AD176" s="49"/>
      <c r="AE176" s="49"/>
    </row>
    <row r="177" spans="1:31" x14ac:dyDescent="0.25">
      <c r="A177" s="53">
        <v>45340</v>
      </c>
      <c r="B177" s="40" t="s">
        <v>3130</v>
      </c>
      <c r="C177" s="41">
        <v>27642872</v>
      </c>
      <c r="D177" s="42">
        <v>3127297661</v>
      </c>
      <c r="E177" s="26" t="s">
        <v>493</v>
      </c>
      <c r="F177" s="32"/>
      <c r="G177" s="45" t="s">
        <v>2097</v>
      </c>
      <c r="H177" s="44"/>
      <c r="I177" s="45"/>
      <c r="J177" s="45"/>
      <c r="K177" s="45"/>
      <c r="L177" s="45"/>
      <c r="M177" s="51" t="s">
        <v>2610</v>
      </c>
      <c r="N177" s="52"/>
      <c r="O177" s="48">
        <v>3</v>
      </c>
      <c r="P177" s="32"/>
      <c r="Q177" s="56"/>
      <c r="R177" s="49"/>
      <c r="S177" s="49"/>
      <c r="T177" s="32"/>
      <c r="U177" s="49"/>
      <c r="V177" s="32"/>
      <c r="W177" s="49"/>
      <c r="X177" s="50"/>
      <c r="Y177" s="49"/>
      <c r="Z177" s="51" t="s">
        <v>3131</v>
      </c>
      <c r="AA177" s="49"/>
      <c r="AB177" s="49"/>
      <c r="AC177" s="49"/>
      <c r="AD177" s="49"/>
      <c r="AE177" s="49"/>
    </row>
    <row r="178" spans="1:31" x14ac:dyDescent="0.25">
      <c r="A178" s="53">
        <v>45340</v>
      </c>
      <c r="B178" s="40" t="s">
        <v>3132</v>
      </c>
      <c r="C178" s="41">
        <v>43852044</v>
      </c>
      <c r="D178" s="42">
        <v>3235999833</v>
      </c>
      <c r="E178" s="26" t="s">
        <v>493</v>
      </c>
      <c r="F178" s="32"/>
      <c r="G178" s="45" t="s">
        <v>1039</v>
      </c>
      <c r="H178" s="44"/>
      <c r="I178" s="45"/>
      <c r="J178" s="45"/>
      <c r="K178" s="45"/>
      <c r="L178" s="45"/>
      <c r="M178" s="51" t="s">
        <v>2644</v>
      </c>
      <c r="N178" s="52"/>
      <c r="O178" s="48">
        <v>2</v>
      </c>
      <c r="P178" s="32" t="s">
        <v>2646</v>
      </c>
      <c r="Q178" s="56">
        <v>45514</v>
      </c>
      <c r="R178" s="49"/>
      <c r="S178" s="49"/>
      <c r="T178" s="32"/>
      <c r="U178" s="49"/>
      <c r="V178" s="32"/>
      <c r="W178" s="49"/>
      <c r="X178" s="50"/>
      <c r="Y178" s="49"/>
      <c r="Z178" s="51" t="s">
        <v>3133</v>
      </c>
      <c r="AA178" s="49"/>
      <c r="AB178" s="49"/>
      <c r="AC178" s="49"/>
      <c r="AD178" s="49"/>
      <c r="AE178" s="49"/>
    </row>
    <row r="179" spans="1:31" x14ac:dyDescent="0.25">
      <c r="A179" s="53">
        <v>45340</v>
      </c>
      <c r="B179" s="40" t="s">
        <v>1717</v>
      </c>
      <c r="C179" s="41">
        <v>1037044359</v>
      </c>
      <c r="D179" s="42">
        <v>3215943426</v>
      </c>
      <c r="E179" s="26" t="s">
        <v>493</v>
      </c>
      <c r="F179" s="32"/>
      <c r="G179" s="45" t="s">
        <v>3134</v>
      </c>
      <c r="H179" s="44"/>
      <c r="I179" s="45"/>
      <c r="J179" s="45"/>
      <c r="K179" s="45"/>
      <c r="L179" s="45"/>
      <c r="M179" s="51" t="s">
        <v>2610</v>
      </c>
      <c r="N179" s="52"/>
      <c r="O179" s="48">
        <v>1</v>
      </c>
      <c r="P179" s="32"/>
      <c r="Q179" s="56"/>
      <c r="R179" s="49"/>
      <c r="S179" s="49"/>
      <c r="T179" s="32"/>
      <c r="U179" s="49"/>
      <c r="V179" s="32"/>
      <c r="W179" s="49"/>
      <c r="X179" s="50"/>
      <c r="Y179" s="49"/>
      <c r="Z179" s="51"/>
      <c r="AA179" s="49"/>
      <c r="AB179" s="49"/>
      <c r="AC179" s="49"/>
      <c r="AD179" s="49"/>
      <c r="AE179" s="49"/>
    </row>
    <row r="180" spans="1:31" x14ac:dyDescent="0.25">
      <c r="A180" s="53">
        <v>45340</v>
      </c>
      <c r="B180" s="40" t="s">
        <v>3135</v>
      </c>
      <c r="C180" s="41">
        <v>43110714</v>
      </c>
      <c r="D180" s="42">
        <v>3057737084</v>
      </c>
      <c r="E180" s="26" t="s">
        <v>493</v>
      </c>
      <c r="F180" s="32"/>
      <c r="G180" s="45" t="s">
        <v>2577</v>
      </c>
      <c r="H180" s="44"/>
      <c r="I180" s="45"/>
      <c r="J180" s="45"/>
      <c r="K180" s="45"/>
      <c r="L180" s="45"/>
      <c r="M180" s="51" t="s">
        <v>2610</v>
      </c>
      <c r="N180" s="52"/>
      <c r="O180" s="48">
        <v>1</v>
      </c>
      <c r="P180" s="32"/>
      <c r="Q180" s="56"/>
      <c r="R180" s="49"/>
      <c r="S180" s="49"/>
      <c r="T180" s="32"/>
      <c r="U180" s="49"/>
      <c r="V180" s="32"/>
      <c r="W180" s="49"/>
      <c r="X180" s="50"/>
      <c r="Y180" s="49"/>
      <c r="Z180" s="51" t="s">
        <v>3136</v>
      </c>
      <c r="AA180" s="49"/>
      <c r="AB180" s="49"/>
      <c r="AC180" s="49"/>
      <c r="AD180" s="49"/>
      <c r="AE180" s="49"/>
    </row>
    <row r="181" spans="1:31" x14ac:dyDescent="0.25">
      <c r="A181" s="53">
        <v>45340</v>
      </c>
      <c r="B181" s="40" t="s">
        <v>3137</v>
      </c>
      <c r="C181" s="41">
        <v>128473932</v>
      </c>
      <c r="D181" s="42">
        <v>3244669832</v>
      </c>
      <c r="E181" s="26" t="s">
        <v>493</v>
      </c>
      <c r="F181" s="32"/>
      <c r="G181" s="45" t="s">
        <v>3138</v>
      </c>
      <c r="H181" s="44"/>
      <c r="I181" s="45"/>
      <c r="J181" s="45"/>
      <c r="K181" s="45"/>
      <c r="L181" s="45"/>
      <c r="M181" s="51" t="s">
        <v>2610</v>
      </c>
      <c r="N181" s="52"/>
      <c r="O181" s="48">
        <v>1</v>
      </c>
      <c r="P181" s="32"/>
      <c r="Q181" s="56"/>
      <c r="R181" s="49"/>
      <c r="S181" s="49"/>
      <c r="T181" s="32"/>
      <c r="U181" s="49"/>
      <c r="V181" s="32"/>
      <c r="W181" s="49"/>
      <c r="X181" s="50"/>
      <c r="Y181" s="49"/>
      <c r="Z181" s="51" t="s">
        <v>3139</v>
      </c>
      <c r="AA181" s="49"/>
      <c r="AB181" s="49"/>
      <c r="AC181" s="49"/>
      <c r="AD181" s="49"/>
      <c r="AE181" s="49"/>
    </row>
    <row r="182" spans="1:31" x14ac:dyDescent="0.25">
      <c r="A182" s="53">
        <v>45340</v>
      </c>
      <c r="B182" s="40" t="s">
        <v>3140</v>
      </c>
      <c r="C182" s="41">
        <v>43544168</v>
      </c>
      <c r="D182" s="42">
        <v>3023806136</v>
      </c>
      <c r="E182" s="26" t="s">
        <v>493</v>
      </c>
      <c r="F182" s="32"/>
      <c r="G182" s="45" t="s">
        <v>3141</v>
      </c>
      <c r="H182" s="44"/>
      <c r="I182" s="45"/>
      <c r="J182" s="45"/>
      <c r="K182" s="45"/>
      <c r="L182" s="45"/>
      <c r="M182" s="51" t="s">
        <v>2610</v>
      </c>
      <c r="N182" s="52"/>
      <c r="O182" s="48">
        <v>1</v>
      </c>
      <c r="P182" s="32"/>
      <c r="Q182" s="56"/>
      <c r="R182" s="49"/>
      <c r="S182" s="49"/>
      <c r="T182" s="32"/>
      <c r="U182" s="49"/>
      <c r="V182" s="32"/>
      <c r="W182" s="49"/>
      <c r="X182" s="50"/>
      <c r="Y182" s="49"/>
      <c r="Z182" s="51" t="s">
        <v>3142</v>
      </c>
      <c r="AA182" s="49"/>
      <c r="AB182" s="49"/>
      <c r="AC182" s="49"/>
      <c r="AD182" s="49"/>
      <c r="AE182" s="49"/>
    </row>
    <row r="183" spans="1:31" x14ac:dyDescent="0.25">
      <c r="A183" s="53">
        <v>45340</v>
      </c>
      <c r="B183" s="40" t="s">
        <v>3143</v>
      </c>
      <c r="C183" s="41">
        <v>43781820</v>
      </c>
      <c r="D183" s="42">
        <v>3136095069</v>
      </c>
      <c r="E183" s="26" t="s">
        <v>493</v>
      </c>
      <c r="F183" s="32"/>
      <c r="G183" s="45" t="s">
        <v>3144</v>
      </c>
      <c r="H183" s="44"/>
      <c r="I183" s="45"/>
      <c r="J183" s="45"/>
      <c r="K183" s="45"/>
      <c r="L183" s="45"/>
      <c r="M183" s="51" t="s">
        <v>2644</v>
      </c>
      <c r="N183" s="52"/>
      <c r="O183" s="48">
        <v>3</v>
      </c>
      <c r="P183" s="32"/>
      <c r="Q183" s="56"/>
      <c r="R183" s="49"/>
      <c r="S183" s="49"/>
      <c r="T183" s="32"/>
      <c r="U183" s="49"/>
      <c r="V183" s="32"/>
      <c r="W183" s="49"/>
      <c r="X183" s="50" t="s">
        <v>2646</v>
      </c>
      <c r="Y183" s="61">
        <v>45430</v>
      </c>
      <c r="Z183" s="51" t="s">
        <v>3145</v>
      </c>
      <c r="AA183" s="49"/>
      <c r="AB183" s="49"/>
      <c r="AC183" s="49"/>
      <c r="AD183" s="49"/>
      <c r="AE183" s="49"/>
    </row>
    <row r="184" spans="1:31" x14ac:dyDescent="0.25">
      <c r="A184" s="53">
        <v>45340</v>
      </c>
      <c r="B184" s="40" t="s">
        <v>3146</v>
      </c>
      <c r="C184" s="41">
        <v>100140331</v>
      </c>
      <c r="D184" s="42">
        <v>3128199502</v>
      </c>
      <c r="E184" s="26" t="s">
        <v>493</v>
      </c>
      <c r="F184" s="32"/>
      <c r="G184" s="45" t="s">
        <v>3147</v>
      </c>
      <c r="H184" s="44"/>
      <c r="I184" s="45"/>
      <c r="J184" s="45"/>
      <c r="K184" s="45"/>
      <c r="L184" s="45"/>
      <c r="M184" s="51" t="s">
        <v>2644</v>
      </c>
      <c r="N184" s="52"/>
      <c r="O184" s="48">
        <v>3</v>
      </c>
      <c r="P184" s="32" t="s">
        <v>2646</v>
      </c>
      <c r="Q184" s="56">
        <v>45584</v>
      </c>
      <c r="R184" s="49"/>
      <c r="S184" s="49"/>
      <c r="T184" s="32" t="s">
        <v>2646</v>
      </c>
      <c r="U184" s="49" t="s">
        <v>2843</v>
      </c>
      <c r="V184" s="32"/>
      <c r="W184" s="49"/>
      <c r="X184" s="50"/>
      <c r="Y184" s="49"/>
      <c r="Z184" s="51" t="s">
        <v>3148</v>
      </c>
      <c r="AA184" s="49"/>
      <c r="AB184" s="49"/>
      <c r="AC184" s="49"/>
      <c r="AD184" s="49"/>
      <c r="AE184" s="49"/>
    </row>
    <row r="185" spans="1:31" x14ac:dyDescent="0.25">
      <c r="A185" s="53">
        <v>45340</v>
      </c>
      <c r="B185" s="40" t="s">
        <v>3149</v>
      </c>
      <c r="C185" s="41">
        <v>12122362</v>
      </c>
      <c r="D185" s="42">
        <v>3005967442</v>
      </c>
      <c r="E185" s="26" t="s">
        <v>493</v>
      </c>
      <c r="F185" s="32"/>
      <c r="G185" s="45" t="s">
        <v>3150</v>
      </c>
      <c r="H185" s="44"/>
      <c r="I185" s="45"/>
      <c r="J185" s="45"/>
      <c r="K185" s="45"/>
      <c r="L185" s="45"/>
      <c r="M185" s="51" t="s">
        <v>2610</v>
      </c>
      <c r="N185" s="52"/>
      <c r="O185" s="48">
        <v>2</v>
      </c>
      <c r="P185" s="32"/>
      <c r="Q185" s="56"/>
      <c r="R185" s="49"/>
      <c r="S185" s="49"/>
      <c r="T185" s="32"/>
      <c r="U185" s="49"/>
      <c r="V185" s="32"/>
      <c r="W185" s="49"/>
      <c r="X185" s="50"/>
      <c r="Y185" s="49"/>
      <c r="Z185" s="51" t="s">
        <v>3151</v>
      </c>
      <c r="AA185" s="49"/>
      <c r="AB185" s="49"/>
      <c r="AC185" s="49"/>
      <c r="AD185" s="49"/>
      <c r="AE185" s="49"/>
    </row>
    <row r="186" spans="1:31" x14ac:dyDescent="0.25">
      <c r="A186" s="53">
        <v>45340</v>
      </c>
      <c r="B186" s="40" t="s">
        <v>3152</v>
      </c>
      <c r="C186" s="41">
        <v>1003337583</v>
      </c>
      <c r="D186" s="42">
        <v>3105245469</v>
      </c>
      <c r="E186" s="26" t="s">
        <v>493</v>
      </c>
      <c r="F186" s="32"/>
      <c r="G186" s="45" t="s">
        <v>613</v>
      </c>
      <c r="H186" s="44"/>
      <c r="I186" s="45"/>
      <c r="J186" s="45"/>
      <c r="K186" s="45"/>
      <c r="L186" s="45"/>
      <c r="M186" s="51" t="s">
        <v>2610</v>
      </c>
      <c r="N186" s="52"/>
      <c r="O186" s="48">
        <v>3</v>
      </c>
      <c r="P186" s="32"/>
      <c r="Q186" s="56"/>
      <c r="R186" s="49"/>
      <c r="S186" s="49"/>
      <c r="T186" s="32"/>
      <c r="U186" s="49"/>
      <c r="V186" s="32"/>
      <c r="W186" s="49"/>
      <c r="X186" s="50"/>
      <c r="Y186" s="49"/>
      <c r="Z186" s="51" t="s">
        <v>3153</v>
      </c>
      <c r="AA186" s="49"/>
      <c r="AB186" s="49"/>
      <c r="AC186" s="49"/>
      <c r="AD186" s="49"/>
      <c r="AE186" s="49"/>
    </row>
    <row r="187" spans="1:31" x14ac:dyDescent="0.25">
      <c r="A187" s="53">
        <v>45340</v>
      </c>
      <c r="B187" s="40" t="s">
        <v>3154</v>
      </c>
      <c r="C187" s="41">
        <v>43652207</v>
      </c>
      <c r="D187" s="42">
        <v>3015943559</v>
      </c>
      <c r="E187" s="26" t="s">
        <v>493</v>
      </c>
      <c r="F187" s="32"/>
      <c r="G187" s="45" t="s">
        <v>3155</v>
      </c>
      <c r="H187" s="44"/>
      <c r="I187" s="45"/>
      <c r="J187" s="45"/>
      <c r="K187" s="45"/>
      <c r="L187" s="45"/>
      <c r="M187" s="51" t="s">
        <v>2610</v>
      </c>
      <c r="N187" s="52"/>
      <c r="O187" s="48">
        <v>2</v>
      </c>
      <c r="P187" s="32"/>
      <c r="Q187" s="56"/>
      <c r="R187" s="49"/>
      <c r="S187" s="49"/>
      <c r="T187" s="32"/>
      <c r="U187" s="49"/>
      <c r="V187" s="32"/>
      <c r="W187" s="49"/>
      <c r="X187" s="50"/>
      <c r="Y187" s="49"/>
      <c r="Z187" s="51" t="s">
        <v>3156</v>
      </c>
      <c r="AA187" s="49"/>
      <c r="AB187" s="49"/>
      <c r="AC187" s="49"/>
      <c r="AD187" s="49"/>
      <c r="AE187" s="49"/>
    </row>
    <row r="188" spans="1:31" x14ac:dyDescent="0.25">
      <c r="A188" s="53"/>
      <c r="B188" s="40" t="s">
        <v>1211</v>
      </c>
      <c r="C188" s="41"/>
      <c r="D188" s="42">
        <v>3136954216</v>
      </c>
      <c r="E188" s="26" t="s">
        <v>493</v>
      </c>
      <c r="F188" s="32"/>
      <c r="G188" s="45"/>
      <c r="H188" s="44"/>
      <c r="I188" s="45"/>
      <c r="J188" s="45"/>
      <c r="K188" s="45"/>
      <c r="L188" s="45"/>
      <c r="M188" s="51"/>
      <c r="N188" s="52"/>
      <c r="O188" s="48"/>
      <c r="P188" s="32"/>
      <c r="Q188" s="56"/>
      <c r="R188" s="49"/>
      <c r="S188" s="49"/>
      <c r="T188" s="32"/>
      <c r="U188" s="49"/>
      <c r="V188" s="32"/>
      <c r="W188" s="49"/>
      <c r="X188" s="50"/>
      <c r="Y188" s="49"/>
      <c r="Z188" s="51"/>
      <c r="AA188" s="49"/>
      <c r="AB188" s="49"/>
      <c r="AC188" s="49"/>
      <c r="AD188" s="49"/>
      <c r="AE188" s="49"/>
    </row>
    <row r="189" spans="1:31" x14ac:dyDescent="0.25">
      <c r="A189" s="53"/>
      <c r="B189" s="40" t="s">
        <v>3157</v>
      </c>
      <c r="C189" s="41"/>
      <c r="D189" s="42">
        <v>3153780056</v>
      </c>
      <c r="E189" s="26" t="s">
        <v>493</v>
      </c>
      <c r="F189" s="32"/>
      <c r="G189" s="45"/>
      <c r="H189" s="44"/>
      <c r="I189" s="45"/>
      <c r="J189" s="45"/>
      <c r="K189" s="45"/>
      <c r="L189" s="45"/>
      <c r="M189" s="51"/>
      <c r="N189" s="52"/>
      <c r="O189" s="48"/>
      <c r="P189" s="32"/>
      <c r="Q189" s="56"/>
      <c r="R189" s="49"/>
      <c r="S189" s="49"/>
      <c r="T189" s="32"/>
      <c r="U189" s="49"/>
      <c r="V189" s="32"/>
      <c r="W189" s="49"/>
      <c r="X189" s="50"/>
      <c r="Y189" s="49"/>
      <c r="Z189" s="51"/>
      <c r="AA189" s="49"/>
      <c r="AB189" s="49"/>
      <c r="AC189" s="49"/>
      <c r="AD189" s="49"/>
      <c r="AE189" s="49"/>
    </row>
    <row r="190" spans="1:31" x14ac:dyDescent="0.25">
      <c r="A190" s="53"/>
      <c r="B190" s="40" t="s">
        <v>3158</v>
      </c>
      <c r="C190" s="41"/>
      <c r="D190" s="42">
        <v>3192240870</v>
      </c>
      <c r="E190" s="26" t="s">
        <v>493</v>
      </c>
      <c r="F190" s="32"/>
      <c r="G190" s="45"/>
      <c r="H190" s="44"/>
      <c r="I190" s="45"/>
      <c r="J190" s="45"/>
      <c r="K190" s="45"/>
      <c r="L190" s="45"/>
      <c r="M190" s="51"/>
      <c r="N190" s="52"/>
      <c r="O190" s="48"/>
      <c r="P190" s="32"/>
      <c r="Q190" s="56"/>
      <c r="R190" s="49"/>
      <c r="S190" s="49"/>
      <c r="T190" s="32"/>
      <c r="U190" s="49"/>
      <c r="V190" s="32"/>
      <c r="W190" s="49"/>
      <c r="X190" s="50"/>
      <c r="Y190" s="49"/>
      <c r="Z190" s="51"/>
      <c r="AA190" s="49"/>
      <c r="AB190" s="49"/>
      <c r="AC190" s="49"/>
      <c r="AD190" s="49"/>
      <c r="AE190" s="49"/>
    </row>
    <row r="191" spans="1:31" x14ac:dyDescent="0.25">
      <c r="A191" s="53"/>
      <c r="B191" s="40" t="s">
        <v>1502</v>
      </c>
      <c r="C191" s="41">
        <v>43766561</v>
      </c>
      <c r="D191" s="42">
        <v>3126253991</v>
      </c>
      <c r="E191" s="26" t="s">
        <v>493</v>
      </c>
      <c r="F191" s="32"/>
      <c r="G191" s="45"/>
      <c r="H191" s="44"/>
      <c r="I191" s="45"/>
      <c r="J191" s="45"/>
      <c r="K191" s="45"/>
      <c r="L191" s="45"/>
      <c r="M191" s="51"/>
      <c r="N191" s="52"/>
      <c r="O191" s="48"/>
      <c r="P191" s="32"/>
      <c r="Q191" s="56"/>
      <c r="R191" s="49"/>
      <c r="S191" s="49"/>
      <c r="T191" s="32"/>
      <c r="U191" s="49"/>
      <c r="V191" s="32"/>
      <c r="W191" s="49"/>
      <c r="X191" s="50"/>
      <c r="Y191" s="49"/>
      <c r="Z191" s="51"/>
      <c r="AA191" s="49"/>
      <c r="AB191" s="49"/>
      <c r="AC191" s="49"/>
      <c r="AD191" s="49"/>
      <c r="AE191" s="49"/>
    </row>
    <row r="192" spans="1:31" x14ac:dyDescent="0.25">
      <c r="A192" s="53"/>
      <c r="B192" s="40" t="s">
        <v>3159</v>
      </c>
      <c r="C192" s="41">
        <v>32462614</v>
      </c>
      <c r="D192" s="42">
        <v>3206040708</v>
      </c>
      <c r="E192" s="26" t="s">
        <v>493</v>
      </c>
      <c r="F192" s="32"/>
      <c r="G192" s="45"/>
      <c r="H192" s="44"/>
      <c r="I192" s="45"/>
      <c r="J192" s="45"/>
      <c r="K192" s="45"/>
      <c r="L192" s="45"/>
      <c r="M192" s="51"/>
      <c r="N192" s="52"/>
      <c r="O192" s="48"/>
      <c r="P192" s="32"/>
      <c r="Q192" s="56"/>
      <c r="R192" s="49"/>
      <c r="S192" s="49"/>
      <c r="T192" s="32"/>
      <c r="U192" s="49"/>
      <c r="V192" s="32"/>
      <c r="W192" s="49"/>
      <c r="X192" s="50"/>
      <c r="Y192" s="49"/>
      <c r="Z192" s="51"/>
      <c r="AA192" s="49"/>
      <c r="AB192" s="49"/>
      <c r="AC192" s="49"/>
      <c r="AD192" s="49"/>
      <c r="AE192" s="49"/>
    </row>
    <row r="193" spans="1:31" x14ac:dyDescent="0.25">
      <c r="A193" s="53"/>
      <c r="B193" s="40" t="s">
        <v>3160</v>
      </c>
      <c r="C193" s="41">
        <v>10755042</v>
      </c>
      <c r="D193" s="42">
        <v>3005652324</v>
      </c>
      <c r="E193" s="26" t="s">
        <v>493</v>
      </c>
      <c r="F193" s="32"/>
      <c r="G193" s="45"/>
      <c r="H193" s="44"/>
      <c r="I193" s="45"/>
      <c r="J193" s="45"/>
      <c r="K193" s="45"/>
      <c r="L193" s="45"/>
      <c r="M193" s="51"/>
      <c r="N193" s="52"/>
      <c r="O193" s="48"/>
      <c r="P193" s="32"/>
      <c r="Q193" s="56"/>
      <c r="R193" s="49"/>
      <c r="S193" s="49"/>
      <c r="T193" s="32"/>
      <c r="U193" s="49"/>
      <c r="V193" s="32"/>
      <c r="W193" s="49"/>
      <c r="X193" s="50"/>
      <c r="Y193" s="49"/>
      <c r="Z193" s="51"/>
      <c r="AA193" s="49"/>
      <c r="AB193" s="49"/>
      <c r="AC193" s="49"/>
      <c r="AD193" s="49"/>
      <c r="AE193" s="49"/>
    </row>
    <row r="194" spans="1:31" x14ac:dyDescent="0.25">
      <c r="A194" s="53"/>
      <c r="B194" s="40" t="s">
        <v>3161</v>
      </c>
      <c r="C194" s="41">
        <v>1003337583</v>
      </c>
      <c r="D194" s="42">
        <v>3105245469</v>
      </c>
      <c r="E194" s="26" t="s">
        <v>493</v>
      </c>
      <c r="F194" s="32"/>
      <c r="G194" s="45"/>
      <c r="H194" s="44"/>
      <c r="I194" s="45"/>
      <c r="J194" s="45"/>
      <c r="K194" s="45"/>
      <c r="L194" s="45"/>
      <c r="M194" s="51"/>
      <c r="N194" s="52"/>
      <c r="O194" s="48"/>
      <c r="P194" s="32"/>
      <c r="Q194" s="56"/>
      <c r="R194" s="49"/>
      <c r="S194" s="49"/>
      <c r="T194" s="32"/>
      <c r="U194" s="49"/>
      <c r="V194" s="32"/>
      <c r="W194" s="49"/>
      <c r="X194" s="50"/>
      <c r="Y194" s="49"/>
      <c r="Z194" s="51"/>
      <c r="AA194" s="49"/>
      <c r="AB194" s="49"/>
      <c r="AC194" s="49"/>
      <c r="AD194" s="49"/>
      <c r="AE194" s="49"/>
    </row>
    <row r="195" spans="1:31" x14ac:dyDescent="0.25">
      <c r="A195" s="53"/>
      <c r="B195" s="40" t="s">
        <v>3162</v>
      </c>
      <c r="C195" s="41">
        <v>1015066931</v>
      </c>
      <c r="D195" s="42">
        <v>3170326622</v>
      </c>
      <c r="E195" s="26" t="s">
        <v>493</v>
      </c>
      <c r="F195" s="32"/>
      <c r="G195" s="45"/>
      <c r="H195" s="44"/>
      <c r="I195" s="45"/>
      <c r="J195" s="45"/>
      <c r="K195" s="45"/>
      <c r="L195" s="45"/>
      <c r="M195" s="51"/>
      <c r="N195" s="52"/>
      <c r="O195" s="48"/>
      <c r="P195" s="32"/>
      <c r="Q195" s="56"/>
      <c r="R195" s="49"/>
      <c r="S195" s="49"/>
      <c r="T195" s="32"/>
      <c r="U195" s="49"/>
      <c r="V195" s="32"/>
      <c r="W195" s="49"/>
      <c r="X195" s="50"/>
      <c r="Y195" s="49"/>
      <c r="Z195" s="51"/>
      <c r="AA195" s="49"/>
      <c r="AB195" s="49"/>
      <c r="AC195" s="49"/>
      <c r="AD195" s="49"/>
      <c r="AE195" s="49"/>
    </row>
    <row r="196" spans="1:31" x14ac:dyDescent="0.25">
      <c r="A196" s="53"/>
      <c r="B196" s="40" t="s">
        <v>3154</v>
      </c>
      <c r="C196" s="41">
        <v>43652207</v>
      </c>
      <c r="D196" s="42">
        <v>3015943559</v>
      </c>
      <c r="E196" s="26" t="s">
        <v>493</v>
      </c>
      <c r="F196" s="32"/>
      <c r="G196" s="45"/>
      <c r="H196" s="44"/>
      <c r="I196" s="45"/>
      <c r="J196" s="45"/>
      <c r="K196" s="45"/>
      <c r="L196" s="45"/>
      <c r="M196" s="51"/>
      <c r="N196" s="52"/>
      <c r="O196" s="48"/>
      <c r="P196" s="32"/>
      <c r="Q196" s="56"/>
      <c r="R196" s="49"/>
      <c r="S196" s="49"/>
      <c r="T196" s="32"/>
      <c r="U196" s="49"/>
      <c r="V196" s="32"/>
      <c r="W196" s="49"/>
      <c r="X196" s="50"/>
      <c r="Y196" s="49"/>
      <c r="Z196" s="51"/>
      <c r="AA196" s="49"/>
      <c r="AB196" s="49"/>
      <c r="AC196" s="49"/>
      <c r="AD196" s="49"/>
      <c r="AE196" s="49"/>
    </row>
    <row r="197" spans="1:31" x14ac:dyDescent="0.25">
      <c r="A197" s="53"/>
      <c r="B197" s="40" t="s">
        <v>3163</v>
      </c>
      <c r="C197" s="41">
        <v>70541984</v>
      </c>
      <c r="D197" s="42">
        <v>3106415258</v>
      </c>
      <c r="E197" s="26" t="s">
        <v>493</v>
      </c>
      <c r="F197" s="32"/>
      <c r="G197" s="45"/>
      <c r="H197" s="44"/>
      <c r="I197" s="45"/>
      <c r="J197" s="45"/>
      <c r="K197" s="45"/>
      <c r="L197" s="45"/>
      <c r="M197" s="51"/>
      <c r="N197" s="52"/>
      <c r="O197" s="48"/>
      <c r="P197" s="32"/>
      <c r="Q197" s="56"/>
      <c r="R197" s="49"/>
      <c r="S197" s="49"/>
      <c r="T197" s="32"/>
      <c r="U197" s="49"/>
      <c r="V197" s="32"/>
      <c r="W197" s="49"/>
      <c r="X197" s="50"/>
      <c r="Y197" s="49"/>
      <c r="Z197" s="51"/>
      <c r="AA197" s="49"/>
      <c r="AB197" s="49"/>
      <c r="AC197" s="49"/>
      <c r="AD197" s="49"/>
      <c r="AE197" s="49"/>
    </row>
    <row r="198" spans="1:31" x14ac:dyDescent="0.25">
      <c r="A198" s="53"/>
      <c r="B198" s="40" t="s">
        <v>3164</v>
      </c>
      <c r="C198" s="41">
        <v>43117671</v>
      </c>
      <c r="D198" s="42">
        <v>3107175754</v>
      </c>
      <c r="E198" s="26" t="s">
        <v>493</v>
      </c>
      <c r="F198" s="32"/>
      <c r="G198" s="45"/>
      <c r="H198" s="44"/>
      <c r="I198" s="45"/>
      <c r="J198" s="45"/>
      <c r="K198" s="45"/>
      <c r="L198" s="45"/>
      <c r="M198" s="51"/>
      <c r="N198" s="52"/>
      <c r="O198" s="48"/>
      <c r="P198" s="32"/>
      <c r="Q198" s="56"/>
      <c r="R198" s="49"/>
      <c r="S198" s="49"/>
      <c r="T198" s="32"/>
      <c r="U198" s="49"/>
      <c r="V198" s="32"/>
      <c r="W198" s="49"/>
      <c r="X198" s="50"/>
      <c r="Y198" s="49"/>
      <c r="Z198" s="51"/>
      <c r="AA198" s="49"/>
      <c r="AB198" s="49"/>
      <c r="AC198" s="49"/>
      <c r="AD198" s="49"/>
      <c r="AE198" s="49"/>
    </row>
    <row r="199" spans="1:31" x14ac:dyDescent="0.25">
      <c r="A199" s="53"/>
      <c r="B199" s="40" t="s">
        <v>3165</v>
      </c>
      <c r="C199" s="41">
        <v>78727041</v>
      </c>
      <c r="D199" s="42">
        <v>3028502989</v>
      </c>
      <c r="E199" s="26" t="s">
        <v>493</v>
      </c>
      <c r="F199" s="32"/>
      <c r="G199" s="45"/>
      <c r="H199" s="44"/>
      <c r="I199" s="45"/>
      <c r="J199" s="45"/>
      <c r="K199" s="45"/>
      <c r="L199" s="45"/>
      <c r="M199" s="51"/>
      <c r="N199" s="52"/>
      <c r="O199" s="48"/>
      <c r="P199" s="32"/>
      <c r="Q199" s="56"/>
      <c r="R199" s="49"/>
      <c r="S199" s="49"/>
      <c r="T199" s="32"/>
      <c r="U199" s="49"/>
      <c r="V199" s="32"/>
      <c r="W199" s="49"/>
      <c r="X199" s="50"/>
      <c r="Y199" s="49"/>
      <c r="Z199" s="51"/>
      <c r="AA199" s="49"/>
      <c r="AB199" s="49"/>
      <c r="AC199" s="49"/>
      <c r="AD199" s="49"/>
      <c r="AE199" s="49"/>
    </row>
    <row r="200" spans="1:31" x14ac:dyDescent="0.25">
      <c r="A200" s="53"/>
      <c r="B200" s="40" t="s">
        <v>1710</v>
      </c>
      <c r="C200" s="41">
        <v>1045139759</v>
      </c>
      <c r="D200" s="42">
        <v>3024908419</v>
      </c>
      <c r="E200" s="26" t="s">
        <v>493</v>
      </c>
      <c r="F200" s="32"/>
      <c r="G200" s="45"/>
      <c r="H200" s="44"/>
      <c r="I200" s="45"/>
      <c r="J200" s="45"/>
      <c r="K200" s="45"/>
      <c r="L200" s="45"/>
      <c r="M200" s="51"/>
      <c r="N200" s="52"/>
      <c r="O200" s="48"/>
      <c r="P200" s="32"/>
      <c r="Q200" s="56"/>
      <c r="R200" s="49"/>
      <c r="S200" s="49"/>
      <c r="T200" s="32"/>
      <c r="U200" s="49"/>
      <c r="V200" s="32"/>
      <c r="W200" s="49"/>
      <c r="X200" s="50"/>
      <c r="Y200" s="49"/>
      <c r="Z200" s="51"/>
      <c r="AA200" s="49"/>
      <c r="AB200" s="49"/>
      <c r="AC200" s="49"/>
      <c r="AD200" s="49"/>
      <c r="AE200" s="49"/>
    </row>
    <row r="201" spans="1:31" x14ac:dyDescent="0.25">
      <c r="A201" s="53"/>
      <c r="B201" s="40" t="s">
        <v>1717</v>
      </c>
      <c r="C201" s="41">
        <v>1037044359</v>
      </c>
      <c r="D201" s="42">
        <v>3215943426</v>
      </c>
      <c r="E201" s="26" t="s">
        <v>493</v>
      </c>
      <c r="F201" s="32"/>
      <c r="G201" s="45"/>
      <c r="H201" s="44"/>
      <c r="I201" s="45"/>
      <c r="J201" s="45"/>
      <c r="K201" s="45"/>
      <c r="L201" s="45"/>
      <c r="M201" s="51"/>
      <c r="N201" s="52"/>
      <c r="O201" s="48"/>
      <c r="P201" s="32"/>
      <c r="Q201" s="56"/>
      <c r="R201" s="49"/>
      <c r="S201" s="49"/>
      <c r="T201" s="32"/>
      <c r="U201" s="49"/>
      <c r="V201" s="32"/>
      <c r="W201" s="49"/>
      <c r="X201" s="50"/>
      <c r="Y201" s="49"/>
      <c r="Z201" s="51"/>
      <c r="AA201" s="49"/>
      <c r="AB201" s="49"/>
      <c r="AC201" s="49"/>
      <c r="AD201" s="49"/>
      <c r="AE201" s="49"/>
    </row>
    <row r="202" spans="1:31" x14ac:dyDescent="0.25">
      <c r="A202" s="53"/>
      <c r="B202" s="40" t="s">
        <v>1725</v>
      </c>
      <c r="C202" s="41">
        <v>1017123329</v>
      </c>
      <c r="D202" s="42">
        <v>3042527450</v>
      </c>
      <c r="E202" s="26" t="s">
        <v>493</v>
      </c>
      <c r="F202" s="32"/>
      <c r="G202" s="45"/>
      <c r="H202" s="44"/>
      <c r="I202" s="45"/>
      <c r="J202" s="45"/>
      <c r="K202" s="45"/>
      <c r="L202" s="45"/>
      <c r="M202" s="51"/>
      <c r="N202" s="52"/>
      <c r="O202" s="48"/>
      <c r="P202" s="32"/>
      <c r="Q202" s="56"/>
      <c r="R202" s="49"/>
      <c r="S202" s="49"/>
      <c r="T202" s="32"/>
      <c r="U202" s="49"/>
      <c r="V202" s="32"/>
      <c r="W202" s="49"/>
      <c r="X202" s="50"/>
      <c r="Y202" s="49"/>
      <c r="Z202" s="51"/>
      <c r="AA202" s="49"/>
      <c r="AB202" s="49"/>
      <c r="AC202" s="49"/>
      <c r="AD202" s="49"/>
      <c r="AE202" s="49"/>
    </row>
    <row r="203" spans="1:31" x14ac:dyDescent="0.25">
      <c r="A203" s="53"/>
      <c r="B203" s="40" t="s">
        <v>1731</v>
      </c>
      <c r="C203" s="41">
        <v>26317393</v>
      </c>
      <c r="D203" s="42">
        <v>3215985163</v>
      </c>
      <c r="E203" s="26" t="s">
        <v>493</v>
      </c>
      <c r="F203" s="32"/>
      <c r="G203" s="45"/>
      <c r="H203" s="44"/>
      <c r="I203" s="45"/>
      <c r="J203" s="45"/>
      <c r="K203" s="45"/>
      <c r="L203" s="45"/>
      <c r="M203" s="51"/>
      <c r="N203" s="52"/>
      <c r="O203" s="48"/>
      <c r="P203" s="32"/>
      <c r="Q203" s="56"/>
      <c r="R203" s="49"/>
      <c r="S203" s="49"/>
      <c r="T203" s="32"/>
      <c r="U203" s="49"/>
      <c r="V203" s="32"/>
      <c r="W203" s="49"/>
      <c r="X203" s="50"/>
      <c r="Y203" s="49"/>
      <c r="Z203" s="51"/>
      <c r="AA203" s="49"/>
      <c r="AB203" s="49"/>
      <c r="AC203" s="49"/>
      <c r="AD203" s="49"/>
      <c r="AE203" s="49"/>
    </row>
    <row r="204" spans="1:31" x14ac:dyDescent="0.25">
      <c r="A204" s="53"/>
      <c r="B204" s="40" t="s">
        <v>3166</v>
      </c>
      <c r="C204" s="41">
        <v>1033653731</v>
      </c>
      <c r="D204" s="42">
        <v>3103759453</v>
      </c>
      <c r="E204" s="26" t="s">
        <v>493</v>
      </c>
      <c r="F204" s="32"/>
      <c r="G204" s="45"/>
      <c r="H204" s="44"/>
      <c r="I204" s="45"/>
      <c r="J204" s="45"/>
      <c r="K204" s="45"/>
      <c r="L204" s="45"/>
      <c r="M204" s="51"/>
      <c r="N204" s="52"/>
      <c r="O204" s="48"/>
      <c r="P204" s="32"/>
      <c r="Q204" s="56"/>
      <c r="R204" s="49"/>
      <c r="S204" s="49"/>
      <c r="T204" s="32"/>
      <c r="U204" s="49"/>
      <c r="V204" s="32"/>
      <c r="W204" s="49"/>
      <c r="X204" s="50"/>
      <c r="Y204" s="49"/>
      <c r="Z204" s="51"/>
      <c r="AA204" s="49"/>
      <c r="AB204" s="49"/>
      <c r="AC204" s="49"/>
      <c r="AD204" s="49"/>
      <c r="AE204" s="49"/>
    </row>
    <row r="205" spans="1:31" x14ac:dyDescent="0.25">
      <c r="A205" s="53"/>
      <c r="B205" s="40" t="s">
        <v>1752</v>
      </c>
      <c r="C205" s="41">
        <v>1237443428</v>
      </c>
      <c r="D205" s="42">
        <v>3123957247</v>
      </c>
      <c r="E205" s="26" t="s">
        <v>493</v>
      </c>
      <c r="F205" s="32"/>
      <c r="G205" s="45"/>
      <c r="H205" s="44"/>
      <c r="I205" s="45"/>
      <c r="J205" s="45"/>
      <c r="K205" s="45"/>
      <c r="L205" s="45"/>
      <c r="M205" s="51"/>
      <c r="N205" s="52"/>
      <c r="O205" s="48"/>
      <c r="P205" s="32"/>
      <c r="Q205" s="56"/>
      <c r="R205" s="49"/>
      <c r="S205" s="49"/>
      <c r="T205" s="32"/>
      <c r="U205" s="49"/>
      <c r="V205" s="32"/>
      <c r="W205" s="49"/>
      <c r="X205" s="50"/>
      <c r="Y205" s="49"/>
      <c r="Z205" s="51"/>
      <c r="AA205" s="49"/>
      <c r="AB205" s="49"/>
      <c r="AC205" s="49"/>
      <c r="AD205" s="49"/>
      <c r="AE205" s="49"/>
    </row>
    <row r="206" spans="1:31" x14ac:dyDescent="0.25">
      <c r="A206" s="53"/>
      <c r="B206" s="40" t="s">
        <v>3167</v>
      </c>
      <c r="C206" s="41">
        <v>1193221237</v>
      </c>
      <c r="D206" s="42">
        <v>3148324764</v>
      </c>
      <c r="E206" s="26" t="s">
        <v>493</v>
      </c>
      <c r="F206" s="32"/>
      <c r="G206" s="45"/>
      <c r="H206" s="44"/>
      <c r="I206" s="45"/>
      <c r="J206" s="45"/>
      <c r="K206" s="45"/>
      <c r="L206" s="45"/>
      <c r="M206" s="51"/>
      <c r="N206" s="52"/>
      <c r="O206" s="48"/>
      <c r="P206" s="32"/>
      <c r="Q206" s="56"/>
      <c r="R206" s="49"/>
      <c r="S206" s="49"/>
      <c r="T206" s="32"/>
      <c r="U206" s="49"/>
      <c r="V206" s="32"/>
      <c r="W206" s="49"/>
      <c r="X206" s="50"/>
      <c r="Y206" s="49"/>
      <c r="Z206" s="51"/>
      <c r="AA206" s="49"/>
      <c r="AB206" s="49"/>
      <c r="AC206" s="49"/>
      <c r="AD206" s="49"/>
      <c r="AE206" s="49"/>
    </row>
    <row r="207" spans="1:31" x14ac:dyDescent="0.25">
      <c r="A207" s="53"/>
      <c r="B207" s="40" t="s">
        <v>3106</v>
      </c>
      <c r="C207" s="41">
        <v>1049564109</v>
      </c>
      <c r="D207" s="42">
        <v>3136160646</v>
      </c>
      <c r="E207" s="26" t="s">
        <v>493</v>
      </c>
      <c r="F207" s="32"/>
      <c r="G207" s="45"/>
      <c r="H207" s="44"/>
      <c r="I207" s="45"/>
      <c r="J207" s="45"/>
      <c r="K207" s="45"/>
      <c r="L207" s="45"/>
      <c r="M207" s="51"/>
      <c r="N207" s="52"/>
      <c r="O207" s="48"/>
      <c r="P207" s="32"/>
      <c r="Q207" s="56"/>
      <c r="R207" s="49"/>
      <c r="S207" s="49"/>
      <c r="T207" s="32"/>
      <c r="U207" s="49"/>
      <c r="V207" s="32"/>
      <c r="W207" s="49"/>
      <c r="X207" s="50"/>
      <c r="Y207" s="49"/>
      <c r="Z207" s="51"/>
      <c r="AA207" s="49"/>
      <c r="AB207" s="49"/>
      <c r="AC207" s="49"/>
      <c r="AD207" s="49"/>
      <c r="AE207" s="49"/>
    </row>
    <row r="208" spans="1:31" x14ac:dyDescent="0.25">
      <c r="A208" s="53"/>
      <c r="B208" s="40" t="s">
        <v>1776</v>
      </c>
      <c r="C208" s="41">
        <v>43101702</v>
      </c>
      <c r="D208" s="42">
        <v>3225820283</v>
      </c>
      <c r="E208" s="26" t="s">
        <v>493</v>
      </c>
      <c r="F208" s="32"/>
      <c r="G208" s="45"/>
      <c r="H208" s="44"/>
      <c r="I208" s="45"/>
      <c r="J208" s="45"/>
      <c r="K208" s="45"/>
      <c r="L208" s="45"/>
      <c r="M208" s="51"/>
      <c r="N208" s="52"/>
      <c r="O208" s="48"/>
      <c r="P208" s="32"/>
      <c r="Q208" s="56"/>
      <c r="R208" s="49"/>
      <c r="S208" s="49"/>
      <c r="T208" s="32"/>
      <c r="U208" s="49"/>
      <c r="V208" s="32"/>
      <c r="W208" s="49"/>
      <c r="X208" s="50"/>
      <c r="Y208" s="49"/>
      <c r="Z208" s="51"/>
      <c r="AA208" s="49"/>
      <c r="AB208" s="49"/>
      <c r="AC208" s="49"/>
      <c r="AD208" s="49"/>
      <c r="AE208" s="49"/>
    </row>
    <row r="209" spans="1:31" x14ac:dyDescent="0.25">
      <c r="A209" s="53"/>
      <c r="B209" s="40" t="s">
        <v>3168</v>
      </c>
      <c r="C209" s="41">
        <v>27642872</v>
      </c>
      <c r="D209" s="42">
        <v>3127297661</v>
      </c>
      <c r="E209" s="26" t="s">
        <v>493</v>
      </c>
      <c r="F209" s="32"/>
      <c r="G209" s="45"/>
      <c r="H209" s="44"/>
      <c r="I209" s="45"/>
      <c r="J209" s="45"/>
      <c r="K209" s="45"/>
      <c r="L209" s="45"/>
      <c r="M209" s="51"/>
      <c r="N209" s="52"/>
      <c r="O209" s="48"/>
      <c r="P209" s="32"/>
      <c r="Q209" s="56"/>
      <c r="R209" s="49"/>
      <c r="S209" s="49"/>
      <c r="T209" s="32"/>
      <c r="U209" s="49"/>
      <c r="V209" s="32"/>
      <c r="W209" s="49"/>
      <c r="X209" s="50"/>
      <c r="Y209" s="49"/>
      <c r="Z209" s="51"/>
      <c r="AA209" s="49"/>
      <c r="AB209" s="49"/>
      <c r="AC209" s="49"/>
      <c r="AD209" s="49"/>
      <c r="AE209" s="49"/>
    </row>
    <row r="210" spans="1:31" x14ac:dyDescent="0.25">
      <c r="A210" s="53"/>
      <c r="B210" s="40" t="s">
        <v>1793</v>
      </c>
      <c r="C210" s="41">
        <v>1035302697</v>
      </c>
      <c r="D210" s="42">
        <v>3235061085</v>
      </c>
      <c r="E210" s="26" t="s">
        <v>493</v>
      </c>
      <c r="F210" s="32"/>
      <c r="G210" s="45"/>
      <c r="H210" s="44"/>
      <c r="I210" s="45"/>
      <c r="J210" s="45"/>
      <c r="K210" s="45"/>
      <c r="L210" s="45"/>
      <c r="M210" s="51"/>
      <c r="N210" s="52"/>
      <c r="O210" s="48"/>
      <c r="P210" s="32"/>
      <c r="Q210" s="56"/>
      <c r="R210" s="49"/>
      <c r="S210" s="49"/>
      <c r="T210" s="32"/>
      <c r="U210" s="49"/>
      <c r="V210" s="32"/>
      <c r="W210" s="49"/>
      <c r="X210" s="50"/>
      <c r="Y210" s="49"/>
      <c r="Z210" s="51"/>
      <c r="AA210" s="49"/>
      <c r="AB210" s="49"/>
      <c r="AC210" s="49"/>
      <c r="AD210" s="49"/>
      <c r="AE210" s="49"/>
    </row>
    <row r="211" spans="1:31" x14ac:dyDescent="0.25">
      <c r="A211" s="53"/>
      <c r="B211" s="40" t="s">
        <v>3169</v>
      </c>
      <c r="C211" s="41" t="s">
        <v>1822</v>
      </c>
      <c r="D211" s="42">
        <v>3043303492</v>
      </c>
      <c r="E211" s="26" t="s">
        <v>493</v>
      </c>
      <c r="F211" s="32"/>
      <c r="G211" s="45"/>
      <c r="H211" s="44"/>
      <c r="I211" s="45"/>
      <c r="J211" s="45"/>
      <c r="K211" s="45"/>
      <c r="L211" s="45"/>
      <c r="M211" s="51"/>
      <c r="N211" s="52"/>
      <c r="O211" s="48"/>
      <c r="P211" s="32"/>
      <c r="Q211" s="56"/>
      <c r="R211" s="49"/>
      <c r="S211" s="49"/>
      <c r="T211" s="32"/>
      <c r="U211" s="49"/>
      <c r="V211" s="32"/>
      <c r="W211" s="49"/>
      <c r="X211" s="50"/>
      <c r="Y211" s="49"/>
      <c r="Z211" s="51"/>
      <c r="AA211" s="49"/>
      <c r="AB211" s="49"/>
      <c r="AC211" s="49"/>
      <c r="AD211" s="49"/>
      <c r="AE211" s="49"/>
    </row>
    <row r="212" spans="1:31" x14ac:dyDescent="0.25">
      <c r="A212" s="53"/>
      <c r="B212" s="40" t="s">
        <v>3170</v>
      </c>
      <c r="C212" s="41">
        <v>43649841</v>
      </c>
      <c r="D212" s="42">
        <v>3136957149</v>
      </c>
      <c r="E212" s="26" t="s">
        <v>493</v>
      </c>
      <c r="F212" s="32"/>
      <c r="G212" s="45"/>
      <c r="H212" s="44"/>
      <c r="I212" s="45"/>
      <c r="J212" s="45"/>
      <c r="K212" s="45"/>
      <c r="L212" s="45"/>
      <c r="M212" s="51"/>
      <c r="N212" s="52"/>
      <c r="O212" s="48"/>
      <c r="P212" s="32"/>
      <c r="Q212" s="56"/>
      <c r="R212" s="49"/>
      <c r="S212" s="49"/>
      <c r="T212" s="32"/>
      <c r="U212" s="49"/>
      <c r="V212" s="32"/>
      <c r="W212" s="49"/>
      <c r="X212" s="50"/>
      <c r="Y212" s="49"/>
      <c r="Z212" s="51"/>
      <c r="AA212" s="49"/>
      <c r="AB212" s="49"/>
      <c r="AC212" s="49"/>
      <c r="AD212" s="49"/>
      <c r="AE212" s="49"/>
    </row>
    <row r="213" spans="1:31" x14ac:dyDescent="0.25">
      <c r="A213" s="53"/>
      <c r="B213" s="40" t="s">
        <v>3171</v>
      </c>
      <c r="C213" s="41">
        <v>1143984233</v>
      </c>
      <c r="D213" s="42">
        <v>3127429297</v>
      </c>
      <c r="E213" s="26" t="s">
        <v>493</v>
      </c>
      <c r="F213" s="32"/>
      <c r="G213" s="45"/>
      <c r="H213" s="44"/>
      <c r="I213" s="45"/>
      <c r="J213" s="45"/>
      <c r="K213" s="45"/>
      <c r="L213" s="45"/>
      <c r="M213" s="51"/>
      <c r="N213" s="52"/>
      <c r="O213" s="48"/>
      <c r="P213" s="32"/>
      <c r="Q213" s="56"/>
      <c r="R213" s="49"/>
      <c r="S213" s="49"/>
      <c r="T213" s="32"/>
      <c r="U213" s="49"/>
      <c r="V213" s="32"/>
      <c r="W213" s="49"/>
      <c r="X213" s="50"/>
      <c r="Y213" s="49"/>
      <c r="Z213" s="51"/>
      <c r="AA213" s="49"/>
      <c r="AB213" s="49"/>
      <c r="AC213" s="49"/>
      <c r="AD213" s="49"/>
      <c r="AE213" s="49"/>
    </row>
    <row r="214" spans="1:31" x14ac:dyDescent="0.25">
      <c r="A214" s="53"/>
      <c r="B214" s="40" t="s">
        <v>3172</v>
      </c>
      <c r="C214" s="41">
        <v>1034886497</v>
      </c>
      <c r="D214" s="42">
        <v>3023921814</v>
      </c>
      <c r="E214" s="26" t="s">
        <v>493</v>
      </c>
      <c r="F214" s="32"/>
      <c r="G214" s="45"/>
      <c r="H214" s="44"/>
      <c r="I214" s="45"/>
      <c r="J214" s="45"/>
      <c r="K214" s="45"/>
      <c r="L214" s="45"/>
      <c r="M214" s="51"/>
      <c r="N214" s="52"/>
      <c r="O214" s="48"/>
      <c r="P214" s="32"/>
      <c r="Q214" s="56"/>
      <c r="R214" s="49"/>
      <c r="S214" s="49"/>
      <c r="T214" s="32"/>
      <c r="U214" s="49"/>
      <c r="V214" s="32"/>
      <c r="W214" s="49"/>
      <c r="X214" s="50"/>
      <c r="Y214" s="49"/>
      <c r="Z214" s="51"/>
      <c r="AA214" s="49"/>
      <c r="AB214" s="49"/>
      <c r="AC214" s="49"/>
      <c r="AD214" s="49"/>
      <c r="AE214" s="49"/>
    </row>
    <row r="215" spans="1:31" x14ac:dyDescent="0.25">
      <c r="A215" s="53"/>
      <c r="B215" s="40" t="s">
        <v>1893</v>
      </c>
      <c r="C215" s="41">
        <v>42997434</v>
      </c>
      <c r="D215" s="42">
        <v>3126752841</v>
      </c>
      <c r="E215" s="26" t="s">
        <v>493</v>
      </c>
      <c r="F215" s="32"/>
      <c r="G215" s="45"/>
      <c r="H215" s="44"/>
      <c r="I215" s="45"/>
      <c r="J215" s="45"/>
      <c r="K215" s="45"/>
      <c r="L215" s="45"/>
      <c r="M215" s="51"/>
      <c r="N215" s="52"/>
      <c r="O215" s="48"/>
      <c r="P215" s="32"/>
      <c r="Q215" s="56"/>
      <c r="R215" s="49"/>
      <c r="S215" s="49"/>
      <c r="T215" s="32"/>
      <c r="U215" s="49"/>
      <c r="V215" s="32"/>
      <c r="W215" s="49"/>
      <c r="X215" s="50"/>
      <c r="Y215" s="49"/>
      <c r="Z215" s="51"/>
      <c r="AA215" s="49"/>
      <c r="AB215" s="49"/>
      <c r="AC215" s="49"/>
      <c r="AD215" s="49"/>
      <c r="AE215" s="49"/>
    </row>
    <row r="216" spans="1:31" x14ac:dyDescent="0.25">
      <c r="A216" s="53"/>
      <c r="B216" s="40" t="s">
        <v>1901</v>
      </c>
      <c r="C216" s="41">
        <v>1038819992</v>
      </c>
      <c r="D216" s="42">
        <v>3158470144</v>
      </c>
      <c r="E216" s="26" t="s">
        <v>493</v>
      </c>
      <c r="F216" s="32"/>
      <c r="G216" s="45"/>
      <c r="H216" s="44"/>
      <c r="I216" s="45"/>
      <c r="J216" s="45"/>
      <c r="K216" s="45"/>
      <c r="L216" s="45"/>
      <c r="M216" s="51" t="s">
        <v>2644</v>
      </c>
      <c r="N216" s="52"/>
      <c r="O216" s="48"/>
      <c r="P216" s="32" t="s">
        <v>2646</v>
      </c>
      <c r="Q216" s="56">
        <v>45585</v>
      </c>
      <c r="R216" s="49"/>
      <c r="S216" s="49"/>
      <c r="T216" s="32"/>
      <c r="U216" s="49"/>
      <c r="V216" s="32"/>
      <c r="W216" s="49"/>
      <c r="X216" s="50"/>
      <c r="Y216" s="49"/>
      <c r="Z216" s="51"/>
      <c r="AA216" s="49"/>
      <c r="AB216" s="49"/>
      <c r="AC216" s="49"/>
      <c r="AD216" s="49"/>
      <c r="AE216" s="49"/>
    </row>
    <row r="217" spans="1:31" x14ac:dyDescent="0.25">
      <c r="A217" s="53"/>
      <c r="B217" s="40" t="s">
        <v>1907</v>
      </c>
      <c r="C217" s="41">
        <v>1216729746</v>
      </c>
      <c r="D217" s="42">
        <v>3177236925</v>
      </c>
      <c r="E217" s="26" t="s">
        <v>493</v>
      </c>
      <c r="F217" s="32"/>
      <c r="G217" s="45"/>
      <c r="H217" s="44"/>
      <c r="I217" s="45"/>
      <c r="J217" s="45"/>
      <c r="K217" s="45"/>
      <c r="L217" s="45"/>
      <c r="M217" s="51"/>
      <c r="N217" s="52"/>
      <c r="O217" s="48"/>
      <c r="P217" s="32"/>
      <c r="Q217" s="56"/>
      <c r="R217" s="49"/>
      <c r="S217" s="49"/>
      <c r="T217" s="32"/>
      <c r="U217" s="49"/>
      <c r="V217" s="32"/>
      <c r="W217" s="49"/>
      <c r="X217" s="50"/>
      <c r="Y217" s="49"/>
      <c r="Z217" s="51"/>
      <c r="AA217" s="49"/>
      <c r="AB217" s="49"/>
      <c r="AC217" s="49"/>
      <c r="AD217" s="49"/>
      <c r="AE217" s="49"/>
    </row>
    <row r="218" spans="1:31" x14ac:dyDescent="0.25">
      <c r="A218" s="53"/>
      <c r="B218" s="40" t="s">
        <v>3173</v>
      </c>
      <c r="C218" s="41">
        <v>15621853</v>
      </c>
      <c r="D218" s="42">
        <v>3014046446</v>
      </c>
      <c r="E218" s="26" t="s">
        <v>493</v>
      </c>
      <c r="F218" s="32"/>
      <c r="G218" s="45"/>
      <c r="H218" s="44"/>
      <c r="I218" s="45"/>
      <c r="J218" s="45"/>
      <c r="K218" s="45"/>
      <c r="L218" s="45"/>
      <c r="M218" s="51"/>
      <c r="N218" s="52"/>
      <c r="O218" s="48"/>
      <c r="P218" s="32"/>
      <c r="Q218" s="56"/>
      <c r="R218" s="49"/>
      <c r="S218" s="49"/>
      <c r="T218" s="32"/>
      <c r="U218" s="49"/>
      <c r="V218" s="32"/>
      <c r="W218" s="49"/>
      <c r="X218" s="50"/>
      <c r="Y218" s="49"/>
      <c r="Z218" s="51"/>
      <c r="AA218" s="49"/>
      <c r="AB218" s="49"/>
      <c r="AC218" s="49"/>
      <c r="AD218" s="49"/>
      <c r="AE218" s="49"/>
    </row>
    <row r="219" spans="1:31" x14ac:dyDescent="0.25">
      <c r="A219" s="53"/>
      <c r="B219" s="40" t="s">
        <v>3174</v>
      </c>
      <c r="C219" s="41">
        <v>98431786</v>
      </c>
      <c r="D219" s="42">
        <v>3207125200</v>
      </c>
      <c r="E219" s="26" t="s">
        <v>493</v>
      </c>
      <c r="F219" s="32"/>
      <c r="G219" s="45"/>
      <c r="H219" s="44"/>
      <c r="I219" s="45"/>
      <c r="J219" s="45"/>
      <c r="K219" s="45"/>
      <c r="L219" s="45"/>
      <c r="M219" s="51"/>
      <c r="N219" s="52"/>
      <c r="O219" s="48"/>
      <c r="P219" s="32"/>
      <c r="Q219" s="56"/>
      <c r="R219" s="49"/>
      <c r="S219" s="49"/>
      <c r="T219" s="32"/>
      <c r="U219" s="49"/>
      <c r="V219" s="32"/>
      <c r="W219" s="49"/>
      <c r="X219" s="50"/>
      <c r="Y219" s="49"/>
      <c r="Z219" s="51"/>
      <c r="AA219" s="49"/>
      <c r="AB219" s="49"/>
      <c r="AC219" s="49"/>
      <c r="AD219" s="49"/>
      <c r="AE219" s="49"/>
    </row>
    <row r="220" spans="1:31" x14ac:dyDescent="0.25">
      <c r="A220" s="53"/>
      <c r="B220" s="40" t="s">
        <v>3175</v>
      </c>
      <c r="C220" s="41">
        <v>1040749275</v>
      </c>
      <c r="D220" s="42">
        <v>3209984031</v>
      </c>
      <c r="E220" s="26" t="s">
        <v>493</v>
      </c>
      <c r="F220" s="32"/>
      <c r="G220" s="45"/>
      <c r="H220" s="44"/>
      <c r="I220" s="45"/>
      <c r="J220" s="45"/>
      <c r="K220" s="45"/>
      <c r="L220" s="45"/>
      <c r="M220" s="51"/>
      <c r="N220" s="52"/>
      <c r="O220" s="48"/>
      <c r="P220" s="32"/>
      <c r="Q220" s="56"/>
      <c r="R220" s="49"/>
      <c r="S220" s="49"/>
      <c r="T220" s="32"/>
      <c r="U220" s="49"/>
      <c r="V220" s="32"/>
      <c r="W220" s="49"/>
      <c r="X220" s="50"/>
      <c r="Y220" s="49"/>
      <c r="Z220" s="51"/>
      <c r="AA220" s="49"/>
      <c r="AB220" s="49"/>
      <c r="AC220" s="49"/>
      <c r="AD220" s="49"/>
      <c r="AE220" s="49"/>
    </row>
    <row r="221" spans="1:31" x14ac:dyDescent="0.25">
      <c r="A221" s="53"/>
      <c r="B221" s="40" t="s">
        <v>1967</v>
      </c>
      <c r="C221" s="41">
        <v>43925125</v>
      </c>
      <c r="D221" s="42">
        <v>3022967975</v>
      </c>
      <c r="E221" s="26" t="s">
        <v>493</v>
      </c>
      <c r="F221" s="32"/>
      <c r="G221" s="45"/>
      <c r="H221" s="44"/>
      <c r="I221" s="45"/>
      <c r="J221" s="45"/>
      <c r="K221" s="45"/>
      <c r="L221" s="45"/>
      <c r="M221" s="51"/>
      <c r="N221" s="52"/>
      <c r="O221" s="48"/>
      <c r="P221" s="32"/>
      <c r="Q221" s="56"/>
      <c r="R221" s="49"/>
      <c r="S221" s="49"/>
      <c r="T221" s="32"/>
      <c r="U221" s="49"/>
      <c r="V221" s="32"/>
      <c r="W221" s="49"/>
      <c r="X221" s="50"/>
      <c r="Y221" s="49"/>
      <c r="Z221" s="51"/>
      <c r="AA221" s="49"/>
      <c r="AB221" s="49"/>
      <c r="AC221" s="49"/>
      <c r="AD221" s="49"/>
      <c r="AE221" s="49"/>
    </row>
    <row r="222" spans="1:31" x14ac:dyDescent="0.25">
      <c r="A222" s="53"/>
      <c r="B222" s="40" t="s">
        <v>1971</v>
      </c>
      <c r="C222" s="41">
        <v>42691472</v>
      </c>
      <c r="D222" s="42">
        <v>3011920478</v>
      </c>
      <c r="E222" s="26" t="s">
        <v>493</v>
      </c>
      <c r="F222" s="32"/>
      <c r="G222" s="45"/>
      <c r="H222" s="44"/>
      <c r="I222" s="45"/>
      <c r="J222" s="45"/>
      <c r="K222" s="45"/>
      <c r="L222" s="45"/>
      <c r="M222" s="51"/>
      <c r="N222" s="52"/>
      <c r="O222" s="48"/>
      <c r="P222" s="32"/>
      <c r="Q222" s="56"/>
      <c r="R222" s="49"/>
      <c r="S222" s="49"/>
      <c r="T222" s="32"/>
      <c r="U222" s="49"/>
      <c r="V222" s="32"/>
      <c r="W222" s="49"/>
      <c r="X222" s="50"/>
      <c r="Y222" s="49"/>
      <c r="Z222" s="51"/>
      <c r="AA222" s="49"/>
      <c r="AB222" s="49"/>
      <c r="AC222" s="49"/>
      <c r="AD222" s="49"/>
      <c r="AE222" s="49"/>
    </row>
    <row r="223" spans="1:31" x14ac:dyDescent="0.25">
      <c r="A223" s="53"/>
      <c r="B223" s="40" t="s">
        <v>1976</v>
      </c>
      <c r="C223" s="41">
        <v>1073690779</v>
      </c>
      <c r="D223" s="42">
        <v>3156698182</v>
      </c>
      <c r="E223" s="26" t="s">
        <v>493</v>
      </c>
      <c r="F223" s="32"/>
      <c r="G223" s="45"/>
      <c r="H223" s="44"/>
      <c r="I223" s="45"/>
      <c r="J223" s="45"/>
      <c r="K223" s="45"/>
      <c r="L223" s="45"/>
      <c r="M223" s="51"/>
      <c r="N223" s="52"/>
      <c r="O223" s="48"/>
      <c r="P223" s="32"/>
      <c r="Q223" s="56"/>
      <c r="R223" s="49"/>
      <c r="S223" s="49"/>
      <c r="T223" s="32"/>
      <c r="U223" s="49"/>
      <c r="V223" s="32"/>
      <c r="W223" s="49"/>
      <c r="X223" s="50"/>
      <c r="Y223" s="49"/>
      <c r="Z223" s="51"/>
      <c r="AA223" s="49"/>
      <c r="AB223" s="49"/>
      <c r="AC223" s="49"/>
      <c r="AD223" s="49"/>
      <c r="AE223" s="49"/>
    </row>
    <row r="224" spans="1:31" x14ac:dyDescent="0.25">
      <c r="A224" s="53"/>
      <c r="B224" s="40" t="s">
        <v>3176</v>
      </c>
      <c r="C224" s="41">
        <v>35600771</v>
      </c>
      <c r="D224" s="42">
        <v>3113788835</v>
      </c>
      <c r="E224" s="26" t="s">
        <v>493</v>
      </c>
      <c r="F224" s="32"/>
      <c r="G224" s="45"/>
      <c r="H224" s="44"/>
      <c r="I224" s="45"/>
      <c r="J224" s="45"/>
      <c r="K224" s="45"/>
      <c r="L224" s="45"/>
      <c r="M224" s="51"/>
      <c r="N224" s="52"/>
      <c r="O224" s="48"/>
      <c r="P224" s="32"/>
      <c r="Q224" s="56"/>
      <c r="R224" s="49"/>
      <c r="S224" s="49"/>
      <c r="T224" s="32"/>
      <c r="U224" s="49"/>
      <c r="V224" s="32"/>
      <c r="W224" s="49"/>
      <c r="X224" s="50"/>
      <c r="Y224" s="49"/>
      <c r="Z224" s="51"/>
      <c r="AA224" s="49"/>
      <c r="AB224" s="49"/>
      <c r="AC224" s="49"/>
      <c r="AD224" s="49"/>
      <c r="AE224" s="49"/>
    </row>
    <row r="225" spans="1:31" x14ac:dyDescent="0.25">
      <c r="A225" s="53"/>
      <c r="B225" s="40" t="s">
        <v>2083</v>
      </c>
      <c r="C225" s="41">
        <v>21849681</v>
      </c>
      <c r="D225" s="42">
        <v>3122096109</v>
      </c>
      <c r="E225" s="26" t="s">
        <v>493</v>
      </c>
      <c r="F225" s="32"/>
      <c r="G225" s="45"/>
      <c r="H225" s="44"/>
      <c r="I225" s="45"/>
      <c r="J225" s="45"/>
      <c r="K225" s="45"/>
      <c r="L225" s="45"/>
      <c r="M225" s="51"/>
      <c r="N225" s="52"/>
      <c r="O225" s="48"/>
      <c r="P225" s="32"/>
      <c r="Q225" s="56"/>
      <c r="R225" s="49"/>
      <c r="S225" s="49"/>
      <c r="T225" s="32"/>
      <c r="U225" s="49"/>
      <c r="V225" s="32"/>
      <c r="W225" s="49"/>
      <c r="X225" s="50"/>
      <c r="Y225" s="49"/>
      <c r="Z225" s="51"/>
      <c r="AA225" s="49"/>
      <c r="AB225" s="49"/>
      <c r="AC225" s="49"/>
      <c r="AD225" s="49"/>
      <c r="AE225" s="49"/>
    </row>
    <row r="226" spans="1:31" x14ac:dyDescent="0.25">
      <c r="A226" s="53"/>
      <c r="B226" s="40" t="s">
        <v>2088</v>
      </c>
      <c r="C226" s="41">
        <v>43880226</v>
      </c>
      <c r="D226" s="42">
        <v>3006977933</v>
      </c>
      <c r="E226" s="26" t="s">
        <v>493</v>
      </c>
      <c r="F226" s="32"/>
      <c r="G226" s="45"/>
      <c r="H226" s="44"/>
      <c r="I226" s="45"/>
      <c r="J226" s="45"/>
      <c r="K226" s="45"/>
      <c r="L226" s="45"/>
      <c r="M226" s="51"/>
      <c r="N226" s="52"/>
      <c r="O226" s="48"/>
      <c r="P226" s="32"/>
      <c r="Q226" s="56"/>
      <c r="R226" s="49"/>
      <c r="S226" s="49"/>
      <c r="T226" s="32"/>
      <c r="U226" s="49"/>
      <c r="V226" s="32"/>
      <c r="W226" s="49"/>
      <c r="X226" s="50"/>
      <c r="Y226" s="49"/>
      <c r="Z226" s="51"/>
      <c r="AA226" s="49"/>
      <c r="AB226" s="49"/>
      <c r="AC226" s="49"/>
      <c r="AD226" s="49"/>
      <c r="AE226" s="49"/>
    </row>
    <row r="227" spans="1:31" x14ac:dyDescent="0.25">
      <c r="A227" s="53"/>
      <c r="B227" s="40" t="s">
        <v>3177</v>
      </c>
      <c r="C227" s="41"/>
      <c r="D227" s="42"/>
      <c r="E227" s="26" t="s">
        <v>493</v>
      </c>
      <c r="F227" s="32"/>
      <c r="G227" s="45"/>
      <c r="H227" s="44"/>
      <c r="I227" s="45"/>
      <c r="J227" s="45"/>
      <c r="K227" s="45"/>
      <c r="L227" s="45"/>
      <c r="M227" s="51" t="s">
        <v>2644</v>
      </c>
      <c r="N227" s="52"/>
      <c r="O227" s="48"/>
      <c r="P227" s="32" t="s">
        <v>2646</v>
      </c>
      <c r="Q227" s="56">
        <v>45485</v>
      </c>
      <c r="R227" s="49"/>
      <c r="S227" s="49"/>
      <c r="T227" s="32" t="s">
        <v>2646</v>
      </c>
      <c r="U227" s="49">
        <v>45430</v>
      </c>
      <c r="V227" s="32"/>
      <c r="W227" s="49"/>
      <c r="X227" s="50" t="s">
        <v>2646</v>
      </c>
      <c r="Y227" s="61">
        <v>45430</v>
      </c>
      <c r="Z227" s="51"/>
      <c r="AA227" s="49"/>
      <c r="AB227" s="49"/>
      <c r="AC227" s="49"/>
      <c r="AD227" s="49"/>
      <c r="AE227" s="49"/>
    </row>
    <row r="228" spans="1:31" x14ac:dyDescent="0.25">
      <c r="A228" s="53"/>
      <c r="B228" s="40" t="s">
        <v>3178</v>
      </c>
      <c r="C228" s="41"/>
      <c r="D228" s="42"/>
      <c r="E228" s="26" t="s">
        <v>493</v>
      </c>
      <c r="F228" s="32"/>
      <c r="G228" s="45"/>
      <c r="H228" s="44"/>
      <c r="I228" s="45"/>
      <c r="J228" s="45"/>
      <c r="K228" s="45"/>
      <c r="L228" s="45"/>
      <c r="M228" s="51" t="s">
        <v>2644</v>
      </c>
      <c r="N228" s="52"/>
      <c r="O228" s="48"/>
      <c r="P228" s="32"/>
      <c r="Q228" s="56"/>
      <c r="R228" s="49"/>
      <c r="S228" s="49"/>
      <c r="T228" s="32"/>
      <c r="U228" s="49"/>
      <c r="V228" s="32" t="s">
        <v>2646</v>
      </c>
      <c r="W228" s="49">
        <v>45430</v>
      </c>
      <c r="X228" s="50"/>
      <c r="Y228" s="49"/>
      <c r="Z228" s="51"/>
      <c r="AA228" s="49"/>
      <c r="AB228" s="49"/>
      <c r="AC228" s="49"/>
      <c r="AD228" s="49"/>
      <c r="AE228" s="49"/>
    </row>
    <row r="229" spans="1:31" x14ac:dyDescent="0.25">
      <c r="A229" s="53"/>
      <c r="B229" s="40"/>
      <c r="C229" s="41"/>
      <c r="D229" s="42"/>
      <c r="E229" s="26"/>
      <c r="F229" s="32"/>
      <c r="G229" s="45"/>
      <c r="H229" s="44"/>
      <c r="I229" s="45"/>
      <c r="J229" s="45"/>
      <c r="K229" s="45"/>
      <c r="L229" s="45"/>
      <c r="M229" s="51"/>
      <c r="N229" s="52"/>
      <c r="O229" s="48"/>
      <c r="P229" s="32"/>
      <c r="Q229" s="56"/>
      <c r="R229" s="49"/>
      <c r="S229" s="49"/>
      <c r="T229" s="32"/>
      <c r="U229" s="49"/>
      <c r="V229" s="32"/>
      <c r="W229" s="49"/>
      <c r="X229" s="50"/>
      <c r="Y229" s="49"/>
      <c r="Z229" s="51"/>
      <c r="AA229" s="49"/>
      <c r="AB229" s="49"/>
      <c r="AC229" s="49"/>
      <c r="AD229" s="49"/>
      <c r="AE229" s="49"/>
    </row>
    <row r="230" spans="1:31" x14ac:dyDescent="0.25">
      <c r="A230" s="53"/>
      <c r="B230" s="40"/>
      <c r="C230" s="41"/>
      <c r="D230" s="42"/>
      <c r="E230" s="26"/>
      <c r="F230" s="32"/>
      <c r="G230" s="45"/>
      <c r="H230" s="44"/>
      <c r="I230" s="45"/>
      <c r="J230" s="45"/>
      <c r="K230" s="45"/>
      <c r="L230" s="45"/>
      <c r="M230" s="51"/>
      <c r="N230" s="52"/>
      <c r="O230" s="48"/>
      <c r="P230" s="32"/>
      <c r="Q230" s="56"/>
      <c r="R230" s="49"/>
      <c r="S230" s="49"/>
      <c r="T230" s="32"/>
      <c r="U230" s="49"/>
      <c r="V230" s="32"/>
      <c r="W230" s="49"/>
      <c r="X230" s="50"/>
      <c r="Y230" s="49"/>
      <c r="Z230" s="51"/>
      <c r="AA230" s="49"/>
      <c r="AB230" s="49"/>
      <c r="AC230" s="49"/>
      <c r="AD230" s="49"/>
      <c r="AE230" s="49"/>
    </row>
    <row r="231" spans="1:31" x14ac:dyDescent="0.25">
      <c r="A231" s="53"/>
      <c r="B231" s="40"/>
      <c r="C231" s="41"/>
      <c r="D231" s="42"/>
      <c r="E231" s="26"/>
      <c r="F231" s="32"/>
      <c r="G231" s="45"/>
      <c r="H231" s="44"/>
      <c r="I231" s="45"/>
      <c r="J231" s="45"/>
      <c r="K231" s="45"/>
      <c r="L231" s="45"/>
      <c r="M231" s="51"/>
      <c r="N231" s="52"/>
      <c r="O231" s="48"/>
      <c r="P231" s="32"/>
      <c r="Q231" s="56"/>
      <c r="R231" s="49"/>
      <c r="S231" s="49"/>
      <c r="T231" s="32"/>
      <c r="U231" s="49"/>
      <c r="V231" s="32"/>
      <c r="W231" s="49"/>
      <c r="X231" s="50"/>
      <c r="Y231" s="49"/>
      <c r="Z231" s="51"/>
      <c r="AA231" s="49"/>
      <c r="AB231" s="49"/>
      <c r="AC231" s="49"/>
      <c r="AD231" s="49"/>
      <c r="AE231" s="49"/>
    </row>
    <row r="232" spans="1:31" x14ac:dyDescent="0.25">
      <c r="A232" s="53"/>
      <c r="B232" s="40"/>
      <c r="C232" s="41"/>
      <c r="D232" s="42"/>
      <c r="E232" s="26"/>
      <c r="F232" s="32"/>
      <c r="G232" s="45"/>
      <c r="H232" s="44"/>
      <c r="I232" s="45"/>
      <c r="J232" s="45"/>
      <c r="K232" s="45"/>
      <c r="L232" s="45"/>
      <c r="M232" s="51"/>
      <c r="N232" s="52"/>
      <c r="O232" s="48"/>
      <c r="P232" s="32"/>
      <c r="Q232" s="56"/>
      <c r="R232" s="49"/>
      <c r="S232" s="49"/>
      <c r="T232" s="32"/>
      <c r="U232" s="49"/>
      <c r="V232" s="32"/>
      <c r="W232" s="49"/>
      <c r="X232" s="50"/>
      <c r="Y232" s="49"/>
      <c r="Z232" s="51"/>
      <c r="AA232" s="49"/>
      <c r="AB232" s="49"/>
      <c r="AC232" s="49"/>
      <c r="AD232" s="49"/>
      <c r="AE232" s="49"/>
    </row>
    <row r="233" spans="1:31" x14ac:dyDescent="0.25">
      <c r="A233" s="53"/>
      <c r="B233" s="40"/>
      <c r="C233" s="41"/>
      <c r="D233" s="42"/>
      <c r="E233" s="26"/>
      <c r="F233" s="32"/>
      <c r="G233" s="45"/>
      <c r="H233" s="44"/>
      <c r="I233" s="45"/>
      <c r="J233" s="45"/>
      <c r="K233" s="45"/>
      <c r="L233" s="45"/>
      <c r="M233" s="51"/>
      <c r="N233" s="52"/>
      <c r="O233" s="48"/>
      <c r="P233" s="32"/>
      <c r="Q233" s="56"/>
      <c r="R233" s="49"/>
      <c r="S233" s="49"/>
      <c r="T233" s="32"/>
      <c r="U233" s="49"/>
      <c r="V233" s="32"/>
      <c r="W233" s="49"/>
      <c r="X233" s="50"/>
      <c r="Y233" s="49"/>
      <c r="Z233" s="51"/>
      <c r="AA233" s="49"/>
      <c r="AB233" s="49"/>
      <c r="AC233" s="49"/>
      <c r="AD233" s="49"/>
      <c r="AE233" s="49"/>
    </row>
    <row r="234" spans="1:31" x14ac:dyDescent="0.25">
      <c r="A234" s="53"/>
      <c r="B234" s="40"/>
      <c r="C234" s="41"/>
      <c r="D234" s="42"/>
      <c r="E234" s="26"/>
      <c r="F234" s="32"/>
      <c r="G234" s="45"/>
      <c r="H234" s="44"/>
      <c r="I234" s="45"/>
      <c r="J234" s="45"/>
      <c r="K234" s="45"/>
      <c r="L234" s="45"/>
      <c r="M234" s="51"/>
      <c r="N234" s="52"/>
      <c r="O234" s="48"/>
      <c r="P234" s="32"/>
      <c r="Q234" s="56"/>
      <c r="R234" s="49"/>
      <c r="S234" s="49"/>
      <c r="T234" s="32"/>
      <c r="U234" s="49"/>
      <c r="V234" s="32"/>
      <c r="W234" s="49"/>
      <c r="X234" s="50"/>
      <c r="Y234" s="49"/>
      <c r="Z234" s="51"/>
      <c r="AA234" s="49"/>
      <c r="AB234" s="49"/>
      <c r="AC234" s="49"/>
      <c r="AD234" s="49"/>
      <c r="AE234" s="49"/>
    </row>
    <row r="237" spans="1:31" x14ac:dyDescent="0.25">
      <c r="A237" s="76"/>
      <c r="B237" s="76"/>
      <c r="C237" s="77"/>
      <c r="D237" s="78"/>
      <c r="E237" s="79"/>
      <c r="F237" s="80"/>
      <c r="G237" s="78"/>
      <c r="H237" s="81"/>
      <c r="I237" s="78"/>
      <c r="J237" s="78"/>
      <c r="K237" s="78"/>
      <c r="L237" s="78"/>
      <c r="M237" s="81"/>
      <c r="N237" s="82"/>
      <c r="O237" s="82"/>
      <c r="P237" s="82"/>
      <c r="Q237" s="83"/>
      <c r="R237" s="80"/>
      <c r="S237" s="80"/>
      <c r="T237" s="80"/>
      <c r="U237" s="83"/>
      <c r="V237" s="80"/>
      <c r="W237" s="83"/>
      <c r="X237" s="80"/>
      <c r="Y237" s="80"/>
      <c r="Z237" s="80"/>
      <c r="AA237" s="80"/>
      <c r="AB237" s="80"/>
      <c r="AC237" s="80"/>
      <c r="AD237" s="80"/>
      <c r="AE237" s="80"/>
    </row>
    <row r="238" spans="1:31" x14ac:dyDescent="0.25">
      <c r="A238" s="76"/>
      <c r="B238" s="76"/>
      <c r="C238" s="77"/>
      <c r="D238" s="78"/>
      <c r="E238" s="79"/>
      <c r="F238" s="80"/>
      <c r="G238" s="78"/>
      <c r="H238" s="81"/>
      <c r="I238" s="78"/>
      <c r="J238" s="78"/>
      <c r="K238" s="78"/>
      <c r="L238" s="78"/>
      <c r="M238" s="81"/>
      <c r="N238" s="82"/>
      <c r="O238" s="82"/>
      <c r="P238" s="82"/>
      <c r="Q238" s="83"/>
      <c r="R238" s="80"/>
      <c r="S238" s="80"/>
      <c r="T238" s="80"/>
      <c r="U238" s="83"/>
      <c r="V238" s="80"/>
      <c r="W238" s="83"/>
      <c r="X238" s="80"/>
      <c r="Y238" s="80"/>
      <c r="Z238" s="80"/>
      <c r="AA238" s="80"/>
      <c r="AB238" s="80"/>
      <c r="AC238" s="80"/>
      <c r="AD238" s="80"/>
      <c r="AE238" s="80"/>
    </row>
    <row r="239" spans="1:31" x14ac:dyDescent="0.25">
      <c r="A239" s="76"/>
      <c r="B239" s="84"/>
      <c r="C239" s="77"/>
      <c r="D239" s="78"/>
      <c r="E239" s="85" t="s">
        <v>3179</v>
      </c>
      <c r="G239" s="78"/>
      <c r="H239" s="81"/>
      <c r="I239" s="78"/>
      <c r="J239" s="78"/>
      <c r="K239" s="78"/>
      <c r="L239" s="78"/>
      <c r="M239" s="81"/>
      <c r="N239" s="82"/>
      <c r="O239" s="82"/>
      <c r="P239" s="82"/>
      <c r="Q239" s="83"/>
      <c r="R239" s="80"/>
      <c r="S239" s="80"/>
      <c r="T239" s="80"/>
      <c r="U239" s="83"/>
      <c r="V239" s="80"/>
      <c r="W239" s="83"/>
      <c r="X239" s="80"/>
      <c r="Y239" s="80"/>
      <c r="Z239" s="80"/>
      <c r="AA239" s="80"/>
      <c r="AB239" s="80"/>
      <c r="AC239" s="80"/>
      <c r="AD239" s="80"/>
      <c r="AE239" s="80"/>
    </row>
    <row r="240" spans="1:31" x14ac:dyDescent="0.25">
      <c r="A240" s="76"/>
      <c r="B240" s="40">
        <f>COUNTIF($M$2:$M$234,"Caracterizado")</f>
        <v>49</v>
      </c>
      <c r="C240" s="77"/>
      <c r="D240" s="78"/>
      <c r="E240" s="26" t="s">
        <v>3180</v>
      </c>
      <c r="G240" s="78"/>
      <c r="H240" s="81"/>
      <c r="I240" s="78"/>
      <c r="J240" s="78"/>
      <c r="K240" s="78"/>
      <c r="L240" s="78"/>
      <c r="M240" s="81"/>
      <c r="N240" s="82"/>
      <c r="O240" s="82"/>
      <c r="P240" s="82"/>
      <c r="Q240" s="83"/>
      <c r="R240" s="80"/>
      <c r="S240" s="80"/>
      <c r="T240" s="80"/>
      <c r="U240" s="83"/>
      <c r="V240" s="80"/>
      <c r="W240" s="83"/>
      <c r="X240" s="80"/>
      <c r="Y240" s="80"/>
      <c r="Z240" s="80"/>
      <c r="AA240" s="80"/>
      <c r="AB240" s="80"/>
      <c r="AC240" s="80"/>
      <c r="AD240" s="80"/>
      <c r="AE240" s="80"/>
    </row>
    <row r="241" spans="1:31" x14ac:dyDescent="0.25">
      <c r="A241" s="76"/>
      <c r="B241" s="40">
        <f>COUNTIF($M$2:$M$234,"Encuestado")</f>
        <v>81</v>
      </c>
      <c r="C241" s="77"/>
      <c r="D241" s="78"/>
      <c r="E241" s="26" t="s">
        <v>3181</v>
      </c>
      <c r="G241" s="78"/>
      <c r="H241" s="81"/>
      <c r="I241" s="78"/>
      <c r="J241" s="78"/>
      <c r="K241" s="78"/>
      <c r="L241" s="78"/>
      <c r="M241" s="81"/>
      <c r="N241" s="82"/>
      <c r="O241" s="82"/>
      <c r="P241" s="82"/>
      <c r="Q241" s="83"/>
      <c r="R241" s="80"/>
      <c r="S241" s="80"/>
      <c r="T241" s="80"/>
      <c r="U241" s="83"/>
      <c r="V241" s="80"/>
      <c r="W241" s="83"/>
      <c r="X241" s="80"/>
      <c r="Y241" s="80"/>
      <c r="Z241" s="80"/>
      <c r="AA241" s="80"/>
      <c r="AB241" s="80"/>
      <c r="AC241" s="80"/>
      <c r="AD241" s="80"/>
      <c r="AE241" s="80"/>
    </row>
    <row r="242" spans="1:31" x14ac:dyDescent="0.25">
      <c r="A242" s="76"/>
      <c r="B242" s="40">
        <f>COUNTIF($P$2:$P$234,"Construido")</f>
        <v>39</v>
      </c>
      <c r="C242" s="77"/>
      <c r="D242" s="78"/>
      <c r="E242" s="26" t="s">
        <v>3182</v>
      </c>
      <c r="G242" s="78"/>
      <c r="H242" s="81"/>
      <c r="I242" s="78"/>
      <c r="J242" s="78"/>
      <c r="K242" s="78"/>
      <c r="L242" s="78"/>
      <c r="M242" s="81"/>
      <c r="N242" s="76"/>
      <c r="O242" s="82"/>
      <c r="P242" s="80"/>
      <c r="Q242" s="83"/>
      <c r="R242" s="80"/>
      <c r="S242" s="80"/>
      <c r="T242" s="80"/>
      <c r="U242" s="83"/>
      <c r="V242" s="80"/>
      <c r="W242" s="83"/>
      <c r="X242" s="80"/>
      <c r="Y242" s="80"/>
      <c r="Z242" s="80"/>
      <c r="AA242" s="80"/>
      <c r="AB242" s="80"/>
      <c r="AC242" s="80"/>
      <c r="AD242" s="80"/>
      <c r="AE242" s="80"/>
    </row>
    <row r="243" spans="1:31" x14ac:dyDescent="0.25">
      <c r="A243" s="76"/>
      <c r="B243" s="40">
        <f>COUNTIF($T$2:$T$234,"Construido")</f>
        <v>4</v>
      </c>
      <c r="C243" s="77"/>
      <c r="D243" s="78"/>
      <c r="E243" s="26" t="s">
        <v>3183</v>
      </c>
      <c r="G243" s="78"/>
      <c r="H243" s="81"/>
      <c r="I243" s="78"/>
      <c r="J243" s="78"/>
      <c r="K243" s="78"/>
      <c r="L243" s="78"/>
      <c r="M243" s="81"/>
      <c r="N243" s="76"/>
      <c r="O243" s="82"/>
      <c r="P243" s="80"/>
      <c r="Q243" s="83"/>
      <c r="R243" s="80"/>
      <c r="S243" s="80"/>
      <c r="T243" s="80"/>
      <c r="U243" s="83"/>
      <c r="V243" s="80"/>
      <c r="W243" s="83"/>
      <c r="X243" s="80"/>
      <c r="Y243" s="80"/>
      <c r="Z243" s="80"/>
      <c r="AA243" s="80"/>
      <c r="AB243" s="80"/>
      <c r="AC243" s="80"/>
      <c r="AD243" s="80"/>
      <c r="AE243" s="80"/>
    </row>
    <row r="244" spans="1:31" x14ac:dyDescent="0.25">
      <c r="A244" s="76"/>
      <c r="B244" s="40">
        <f>COUNTIF($V$2:$V$234,"Construido")</f>
        <v>7</v>
      </c>
      <c r="C244" s="77"/>
      <c r="D244" s="78"/>
      <c r="E244" s="26" t="s">
        <v>3184</v>
      </c>
      <c r="G244" s="78"/>
      <c r="H244" s="81"/>
      <c r="I244" s="78"/>
      <c r="J244" s="78"/>
      <c r="K244" s="78"/>
      <c r="L244" s="78"/>
      <c r="M244" s="81"/>
      <c r="N244" s="76"/>
      <c r="O244" s="82"/>
      <c r="P244" s="80"/>
      <c r="Q244" s="83"/>
      <c r="R244" s="80"/>
      <c r="S244" s="80"/>
      <c r="T244" s="80"/>
      <c r="U244" s="83"/>
      <c r="V244" s="80"/>
      <c r="W244" s="83"/>
      <c r="X244" s="80"/>
      <c r="Y244" s="80"/>
      <c r="Z244" s="80"/>
      <c r="AA244" s="80"/>
      <c r="AB244" s="80"/>
      <c r="AC244" s="80"/>
      <c r="AD244" s="80"/>
      <c r="AE244" s="80"/>
    </row>
    <row r="245" spans="1:31" x14ac:dyDescent="0.25">
      <c r="A245" s="76"/>
      <c r="B245" s="40">
        <f>COUNTIF($X$2:$X$234,"Construido")</f>
        <v>3</v>
      </c>
      <c r="C245" s="77"/>
      <c r="D245" s="78"/>
      <c r="E245" s="26" t="s">
        <v>3185</v>
      </c>
      <c r="G245" s="78"/>
      <c r="H245" s="81"/>
      <c r="I245" s="78"/>
      <c r="J245" s="78"/>
      <c r="K245" s="78"/>
      <c r="L245" s="78"/>
      <c r="M245" s="81"/>
      <c r="N245" s="76"/>
      <c r="O245" s="82"/>
      <c r="P245" s="80"/>
      <c r="Q245" s="83"/>
      <c r="R245" s="80"/>
      <c r="S245" s="80"/>
      <c r="T245" s="80"/>
      <c r="U245" s="83"/>
      <c r="V245" s="80"/>
      <c r="W245" s="83"/>
      <c r="X245" s="80"/>
      <c r="Y245" s="80"/>
      <c r="Z245" s="80"/>
      <c r="AA245" s="80"/>
      <c r="AB245" s="80"/>
      <c r="AC245" s="80"/>
      <c r="AD245" s="80"/>
      <c r="AE245" s="80"/>
    </row>
    <row r="246" spans="1:31" x14ac:dyDescent="0.25">
      <c r="A246" s="76"/>
      <c r="B246" s="76"/>
      <c r="C246" s="77"/>
      <c r="D246" s="78"/>
      <c r="E246" s="79"/>
      <c r="F246" s="80"/>
      <c r="G246" s="78"/>
      <c r="H246" s="81"/>
      <c r="I246" s="78"/>
      <c r="J246" s="78"/>
      <c r="K246" s="78"/>
      <c r="L246" s="78"/>
      <c r="M246" s="81"/>
      <c r="N246" s="76"/>
      <c r="O246" s="82"/>
      <c r="P246" s="80"/>
      <c r="Q246" s="83"/>
      <c r="R246" s="80"/>
      <c r="S246" s="80"/>
      <c r="T246" s="80"/>
      <c r="U246" s="83"/>
      <c r="V246" s="80"/>
      <c r="W246" s="83"/>
      <c r="X246" s="80"/>
      <c r="Y246" s="80"/>
      <c r="Z246" s="80"/>
      <c r="AA246" s="80"/>
      <c r="AB246" s="80"/>
      <c r="AC246" s="80"/>
      <c r="AD246" s="80"/>
      <c r="AE246" s="80"/>
    </row>
    <row r="247" spans="1:31" x14ac:dyDescent="0.25">
      <c r="A247" s="76"/>
      <c r="B247" s="76"/>
      <c r="C247" s="77"/>
      <c r="D247" s="78"/>
      <c r="E247" s="79"/>
      <c r="F247" s="80"/>
      <c r="G247" s="78"/>
      <c r="H247" s="81"/>
      <c r="I247" s="78"/>
      <c r="J247" s="78"/>
      <c r="K247" s="78"/>
      <c r="L247" s="78"/>
      <c r="M247" s="81"/>
      <c r="N247" s="76"/>
      <c r="O247" s="82"/>
      <c r="P247" s="80"/>
      <c r="Q247" s="83"/>
      <c r="R247" s="80"/>
      <c r="S247" s="80"/>
      <c r="T247" s="80"/>
      <c r="U247" s="83"/>
      <c r="V247" s="80"/>
      <c r="W247" s="83"/>
      <c r="X247" s="80"/>
      <c r="Y247" s="80"/>
      <c r="Z247" s="80"/>
      <c r="AA247" s="80"/>
      <c r="AB247" s="80"/>
      <c r="AC247" s="80"/>
      <c r="AD247" s="80"/>
      <c r="AE247" s="80"/>
    </row>
    <row r="248" spans="1:31" x14ac:dyDescent="0.25">
      <c r="A248" s="76"/>
      <c r="B248" s="76"/>
      <c r="C248" s="77"/>
      <c r="D248" s="78"/>
      <c r="E248" s="79"/>
      <c r="F248" s="80"/>
      <c r="G248" s="78"/>
      <c r="H248" s="81"/>
      <c r="I248" s="78"/>
      <c r="J248" s="78"/>
      <c r="K248" s="78"/>
      <c r="L248" s="78"/>
      <c r="M248" s="81"/>
      <c r="N248" s="76"/>
      <c r="O248" s="82"/>
      <c r="P248" s="80"/>
      <c r="Q248" s="83"/>
      <c r="R248" s="80"/>
      <c r="S248" s="80"/>
      <c r="T248" s="80"/>
      <c r="U248" s="83"/>
      <c r="V248" s="80"/>
      <c r="W248" s="83"/>
      <c r="X248" s="80"/>
      <c r="Y248" s="80"/>
      <c r="Z248" s="80"/>
      <c r="AA248" s="80"/>
      <c r="AB248" s="80"/>
      <c r="AC248" s="80"/>
      <c r="AD248" s="80"/>
      <c r="AE248" s="80"/>
    </row>
    <row r="249" spans="1:31" x14ac:dyDescent="0.25">
      <c r="A249" s="76"/>
      <c r="B249" s="76"/>
      <c r="C249" s="77"/>
      <c r="D249" s="78"/>
      <c r="E249" s="79"/>
      <c r="F249" s="80"/>
      <c r="G249" s="78"/>
      <c r="H249" s="81"/>
      <c r="I249" s="78"/>
      <c r="J249" s="78"/>
      <c r="K249" s="78"/>
      <c r="L249" s="78"/>
      <c r="M249" s="81"/>
      <c r="N249" s="76"/>
      <c r="O249" s="82"/>
      <c r="P249" s="80"/>
      <c r="Q249" s="83"/>
      <c r="R249" s="80"/>
      <c r="S249" s="80"/>
      <c r="T249" s="80"/>
      <c r="U249" s="83"/>
      <c r="V249" s="80"/>
      <c r="W249" s="83"/>
      <c r="X249" s="80"/>
      <c r="Y249" s="80"/>
      <c r="Z249" s="80"/>
      <c r="AA249" s="80"/>
      <c r="AB249" s="80"/>
      <c r="AC249" s="80"/>
      <c r="AD249" s="80"/>
      <c r="AE249" s="80"/>
    </row>
    <row r="250" spans="1:31" x14ac:dyDescent="0.25">
      <c r="A250" s="76"/>
      <c r="B250" s="76"/>
      <c r="C250" s="77"/>
      <c r="D250" s="78"/>
      <c r="E250" s="79"/>
      <c r="F250" s="80"/>
      <c r="G250" s="78"/>
      <c r="H250" s="81"/>
      <c r="I250" s="78"/>
      <c r="J250" s="78"/>
      <c r="K250" s="78"/>
      <c r="L250" s="78"/>
      <c r="M250" s="81"/>
      <c r="N250" s="76"/>
      <c r="O250" s="82"/>
      <c r="P250" s="80"/>
      <c r="Q250" s="83"/>
      <c r="R250" s="80"/>
      <c r="S250" s="80"/>
      <c r="T250" s="80"/>
      <c r="U250" s="83"/>
      <c r="V250" s="80"/>
      <c r="W250" s="83"/>
      <c r="X250" s="80"/>
      <c r="Y250" s="80"/>
      <c r="Z250" s="80"/>
      <c r="AA250" s="80"/>
      <c r="AB250" s="80"/>
      <c r="AC250" s="80"/>
      <c r="AD250" s="80"/>
      <c r="AE250" s="80"/>
    </row>
    <row r="251" spans="1:31" x14ac:dyDescent="0.25">
      <c r="A251" s="76"/>
      <c r="B251" s="76"/>
      <c r="C251" s="77"/>
      <c r="D251" s="78"/>
      <c r="E251" s="79"/>
      <c r="F251" s="80"/>
      <c r="G251" s="78"/>
      <c r="H251" s="81"/>
      <c r="I251" s="78"/>
      <c r="J251" s="78"/>
      <c r="K251" s="78"/>
      <c r="L251" s="78"/>
      <c r="M251" s="81"/>
      <c r="N251" s="76"/>
      <c r="O251" s="82"/>
      <c r="P251" s="80"/>
      <c r="Q251" s="83"/>
      <c r="R251" s="80"/>
      <c r="S251" s="80"/>
      <c r="T251" s="80"/>
      <c r="U251" s="83"/>
      <c r="V251" s="80"/>
      <c r="W251" s="83"/>
      <c r="X251" s="80"/>
      <c r="Y251" s="80"/>
      <c r="Z251" s="80"/>
      <c r="AA251" s="80"/>
      <c r="AB251" s="80"/>
      <c r="AC251" s="80"/>
      <c r="AD251" s="80"/>
      <c r="AE251" s="80"/>
    </row>
    <row r="252" spans="1:31" x14ac:dyDescent="0.25">
      <c r="A252" s="76"/>
      <c r="B252" s="76"/>
      <c r="C252" s="77"/>
      <c r="D252" s="78"/>
      <c r="E252" s="79"/>
      <c r="F252" s="80"/>
      <c r="G252" s="78"/>
      <c r="H252" s="81"/>
      <c r="I252" s="78"/>
      <c r="J252" s="78"/>
      <c r="K252" s="78"/>
      <c r="L252" s="78"/>
      <c r="M252" s="81"/>
      <c r="N252" s="76"/>
      <c r="O252" s="82"/>
      <c r="P252" s="80"/>
      <c r="Q252" s="83"/>
      <c r="R252" s="80"/>
      <c r="S252" s="80"/>
      <c r="T252" s="80"/>
      <c r="U252" s="83"/>
      <c r="V252" s="80"/>
      <c r="W252" s="83"/>
      <c r="X252" s="80"/>
      <c r="Y252" s="80"/>
      <c r="Z252" s="80"/>
      <c r="AA252" s="80"/>
      <c r="AB252" s="80"/>
      <c r="AC252" s="80"/>
      <c r="AD252" s="80"/>
      <c r="AE252" s="80"/>
    </row>
    <row r="253" spans="1:31" x14ac:dyDescent="0.25">
      <c r="A253" s="76"/>
      <c r="B253" s="76"/>
      <c r="C253" s="77"/>
      <c r="D253" s="78"/>
      <c r="E253" s="79"/>
      <c r="F253" s="80"/>
      <c r="G253" s="78"/>
      <c r="H253" s="81"/>
      <c r="I253" s="78"/>
      <c r="J253" s="78"/>
      <c r="K253" s="78"/>
      <c r="L253" s="78"/>
      <c r="M253" s="81"/>
      <c r="N253" s="76"/>
      <c r="O253" s="82"/>
      <c r="P253" s="80"/>
      <c r="Q253" s="83"/>
      <c r="R253" s="80"/>
      <c r="S253" s="80"/>
      <c r="T253" s="80"/>
      <c r="U253" s="83"/>
      <c r="V253" s="80"/>
      <c r="W253" s="83"/>
      <c r="X253" s="80"/>
      <c r="Y253" s="80"/>
      <c r="Z253" s="80"/>
      <c r="AA253" s="80"/>
      <c r="AB253" s="80"/>
      <c r="AC253" s="80"/>
      <c r="AD253" s="80"/>
      <c r="AE253" s="80"/>
    </row>
    <row r="254" spans="1:31" x14ac:dyDescent="0.25">
      <c r="A254" s="76"/>
      <c r="B254" s="76"/>
      <c r="C254" s="77"/>
      <c r="D254" s="78"/>
      <c r="E254" s="79"/>
      <c r="F254" s="80"/>
      <c r="G254" s="78"/>
      <c r="H254" s="81"/>
      <c r="I254" s="78"/>
      <c r="J254" s="78"/>
      <c r="K254" s="78"/>
      <c r="L254" s="78"/>
      <c r="M254" s="81"/>
      <c r="N254" s="76"/>
      <c r="O254" s="82"/>
      <c r="P254" s="80"/>
      <c r="Q254" s="83"/>
      <c r="R254" s="80"/>
      <c r="S254" s="80"/>
      <c r="T254" s="80"/>
      <c r="U254" s="83"/>
      <c r="V254" s="80"/>
      <c r="W254" s="83"/>
      <c r="X254" s="80"/>
      <c r="Y254" s="80"/>
      <c r="Z254" s="80"/>
      <c r="AA254" s="80"/>
      <c r="AB254" s="80"/>
      <c r="AC254" s="80"/>
      <c r="AD254" s="80"/>
      <c r="AE254" s="80"/>
    </row>
    <row r="255" spans="1:31" x14ac:dyDescent="0.25">
      <c r="A255" s="76"/>
      <c r="B255" s="76"/>
      <c r="C255" s="77"/>
      <c r="D255" s="78"/>
      <c r="E255" s="79"/>
      <c r="F255" s="80"/>
      <c r="G255" s="78"/>
      <c r="H255" s="81"/>
      <c r="I255" s="78"/>
      <c r="J255" s="78"/>
      <c r="K255" s="78"/>
      <c r="L255" s="78"/>
      <c r="M255" s="81"/>
      <c r="N255" s="76"/>
      <c r="O255" s="82"/>
      <c r="P255" s="80"/>
      <c r="Q255" s="83"/>
      <c r="R255" s="80"/>
      <c r="S255" s="80"/>
      <c r="T255" s="80"/>
      <c r="U255" s="83"/>
      <c r="V255" s="80"/>
      <c r="W255" s="83"/>
      <c r="X255" s="80"/>
      <c r="Y255" s="80"/>
      <c r="Z255" s="80"/>
      <c r="AA255" s="80"/>
      <c r="AB255" s="80"/>
      <c r="AC255" s="80"/>
      <c r="AD255" s="80"/>
      <c r="AE255" s="80"/>
    </row>
    <row r="256" spans="1:31" x14ac:dyDescent="0.25">
      <c r="A256" s="76"/>
      <c r="B256" s="76"/>
      <c r="C256" s="77"/>
      <c r="D256" s="78"/>
      <c r="E256" s="79"/>
      <c r="F256" s="80"/>
      <c r="G256" s="78"/>
      <c r="H256" s="81"/>
      <c r="I256" s="78"/>
      <c r="J256" s="78"/>
      <c r="K256" s="78"/>
      <c r="L256" s="78"/>
      <c r="M256" s="81"/>
      <c r="N256" s="76"/>
      <c r="O256" s="82"/>
      <c r="P256" s="80"/>
      <c r="Q256" s="83"/>
      <c r="R256" s="80"/>
      <c r="S256" s="80"/>
      <c r="T256" s="80"/>
      <c r="U256" s="83"/>
      <c r="V256" s="80"/>
      <c r="W256" s="83"/>
      <c r="X256" s="80"/>
      <c r="Y256" s="80"/>
      <c r="Z256" s="80"/>
      <c r="AA256" s="80"/>
      <c r="AB256" s="80"/>
      <c r="AC256" s="80"/>
      <c r="AD256" s="80"/>
      <c r="AE256" s="80"/>
    </row>
    <row r="257" spans="1:31" x14ac:dyDescent="0.25">
      <c r="A257" s="76"/>
      <c r="B257" s="76"/>
      <c r="C257" s="77"/>
      <c r="D257" s="78"/>
      <c r="E257" s="79"/>
      <c r="F257" s="80"/>
      <c r="G257" s="78"/>
      <c r="H257" s="81"/>
      <c r="I257" s="78"/>
      <c r="J257" s="78"/>
      <c r="K257" s="78"/>
      <c r="L257" s="78"/>
      <c r="M257" s="81"/>
      <c r="N257" s="76"/>
      <c r="O257" s="82"/>
      <c r="P257" s="80"/>
      <c r="Q257" s="83"/>
      <c r="R257" s="80"/>
      <c r="S257" s="80"/>
      <c r="T257" s="80"/>
      <c r="U257" s="83"/>
      <c r="V257" s="80"/>
      <c r="W257" s="83"/>
      <c r="X257" s="80"/>
      <c r="Y257" s="80"/>
      <c r="Z257" s="80"/>
      <c r="AA257" s="80"/>
      <c r="AB257" s="80"/>
      <c r="AC257" s="80"/>
      <c r="AD257" s="80"/>
      <c r="AE257" s="80"/>
    </row>
    <row r="258" spans="1:31" x14ac:dyDescent="0.25">
      <c r="A258" s="76"/>
      <c r="B258" s="76"/>
      <c r="C258" s="77"/>
      <c r="D258" s="78"/>
      <c r="E258" s="79"/>
      <c r="F258" s="80"/>
      <c r="G258" s="78"/>
      <c r="H258" s="81"/>
      <c r="I258" s="78"/>
      <c r="J258" s="78"/>
      <c r="K258" s="78"/>
      <c r="L258" s="78"/>
      <c r="M258" s="81"/>
      <c r="N258" s="76"/>
      <c r="O258" s="82"/>
      <c r="P258" s="80"/>
      <c r="Q258" s="83"/>
      <c r="R258" s="80"/>
      <c r="S258" s="80"/>
      <c r="T258" s="80"/>
      <c r="U258" s="83"/>
      <c r="V258" s="80"/>
      <c r="W258" s="83"/>
      <c r="X258" s="80"/>
      <c r="Y258" s="80"/>
      <c r="Z258" s="80"/>
      <c r="AA258" s="80"/>
      <c r="AB258" s="80"/>
      <c r="AC258" s="80"/>
      <c r="AD258" s="80"/>
      <c r="AE258" s="80"/>
    </row>
    <row r="259" spans="1:31" x14ac:dyDescent="0.25">
      <c r="A259" s="76"/>
      <c r="B259" s="76"/>
      <c r="C259" s="77"/>
      <c r="D259" s="78"/>
      <c r="E259" s="79"/>
      <c r="F259" s="80"/>
      <c r="G259" s="78"/>
      <c r="H259" s="81"/>
      <c r="I259" s="78"/>
      <c r="J259" s="78"/>
      <c r="K259" s="78"/>
      <c r="L259" s="78"/>
      <c r="M259" s="81"/>
      <c r="N259" s="76"/>
      <c r="O259" s="82"/>
      <c r="P259" s="80"/>
      <c r="Q259" s="83"/>
      <c r="R259" s="80"/>
      <c r="S259" s="80"/>
      <c r="T259" s="80"/>
      <c r="U259" s="83"/>
      <c r="V259" s="80"/>
      <c r="W259" s="83"/>
      <c r="X259" s="80"/>
      <c r="Y259" s="80"/>
      <c r="Z259" s="80"/>
      <c r="AA259" s="80"/>
      <c r="AB259" s="80"/>
      <c r="AC259" s="80"/>
      <c r="AD259" s="80"/>
      <c r="AE259" s="80"/>
    </row>
    <row r="260" spans="1:31" x14ac:dyDescent="0.25">
      <c r="A260" s="76"/>
      <c r="B260" s="76"/>
      <c r="C260" s="77"/>
      <c r="D260" s="78"/>
      <c r="E260" s="79"/>
      <c r="F260" s="80"/>
      <c r="G260" s="78"/>
      <c r="H260" s="81"/>
      <c r="I260" s="78"/>
      <c r="J260" s="78"/>
      <c r="K260" s="78"/>
      <c r="L260" s="78"/>
      <c r="M260" s="81"/>
      <c r="N260" s="76"/>
      <c r="O260" s="82"/>
      <c r="P260" s="80"/>
      <c r="Q260" s="83"/>
      <c r="R260" s="80"/>
      <c r="S260" s="80"/>
      <c r="T260" s="80"/>
      <c r="U260" s="83"/>
      <c r="V260" s="80"/>
      <c r="W260" s="83"/>
      <c r="X260" s="80"/>
      <c r="Y260" s="80"/>
      <c r="Z260" s="80"/>
      <c r="AA260" s="80"/>
      <c r="AB260" s="80"/>
      <c r="AC260" s="80"/>
      <c r="AD260" s="80"/>
      <c r="AE260" s="80"/>
    </row>
    <row r="261" spans="1:31" x14ac:dyDescent="0.25">
      <c r="A261" s="76"/>
      <c r="B261" s="76"/>
      <c r="C261" s="77"/>
      <c r="D261" s="78"/>
      <c r="E261" s="79"/>
      <c r="F261" s="80"/>
      <c r="G261" s="78"/>
      <c r="H261" s="81"/>
      <c r="I261" s="78"/>
      <c r="J261" s="78"/>
      <c r="K261" s="78"/>
      <c r="L261" s="78"/>
      <c r="M261" s="81"/>
      <c r="N261" s="76"/>
      <c r="O261" s="82"/>
      <c r="P261" s="80"/>
      <c r="Q261" s="83"/>
      <c r="R261" s="80"/>
      <c r="S261" s="80"/>
      <c r="T261" s="80"/>
      <c r="U261" s="83"/>
      <c r="V261" s="80"/>
      <c r="W261" s="83"/>
      <c r="X261" s="80"/>
      <c r="Y261" s="80"/>
      <c r="Z261" s="80"/>
      <c r="AA261" s="80"/>
      <c r="AB261" s="80"/>
      <c r="AC261" s="80"/>
      <c r="AD261" s="80"/>
      <c r="AE261" s="80"/>
    </row>
    <row r="262" spans="1:31" x14ac:dyDescent="0.25">
      <c r="A262" s="76"/>
      <c r="B262" s="76"/>
      <c r="C262" s="77"/>
      <c r="D262" s="78"/>
      <c r="E262" s="79"/>
      <c r="F262" s="80"/>
      <c r="G262" s="78"/>
      <c r="H262" s="81"/>
      <c r="I262" s="78"/>
      <c r="J262" s="78"/>
      <c r="K262" s="78"/>
      <c r="L262" s="78"/>
      <c r="M262" s="81"/>
      <c r="N262" s="76"/>
      <c r="O262" s="82"/>
      <c r="P262" s="80"/>
      <c r="Q262" s="83"/>
      <c r="R262" s="80"/>
      <c r="S262" s="80"/>
      <c r="T262" s="80"/>
      <c r="U262" s="83"/>
      <c r="V262" s="80"/>
      <c r="W262" s="83"/>
      <c r="X262" s="80"/>
      <c r="Y262" s="80"/>
      <c r="Z262" s="80"/>
      <c r="AA262" s="80"/>
      <c r="AB262" s="80"/>
      <c r="AC262" s="80"/>
      <c r="AD262" s="80"/>
      <c r="AE262" s="80"/>
    </row>
    <row r="263" spans="1:31" x14ac:dyDescent="0.25">
      <c r="A263" s="76"/>
      <c r="B263" s="76"/>
      <c r="C263" s="77"/>
      <c r="D263" s="78"/>
      <c r="E263" s="79"/>
      <c r="F263" s="80"/>
      <c r="G263" s="78"/>
      <c r="H263" s="81"/>
      <c r="I263" s="78"/>
      <c r="J263" s="78"/>
      <c r="K263" s="78"/>
      <c r="L263" s="78"/>
      <c r="M263" s="81"/>
      <c r="N263" s="76"/>
      <c r="O263" s="82"/>
      <c r="P263" s="80"/>
      <c r="Q263" s="83"/>
      <c r="R263" s="80"/>
      <c r="S263" s="80"/>
      <c r="T263" s="80"/>
      <c r="U263" s="83"/>
      <c r="V263" s="80"/>
      <c r="W263" s="83"/>
      <c r="X263" s="80"/>
      <c r="Y263" s="80"/>
      <c r="Z263" s="80"/>
      <c r="AA263" s="80"/>
      <c r="AB263" s="80"/>
      <c r="AC263" s="80"/>
      <c r="AD263" s="80"/>
      <c r="AE263" s="80"/>
    </row>
    <row r="264" spans="1:31" x14ac:dyDescent="0.25">
      <c r="A264" s="76"/>
      <c r="B264" s="76"/>
      <c r="C264" s="77"/>
      <c r="D264" s="78"/>
      <c r="E264" s="79"/>
      <c r="F264" s="80"/>
      <c r="G264" s="78"/>
      <c r="H264" s="81"/>
      <c r="I264" s="78"/>
      <c r="J264" s="78"/>
      <c r="K264" s="78"/>
      <c r="L264" s="78"/>
      <c r="M264" s="81"/>
      <c r="N264" s="76"/>
      <c r="O264" s="82"/>
      <c r="P264" s="80"/>
      <c r="Q264" s="83"/>
      <c r="R264" s="80"/>
      <c r="S264" s="80"/>
      <c r="T264" s="80"/>
      <c r="U264" s="83"/>
      <c r="V264" s="80"/>
      <c r="W264" s="83"/>
      <c r="X264" s="80"/>
      <c r="Y264" s="80"/>
      <c r="Z264" s="80"/>
      <c r="AA264" s="80"/>
      <c r="AB264" s="80"/>
      <c r="AC264" s="80"/>
      <c r="AD264" s="80"/>
      <c r="AE264" s="80"/>
    </row>
    <row r="265" spans="1:31" x14ac:dyDescent="0.25">
      <c r="A265" s="76"/>
      <c r="B265" s="76"/>
      <c r="C265" s="77"/>
      <c r="D265" s="78"/>
      <c r="E265" s="79"/>
      <c r="F265" s="80"/>
      <c r="G265" s="78"/>
      <c r="H265" s="81"/>
      <c r="I265" s="78"/>
      <c r="J265" s="78"/>
      <c r="K265" s="78"/>
      <c r="L265" s="78"/>
      <c r="M265" s="81"/>
      <c r="N265" s="76"/>
      <c r="O265" s="82"/>
      <c r="P265" s="80"/>
      <c r="Q265" s="83"/>
      <c r="R265" s="80"/>
      <c r="S265" s="80"/>
      <c r="T265" s="80"/>
      <c r="U265" s="83"/>
      <c r="V265" s="80"/>
      <c r="W265" s="83"/>
      <c r="X265" s="80"/>
      <c r="Y265" s="80"/>
      <c r="Z265" s="80"/>
      <c r="AA265" s="80"/>
      <c r="AB265" s="80"/>
      <c r="AC265" s="80"/>
      <c r="AD265" s="80"/>
      <c r="AE265" s="80"/>
    </row>
    <row r="266" spans="1:31" x14ac:dyDescent="0.25">
      <c r="A266" s="76"/>
      <c r="B266" s="76"/>
      <c r="C266" s="77"/>
      <c r="D266" s="78"/>
      <c r="E266" s="79"/>
      <c r="F266" s="80"/>
      <c r="G266" s="78"/>
      <c r="H266" s="81"/>
      <c r="I266" s="78"/>
      <c r="J266" s="78"/>
      <c r="K266" s="78"/>
      <c r="L266" s="78"/>
      <c r="M266" s="81"/>
      <c r="N266" s="76"/>
      <c r="O266" s="82"/>
      <c r="P266" s="80"/>
      <c r="Q266" s="83"/>
      <c r="R266" s="80"/>
      <c r="S266" s="80"/>
      <c r="T266" s="80"/>
      <c r="U266" s="83"/>
      <c r="V266" s="80"/>
      <c r="W266" s="83"/>
      <c r="X266" s="80"/>
      <c r="Y266" s="80"/>
      <c r="Z266" s="80"/>
      <c r="AA266" s="80"/>
      <c r="AB266" s="80"/>
      <c r="AC266" s="80"/>
      <c r="AD266" s="80"/>
      <c r="AE266" s="80"/>
    </row>
    <row r="267" spans="1:31" x14ac:dyDescent="0.25">
      <c r="A267" s="76"/>
      <c r="B267" s="76"/>
      <c r="C267" s="77"/>
      <c r="D267" s="78"/>
      <c r="E267" s="79"/>
      <c r="F267" s="80"/>
      <c r="G267" s="78"/>
      <c r="H267" s="81"/>
      <c r="I267" s="78"/>
      <c r="J267" s="78"/>
      <c r="K267" s="78"/>
      <c r="L267" s="78"/>
      <c r="M267" s="81"/>
      <c r="N267" s="76"/>
      <c r="O267" s="82"/>
      <c r="P267" s="80"/>
      <c r="Q267" s="83"/>
      <c r="R267" s="80"/>
      <c r="S267" s="80"/>
      <c r="T267" s="80"/>
      <c r="U267" s="83"/>
      <c r="V267" s="80"/>
      <c r="W267" s="83"/>
      <c r="X267" s="80"/>
      <c r="Y267" s="80"/>
      <c r="Z267" s="80"/>
      <c r="AA267" s="80"/>
      <c r="AB267" s="80"/>
      <c r="AC267" s="80"/>
      <c r="AD267" s="80"/>
      <c r="AE267" s="80"/>
    </row>
    <row r="268" spans="1:31" x14ac:dyDescent="0.25">
      <c r="A268" s="76"/>
      <c r="B268" s="76"/>
      <c r="C268" s="77"/>
      <c r="D268" s="78"/>
      <c r="E268" s="79"/>
      <c r="F268" s="80"/>
      <c r="G268" s="78"/>
      <c r="H268" s="81"/>
      <c r="I268" s="78"/>
      <c r="J268" s="78"/>
      <c r="K268" s="78"/>
      <c r="L268" s="78"/>
      <c r="M268" s="81"/>
      <c r="N268" s="76"/>
      <c r="O268" s="82"/>
      <c r="P268" s="80"/>
      <c r="Q268" s="83"/>
      <c r="R268" s="80"/>
      <c r="S268" s="80"/>
      <c r="T268" s="80"/>
      <c r="U268" s="83"/>
      <c r="V268" s="80"/>
      <c r="W268" s="83"/>
      <c r="X268" s="80"/>
      <c r="Y268" s="80"/>
      <c r="Z268" s="80"/>
      <c r="AA268" s="80"/>
      <c r="AB268" s="80"/>
      <c r="AC268" s="80"/>
      <c r="AD268" s="80"/>
      <c r="AE268" s="80"/>
    </row>
    <row r="269" spans="1:31" x14ac:dyDescent="0.25">
      <c r="A269" s="76"/>
      <c r="B269" s="76"/>
      <c r="C269" s="77"/>
      <c r="D269" s="78"/>
      <c r="E269" s="79"/>
      <c r="F269" s="80"/>
      <c r="G269" s="78"/>
      <c r="H269" s="81"/>
      <c r="I269" s="78"/>
      <c r="J269" s="78"/>
      <c r="K269" s="78"/>
      <c r="L269" s="78"/>
      <c r="M269" s="81"/>
      <c r="N269" s="76"/>
      <c r="O269" s="82"/>
      <c r="P269" s="80"/>
      <c r="Q269" s="83"/>
      <c r="R269" s="80"/>
      <c r="S269" s="80"/>
      <c r="T269" s="80"/>
      <c r="U269" s="83"/>
      <c r="V269" s="80"/>
      <c r="W269" s="83"/>
      <c r="X269" s="80"/>
      <c r="Y269" s="80"/>
      <c r="Z269" s="80"/>
      <c r="AA269" s="80"/>
      <c r="AB269" s="80"/>
      <c r="AC269" s="80"/>
      <c r="AD269" s="80"/>
      <c r="AE269" s="80"/>
    </row>
    <row r="270" spans="1:31" x14ac:dyDescent="0.25">
      <c r="A270" s="76"/>
      <c r="B270" s="76"/>
      <c r="C270" s="77"/>
      <c r="D270" s="78"/>
      <c r="E270" s="79"/>
      <c r="F270" s="80"/>
      <c r="G270" s="78"/>
      <c r="H270" s="81"/>
      <c r="I270" s="78"/>
      <c r="J270" s="78"/>
      <c r="K270" s="78"/>
      <c r="L270" s="78"/>
      <c r="M270" s="81"/>
      <c r="N270" s="76"/>
      <c r="O270" s="82"/>
      <c r="P270" s="80"/>
      <c r="Q270" s="83"/>
      <c r="R270" s="80"/>
      <c r="S270" s="80"/>
      <c r="T270" s="80"/>
      <c r="U270" s="83"/>
      <c r="V270" s="80"/>
      <c r="W270" s="83"/>
      <c r="X270" s="80"/>
      <c r="Y270" s="80"/>
      <c r="Z270" s="80"/>
      <c r="AA270" s="80"/>
      <c r="AB270" s="80"/>
      <c r="AC270" s="80"/>
      <c r="AD270" s="80"/>
      <c r="AE270" s="80"/>
    </row>
    <row r="271" spans="1:31" x14ac:dyDescent="0.25">
      <c r="A271" s="76"/>
      <c r="B271" s="76"/>
      <c r="C271" s="77"/>
      <c r="D271" s="78"/>
      <c r="E271" s="79"/>
      <c r="F271" s="80"/>
      <c r="G271" s="78"/>
      <c r="H271" s="81"/>
      <c r="I271" s="78"/>
      <c r="J271" s="78"/>
      <c r="K271" s="78"/>
      <c r="L271" s="78"/>
      <c r="M271" s="81"/>
      <c r="N271" s="76"/>
      <c r="O271" s="82"/>
      <c r="P271" s="80"/>
      <c r="Q271" s="83"/>
      <c r="R271" s="80"/>
      <c r="S271" s="80"/>
      <c r="T271" s="80"/>
      <c r="U271" s="83"/>
      <c r="V271" s="80"/>
      <c r="W271" s="83"/>
      <c r="X271" s="80"/>
      <c r="Y271" s="80"/>
      <c r="Z271" s="80"/>
      <c r="AA271" s="80"/>
      <c r="AB271" s="80"/>
      <c r="AC271" s="80"/>
      <c r="AD271" s="80"/>
      <c r="AE271" s="80"/>
    </row>
    <row r="272" spans="1:31" x14ac:dyDescent="0.25">
      <c r="A272" s="76"/>
      <c r="B272" s="76"/>
      <c r="C272" s="77"/>
      <c r="D272" s="78"/>
      <c r="E272" s="79"/>
      <c r="F272" s="80"/>
      <c r="G272" s="78"/>
      <c r="H272" s="81"/>
      <c r="I272" s="78"/>
      <c r="J272" s="78"/>
      <c r="K272" s="78"/>
      <c r="L272" s="78"/>
      <c r="M272" s="81"/>
      <c r="N272" s="76"/>
      <c r="O272" s="82"/>
      <c r="P272" s="80"/>
      <c r="Q272" s="83"/>
      <c r="R272" s="80"/>
      <c r="S272" s="80"/>
      <c r="T272" s="80"/>
      <c r="U272" s="83"/>
      <c r="V272" s="80"/>
      <c r="W272" s="83"/>
      <c r="X272" s="80"/>
      <c r="Y272" s="80"/>
      <c r="Z272" s="80"/>
      <c r="AA272" s="80"/>
      <c r="AB272" s="80"/>
      <c r="AC272" s="80"/>
      <c r="AD272" s="80"/>
      <c r="AE272" s="80"/>
    </row>
    <row r="273" spans="1:31" x14ac:dyDescent="0.25">
      <c r="A273" s="76"/>
      <c r="B273" s="76"/>
      <c r="C273" s="77"/>
      <c r="D273" s="78"/>
      <c r="E273" s="79"/>
      <c r="F273" s="80"/>
      <c r="G273" s="78"/>
      <c r="H273" s="81"/>
      <c r="I273" s="78"/>
      <c r="J273" s="78"/>
      <c r="K273" s="78"/>
      <c r="L273" s="78"/>
      <c r="M273" s="81"/>
      <c r="N273" s="76"/>
      <c r="O273" s="82"/>
      <c r="P273" s="80"/>
      <c r="Q273" s="83"/>
      <c r="R273" s="80"/>
      <c r="S273" s="80"/>
      <c r="T273" s="80"/>
      <c r="U273" s="83"/>
      <c r="V273" s="80"/>
      <c r="W273" s="83"/>
      <c r="X273" s="80"/>
      <c r="Y273" s="80"/>
      <c r="Z273" s="80"/>
      <c r="AA273" s="80"/>
      <c r="AB273" s="80"/>
      <c r="AC273" s="80"/>
      <c r="AD273" s="80"/>
      <c r="AE273" s="80"/>
    </row>
    <row r="274" spans="1:31" x14ac:dyDescent="0.25">
      <c r="A274" s="76"/>
      <c r="B274" s="76"/>
      <c r="C274" s="77"/>
      <c r="D274" s="78"/>
      <c r="E274" s="79"/>
      <c r="F274" s="80"/>
      <c r="G274" s="78"/>
      <c r="H274" s="81"/>
      <c r="I274" s="78"/>
      <c r="J274" s="78"/>
      <c r="K274" s="78"/>
      <c r="L274" s="78"/>
      <c r="M274" s="81"/>
      <c r="N274" s="76"/>
      <c r="O274" s="82"/>
      <c r="P274" s="80"/>
      <c r="Q274" s="83"/>
      <c r="R274" s="80"/>
      <c r="S274" s="80"/>
      <c r="T274" s="80"/>
      <c r="U274" s="83"/>
      <c r="V274" s="80"/>
      <c r="W274" s="83"/>
      <c r="X274" s="80"/>
      <c r="Y274" s="80"/>
      <c r="Z274" s="80"/>
      <c r="AA274" s="80"/>
      <c r="AB274" s="80"/>
      <c r="AC274" s="80"/>
      <c r="AD274" s="80"/>
      <c r="AE274" s="80"/>
    </row>
    <row r="275" spans="1:31" x14ac:dyDescent="0.25">
      <c r="A275" s="76"/>
      <c r="B275" s="76"/>
      <c r="C275" s="77"/>
      <c r="D275" s="78"/>
      <c r="E275" s="79"/>
      <c r="F275" s="80"/>
      <c r="G275" s="78"/>
      <c r="H275" s="81"/>
      <c r="I275" s="78"/>
      <c r="J275" s="78"/>
      <c r="K275" s="78"/>
      <c r="L275" s="78"/>
      <c r="M275" s="81"/>
      <c r="N275" s="76"/>
      <c r="O275" s="82"/>
      <c r="P275" s="80"/>
      <c r="Q275" s="83"/>
      <c r="R275" s="80"/>
      <c r="S275" s="80"/>
      <c r="T275" s="80"/>
      <c r="U275" s="83"/>
      <c r="V275" s="80"/>
      <c r="W275" s="83"/>
      <c r="X275" s="80"/>
      <c r="Y275" s="80"/>
      <c r="Z275" s="80"/>
      <c r="AA275" s="80"/>
      <c r="AB275" s="80"/>
      <c r="AC275" s="80"/>
      <c r="AD275" s="80"/>
      <c r="AE275" s="80"/>
    </row>
    <row r="276" spans="1:31" x14ac:dyDescent="0.25">
      <c r="A276" s="76"/>
      <c r="B276" s="76"/>
      <c r="C276" s="77"/>
      <c r="D276" s="78"/>
      <c r="E276" s="79"/>
      <c r="F276" s="80"/>
      <c r="G276" s="78"/>
      <c r="H276" s="81"/>
      <c r="I276" s="78"/>
      <c r="J276" s="78"/>
      <c r="K276" s="78"/>
      <c r="L276" s="78"/>
      <c r="M276" s="81"/>
      <c r="N276" s="76"/>
      <c r="O276" s="82"/>
      <c r="P276" s="80"/>
      <c r="Q276" s="83"/>
      <c r="R276" s="80"/>
      <c r="S276" s="80"/>
      <c r="T276" s="80"/>
      <c r="U276" s="83"/>
      <c r="V276" s="80"/>
      <c r="W276" s="83"/>
      <c r="X276" s="80"/>
      <c r="Y276" s="80"/>
      <c r="Z276" s="80"/>
      <c r="AA276" s="80"/>
      <c r="AB276" s="80"/>
      <c r="AC276" s="80"/>
      <c r="AD276" s="80"/>
      <c r="AE276" s="80"/>
    </row>
    <row r="277" spans="1:31" x14ac:dyDescent="0.25">
      <c r="A277" s="76"/>
      <c r="B277" s="76"/>
      <c r="C277" s="77"/>
      <c r="D277" s="78"/>
      <c r="E277" s="79"/>
      <c r="F277" s="80"/>
      <c r="G277" s="78"/>
      <c r="H277" s="81"/>
      <c r="I277" s="78"/>
      <c r="J277" s="78"/>
      <c r="K277" s="78"/>
      <c r="L277" s="78"/>
      <c r="M277" s="81"/>
      <c r="N277" s="76"/>
      <c r="O277" s="82"/>
      <c r="P277" s="80"/>
      <c r="Q277" s="83"/>
      <c r="R277" s="80"/>
      <c r="S277" s="80"/>
      <c r="T277" s="80"/>
      <c r="U277" s="83"/>
      <c r="V277" s="80"/>
      <c r="W277" s="83"/>
      <c r="X277" s="80"/>
      <c r="Y277" s="80"/>
      <c r="Z277" s="80"/>
      <c r="AA277" s="80"/>
      <c r="AB277" s="80"/>
      <c r="AC277" s="80"/>
      <c r="AD277" s="80"/>
      <c r="AE277" s="80"/>
    </row>
    <row r="278" spans="1:31" x14ac:dyDescent="0.25">
      <c r="A278" s="76"/>
      <c r="B278" s="76"/>
      <c r="C278" s="77"/>
      <c r="D278" s="78"/>
      <c r="E278" s="79"/>
      <c r="F278" s="80"/>
      <c r="G278" s="78"/>
      <c r="H278" s="81"/>
      <c r="I278" s="78"/>
      <c r="J278" s="78"/>
      <c r="K278" s="78"/>
      <c r="L278" s="78"/>
      <c r="M278" s="81"/>
      <c r="N278" s="76"/>
      <c r="O278" s="82"/>
      <c r="P278" s="80"/>
      <c r="Q278" s="83"/>
      <c r="R278" s="80"/>
      <c r="S278" s="80"/>
      <c r="T278" s="80"/>
      <c r="U278" s="83"/>
      <c r="V278" s="80"/>
      <c r="W278" s="83"/>
      <c r="X278" s="80"/>
      <c r="Y278" s="80"/>
      <c r="Z278" s="80"/>
      <c r="AA278" s="80"/>
      <c r="AB278" s="80"/>
      <c r="AC278" s="80"/>
      <c r="AD278" s="80"/>
      <c r="AE278" s="80"/>
    </row>
    <row r="279" spans="1:31" x14ac:dyDescent="0.25">
      <c r="A279" s="76"/>
      <c r="B279" s="76"/>
      <c r="C279" s="77"/>
      <c r="D279" s="78"/>
      <c r="E279" s="79"/>
      <c r="F279" s="80"/>
      <c r="G279" s="78"/>
      <c r="H279" s="81"/>
      <c r="I279" s="78"/>
      <c r="J279" s="78"/>
      <c r="K279" s="78"/>
      <c r="L279" s="78"/>
      <c r="M279" s="81"/>
      <c r="N279" s="76"/>
      <c r="O279" s="82"/>
      <c r="P279" s="80"/>
      <c r="Q279" s="83"/>
      <c r="R279" s="80"/>
      <c r="S279" s="80"/>
      <c r="T279" s="80"/>
      <c r="U279" s="83"/>
      <c r="V279" s="80"/>
      <c r="W279" s="83"/>
      <c r="X279" s="80"/>
      <c r="Y279" s="80"/>
      <c r="Z279" s="80"/>
      <c r="AA279" s="80"/>
      <c r="AB279" s="80"/>
      <c r="AC279" s="80"/>
      <c r="AD279" s="80"/>
      <c r="AE279" s="80"/>
    </row>
    <row r="280" spans="1:31" x14ac:dyDescent="0.25">
      <c r="A280" s="76"/>
      <c r="B280" s="76"/>
      <c r="C280" s="77"/>
      <c r="D280" s="78"/>
      <c r="E280" s="79"/>
      <c r="F280" s="80"/>
      <c r="G280" s="78"/>
      <c r="H280" s="81"/>
      <c r="I280" s="78"/>
      <c r="J280" s="78"/>
      <c r="K280" s="78"/>
      <c r="L280" s="78"/>
      <c r="M280" s="81"/>
      <c r="N280" s="76"/>
      <c r="O280" s="82"/>
      <c r="P280" s="80"/>
      <c r="Q280" s="83"/>
      <c r="R280" s="80"/>
      <c r="S280" s="80"/>
      <c r="T280" s="80"/>
      <c r="U280" s="83"/>
      <c r="V280" s="80"/>
      <c r="W280" s="83"/>
      <c r="X280" s="80"/>
      <c r="Y280" s="80"/>
      <c r="Z280" s="80"/>
      <c r="AA280" s="80"/>
      <c r="AB280" s="80"/>
      <c r="AC280" s="80"/>
      <c r="AD280" s="80"/>
      <c r="AE280" s="80"/>
    </row>
    <row r="281" spans="1:31" x14ac:dyDescent="0.25">
      <c r="A281" s="76"/>
      <c r="B281" s="76"/>
      <c r="C281" s="77"/>
      <c r="D281" s="78"/>
      <c r="E281" s="79"/>
      <c r="F281" s="80"/>
      <c r="G281" s="78"/>
      <c r="H281" s="81"/>
      <c r="I281" s="78"/>
      <c r="J281" s="78"/>
      <c r="K281" s="78"/>
      <c r="L281" s="78"/>
      <c r="M281" s="81"/>
      <c r="N281" s="76"/>
      <c r="O281" s="82"/>
      <c r="P281" s="80"/>
      <c r="Q281" s="83"/>
      <c r="R281" s="80"/>
      <c r="S281" s="80"/>
      <c r="T281" s="80"/>
      <c r="U281" s="83"/>
      <c r="V281" s="80"/>
      <c r="W281" s="83"/>
      <c r="X281" s="80"/>
      <c r="Y281" s="80"/>
      <c r="Z281" s="80"/>
      <c r="AA281" s="80"/>
      <c r="AB281" s="80"/>
      <c r="AC281" s="80"/>
      <c r="AD281" s="80"/>
      <c r="AE281" s="80"/>
    </row>
    <row r="282" spans="1:31" x14ac:dyDescent="0.25">
      <c r="A282" s="76"/>
      <c r="B282" s="76"/>
      <c r="C282" s="77"/>
      <c r="D282" s="78"/>
      <c r="E282" s="79"/>
      <c r="F282" s="80"/>
      <c r="G282" s="78"/>
      <c r="H282" s="81"/>
      <c r="I282" s="78"/>
      <c r="J282" s="78"/>
      <c r="K282" s="78"/>
      <c r="L282" s="78"/>
      <c r="M282" s="81"/>
      <c r="N282" s="76"/>
      <c r="O282" s="82"/>
      <c r="P282" s="80"/>
      <c r="Q282" s="83"/>
      <c r="R282" s="80"/>
      <c r="S282" s="80"/>
      <c r="T282" s="80"/>
      <c r="U282" s="83"/>
      <c r="V282" s="80"/>
      <c r="W282" s="83"/>
      <c r="X282" s="80"/>
      <c r="Y282" s="80"/>
      <c r="Z282" s="80"/>
      <c r="AA282" s="80"/>
      <c r="AB282" s="80"/>
      <c r="AC282" s="80"/>
      <c r="AD282" s="80"/>
      <c r="AE282" s="80"/>
    </row>
    <row r="283" spans="1:31" x14ac:dyDescent="0.25">
      <c r="A283" s="76"/>
      <c r="B283" s="76"/>
      <c r="C283" s="77"/>
      <c r="D283" s="78"/>
      <c r="E283" s="79"/>
      <c r="F283" s="80"/>
      <c r="G283" s="78"/>
      <c r="H283" s="81"/>
      <c r="I283" s="78"/>
      <c r="J283" s="78"/>
      <c r="K283" s="78"/>
      <c r="L283" s="78"/>
      <c r="M283" s="81"/>
      <c r="N283" s="76"/>
      <c r="O283" s="82"/>
      <c r="P283" s="80"/>
      <c r="Q283" s="83"/>
      <c r="R283" s="80"/>
      <c r="S283" s="80"/>
      <c r="T283" s="80"/>
      <c r="U283" s="83"/>
      <c r="V283" s="80"/>
      <c r="W283" s="83"/>
      <c r="X283" s="80"/>
      <c r="Y283" s="80"/>
      <c r="Z283" s="80"/>
      <c r="AA283" s="80"/>
      <c r="AB283" s="80"/>
      <c r="AC283" s="80"/>
      <c r="AD283" s="80"/>
      <c r="AE283" s="80"/>
    </row>
    <row r="284" spans="1:31" x14ac:dyDescent="0.25">
      <c r="A284" s="76"/>
      <c r="B284" s="76"/>
      <c r="C284" s="77"/>
      <c r="D284" s="78"/>
      <c r="E284" s="79"/>
      <c r="F284" s="80"/>
      <c r="G284" s="78"/>
      <c r="H284" s="81"/>
      <c r="I284" s="78"/>
      <c r="J284" s="78"/>
      <c r="K284" s="78"/>
      <c r="L284" s="78"/>
      <c r="M284" s="81"/>
      <c r="N284" s="76"/>
      <c r="O284" s="82"/>
      <c r="P284" s="80"/>
      <c r="Q284" s="83"/>
      <c r="R284" s="80"/>
      <c r="S284" s="80"/>
      <c r="T284" s="80"/>
      <c r="U284" s="83"/>
      <c r="V284" s="80"/>
      <c r="W284" s="83"/>
      <c r="X284" s="80"/>
      <c r="Y284" s="80"/>
      <c r="Z284" s="80"/>
      <c r="AA284" s="80"/>
      <c r="AB284" s="80"/>
      <c r="AC284" s="80"/>
      <c r="AD284" s="80"/>
      <c r="AE284" s="80"/>
    </row>
    <row r="285" spans="1:31" x14ac:dyDescent="0.25">
      <c r="A285" s="76"/>
      <c r="B285" s="76"/>
      <c r="C285" s="77"/>
      <c r="D285" s="78"/>
      <c r="E285" s="79"/>
      <c r="F285" s="80"/>
      <c r="G285" s="78"/>
      <c r="H285" s="81"/>
      <c r="I285" s="78"/>
      <c r="J285" s="78"/>
      <c r="K285" s="78"/>
      <c r="L285" s="78"/>
      <c r="M285" s="81"/>
      <c r="N285" s="76"/>
      <c r="O285" s="82"/>
      <c r="P285" s="80"/>
      <c r="Q285" s="83"/>
      <c r="R285" s="80"/>
      <c r="S285" s="80"/>
      <c r="T285" s="80"/>
      <c r="U285" s="83"/>
      <c r="V285" s="80"/>
      <c r="W285" s="83"/>
      <c r="X285" s="80"/>
      <c r="Y285" s="80"/>
      <c r="Z285" s="80"/>
      <c r="AA285" s="80"/>
      <c r="AB285" s="80"/>
      <c r="AC285" s="80"/>
      <c r="AD285" s="80"/>
      <c r="AE285" s="80"/>
    </row>
    <row r="286" spans="1:31" x14ac:dyDescent="0.25">
      <c r="A286" s="76"/>
      <c r="B286" s="76"/>
      <c r="C286" s="77"/>
      <c r="D286" s="78"/>
      <c r="E286" s="79"/>
      <c r="F286" s="80"/>
      <c r="G286" s="78"/>
      <c r="H286" s="81"/>
      <c r="I286" s="78"/>
      <c r="J286" s="78"/>
      <c r="K286" s="78"/>
      <c r="L286" s="78"/>
      <c r="M286" s="81"/>
      <c r="N286" s="76"/>
      <c r="O286" s="82"/>
      <c r="P286" s="80"/>
      <c r="Q286" s="83"/>
      <c r="R286" s="80"/>
      <c r="S286" s="80"/>
      <c r="T286" s="80"/>
      <c r="U286" s="83"/>
      <c r="V286" s="80"/>
      <c r="W286" s="83"/>
      <c r="X286" s="80"/>
      <c r="Y286" s="80"/>
      <c r="Z286" s="80"/>
      <c r="AA286" s="80"/>
      <c r="AB286" s="80"/>
      <c r="AC286" s="80"/>
      <c r="AD286" s="80"/>
      <c r="AE286" s="80"/>
    </row>
    <row r="287" spans="1:31" x14ac:dyDescent="0.25">
      <c r="A287" s="76"/>
      <c r="B287" s="76"/>
      <c r="C287" s="77"/>
      <c r="D287" s="78"/>
      <c r="E287" s="79"/>
      <c r="F287" s="80"/>
      <c r="G287" s="78"/>
      <c r="H287" s="81"/>
      <c r="I287" s="78"/>
      <c r="J287" s="78"/>
      <c r="K287" s="78"/>
      <c r="L287" s="78"/>
      <c r="M287" s="81"/>
      <c r="N287" s="76"/>
      <c r="O287" s="82"/>
      <c r="P287" s="80"/>
      <c r="Q287" s="83"/>
      <c r="R287" s="80"/>
      <c r="S287" s="80"/>
      <c r="T287" s="80"/>
      <c r="U287" s="83"/>
      <c r="V287" s="80"/>
      <c r="W287" s="83"/>
      <c r="X287" s="80"/>
      <c r="Y287" s="80"/>
      <c r="Z287" s="80"/>
      <c r="AA287" s="80"/>
      <c r="AB287" s="80"/>
      <c r="AC287" s="80"/>
      <c r="AD287" s="80"/>
      <c r="AE287" s="80"/>
    </row>
    <row r="288" spans="1:31" x14ac:dyDescent="0.25">
      <c r="A288" s="76"/>
      <c r="B288" s="76"/>
      <c r="C288" s="77"/>
      <c r="D288" s="78"/>
      <c r="E288" s="79"/>
      <c r="F288" s="80"/>
      <c r="G288" s="78"/>
      <c r="H288" s="81"/>
      <c r="I288" s="78"/>
      <c r="J288" s="78"/>
      <c r="K288" s="78"/>
      <c r="L288" s="78"/>
      <c r="M288" s="81"/>
      <c r="N288" s="76"/>
      <c r="O288" s="82"/>
      <c r="P288" s="80"/>
      <c r="Q288" s="83"/>
      <c r="R288" s="80"/>
      <c r="S288" s="80"/>
      <c r="T288" s="80"/>
      <c r="U288" s="83"/>
      <c r="V288" s="80"/>
      <c r="W288" s="83"/>
      <c r="X288" s="80"/>
      <c r="Y288" s="80"/>
      <c r="Z288" s="80"/>
      <c r="AA288" s="80"/>
      <c r="AB288" s="80"/>
      <c r="AC288" s="80"/>
      <c r="AD288" s="80"/>
      <c r="AE288" s="80"/>
    </row>
    <row r="289" spans="1:31" x14ac:dyDescent="0.25">
      <c r="A289" s="76"/>
      <c r="B289" s="76"/>
      <c r="C289" s="77"/>
      <c r="D289" s="78"/>
      <c r="E289" s="79"/>
      <c r="F289" s="80"/>
      <c r="G289" s="78"/>
      <c r="H289" s="81"/>
      <c r="I289" s="78"/>
      <c r="J289" s="78"/>
      <c r="K289" s="78"/>
      <c r="L289" s="78"/>
      <c r="M289" s="81"/>
      <c r="N289" s="76"/>
      <c r="O289" s="82"/>
      <c r="P289" s="80"/>
      <c r="Q289" s="83"/>
      <c r="R289" s="80"/>
      <c r="S289" s="80"/>
      <c r="T289" s="80"/>
      <c r="U289" s="83"/>
      <c r="V289" s="80"/>
      <c r="W289" s="83"/>
      <c r="X289" s="80"/>
      <c r="Y289" s="80"/>
      <c r="Z289" s="80"/>
      <c r="AA289" s="80"/>
      <c r="AB289" s="80"/>
      <c r="AC289" s="80"/>
      <c r="AD289" s="80"/>
      <c r="AE289" s="80"/>
    </row>
    <row r="290" spans="1:31" x14ac:dyDescent="0.25">
      <c r="A290" s="76"/>
      <c r="B290" s="76"/>
      <c r="C290" s="77"/>
      <c r="D290" s="78"/>
      <c r="E290" s="79"/>
      <c r="F290" s="80"/>
      <c r="G290" s="78"/>
      <c r="H290" s="81"/>
      <c r="I290" s="78"/>
      <c r="J290" s="78"/>
      <c r="K290" s="78"/>
      <c r="L290" s="78"/>
      <c r="M290" s="81"/>
      <c r="N290" s="76"/>
      <c r="O290" s="82"/>
      <c r="P290" s="80"/>
      <c r="Q290" s="83"/>
      <c r="R290" s="80"/>
      <c r="S290" s="80"/>
      <c r="T290" s="80"/>
      <c r="U290" s="83"/>
      <c r="V290" s="80"/>
      <c r="W290" s="83"/>
      <c r="X290" s="80"/>
      <c r="Y290" s="80"/>
      <c r="Z290" s="80"/>
      <c r="AA290" s="80"/>
      <c r="AB290" s="80"/>
      <c r="AC290" s="80"/>
      <c r="AD290" s="80"/>
      <c r="AE290" s="80"/>
    </row>
    <row r="291" spans="1:31" x14ac:dyDescent="0.25">
      <c r="A291" s="76"/>
      <c r="B291" s="76"/>
      <c r="C291" s="77"/>
      <c r="D291" s="78"/>
      <c r="E291" s="79"/>
      <c r="F291" s="80"/>
      <c r="G291" s="78"/>
      <c r="H291" s="81"/>
      <c r="I291" s="78"/>
      <c r="J291" s="78"/>
      <c r="K291" s="78"/>
      <c r="L291" s="78"/>
      <c r="M291" s="81"/>
      <c r="N291" s="76"/>
      <c r="O291" s="82"/>
      <c r="P291" s="80"/>
      <c r="Q291" s="83"/>
      <c r="R291" s="80"/>
      <c r="S291" s="80"/>
      <c r="T291" s="80"/>
      <c r="U291" s="83"/>
      <c r="V291" s="80"/>
      <c r="W291" s="83"/>
      <c r="X291" s="80"/>
      <c r="Y291" s="80"/>
      <c r="Z291" s="80"/>
      <c r="AA291" s="80"/>
      <c r="AB291" s="80"/>
      <c r="AC291" s="80"/>
      <c r="AD291" s="80"/>
      <c r="AE291" s="80"/>
    </row>
    <row r="292" spans="1:31" x14ac:dyDescent="0.25">
      <c r="A292" s="76"/>
      <c r="B292" s="76"/>
      <c r="C292" s="77"/>
      <c r="D292" s="78"/>
      <c r="E292" s="79"/>
      <c r="F292" s="80"/>
      <c r="G292" s="78"/>
      <c r="H292" s="81"/>
      <c r="I292" s="78"/>
      <c r="J292" s="78"/>
      <c r="K292" s="78"/>
      <c r="L292" s="78"/>
      <c r="M292" s="81"/>
      <c r="N292" s="76"/>
      <c r="O292" s="82"/>
      <c r="P292" s="80"/>
      <c r="Q292" s="83"/>
      <c r="R292" s="80"/>
      <c r="S292" s="80"/>
      <c r="T292" s="80"/>
      <c r="U292" s="83"/>
      <c r="V292" s="80"/>
      <c r="W292" s="83"/>
      <c r="X292" s="80"/>
      <c r="Y292" s="80"/>
      <c r="Z292" s="80"/>
      <c r="AA292" s="80"/>
      <c r="AB292" s="80"/>
      <c r="AC292" s="80"/>
      <c r="AD292" s="80"/>
      <c r="AE292" s="80"/>
    </row>
    <row r="293" spans="1:31" x14ac:dyDescent="0.25">
      <c r="A293" s="76"/>
      <c r="B293" s="76"/>
      <c r="C293" s="77"/>
      <c r="D293" s="78"/>
      <c r="E293" s="79"/>
      <c r="F293" s="80"/>
      <c r="G293" s="78"/>
      <c r="H293" s="81"/>
      <c r="I293" s="78"/>
      <c r="J293" s="78"/>
      <c r="K293" s="78"/>
      <c r="L293" s="78"/>
      <c r="M293" s="81"/>
      <c r="N293" s="76"/>
      <c r="O293" s="82"/>
      <c r="P293" s="80"/>
      <c r="Q293" s="83"/>
      <c r="R293" s="80"/>
      <c r="S293" s="80"/>
      <c r="T293" s="80"/>
      <c r="U293" s="83"/>
      <c r="V293" s="80"/>
      <c r="W293" s="83"/>
      <c r="X293" s="80"/>
      <c r="Y293" s="80"/>
      <c r="Z293" s="80"/>
      <c r="AA293" s="80"/>
      <c r="AB293" s="80"/>
      <c r="AC293" s="80"/>
      <c r="AD293" s="80"/>
      <c r="AE293" s="80"/>
    </row>
    <row r="294" spans="1:31" x14ac:dyDescent="0.25">
      <c r="A294" s="76"/>
      <c r="B294" s="76"/>
      <c r="C294" s="77"/>
      <c r="D294" s="78"/>
      <c r="E294" s="79"/>
      <c r="F294" s="80"/>
      <c r="G294" s="78"/>
      <c r="H294" s="81"/>
      <c r="I294" s="78"/>
      <c r="J294" s="78"/>
      <c r="K294" s="78"/>
      <c r="L294" s="78"/>
      <c r="M294" s="81"/>
      <c r="N294" s="76"/>
      <c r="O294" s="82"/>
      <c r="P294" s="80"/>
      <c r="Q294" s="83"/>
      <c r="R294" s="80"/>
      <c r="S294" s="80"/>
      <c r="T294" s="80"/>
      <c r="U294" s="83"/>
      <c r="V294" s="80"/>
      <c r="W294" s="83"/>
      <c r="X294" s="80"/>
      <c r="Y294" s="80"/>
      <c r="Z294" s="80"/>
      <c r="AA294" s="80"/>
      <c r="AB294" s="80"/>
      <c r="AC294" s="80"/>
      <c r="AD294" s="80"/>
      <c r="AE294" s="80"/>
    </row>
    <row r="295" spans="1:31" x14ac:dyDescent="0.25">
      <c r="A295" s="76"/>
      <c r="B295" s="76"/>
      <c r="C295" s="77"/>
      <c r="D295" s="78"/>
      <c r="E295" s="79"/>
      <c r="F295" s="80"/>
      <c r="G295" s="78"/>
      <c r="H295" s="81"/>
      <c r="I295" s="78"/>
      <c r="J295" s="78"/>
      <c r="K295" s="78"/>
      <c r="L295" s="78"/>
      <c r="M295" s="81"/>
      <c r="N295" s="76"/>
      <c r="O295" s="82"/>
      <c r="P295" s="80"/>
      <c r="Q295" s="83"/>
      <c r="R295" s="80"/>
      <c r="S295" s="80"/>
      <c r="T295" s="80"/>
      <c r="U295" s="83"/>
      <c r="V295" s="80"/>
      <c r="W295" s="83"/>
      <c r="X295" s="80"/>
      <c r="Y295" s="80"/>
      <c r="Z295" s="80"/>
      <c r="AA295" s="80"/>
      <c r="AB295" s="80"/>
      <c r="AC295" s="80"/>
      <c r="AD295" s="80"/>
      <c r="AE295" s="80"/>
    </row>
    <row r="296" spans="1:31" x14ac:dyDescent="0.25">
      <c r="A296" s="76"/>
      <c r="B296" s="76"/>
      <c r="C296" s="77"/>
      <c r="D296" s="78"/>
      <c r="E296" s="79"/>
      <c r="F296" s="80"/>
      <c r="G296" s="78"/>
      <c r="H296" s="81"/>
      <c r="I296" s="78"/>
      <c r="J296" s="78"/>
      <c r="K296" s="78"/>
      <c r="L296" s="78"/>
      <c r="M296" s="81"/>
      <c r="N296" s="76"/>
      <c r="O296" s="82"/>
      <c r="P296" s="80"/>
      <c r="Q296" s="83"/>
      <c r="R296" s="80"/>
      <c r="S296" s="80"/>
      <c r="T296" s="80"/>
      <c r="U296" s="83"/>
      <c r="V296" s="80"/>
      <c r="W296" s="83"/>
      <c r="X296" s="80"/>
      <c r="Y296" s="80"/>
      <c r="Z296" s="80"/>
      <c r="AA296" s="80"/>
      <c r="AB296" s="80"/>
      <c r="AC296" s="80"/>
      <c r="AD296" s="80"/>
      <c r="AE296" s="80"/>
    </row>
    <row r="297" spans="1:31" x14ac:dyDescent="0.25">
      <c r="A297" s="76"/>
      <c r="B297" s="76"/>
      <c r="C297" s="77"/>
      <c r="D297" s="78"/>
      <c r="E297" s="79"/>
      <c r="F297" s="80"/>
      <c r="G297" s="78"/>
      <c r="H297" s="81"/>
      <c r="I297" s="78"/>
      <c r="J297" s="78"/>
      <c r="K297" s="78"/>
      <c r="L297" s="78"/>
      <c r="M297" s="81"/>
      <c r="N297" s="76"/>
      <c r="O297" s="82"/>
      <c r="P297" s="80"/>
      <c r="Q297" s="83"/>
      <c r="R297" s="80"/>
      <c r="S297" s="80"/>
      <c r="T297" s="80"/>
      <c r="U297" s="83"/>
      <c r="V297" s="80"/>
      <c r="W297" s="83"/>
      <c r="X297" s="80"/>
      <c r="Y297" s="80"/>
      <c r="Z297" s="80"/>
      <c r="AA297" s="80"/>
      <c r="AB297" s="80"/>
      <c r="AC297" s="80"/>
      <c r="AD297" s="80"/>
      <c r="AE297" s="80"/>
    </row>
    <row r="298" spans="1:31" x14ac:dyDescent="0.25">
      <c r="A298" s="76"/>
      <c r="B298" s="76"/>
      <c r="C298" s="77"/>
      <c r="D298" s="78"/>
      <c r="E298" s="79"/>
      <c r="F298" s="80"/>
      <c r="G298" s="78"/>
      <c r="H298" s="81"/>
      <c r="I298" s="78"/>
      <c r="J298" s="78"/>
      <c r="K298" s="78"/>
      <c r="L298" s="78"/>
      <c r="M298" s="81"/>
      <c r="N298" s="76"/>
      <c r="O298" s="82"/>
      <c r="P298" s="80"/>
      <c r="Q298" s="83"/>
      <c r="R298" s="80"/>
      <c r="S298" s="80"/>
      <c r="T298" s="80"/>
      <c r="U298" s="83"/>
      <c r="V298" s="80"/>
      <c r="W298" s="83"/>
      <c r="X298" s="80"/>
      <c r="Y298" s="80"/>
      <c r="Z298" s="80"/>
      <c r="AA298" s="80"/>
      <c r="AB298" s="80"/>
      <c r="AC298" s="80"/>
      <c r="AD298" s="80"/>
      <c r="AE298" s="80"/>
    </row>
    <row r="299" spans="1:31" x14ac:dyDescent="0.25">
      <c r="A299" s="76"/>
      <c r="B299" s="76"/>
      <c r="C299" s="77"/>
      <c r="D299" s="78"/>
      <c r="E299" s="79"/>
      <c r="F299" s="80"/>
      <c r="G299" s="78"/>
      <c r="H299" s="81"/>
      <c r="I299" s="78"/>
      <c r="J299" s="78"/>
      <c r="K299" s="78"/>
      <c r="L299" s="78"/>
      <c r="M299" s="81"/>
      <c r="N299" s="76"/>
      <c r="O299" s="82"/>
      <c r="P299" s="80"/>
      <c r="Q299" s="83"/>
      <c r="R299" s="80"/>
      <c r="S299" s="80"/>
      <c r="T299" s="80"/>
      <c r="U299" s="83"/>
      <c r="V299" s="80"/>
      <c r="W299" s="83"/>
      <c r="X299" s="80"/>
      <c r="Y299" s="80"/>
      <c r="Z299" s="80"/>
      <c r="AA299" s="80"/>
      <c r="AB299" s="80"/>
      <c r="AC299" s="80"/>
      <c r="AD299" s="80"/>
      <c r="AE299" s="80"/>
    </row>
    <row r="300" spans="1:31" x14ac:dyDescent="0.25">
      <c r="A300" s="76"/>
      <c r="B300" s="76"/>
      <c r="C300" s="77"/>
      <c r="D300" s="78"/>
      <c r="E300" s="79"/>
      <c r="F300" s="80"/>
      <c r="G300" s="78"/>
      <c r="H300" s="81"/>
      <c r="I300" s="78"/>
      <c r="J300" s="78"/>
      <c r="K300" s="78"/>
      <c r="L300" s="78"/>
      <c r="M300" s="81"/>
      <c r="N300" s="76"/>
      <c r="O300" s="82"/>
      <c r="P300" s="80"/>
      <c r="Q300" s="83"/>
      <c r="R300" s="80"/>
      <c r="S300" s="80"/>
      <c r="T300" s="80"/>
      <c r="U300" s="83"/>
      <c r="V300" s="80"/>
      <c r="W300" s="83"/>
      <c r="X300" s="80"/>
      <c r="Y300" s="80"/>
      <c r="Z300" s="80"/>
      <c r="AA300" s="80"/>
      <c r="AB300" s="80"/>
      <c r="AC300" s="80"/>
      <c r="AD300" s="80"/>
      <c r="AE300" s="80"/>
    </row>
    <row r="301" spans="1:31" x14ac:dyDescent="0.25">
      <c r="A301" s="76"/>
      <c r="B301" s="76"/>
      <c r="C301" s="77"/>
      <c r="D301" s="78"/>
      <c r="E301" s="79"/>
      <c r="F301" s="80"/>
      <c r="G301" s="78"/>
      <c r="H301" s="81"/>
      <c r="I301" s="78"/>
      <c r="J301" s="78"/>
      <c r="K301" s="78"/>
      <c r="L301" s="78"/>
      <c r="M301" s="81"/>
      <c r="N301" s="76"/>
      <c r="O301" s="82"/>
      <c r="P301" s="80"/>
      <c r="Q301" s="83"/>
      <c r="R301" s="80"/>
      <c r="S301" s="80"/>
      <c r="T301" s="80"/>
      <c r="U301" s="83"/>
      <c r="V301" s="80"/>
      <c r="W301" s="83"/>
      <c r="X301" s="80"/>
      <c r="Y301" s="80"/>
      <c r="Z301" s="80"/>
      <c r="AA301" s="80"/>
      <c r="AB301" s="80"/>
      <c r="AC301" s="80"/>
      <c r="AD301" s="80"/>
      <c r="AE301" s="80"/>
    </row>
    <row r="302" spans="1:31" x14ac:dyDescent="0.25">
      <c r="A302" s="76"/>
      <c r="B302" s="76"/>
      <c r="C302" s="77"/>
      <c r="D302" s="78"/>
      <c r="E302" s="79"/>
      <c r="F302" s="80"/>
      <c r="G302" s="78"/>
      <c r="H302" s="81"/>
      <c r="I302" s="78"/>
      <c r="J302" s="78"/>
      <c r="K302" s="78"/>
      <c r="L302" s="78"/>
      <c r="M302" s="81"/>
      <c r="N302" s="76"/>
      <c r="O302" s="82"/>
      <c r="P302" s="80"/>
      <c r="Q302" s="83"/>
      <c r="R302" s="80"/>
      <c r="S302" s="80"/>
      <c r="T302" s="80"/>
      <c r="U302" s="83"/>
      <c r="V302" s="80"/>
      <c r="W302" s="83"/>
      <c r="X302" s="80"/>
      <c r="Y302" s="80"/>
      <c r="Z302" s="80"/>
      <c r="AA302" s="80"/>
      <c r="AB302" s="80"/>
      <c r="AC302" s="80"/>
      <c r="AD302" s="80"/>
      <c r="AE302" s="80"/>
    </row>
    <row r="303" spans="1:31" x14ac:dyDescent="0.25">
      <c r="A303" s="76"/>
      <c r="B303" s="76"/>
      <c r="C303" s="77"/>
      <c r="D303" s="78"/>
      <c r="E303" s="79"/>
      <c r="F303" s="80"/>
      <c r="G303" s="78"/>
      <c r="H303" s="81"/>
      <c r="I303" s="78"/>
      <c r="J303" s="78"/>
      <c r="K303" s="78"/>
      <c r="L303" s="78"/>
      <c r="M303" s="81"/>
      <c r="N303" s="76"/>
      <c r="O303" s="82"/>
      <c r="P303" s="80"/>
      <c r="Q303" s="83"/>
      <c r="R303" s="80"/>
      <c r="S303" s="80"/>
      <c r="T303" s="80"/>
      <c r="U303" s="83"/>
      <c r="V303" s="80"/>
      <c r="W303" s="83"/>
      <c r="X303" s="80"/>
      <c r="Y303" s="80"/>
      <c r="Z303" s="80"/>
      <c r="AA303" s="80"/>
      <c r="AB303" s="80"/>
      <c r="AC303" s="80"/>
      <c r="AD303" s="80"/>
      <c r="AE303" s="80"/>
    </row>
    <row r="304" spans="1:31" x14ac:dyDescent="0.25">
      <c r="A304" s="76"/>
      <c r="B304" s="76"/>
      <c r="C304" s="77"/>
      <c r="D304" s="78"/>
      <c r="E304" s="79"/>
      <c r="F304" s="80"/>
      <c r="G304" s="78"/>
      <c r="H304" s="81"/>
      <c r="I304" s="78"/>
      <c r="J304" s="78"/>
      <c r="K304" s="78"/>
      <c r="L304" s="78"/>
      <c r="M304" s="81"/>
      <c r="N304" s="76"/>
      <c r="O304" s="82"/>
      <c r="P304" s="80"/>
      <c r="Q304" s="83"/>
      <c r="R304" s="80"/>
      <c r="S304" s="80"/>
      <c r="T304" s="80"/>
      <c r="U304" s="83"/>
      <c r="V304" s="80"/>
      <c r="W304" s="83"/>
      <c r="X304" s="80"/>
      <c r="Y304" s="80"/>
      <c r="Z304" s="80"/>
      <c r="AA304" s="80"/>
      <c r="AB304" s="80"/>
      <c r="AC304" s="80"/>
      <c r="AD304" s="80"/>
      <c r="AE304" s="80"/>
    </row>
    <row r="305" spans="1:31" x14ac:dyDescent="0.25">
      <c r="A305" s="76"/>
      <c r="B305" s="76"/>
      <c r="C305" s="77"/>
      <c r="D305" s="78"/>
      <c r="E305" s="79"/>
      <c r="F305" s="80"/>
      <c r="G305" s="78"/>
      <c r="H305" s="81"/>
      <c r="I305" s="78"/>
      <c r="J305" s="78"/>
      <c r="K305" s="78"/>
      <c r="L305" s="78"/>
      <c r="M305" s="81"/>
      <c r="N305" s="76"/>
      <c r="O305" s="82"/>
      <c r="P305" s="80"/>
      <c r="Q305" s="83"/>
      <c r="R305" s="80"/>
      <c r="S305" s="80"/>
      <c r="T305" s="80"/>
      <c r="U305" s="83"/>
      <c r="V305" s="80"/>
      <c r="W305" s="83"/>
      <c r="X305" s="80"/>
      <c r="Y305" s="80"/>
      <c r="Z305" s="80"/>
      <c r="AA305" s="80"/>
      <c r="AB305" s="80"/>
      <c r="AC305" s="80"/>
      <c r="AD305" s="80"/>
      <c r="AE305" s="80"/>
    </row>
    <row r="306" spans="1:31" x14ac:dyDescent="0.25">
      <c r="A306" s="76"/>
      <c r="B306" s="76"/>
      <c r="C306" s="77"/>
      <c r="D306" s="78"/>
      <c r="E306" s="79"/>
      <c r="F306" s="80"/>
      <c r="G306" s="78"/>
      <c r="H306" s="81"/>
      <c r="I306" s="78"/>
      <c r="J306" s="78"/>
      <c r="K306" s="78"/>
      <c r="L306" s="78"/>
      <c r="M306" s="81"/>
      <c r="N306" s="76"/>
      <c r="O306" s="82"/>
      <c r="P306" s="80"/>
      <c r="Q306" s="83"/>
      <c r="R306" s="80"/>
      <c r="S306" s="80"/>
      <c r="T306" s="80"/>
      <c r="U306" s="83"/>
      <c r="V306" s="80"/>
      <c r="W306" s="83"/>
      <c r="X306" s="80"/>
      <c r="Y306" s="80"/>
      <c r="Z306" s="80"/>
      <c r="AA306" s="80"/>
      <c r="AB306" s="80"/>
      <c r="AC306" s="80"/>
      <c r="AD306" s="80"/>
      <c r="AE306" s="80"/>
    </row>
    <row r="307" spans="1:31" x14ac:dyDescent="0.25">
      <c r="A307" s="76"/>
      <c r="B307" s="76"/>
      <c r="C307" s="77"/>
      <c r="D307" s="78"/>
      <c r="E307" s="79"/>
      <c r="F307" s="80"/>
      <c r="G307" s="78"/>
      <c r="H307" s="81"/>
      <c r="I307" s="78"/>
      <c r="J307" s="78"/>
      <c r="K307" s="78"/>
      <c r="L307" s="78"/>
      <c r="M307" s="81"/>
      <c r="N307" s="76"/>
      <c r="O307" s="82"/>
      <c r="P307" s="80"/>
      <c r="Q307" s="83"/>
      <c r="R307" s="80"/>
      <c r="S307" s="80"/>
      <c r="T307" s="80"/>
      <c r="U307" s="83"/>
      <c r="V307" s="80"/>
      <c r="W307" s="83"/>
      <c r="X307" s="80"/>
      <c r="Y307" s="80"/>
      <c r="Z307" s="80"/>
      <c r="AA307" s="80"/>
      <c r="AB307" s="80"/>
      <c r="AC307" s="80"/>
      <c r="AD307" s="80"/>
      <c r="AE307" s="80"/>
    </row>
    <row r="308" spans="1:31" x14ac:dyDescent="0.25">
      <c r="A308" s="76"/>
      <c r="B308" s="76"/>
      <c r="C308" s="77"/>
      <c r="D308" s="78"/>
      <c r="E308" s="79"/>
      <c r="F308" s="80"/>
      <c r="G308" s="78"/>
      <c r="H308" s="81"/>
      <c r="I308" s="78"/>
      <c r="J308" s="78"/>
      <c r="K308" s="78"/>
      <c r="L308" s="78"/>
      <c r="M308" s="81"/>
      <c r="N308" s="76"/>
      <c r="O308" s="82"/>
      <c r="P308" s="80"/>
      <c r="Q308" s="83"/>
      <c r="R308" s="80"/>
      <c r="S308" s="80"/>
      <c r="T308" s="80"/>
      <c r="U308" s="83"/>
      <c r="V308" s="80"/>
      <c r="W308" s="83"/>
      <c r="X308" s="80"/>
      <c r="Y308" s="80"/>
      <c r="Z308" s="80"/>
      <c r="AA308" s="80"/>
      <c r="AB308" s="80"/>
      <c r="AC308" s="80"/>
      <c r="AD308" s="80"/>
      <c r="AE308" s="80"/>
    </row>
    <row r="309" spans="1:31" x14ac:dyDescent="0.25">
      <c r="A309" s="76"/>
      <c r="B309" s="76"/>
      <c r="C309" s="77"/>
      <c r="D309" s="78"/>
      <c r="E309" s="79"/>
      <c r="F309" s="80"/>
      <c r="G309" s="78"/>
      <c r="H309" s="81"/>
      <c r="I309" s="78"/>
      <c r="J309" s="78"/>
      <c r="K309" s="78"/>
      <c r="L309" s="78"/>
      <c r="M309" s="81"/>
      <c r="N309" s="76"/>
      <c r="O309" s="82"/>
      <c r="P309" s="80"/>
      <c r="Q309" s="83"/>
      <c r="R309" s="80"/>
      <c r="S309" s="80"/>
      <c r="T309" s="80"/>
      <c r="U309" s="83"/>
      <c r="V309" s="80"/>
      <c r="W309" s="83"/>
      <c r="X309" s="80"/>
      <c r="Y309" s="80"/>
      <c r="Z309" s="80"/>
      <c r="AA309" s="80"/>
      <c r="AB309" s="80"/>
      <c r="AC309" s="80"/>
      <c r="AD309" s="80"/>
      <c r="AE309" s="80"/>
    </row>
    <row r="310" spans="1:31" x14ac:dyDescent="0.25">
      <c r="A310" s="76"/>
      <c r="B310" s="76"/>
      <c r="C310" s="77"/>
      <c r="D310" s="78"/>
      <c r="E310" s="79"/>
      <c r="F310" s="80"/>
      <c r="G310" s="78"/>
      <c r="H310" s="81"/>
      <c r="I310" s="78"/>
      <c r="J310" s="78"/>
      <c r="K310" s="78"/>
      <c r="L310" s="78"/>
      <c r="M310" s="81"/>
      <c r="N310" s="76"/>
      <c r="O310" s="82"/>
      <c r="P310" s="80"/>
      <c r="Q310" s="83"/>
      <c r="R310" s="80"/>
      <c r="S310" s="80"/>
      <c r="T310" s="80"/>
      <c r="U310" s="83"/>
      <c r="V310" s="80"/>
      <c r="W310" s="83"/>
      <c r="X310" s="80"/>
      <c r="Y310" s="80"/>
      <c r="Z310" s="80"/>
      <c r="AA310" s="80"/>
      <c r="AB310" s="80"/>
      <c r="AC310" s="80"/>
      <c r="AD310" s="80"/>
      <c r="AE310" s="80"/>
    </row>
    <row r="311" spans="1:31" x14ac:dyDescent="0.25">
      <c r="A311" s="76"/>
      <c r="B311" s="76"/>
      <c r="C311" s="77"/>
      <c r="D311" s="78"/>
      <c r="E311" s="79"/>
      <c r="F311" s="80"/>
      <c r="G311" s="78"/>
      <c r="H311" s="81"/>
      <c r="I311" s="78"/>
      <c r="J311" s="78"/>
      <c r="K311" s="78"/>
      <c r="L311" s="78"/>
      <c r="M311" s="81"/>
      <c r="N311" s="76"/>
      <c r="O311" s="82"/>
      <c r="P311" s="80"/>
      <c r="Q311" s="83"/>
      <c r="R311" s="80"/>
      <c r="S311" s="80"/>
      <c r="T311" s="80"/>
      <c r="U311" s="83"/>
      <c r="V311" s="80"/>
      <c r="W311" s="83"/>
      <c r="X311" s="80"/>
      <c r="Y311" s="80"/>
      <c r="Z311" s="80"/>
      <c r="AA311" s="80"/>
      <c r="AB311" s="80"/>
      <c r="AC311" s="80"/>
      <c r="AD311" s="80"/>
      <c r="AE311" s="80"/>
    </row>
    <row r="312" spans="1:31" x14ac:dyDescent="0.25">
      <c r="A312" s="76"/>
      <c r="B312" s="76"/>
      <c r="C312" s="77"/>
      <c r="D312" s="78"/>
      <c r="E312" s="79"/>
      <c r="F312" s="80"/>
      <c r="G312" s="78"/>
      <c r="H312" s="81"/>
      <c r="I312" s="78"/>
      <c r="J312" s="78"/>
      <c r="K312" s="78"/>
      <c r="L312" s="78"/>
      <c r="M312" s="81"/>
      <c r="N312" s="76"/>
      <c r="O312" s="82"/>
      <c r="P312" s="80"/>
      <c r="Q312" s="83"/>
      <c r="R312" s="80"/>
      <c r="S312" s="80"/>
      <c r="T312" s="80"/>
      <c r="U312" s="83"/>
      <c r="V312" s="80"/>
      <c r="W312" s="83"/>
      <c r="X312" s="80"/>
      <c r="Y312" s="80"/>
      <c r="Z312" s="80"/>
      <c r="AA312" s="80"/>
      <c r="AB312" s="80"/>
      <c r="AC312" s="80"/>
      <c r="AD312" s="80"/>
      <c r="AE312" s="80"/>
    </row>
    <row r="313" spans="1:31" x14ac:dyDescent="0.25">
      <c r="A313" s="76"/>
      <c r="B313" s="76"/>
      <c r="C313" s="77"/>
      <c r="D313" s="78"/>
      <c r="E313" s="79"/>
      <c r="F313" s="80"/>
      <c r="G313" s="78"/>
      <c r="H313" s="81"/>
      <c r="I313" s="78"/>
      <c r="J313" s="78"/>
      <c r="K313" s="78"/>
      <c r="L313" s="78"/>
      <c r="M313" s="81"/>
      <c r="N313" s="76"/>
      <c r="O313" s="82"/>
      <c r="P313" s="80"/>
      <c r="Q313" s="83"/>
      <c r="R313" s="80"/>
      <c r="S313" s="80"/>
      <c r="T313" s="80"/>
      <c r="U313" s="83"/>
      <c r="V313" s="80"/>
      <c r="W313" s="83"/>
      <c r="X313" s="80"/>
      <c r="Y313" s="80"/>
      <c r="Z313" s="80"/>
      <c r="AA313" s="80"/>
      <c r="AB313" s="80"/>
      <c r="AC313" s="80"/>
      <c r="AD313" s="80"/>
      <c r="AE313" s="80"/>
    </row>
    <row r="314" spans="1:31" x14ac:dyDescent="0.25">
      <c r="A314" s="76"/>
      <c r="B314" s="76"/>
      <c r="C314" s="77"/>
      <c r="D314" s="78"/>
      <c r="E314" s="79"/>
      <c r="F314" s="80"/>
      <c r="G314" s="78"/>
      <c r="H314" s="81"/>
      <c r="I314" s="78"/>
      <c r="J314" s="78"/>
      <c r="K314" s="78"/>
      <c r="L314" s="78"/>
      <c r="M314" s="81"/>
      <c r="N314" s="76"/>
      <c r="O314" s="82"/>
      <c r="P314" s="80"/>
      <c r="Q314" s="83"/>
      <c r="R314" s="80"/>
      <c r="S314" s="80"/>
      <c r="T314" s="80"/>
      <c r="U314" s="83"/>
      <c r="V314" s="80"/>
      <c r="W314" s="83"/>
      <c r="X314" s="80"/>
      <c r="Y314" s="80"/>
      <c r="Z314" s="80"/>
      <c r="AA314" s="80"/>
      <c r="AB314" s="80"/>
      <c r="AC314" s="80"/>
      <c r="AD314" s="80"/>
      <c r="AE314" s="80"/>
    </row>
    <row r="315" spans="1:31" x14ac:dyDescent="0.25">
      <c r="A315" s="76"/>
      <c r="B315" s="76"/>
      <c r="C315" s="77"/>
      <c r="D315" s="78"/>
      <c r="E315" s="79"/>
      <c r="F315" s="80"/>
      <c r="G315" s="78"/>
      <c r="H315" s="81"/>
      <c r="I315" s="78"/>
      <c r="J315" s="78"/>
      <c r="K315" s="78"/>
      <c r="L315" s="78"/>
      <c r="M315" s="81"/>
      <c r="N315" s="76"/>
      <c r="O315" s="82"/>
      <c r="P315" s="80"/>
      <c r="Q315" s="83"/>
      <c r="R315" s="80"/>
      <c r="S315" s="80"/>
      <c r="T315" s="80"/>
      <c r="U315" s="83"/>
      <c r="V315" s="80"/>
      <c r="W315" s="83"/>
      <c r="X315" s="80"/>
      <c r="Y315" s="80"/>
      <c r="Z315" s="80"/>
      <c r="AA315" s="80"/>
      <c r="AB315" s="80"/>
      <c r="AC315" s="80"/>
      <c r="AD315" s="80"/>
      <c r="AE315" s="80"/>
    </row>
    <row r="316" spans="1:31" x14ac:dyDescent="0.25">
      <c r="A316" s="76"/>
      <c r="B316" s="76"/>
      <c r="C316" s="77"/>
      <c r="D316" s="78"/>
      <c r="E316" s="79"/>
      <c r="F316" s="80"/>
      <c r="G316" s="78"/>
      <c r="H316" s="81"/>
      <c r="I316" s="78"/>
      <c r="J316" s="78"/>
      <c r="K316" s="78"/>
      <c r="L316" s="78"/>
      <c r="M316" s="81"/>
      <c r="N316" s="76"/>
      <c r="O316" s="82"/>
      <c r="P316" s="80"/>
      <c r="Q316" s="83"/>
      <c r="R316" s="80"/>
      <c r="S316" s="80"/>
      <c r="T316" s="80"/>
      <c r="U316" s="83"/>
      <c r="V316" s="80"/>
      <c r="W316" s="83"/>
      <c r="X316" s="80"/>
      <c r="Y316" s="80"/>
      <c r="Z316" s="80"/>
      <c r="AA316" s="80"/>
      <c r="AB316" s="80"/>
      <c r="AC316" s="80"/>
      <c r="AD316" s="80"/>
      <c r="AE316" s="80"/>
    </row>
    <row r="317" spans="1:31" x14ac:dyDescent="0.25">
      <c r="A317" s="76"/>
      <c r="B317" s="76"/>
      <c r="C317" s="77"/>
      <c r="D317" s="78"/>
      <c r="E317" s="79"/>
      <c r="F317" s="80"/>
      <c r="G317" s="78"/>
      <c r="H317" s="81"/>
      <c r="I317" s="78"/>
      <c r="J317" s="78"/>
      <c r="K317" s="78"/>
      <c r="L317" s="78"/>
      <c r="M317" s="81"/>
      <c r="N317" s="76"/>
      <c r="O317" s="82"/>
      <c r="P317" s="80"/>
      <c r="Q317" s="83"/>
      <c r="R317" s="80"/>
      <c r="S317" s="80"/>
      <c r="T317" s="80"/>
      <c r="U317" s="83"/>
      <c r="V317" s="80"/>
      <c r="W317" s="83"/>
      <c r="X317" s="80"/>
      <c r="Y317" s="80"/>
      <c r="Z317" s="80"/>
      <c r="AA317" s="80"/>
      <c r="AB317" s="80"/>
      <c r="AC317" s="80"/>
      <c r="AD317" s="80"/>
      <c r="AE317" s="80"/>
    </row>
    <row r="318" spans="1:31" x14ac:dyDescent="0.25">
      <c r="A318" s="76"/>
      <c r="B318" s="76"/>
      <c r="C318" s="77"/>
      <c r="D318" s="78"/>
      <c r="E318" s="79"/>
      <c r="F318" s="80"/>
      <c r="G318" s="78"/>
      <c r="H318" s="81"/>
      <c r="I318" s="78"/>
      <c r="J318" s="78"/>
      <c r="K318" s="78"/>
      <c r="L318" s="78"/>
      <c r="M318" s="81"/>
      <c r="N318" s="76"/>
      <c r="O318" s="82"/>
      <c r="P318" s="80"/>
      <c r="Q318" s="83"/>
      <c r="R318" s="80"/>
      <c r="S318" s="80"/>
      <c r="T318" s="80"/>
      <c r="U318" s="83"/>
      <c r="V318" s="80"/>
      <c r="W318" s="83"/>
      <c r="X318" s="80"/>
      <c r="Y318" s="80"/>
      <c r="Z318" s="80"/>
      <c r="AA318" s="80"/>
      <c r="AB318" s="80"/>
      <c r="AC318" s="80"/>
      <c r="AD318" s="80"/>
      <c r="AE318" s="80"/>
    </row>
    <row r="319" spans="1:31" x14ac:dyDescent="0.25">
      <c r="A319" s="76"/>
      <c r="B319" s="76"/>
      <c r="C319" s="77"/>
      <c r="D319" s="78"/>
      <c r="E319" s="79"/>
      <c r="F319" s="80"/>
      <c r="G319" s="78"/>
      <c r="H319" s="81"/>
      <c r="I319" s="78"/>
      <c r="J319" s="78"/>
      <c r="K319" s="78"/>
      <c r="L319" s="78"/>
      <c r="M319" s="81"/>
      <c r="N319" s="76"/>
      <c r="O319" s="82"/>
      <c r="P319" s="80"/>
      <c r="Q319" s="83"/>
      <c r="R319" s="80"/>
      <c r="S319" s="80"/>
      <c r="T319" s="80"/>
      <c r="U319" s="83"/>
      <c r="V319" s="80"/>
      <c r="W319" s="83"/>
      <c r="X319" s="80"/>
      <c r="Y319" s="80"/>
      <c r="Z319" s="80"/>
      <c r="AA319" s="80"/>
      <c r="AB319" s="80"/>
      <c r="AC319" s="80"/>
      <c r="AD319" s="80"/>
      <c r="AE319" s="80"/>
    </row>
    <row r="320" spans="1:31" x14ac:dyDescent="0.25">
      <c r="A320" s="76"/>
      <c r="B320" s="76"/>
      <c r="C320" s="77"/>
      <c r="D320" s="78"/>
      <c r="E320" s="79"/>
      <c r="F320" s="80"/>
      <c r="G320" s="78"/>
      <c r="H320" s="81"/>
      <c r="I320" s="78"/>
      <c r="J320" s="78"/>
      <c r="K320" s="78"/>
      <c r="L320" s="78"/>
      <c r="M320" s="81"/>
      <c r="N320" s="76"/>
      <c r="O320" s="82"/>
      <c r="P320" s="80"/>
      <c r="Q320" s="83"/>
      <c r="R320" s="80"/>
      <c r="S320" s="80"/>
      <c r="T320" s="80"/>
      <c r="U320" s="83"/>
      <c r="V320" s="80"/>
      <c r="W320" s="83"/>
      <c r="X320" s="80"/>
      <c r="Y320" s="80"/>
      <c r="Z320" s="80"/>
      <c r="AA320" s="80"/>
      <c r="AB320" s="80"/>
      <c r="AC320" s="80"/>
      <c r="AD320" s="80"/>
      <c r="AE320" s="80"/>
    </row>
    <row r="321" spans="1:31" x14ac:dyDescent="0.25">
      <c r="A321" s="76"/>
      <c r="B321" s="76"/>
      <c r="C321" s="77"/>
      <c r="D321" s="78"/>
      <c r="E321" s="79"/>
      <c r="F321" s="80"/>
      <c r="G321" s="78"/>
      <c r="H321" s="81"/>
      <c r="I321" s="78"/>
      <c r="J321" s="78"/>
      <c r="K321" s="78"/>
      <c r="L321" s="78"/>
      <c r="M321" s="81"/>
      <c r="N321" s="76"/>
      <c r="O321" s="82"/>
      <c r="P321" s="80"/>
      <c r="Q321" s="83"/>
      <c r="R321" s="80"/>
      <c r="S321" s="80"/>
      <c r="T321" s="80"/>
      <c r="U321" s="83"/>
      <c r="V321" s="80"/>
      <c r="W321" s="83"/>
      <c r="X321" s="80"/>
      <c r="Y321" s="80"/>
      <c r="Z321" s="80"/>
      <c r="AA321" s="80"/>
      <c r="AB321" s="80"/>
      <c r="AC321" s="80"/>
      <c r="AD321" s="80"/>
      <c r="AE321" s="80"/>
    </row>
    <row r="322" spans="1:31" x14ac:dyDescent="0.25">
      <c r="A322" s="76"/>
      <c r="B322" s="76"/>
      <c r="C322" s="77"/>
      <c r="D322" s="78"/>
      <c r="E322" s="79"/>
      <c r="F322" s="80"/>
      <c r="G322" s="78"/>
      <c r="H322" s="81"/>
      <c r="I322" s="78"/>
      <c r="J322" s="78"/>
      <c r="K322" s="78"/>
      <c r="L322" s="78"/>
      <c r="M322" s="81"/>
      <c r="N322" s="76"/>
      <c r="O322" s="82"/>
      <c r="P322" s="80"/>
      <c r="Q322" s="83"/>
      <c r="R322" s="80"/>
      <c r="S322" s="80"/>
      <c r="T322" s="80"/>
      <c r="U322" s="83"/>
      <c r="V322" s="80"/>
      <c r="W322" s="83"/>
      <c r="X322" s="80"/>
      <c r="Y322" s="80"/>
      <c r="Z322" s="80"/>
      <c r="AA322" s="80"/>
      <c r="AB322" s="80"/>
      <c r="AC322" s="80"/>
      <c r="AD322" s="80"/>
      <c r="AE322" s="80"/>
    </row>
    <row r="323" spans="1:31" x14ac:dyDescent="0.25">
      <c r="A323" s="76"/>
      <c r="B323" s="76"/>
      <c r="C323" s="77"/>
      <c r="D323" s="78"/>
      <c r="E323" s="79"/>
      <c r="F323" s="80"/>
      <c r="G323" s="78"/>
      <c r="H323" s="81"/>
      <c r="I323" s="78"/>
      <c r="J323" s="78"/>
      <c r="K323" s="78"/>
      <c r="L323" s="78"/>
      <c r="M323" s="81"/>
      <c r="N323" s="76"/>
      <c r="O323" s="82"/>
      <c r="P323" s="80"/>
      <c r="Q323" s="83"/>
      <c r="R323" s="80"/>
      <c r="S323" s="80"/>
      <c r="T323" s="80"/>
      <c r="U323" s="83"/>
      <c r="V323" s="80"/>
      <c r="W323" s="83"/>
      <c r="X323" s="80"/>
      <c r="Y323" s="80"/>
      <c r="Z323" s="80"/>
      <c r="AA323" s="80"/>
      <c r="AB323" s="80"/>
      <c r="AC323" s="80"/>
      <c r="AD323" s="80"/>
      <c r="AE323" s="80"/>
    </row>
    <row r="324" spans="1:31" x14ac:dyDescent="0.25">
      <c r="A324" s="76"/>
      <c r="B324" s="76"/>
      <c r="C324" s="77"/>
      <c r="D324" s="78"/>
      <c r="E324" s="79"/>
      <c r="F324" s="80"/>
      <c r="G324" s="78"/>
      <c r="H324" s="81"/>
      <c r="I324" s="78"/>
      <c r="J324" s="78"/>
      <c r="K324" s="78"/>
      <c r="L324" s="78"/>
      <c r="M324" s="81"/>
      <c r="N324" s="76"/>
      <c r="O324" s="82"/>
      <c r="P324" s="80"/>
      <c r="Q324" s="83"/>
      <c r="R324" s="80"/>
      <c r="S324" s="80"/>
      <c r="T324" s="80"/>
      <c r="U324" s="83"/>
      <c r="V324" s="80"/>
      <c r="W324" s="83"/>
      <c r="X324" s="80"/>
      <c r="Y324" s="80"/>
      <c r="Z324" s="80"/>
      <c r="AA324" s="80"/>
      <c r="AB324" s="80"/>
      <c r="AC324" s="80"/>
      <c r="AD324" s="80"/>
      <c r="AE324" s="80"/>
    </row>
    <row r="325" spans="1:31" x14ac:dyDescent="0.25">
      <c r="A325" s="76"/>
      <c r="B325" s="76"/>
      <c r="C325" s="77"/>
      <c r="D325" s="78"/>
      <c r="E325" s="79"/>
      <c r="F325" s="80"/>
      <c r="G325" s="78"/>
      <c r="H325" s="81"/>
      <c r="I325" s="78"/>
      <c r="J325" s="78"/>
      <c r="K325" s="78"/>
      <c r="L325" s="78"/>
      <c r="M325" s="81"/>
      <c r="N325" s="76"/>
      <c r="O325" s="82"/>
      <c r="P325" s="80"/>
      <c r="Q325" s="83"/>
      <c r="R325" s="80"/>
      <c r="S325" s="80"/>
      <c r="T325" s="80"/>
      <c r="U325" s="83"/>
      <c r="V325" s="80"/>
      <c r="W325" s="83"/>
      <c r="X325" s="80"/>
      <c r="Y325" s="80"/>
      <c r="Z325" s="80"/>
      <c r="AA325" s="80"/>
      <c r="AB325" s="80"/>
      <c r="AC325" s="80"/>
      <c r="AD325" s="80"/>
      <c r="AE325" s="80"/>
    </row>
    <row r="326" spans="1:31" x14ac:dyDescent="0.25">
      <c r="A326" s="76"/>
      <c r="B326" s="76"/>
      <c r="C326" s="77"/>
      <c r="D326" s="78"/>
      <c r="E326" s="79"/>
      <c r="F326" s="80"/>
      <c r="G326" s="78"/>
      <c r="H326" s="81"/>
      <c r="I326" s="78"/>
      <c r="J326" s="78"/>
      <c r="K326" s="78"/>
      <c r="L326" s="78"/>
      <c r="M326" s="81"/>
      <c r="N326" s="76"/>
      <c r="O326" s="82"/>
      <c r="P326" s="80"/>
      <c r="Q326" s="83"/>
      <c r="R326" s="80"/>
      <c r="S326" s="80"/>
      <c r="T326" s="80"/>
      <c r="U326" s="83"/>
      <c r="V326" s="80"/>
      <c r="W326" s="83"/>
      <c r="X326" s="80"/>
      <c r="Y326" s="80"/>
      <c r="Z326" s="80"/>
      <c r="AA326" s="80"/>
      <c r="AB326" s="80"/>
      <c r="AC326" s="80"/>
      <c r="AD326" s="80"/>
      <c r="AE326" s="80"/>
    </row>
    <row r="327" spans="1:31" x14ac:dyDescent="0.25">
      <c r="A327" s="76"/>
      <c r="B327" s="76"/>
      <c r="C327" s="77"/>
      <c r="D327" s="78"/>
      <c r="E327" s="79"/>
      <c r="F327" s="80"/>
      <c r="G327" s="78"/>
      <c r="H327" s="81"/>
      <c r="I327" s="78"/>
      <c r="J327" s="78"/>
      <c r="K327" s="78"/>
      <c r="L327" s="78"/>
      <c r="M327" s="81"/>
      <c r="N327" s="76"/>
      <c r="O327" s="82"/>
      <c r="P327" s="80"/>
      <c r="Q327" s="83"/>
      <c r="R327" s="80"/>
      <c r="S327" s="80"/>
      <c r="T327" s="80"/>
      <c r="U327" s="83"/>
      <c r="V327" s="80"/>
      <c r="W327" s="83"/>
      <c r="X327" s="80"/>
      <c r="Y327" s="80"/>
      <c r="Z327" s="80"/>
      <c r="AA327" s="80"/>
      <c r="AB327" s="80"/>
      <c r="AC327" s="80"/>
      <c r="AD327" s="80"/>
      <c r="AE327" s="80"/>
    </row>
    <row r="328" spans="1:31" x14ac:dyDescent="0.25">
      <c r="A328" s="76"/>
      <c r="B328" s="76"/>
      <c r="C328" s="77"/>
      <c r="D328" s="78"/>
      <c r="E328" s="79"/>
      <c r="F328" s="80"/>
      <c r="G328" s="78"/>
      <c r="H328" s="81"/>
      <c r="I328" s="78"/>
      <c r="J328" s="78"/>
      <c r="K328" s="78"/>
      <c r="L328" s="78"/>
      <c r="M328" s="81"/>
      <c r="N328" s="76"/>
      <c r="O328" s="82"/>
      <c r="P328" s="80"/>
      <c r="Q328" s="83"/>
      <c r="R328" s="80"/>
      <c r="S328" s="80"/>
      <c r="T328" s="80"/>
      <c r="U328" s="83"/>
      <c r="V328" s="80"/>
      <c r="W328" s="83"/>
      <c r="X328" s="80"/>
      <c r="Y328" s="80"/>
      <c r="Z328" s="80"/>
      <c r="AA328" s="80"/>
      <c r="AB328" s="80"/>
      <c r="AC328" s="80"/>
      <c r="AD328" s="80"/>
      <c r="AE328" s="80"/>
    </row>
    <row r="329" spans="1:31" x14ac:dyDescent="0.25">
      <c r="A329" s="76"/>
      <c r="B329" s="76"/>
      <c r="C329" s="77"/>
      <c r="D329" s="78"/>
      <c r="E329" s="79"/>
      <c r="F329" s="80"/>
      <c r="G329" s="78"/>
      <c r="H329" s="81"/>
      <c r="I329" s="78"/>
      <c r="J329" s="78"/>
      <c r="K329" s="78"/>
      <c r="L329" s="78"/>
      <c r="M329" s="81"/>
      <c r="N329" s="76"/>
      <c r="O329" s="82"/>
      <c r="P329" s="80"/>
      <c r="Q329" s="83"/>
      <c r="R329" s="80"/>
      <c r="S329" s="80"/>
      <c r="T329" s="80"/>
      <c r="U329" s="83"/>
      <c r="V329" s="80"/>
      <c r="W329" s="83"/>
      <c r="X329" s="80"/>
      <c r="Y329" s="80"/>
      <c r="Z329" s="80"/>
      <c r="AA329" s="80"/>
      <c r="AB329" s="80"/>
      <c r="AC329" s="80"/>
      <c r="AD329" s="80"/>
      <c r="AE329" s="80"/>
    </row>
    <row r="330" spans="1:31" x14ac:dyDescent="0.25">
      <c r="A330" s="76"/>
      <c r="B330" s="76"/>
      <c r="C330" s="77"/>
      <c r="D330" s="78"/>
      <c r="E330" s="79"/>
      <c r="F330" s="80"/>
      <c r="G330" s="78"/>
      <c r="H330" s="81"/>
      <c r="I330" s="78"/>
      <c r="J330" s="78"/>
      <c r="K330" s="78"/>
      <c r="L330" s="78"/>
      <c r="M330" s="81"/>
      <c r="N330" s="76"/>
      <c r="O330" s="82"/>
      <c r="P330" s="80"/>
      <c r="Q330" s="83"/>
      <c r="R330" s="80"/>
      <c r="S330" s="80"/>
      <c r="T330" s="80"/>
      <c r="U330" s="83"/>
      <c r="V330" s="80"/>
      <c r="W330" s="83"/>
      <c r="X330" s="80"/>
      <c r="Y330" s="80"/>
      <c r="Z330" s="80"/>
      <c r="AA330" s="80"/>
      <c r="AB330" s="80"/>
      <c r="AC330" s="80"/>
      <c r="AD330" s="80"/>
      <c r="AE330" s="80"/>
    </row>
    <row r="331" spans="1:31" x14ac:dyDescent="0.25">
      <c r="A331" s="76"/>
      <c r="B331" s="76"/>
      <c r="C331" s="77"/>
      <c r="D331" s="78"/>
      <c r="E331" s="79"/>
      <c r="F331" s="80"/>
      <c r="G331" s="78"/>
      <c r="H331" s="81"/>
      <c r="I331" s="78"/>
      <c r="J331" s="78"/>
      <c r="K331" s="78"/>
      <c r="L331" s="78"/>
      <c r="M331" s="81"/>
      <c r="N331" s="76"/>
      <c r="O331" s="82"/>
      <c r="P331" s="80"/>
      <c r="Q331" s="83"/>
      <c r="R331" s="80"/>
      <c r="S331" s="80"/>
      <c r="T331" s="80"/>
      <c r="U331" s="83"/>
      <c r="V331" s="80"/>
      <c r="W331" s="83"/>
      <c r="X331" s="80"/>
      <c r="Y331" s="80"/>
      <c r="Z331" s="80"/>
      <c r="AA331" s="80"/>
      <c r="AB331" s="80"/>
      <c r="AC331" s="80"/>
      <c r="AD331" s="80"/>
      <c r="AE331" s="80"/>
    </row>
    <row r="332" spans="1:31" x14ac:dyDescent="0.25">
      <c r="A332" s="76"/>
      <c r="B332" s="76"/>
      <c r="C332" s="77"/>
      <c r="D332" s="78"/>
      <c r="E332" s="79"/>
      <c r="F332" s="80"/>
      <c r="G332" s="78"/>
      <c r="H332" s="81"/>
      <c r="I332" s="78"/>
      <c r="J332" s="78"/>
      <c r="K332" s="78"/>
      <c r="L332" s="78"/>
      <c r="M332" s="81"/>
      <c r="N332" s="76"/>
      <c r="O332" s="82"/>
      <c r="P332" s="80"/>
      <c r="Q332" s="83"/>
      <c r="R332" s="80"/>
      <c r="S332" s="80"/>
      <c r="T332" s="80"/>
      <c r="U332" s="83"/>
      <c r="V332" s="80"/>
      <c r="W332" s="83"/>
      <c r="X332" s="80"/>
      <c r="Y332" s="80"/>
      <c r="Z332" s="80"/>
      <c r="AA332" s="80"/>
      <c r="AB332" s="80"/>
      <c r="AC332" s="80"/>
      <c r="AD332" s="80"/>
      <c r="AE332" s="80"/>
    </row>
    <row r="333" spans="1:31" x14ac:dyDescent="0.25">
      <c r="A333" s="76"/>
      <c r="B333" s="76"/>
      <c r="C333" s="77"/>
      <c r="D333" s="78"/>
      <c r="E333" s="79"/>
      <c r="F333" s="80"/>
      <c r="G333" s="78"/>
      <c r="H333" s="81"/>
      <c r="I333" s="78"/>
      <c r="J333" s="78"/>
      <c r="K333" s="78"/>
      <c r="L333" s="78"/>
      <c r="M333" s="81"/>
      <c r="N333" s="76"/>
      <c r="O333" s="82"/>
      <c r="P333" s="80"/>
      <c r="Q333" s="83"/>
      <c r="R333" s="80"/>
      <c r="S333" s="80"/>
      <c r="T333" s="80"/>
      <c r="U333" s="83"/>
      <c r="V333" s="80"/>
      <c r="W333" s="83"/>
      <c r="X333" s="80"/>
      <c r="Y333" s="80"/>
      <c r="Z333" s="80"/>
      <c r="AA333" s="80"/>
      <c r="AB333" s="80"/>
      <c r="AC333" s="80"/>
      <c r="AD333" s="80"/>
      <c r="AE333" s="80"/>
    </row>
    <row r="334" spans="1:31" x14ac:dyDescent="0.25">
      <c r="A334" s="76"/>
      <c r="B334" s="76"/>
      <c r="C334" s="77"/>
      <c r="D334" s="78"/>
      <c r="E334" s="79"/>
      <c r="F334" s="80"/>
      <c r="G334" s="78"/>
      <c r="H334" s="81"/>
      <c r="I334" s="78"/>
      <c r="J334" s="78"/>
      <c r="K334" s="78"/>
      <c r="L334" s="78"/>
      <c r="M334" s="81"/>
      <c r="N334" s="76"/>
      <c r="O334" s="82"/>
      <c r="P334" s="80"/>
      <c r="Q334" s="83"/>
      <c r="R334" s="80"/>
      <c r="S334" s="80"/>
      <c r="T334" s="80"/>
      <c r="U334" s="83"/>
      <c r="V334" s="80"/>
      <c r="W334" s="83"/>
      <c r="X334" s="80"/>
      <c r="Y334" s="80"/>
      <c r="Z334" s="80"/>
      <c r="AA334" s="80"/>
      <c r="AB334" s="80"/>
      <c r="AC334" s="80"/>
      <c r="AD334" s="80"/>
      <c r="AE334" s="80"/>
    </row>
    <row r="335" spans="1:31" x14ac:dyDescent="0.25">
      <c r="A335" s="76"/>
      <c r="B335" s="76"/>
      <c r="C335" s="77"/>
      <c r="D335" s="78"/>
      <c r="E335" s="79"/>
      <c r="F335" s="80"/>
      <c r="G335" s="78"/>
      <c r="H335" s="81"/>
      <c r="I335" s="78"/>
      <c r="J335" s="78"/>
      <c r="K335" s="78"/>
      <c r="L335" s="78"/>
      <c r="M335" s="81"/>
      <c r="N335" s="76"/>
      <c r="O335" s="82"/>
      <c r="P335" s="80"/>
      <c r="Q335" s="83"/>
      <c r="R335" s="80"/>
      <c r="S335" s="80"/>
      <c r="T335" s="80"/>
      <c r="U335" s="83"/>
      <c r="V335" s="80"/>
      <c r="W335" s="83"/>
      <c r="X335" s="80"/>
      <c r="Y335" s="80"/>
      <c r="Z335" s="80"/>
      <c r="AA335" s="80"/>
      <c r="AB335" s="80"/>
      <c r="AC335" s="80"/>
      <c r="AD335" s="80"/>
      <c r="AE335" s="80"/>
    </row>
    <row r="336" spans="1:31" x14ac:dyDescent="0.25">
      <c r="A336" s="76"/>
      <c r="B336" s="76"/>
      <c r="C336" s="77"/>
      <c r="D336" s="78"/>
      <c r="E336" s="79"/>
      <c r="F336" s="80"/>
      <c r="G336" s="78"/>
      <c r="H336" s="81"/>
      <c r="I336" s="78"/>
      <c r="J336" s="78"/>
      <c r="K336" s="78"/>
      <c r="L336" s="78"/>
      <c r="M336" s="81"/>
      <c r="N336" s="76"/>
      <c r="O336" s="82"/>
      <c r="P336" s="80"/>
      <c r="Q336" s="83"/>
      <c r="R336" s="80"/>
      <c r="S336" s="80"/>
      <c r="T336" s="80"/>
      <c r="U336" s="83"/>
      <c r="V336" s="80"/>
      <c r="W336" s="83"/>
      <c r="X336" s="80"/>
      <c r="Y336" s="80"/>
      <c r="Z336" s="80"/>
      <c r="AA336" s="80"/>
      <c r="AB336" s="80"/>
      <c r="AC336" s="80"/>
      <c r="AD336" s="80"/>
      <c r="AE336" s="80"/>
    </row>
    <row r="337" spans="1:31" x14ac:dyDescent="0.25">
      <c r="A337" s="76"/>
      <c r="B337" s="76"/>
      <c r="C337" s="77"/>
      <c r="D337" s="78"/>
      <c r="E337" s="79"/>
      <c r="F337" s="80"/>
      <c r="G337" s="78"/>
      <c r="H337" s="81"/>
      <c r="I337" s="78"/>
      <c r="J337" s="78"/>
      <c r="K337" s="78"/>
      <c r="L337" s="78"/>
      <c r="M337" s="81"/>
      <c r="N337" s="76"/>
      <c r="O337" s="82"/>
      <c r="P337" s="80"/>
      <c r="Q337" s="83"/>
      <c r="R337" s="80"/>
      <c r="S337" s="80"/>
      <c r="T337" s="80"/>
      <c r="U337" s="83"/>
      <c r="V337" s="80"/>
      <c r="W337" s="83"/>
      <c r="X337" s="80"/>
      <c r="Y337" s="80"/>
      <c r="Z337" s="80"/>
      <c r="AA337" s="80"/>
      <c r="AB337" s="80"/>
      <c r="AC337" s="80"/>
      <c r="AD337" s="80"/>
      <c r="AE337" s="80"/>
    </row>
    <row r="338" spans="1:31" x14ac:dyDescent="0.25">
      <c r="A338" s="76"/>
      <c r="B338" s="76"/>
      <c r="C338" s="77"/>
      <c r="D338" s="78"/>
      <c r="E338" s="79"/>
      <c r="F338" s="80"/>
      <c r="G338" s="78"/>
      <c r="H338" s="81"/>
      <c r="I338" s="78"/>
      <c r="J338" s="78"/>
      <c r="K338" s="78"/>
      <c r="L338" s="78"/>
      <c r="M338" s="81"/>
      <c r="N338" s="76"/>
      <c r="O338" s="82"/>
      <c r="P338" s="80"/>
      <c r="Q338" s="83"/>
      <c r="R338" s="80"/>
      <c r="S338" s="80"/>
      <c r="T338" s="80"/>
      <c r="U338" s="83"/>
      <c r="V338" s="80"/>
      <c r="W338" s="83"/>
      <c r="X338" s="80"/>
      <c r="Y338" s="80"/>
      <c r="Z338" s="80"/>
      <c r="AA338" s="80"/>
      <c r="AB338" s="80"/>
      <c r="AC338" s="80"/>
      <c r="AD338" s="80"/>
      <c r="AE338" s="80"/>
    </row>
    <row r="339" spans="1:31" x14ac:dyDescent="0.25">
      <c r="A339" s="76"/>
      <c r="B339" s="76"/>
      <c r="C339" s="77"/>
      <c r="D339" s="78"/>
      <c r="E339" s="79"/>
      <c r="F339" s="80"/>
      <c r="G339" s="78"/>
      <c r="H339" s="81"/>
      <c r="I339" s="78"/>
      <c r="J339" s="78"/>
      <c r="K339" s="78"/>
      <c r="L339" s="78"/>
      <c r="M339" s="81"/>
      <c r="N339" s="76"/>
      <c r="O339" s="82"/>
      <c r="P339" s="80"/>
      <c r="Q339" s="83"/>
      <c r="R339" s="80"/>
      <c r="S339" s="80"/>
      <c r="T339" s="80"/>
      <c r="U339" s="83"/>
      <c r="V339" s="80"/>
      <c r="W339" s="83"/>
      <c r="X339" s="80"/>
      <c r="Y339" s="80"/>
      <c r="Z339" s="80"/>
      <c r="AA339" s="80"/>
      <c r="AB339" s="80"/>
      <c r="AC339" s="80"/>
      <c r="AD339" s="80"/>
      <c r="AE339" s="80"/>
    </row>
    <row r="340" spans="1:31" x14ac:dyDescent="0.25">
      <c r="A340" s="76"/>
      <c r="B340" s="76"/>
      <c r="C340" s="77"/>
      <c r="D340" s="78"/>
      <c r="E340" s="79"/>
      <c r="F340" s="80"/>
      <c r="G340" s="78"/>
      <c r="H340" s="81"/>
      <c r="I340" s="78"/>
      <c r="J340" s="78"/>
      <c r="K340" s="78"/>
      <c r="L340" s="78"/>
      <c r="M340" s="81"/>
      <c r="N340" s="76"/>
      <c r="O340" s="82"/>
      <c r="P340" s="80"/>
      <c r="Q340" s="83"/>
      <c r="R340" s="80"/>
      <c r="S340" s="80"/>
      <c r="T340" s="80"/>
      <c r="U340" s="83"/>
      <c r="V340" s="80"/>
      <c r="W340" s="83"/>
      <c r="X340" s="80"/>
      <c r="Y340" s="80"/>
      <c r="Z340" s="80"/>
      <c r="AA340" s="80"/>
      <c r="AB340" s="80"/>
      <c r="AC340" s="80"/>
      <c r="AD340" s="80"/>
      <c r="AE340" s="80"/>
    </row>
    <row r="341" spans="1:31" x14ac:dyDescent="0.25">
      <c r="A341" s="76"/>
      <c r="B341" s="76"/>
      <c r="C341" s="77"/>
      <c r="D341" s="78"/>
      <c r="E341" s="79"/>
      <c r="F341" s="80"/>
      <c r="G341" s="78"/>
      <c r="H341" s="81"/>
      <c r="I341" s="78"/>
      <c r="J341" s="78"/>
      <c r="K341" s="78"/>
      <c r="L341" s="78"/>
      <c r="M341" s="81"/>
      <c r="N341" s="76"/>
      <c r="O341" s="82"/>
      <c r="P341" s="80"/>
      <c r="Q341" s="83"/>
      <c r="R341" s="80"/>
      <c r="S341" s="80"/>
      <c r="T341" s="80"/>
      <c r="U341" s="83"/>
      <c r="V341" s="80"/>
      <c r="W341" s="83"/>
      <c r="X341" s="80"/>
      <c r="Y341" s="80"/>
      <c r="Z341" s="80"/>
      <c r="AA341" s="80"/>
      <c r="AB341" s="80"/>
      <c r="AC341" s="80"/>
      <c r="AD341" s="80"/>
      <c r="AE341" s="80"/>
    </row>
    <row r="342" spans="1:31" x14ac:dyDescent="0.25">
      <c r="A342" s="76"/>
      <c r="B342" s="76"/>
      <c r="C342" s="77"/>
      <c r="D342" s="78"/>
      <c r="E342" s="79"/>
      <c r="F342" s="80"/>
      <c r="G342" s="78"/>
      <c r="H342" s="81"/>
      <c r="I342" s="78"/>
      <c r="J342" s="78"/>
      <c r="K342" s="78"/>
      <c r="L342" s="78"/>
      <c r="M342" s="81"/>
      <c r="N342" s="76"/>
      <c r="O342" s="82"/>
      <c r="P342" s="80"/>
      <c r="Q342" s="83"/>
      <c r="R342" s="80"/>
      <c r="S342" s="80"/>
      <c r="T342" s="80"/>
      <c r="U342" s="83"/>
      <c r="V342" s="80"/>
      <c r="W342" s="83"/>
      <c r="X342" s="80"/>
      <c r="Y342" s="80"/>
      <c r="Z342" s="80"/>
      <c r="AA342" s="80"/>
      <c r="AB342" s="80"/>
      <c r="AC342" s="80"/>
      <c r="AD342" s="80"/>
      <c r="AE342" s="80"/>
    </row>
    <row r="343" spans="1:31" x14ac:dyDescent="0.25">
      <c r="A343" s="76"/>
      <c r="B343" s="76"/>
      <c r="C343" s="77"/>
      <c r="D343" s="78"/>
      <c r="E343" s="79"/>
      <c r="F343" s="80"/>
      <c r="G343" s="78"/>
      <c r="H343" s="81"/>
      <c r="I343" s="78"/>
      <c r="J343" s="78"/>
      <c r="K343" s="78"/>
      <c r="L343" s="78"/>
      <c r="M343" s="81"/>
      <c r="N343" s="76"/>
      <c r="O343" s="82"/>
      <c r="P343" s="80"/>
      <c r="Q343" s="83"/>
      <c r="R343" s="80"/>
      <c r="S343" s="80"/>
      <c r="T343" s="80"/>
      <c r="U343" s="83"/>
      <c r="V343" s="80"/>
      <c r="W343" s="83"/>
      <c r="X343" s="80"/>
      <c r="Y343" s="80"/>
      <c r="Z343" s="80"/>
      <c r="AA343" s="80"/>
      <c r="AB343" s="80"/>
      <c r="AC343" s="80"/>
      <c r="AD343" s="80"/>
      <c r="AE343" s="80"/>
    </row>
    <row r="344" spans="1:31" x14ac:dyDescent="0.25">
      <c r="A344" s="76"/>
      <c r="B344" s="76"/>
      <c r="C344" s="77"/>
      <c r="D344" s="78"/>
      <c r="E344" s="79"/>
      <c r="F344" s="80"/>
      <c r="G344" s="78"/>
      <c r="H344" s="81"/>
      <c r="I344" s="78"/>
      <c r="J344" s="78"/>
      <c r="K344" s="78"/>
      <c r="L344" s="78"/>
      <c r="M344" s="81"/>
      <c r="N344" s="76"/>
      <c r="O344" s="82"/>
      <c r="P344" s="80"/>
      <c r="Q344" s="83"/>
      <c r="R344" s="80"/>
      <c r="S344" s="80"/>
      <c r="T344" s="80"/>
      <c r="U344" s="83"/>
      <c r="V344" s="80"/>
      <c r="W344" s="83"/>
      <c r="X344" s="80"/>
      <c r="Y344" s="80"/>
      <c r="Z344" s="80"/>
      <c r="AA344" s="80"/>
      <c r="AB344" s="80"/>
      <c r="AC344" s="80"/>
      <c r="AD344" s="80"/>
      <c r="AE344" s="80"/>
    </row>
    <row r="345" spans="1:31" x14ac:dyDescent="0.25">
      <c r="A345" s="76"/>
      <c r="B345" s="76"/>
      <c r="C345" s="77"/>
      <c r="D345" s="78"/>
      <c r="E345" s="79"/>
      <c r="F345" s="80"/>
      <c r="G345" s="78"/>
      <c r="H345" s="81"/>
      <c r="I345" s="78"/>
      <c r="J345" s="78"/>
      <c r="K345" s="78"/>
      <c r="L345" s="78"/>
      <c r="M345" s="81"/>
      <c r="N345" s="76"/>
      <c r="O345" s="82"/>
      <c r="P345" s="80"/>
      <c r="Q345" s="83"/>
      <c r="R345" s="80"/>
      <c r="S345" s="80"/>
      <c r="T345" s="80"/>
      <c r="U345" s="83"/>
      <c r="V345" s="80"/>
      <c r="W345" s="83"/>
      <c r="X345" s="80"/>
      <c r="Y345" s="80"/>
      <c r="Z345" s="80"/>
      <c r="AA345" s="80"/>
      <c r="AB345" s="80"/>
      <c r="AC345" s="80"/>
      <c r="AD345" s="80"/>
      <c r="AE345" s="80"/>
    </row>
    <row r="346" spans="1:31" x14ac:dyDescent="0.25">
      <c r="A346" s="76"/>
      <c r="B346" s="76"/>
      <c r="C346" s="77"/>
      <c r="D346" s="78"/>
      <c r="E346" s="79"/>
      <c r="F346" s="80"/>
      <c r="G346" s="78"/>
      <c r="H346" s="81"/>
      <c r="I346" s="78"/>
      <c r="J346" s="78"/>
      <c r="K346" s="78"/>
      <c r="L346" s="78"/>
      <c r="M346" s="81"/>
      <c r="N346" s="76"/>
      <c r="O346" s="82"/>
      <c r="P346" s="80"/>
      <c r="Q346" s="83"/>
      <c r="R346" s="80"/>
      <c r="S346" s="80"/>
      <c r="T346" s="80"/>
      <c r="U346" s="83"/>
      <c r="V346" s="80"/>
      <c r="W346" s="83"/>
      <c r="X346" s="80"/>
      <c r="Y346" s="80"/>
      <c r="Z346" s="80"/>
      <c r="AA346" s="80"/>
      <c r="AB346" s="80"/>
      <c r="AC346" s="80"/>
      <c r="AD346" s="80"/>
      <c r="AE346" s="80"/>
    </row>
    <row r="347" spans="1:31" x14ac:dyDescent="0.25">
      <c r="A347" s="76"/>
      <c r="B347" s="76"/>
      <c r="C347" s="77"/>
      <c r="D347" s="78"/>
      <c r="E347" s="79"/>
      <c r="F347" s="80"/>
      <c r="G347" s="78"/>
      <c r="H347" s="81"/>
      <c r="I347" s="78"/>
      <c r="J347" s="78"/>
      <c r="K347" s="78"/>
      <c r="L347" s="78"/>
      <c r="M347" s="81"/>
      <c r="N347" s="76"/>
      <c r="O347" s="82"/>
      <c r="P347" s="80"/>
      <c r="Q347" s="83"/>
      <c r="R347" s="80"/>
      <c r="S347" s="80"/>
      <c r="T347" s="80"/>
      <c r="U347" s="83"/>
      <c r="V347" s="80"/>
      <c r="W347" s="83"/>
      <c r="X347" s="80"/>
      <c r="Y347" s="80"/>
      <c r="Z347" s="80"/>
      <c r="AA347" s="80"/>
      <c r="AB347" s="80"/>
      <c r="AC347" s="80"/>
      <c r="AD347" s="80"/>
      <c r="AE347" s="80"/>
    </row>
    <row r="348" spans="1:31" x14ac:dyDescent="0.25">
      <c r="A348" s="76"/>
      <c r="B348" s="76"/>
      <c r="C348" s="77"/>
      <c r="D348" s="78"/>
      <c r="E348" s="79"/>
      <c r="F348" s="80"/>
      <c r="G348" s="78"/>
      <c r="H348" s="81"/>
      <c r="I348" s="78"/>
      <c r="J348" s="78"/>
      <c r="K348" s="78"/>
      <c r="L348" s="78"/>
      <c r="M348" s="81"/>
      <c r="N348" s="76"/>
      <c r="O348" s="82"/>
      <c r="P348" s="80"/>
      <c r="Q348" s="83"/>
      <c r="R348" s="80"/>
      <c r="S348" s="80"/>
      <c r="T348" s="80"/>
      <c r="U348" s="83"/>
      <c r="V348" s="80"/>
      <c r="W348" s="83"/>
      <c r="X348" s="80"/>
      <c r="Y348" s="80"/>
      <c r="Z348" s="80"/>
      <c r="AA348" s="80"/>
      <c r="AB348" s="80"/>
      <c r="AC348" s="80"/>
      <c r="AD348" s="80"/>
      <c r="AE348" s="80"/>
    </row>
    <row r="349" spans="1:31" x14ac:dyDescent="0.25">
      <c r="A349" s="76"/>
      <c r="B349" s="76"/>
      <c r="C349" s="77"/>
      <c r="D349" s="78"/>
      <c r="E349" s="79"/>
      <c r="F349" s="80"/>
      <c r="G349" s="78"/>
      <c r="H349" s="81"/>
      <c r="I349" s="78"/>
      <c r="J349" s="78"/>
      <c r="K349" s="78"/>
      <c r="L349" s="78"/>
      <c r="M349" s="81"/>
      <c r="N349" s="76"/>
      <c r="O349" s="82"/>
      <c r="P349" s="80"/>
      <c r="Q349" s="83"/>
      <c r="R349" s="80"/>
      <c r="S349" s="80"/>
      <c r="T349" s="80"/>
      <c r="U349" s="83"/>
      <c r="V349" s="80"/>
      <c r="W349" s="83"/>
      <c r="X349" s="80"/>
      <c r="Y349" s="80"/>
      <c r="Z349" s="80"/>
      <c r="AA349" s="80"/>
      <c r="AB349" s="80"/>
      <c r="AC349" s="80"/>
      <c r="AD349" s="80"/>
      <c r="AE349" s="80"/>
    </row>
    <row r="350" spans="1:31" x14ac:dyDescent="0.25">
      <c r="A350" s="76"/>
      <c r="B350" s="76"/>
      <c r="C350" s="77"/>
      <c r="D350" s="78"/>
      <c r="E350" s="79"/>
      <c r="F350" s="80"/>
      <c r="G350" s="78"/>
      <c r="H350" s="81"/>
      <c r="I350" s="78"/>
      <c r="J350" s="78"/>
      <c r="K350" s="78"/>
      <c r="L350" s="78"/>
      <c r="M350" s="81"/>
      <c r="N350" s="76"/>
      <c r="O350" s="82"/>
      <c r="P350" s="80"/>
      <c r="Q350" s="83"/>
      <c r="R350" s="80"/>
      <c r="S350" s="80"/>
      <c r="T350" s="80"/>
      <c r="U350" s="83"/>
      <c r="V350" s="80"/>
      <c r="W350" s="83"/>
      <c r="X350" s="80"/>
      <c r="Y350" s="80"/>
      <c r="Z350" s="80"/>
      <c r="AA350" s="80"/>
      <c r="AB350" s="80"/>
      <c r="AC350" s="80"/>
      <c r="AD350" s="80"/>
      <c r="AE350" s="80"/>
    </row>
    <row r="351" spans="1:31" x14ac:dyDescent="0.25">
      <c r="A351" s="76"/>
      <c r="B351" s="76"/>
      <c r="C351" s="77"/>
      <c r="D351" s="78"/>
      <c r="E351" s="79"/>
      <c r="F351" s="80"/>
      <c r="G351" s="78"/>
      <c r="H351" s="81"/>
      <c r="I351" s="78"/>
      <c r="J351" s="78"/>
      <c r="K351" s="78"/>
      <c r="L351" s="78"/>
      <c r="M351" s="81"/>
      <c r="N351" s="76"/>
      <c r="O351" s="82"/>
      <c r="P351" s="80"/>
      <c r="Q351" s="83"/>
      <c r="R351" s="80"/>
      <c r="S351" s="80"/>
      <c r="T351" s="80"/>
      <c r="U351" s="83"/>
      <c r="V351" s="80"/>
      <c r="W351" s="83"/>
      <c r="X351" s="80"/>
      <c r="Y351" s="80"/>
      <c r="Z351" s="80"/>
      <c r="AA351" s="80"/>
      <c r="AB351" s="80"/>
      <c r="AC351" s="80"/>
      <c r="AD351" s="80"/>
      <c r="AE351" s="80"/>
    </row>
    <row r="352" spans="1:31" x14ac:dyDescent="0.25">
      <c r="A352" s="76"/>
      <c r="B352" s="76"/>
      <c r="C352" s="77"/>
      <c r="D352" s="78"/>
      <c r="E352" s="79"/>
      <c r="F352" s="80"/>
      <c r="G352" s="78"/>
      <c r="H352" s="81"/>
      <c r="I352" s="78"/>
      <c r="J352" s="78"/>
      <c r="K352" s="78"/>
      <c r="L352" s="78"/>
      <c r="M352" s="81"/>
      <c r="N352" s="76"/>
      <c r="O352" s="82"/>
      <c r="P352" s="80"/>
      <c r="Q352" s="83"/>
      <c r="R352" s="80"/>
      <c r="S352" s="80"/>
      <c r="T352" s="80"/>
      <c r="U352" s="83"/>
      <c r="V352" s="80"/>
      <c r="W352" s="83"/>
      <c r="X352" s="80"/>
      <c r="Y352" s="80"/>
      <c r="Z352" s="80"/>
      <c r="AA352" s="80"/>
      <c r="AB352" s="80"/>
      <c r="AC352" s="80"/>
      <c r="AD352" s="80"/>
      <c r="AE352" s="80"/>
    </row>
    <row r="353" spans="1:31" x14ac:dyDescent="0.25">
      <c r="A353" s="76"/>
      <c r="B353" s="76"/>
      <c r="C353" s="77"/>
      <c r="D353" s="78"/>
      <c r="E353" s="79"/>
      <c r="F353" s="80"/>
      <c r="G353" s="78"/>
      <c r="H353" s="81"/>
      <c r="I353" s="78"/>
      <c r="J353" s="78"/>
      <c r="K353" s="78"/>
      <c r="L353" s="78"/>
      <c r="M353" s="81"/>
      <c r="N353" s="76"/>
      <c r="O353" s="82"/>
      <c r="P353" s="80"/>
      <c r="Q353" s="83"/>
      <c r="R353" s="80"/>
      <c r="S353" s="80"/>
      <c r="T353" s="80"/>
      <c r="U353" s="83"/>
      <c r="V353" s="80"/>
      <c r="W353" s="83"/>
      <c r="X353" s="80"/>
      <c r="Y353" s="80"/>
      <c r="Z353" s="80"/>
      <c r="AA353" s="80"/>
      <c r="AB353" s="80"/>
      <c r="AC353" s="80"/>
      <c r="AD353" s="80"/>
      <c r="AE353" s="80"/>
    </row>
    <row r="354" spans="1:31" x14ac:dyDescent="0.25">
      <c r="A354" s="76"/>
      <c r="B354" s="76"/>
      <c r="C354" s="77"/>
      <c r="D354" s="78"/>
      <c r="E354" s="79"/>
      <c r="F354" s="80"/>
      <c r="G354" s="78"/>
      <c r="H354" s="81"/>
      <c r="I354" s="78"/>
      <c r="J354" s="78"/>
      <c r="K354" s="78"/>
      <c r="L354" s="78"/>
      <c r="M354" s="81"/>
      <c r="N354" s="76"/>
      <c r="O354" s="82"/>
      <c r="P354" s="80"/>
      <c r="Q354" s="83"/>
      <c r="R354" s="80"/>
      <c r="S354" s="80"/>
      <c r="T354" s="80"/>
      <c r="U354" s="83"/>
      <c r="V354" s="80"/>
      <c r="W354" s="83"/>
      <c r="X354" s="80"/>
      <c r="Y354" s="80"/>
      <c r="Z354" s="80"/>
      <c r="AA354" s="80"/>
      <c r="AB354" s="80"/>
      <c r="AC354" s="80"/>
      <c r="AD354" s="80"/>
      <c r="AE354" s="80"/>
    </row>
    <row r="355" spans="1:31" x14ac:dyDescent="0.25">
      <c r="A355" s="76"/>
      <c r="B355" s="76"/>
      <c r="C355" s="77"/>
      <c r="D355" s="78"/>
      <c r="E355" s="79"/>
      <c r="F355" s="80"/>
      <c r="G355" s="78"/>
      <c r="H355" s="81"/>
      <c r="I355" s="78"/>
      <c r="J355" s="78"/>
      <c r="K355" s="78"/>
      <c r="L355" s="78"/>
      <c r="M355" s="81"/>
      <c r="N355" s="76"/>
      <c r="O355" s="82"/>
      <c r="P355" s="80"/>
      <c r="Q355" s="83"/>
      <c r="R355" s="80"/>
      <c r="S355" s="80"/>
      <c r="T355" s="80"/>
      <c r="U355" s="83"/>
      <c r="V355" s="80"/>
      <c r="W355" s="83"/>
      <c r="X355" s="80"/>
      <c r="Y355" s="80"/>
      <c r="Z355" s="80"/>
      <c r="AA355" s="80"/>
      <c r="AB355" s="80"/>
      <c r="AC355" s="80"/>
      <c r="AD355" s="80"/>
      <c r="AE355" s="80"/>
    </row>
    <row r="356" spans="1:31" x14ac:dyDescent="0.25">
      <c r="A356" s="76"/>
      <c r="B356" s="76"/>
      <c r="C356" s="77"/>
      <c r="D356" s="78"/>
      <c r="E356" s="79"/>
      <c r="F356" s="80"/>
      <c r="G356" s="78"/>
      <c r="H356" s="81"/>
      <c r="I356" s="78"/>
      <c r="J356" s="78"/>
      <c r="K356" s="78"/>
      <c r="L356" s="78"/>
      <c r="M356" s="81"/>
      <c r="N356" s="76"/>
      <c r="O356" s="82"/>
      <c r="P356" s="80"/>
      <c r="Q356" s="83"/>
      <c r="R356" s="80"/>
      <c r="S356" s="80"/>
      <c r="T356" s="80"/>
      <c r="U356" s="83"/>
      <c r="V356" s="80"/>
      <c r="W356" s="83"/>
      <c r="X356" s="80"/>
      <c r="Y356" s="80"/>
      <c r="Z356" s="80"/>
      <c r="AA356" s="80"/>
      <c r="AB356" s="80"/>
      <c r="AC356" s="80"/>
      <c r="AD356" s="80"/>
      <c r="AE356" s="80"/>
    </row>
    <row r="357" spans="1:31" x14ac:dyDescent="0.25">
      <c r="A357" s="76"/>
      <c r="B357" s="76"/>
      <c r="C357" s="77"/>
      <c r="D357" s="78"/>
      <c r="E357" s="79"/>
      <c r="F357" s="80"/>
      <c r="G357" s="78"/>
      <c r="H357" s="81"/>
      <c r="I357" s="78"/>
      <c r="J357" s="78"/>
      <c r="K357" s="78"/>
      <c r="L357" s="78"/>
      <c r="M357" s="81"/>
      <c r="N357" s="76"/>
      <c r="O357" s="82"/>
      <c r="P357" s="80"/>
      <c r="Q357" s="83"/>
      <c r="R357" s="80"/>
      <c r="S357" s="80"/>
      <c r="T357" s="80"/>
      <c r="U357" s="83"/>
      <c r="V357" s="80"/>
      <c r="W357" s="83"/>
      <c r="X357" s="80"/>
      <c r="Y357" s="80"/>
      <c r="Z357" s="80"/>
      <c r="AA357" s="80"/>
      <c r="AB357" s="80"/>
      <c r="AC357" s="80"/>
      <c r="AD357" s="80"/>
      <c r="AE357" s="80"/>
    </row>
    <row r="358" spans="1:31" x14ac:dyDescent="0.25">
      <c r="A358" s="76"/>
      <c r="B358" s="76"/>
      <c r="C358" s="77"/>
      <c r="D358" s="78"/>
      <c r="E358" s="79"/>
      <c r="F358" s="80"/>
      <c r="G358" s="78"/>
      <c r="H358" s="81"/>
      <c r="I358" s="78"/>
      <c r="J358" s="78"/>
      <c r="K358" s="78"/>
      <c r="L358" s="78"/>
      <c r="M358" s="81"/>
      <c r="N358" s="76"/>
      <c r="O358" s="82"/>
      <c r="P358" s="80"/>
      <c r="Q358" s="83"/>
      <c r="R358" s="80"/>
      <c r="S358" s="80"/>
      <c r="T358" s="80"/>
      <c r="U358" s="83"/>
      <c r="V358" s="80"/>
      <c r="W358" s="83"/>
      <c r="X358" s="80"/>
      <c r="Y358" s="80"/>
      <c r="Z358" s="80"/>
      <c r="AA358" s="80"/>
      <c r="AB358" s="80"/>
      <c r="AC358" s="80"/>
      <c r="AD358" s="80"/>
      <c r="AE358" s="80"/>
    </row>
    <row r="359" spans="1:31" x14ac:dyDescent="0.25">
      <c r="A359" s="76"/>
      <c r="B359" s="76"/>
      <c r="C359" s="77"/>
      <c r="D359" s="78"/>
      <c r="E359" s="79"/>
      <c r="F359" s="80"/>
      <c r="G359" s="78"/>
      <c r="H359" s="81"/>
      <c r="I359" s="78"/>
      <c r="J359" s="78"/>
      <c r="K359" s="78"/>
      <c r="L359" s="78"/>
      <c r="M359" s="81"/>
      <c r="N359" s="76"/>
      <c r="O359" s="82"/>
      <c r="P359" s="80"/>
      <c r="Q359" s="83"/>
      <c r="R359" s="80"/>
      <c r="S359" s="80"/>
      <c r="T359" s="80"/>
      <c r="U359" s="83"/>
      <c r="V359" s="80"/>
      <c r="W359" s="83"/>
      <c r="X359" s="80"/>
      <c r="Y359" s="80"/>
      <c r="Z359" s="80"/>
      <c r="AA359" s="80"/>
      <c r="AB359" s="80"/>
      <c r="AC359" s="80"/>
      <c r="AD359" s="80"/>
      <c r="AE359" s="80"/>
    </row>
    <row r="360" spans="1:31" x14ac:dyDescent="0.25">
      <c r="A360" s="76"/>
      <c r="B360" s="76"/>
      <c r="C360" s="77"/>
      <c r="D360" s="78"/>
      <c r="E360" s="79"/>
      <c r="F360" s="80"/>
      <c r="G360" s="78"/>
      <c r="H360" s="81"/>
      <c r="I360" s="78"/>
      <c r="J360" s="78"/>
      <c r="K360" s="78"/>
      <c r="L360" s="78"/>
      <c r="M360" s="81"/>
      <c r="N360" s="76"/>
      <c r="O360" s="82"/>
      <c r="P360" s="80"/>
      <c r="Q360" s="83"/>
      <c r="R360" s="80"/>
      <c r="S360" s="80"/>
      <c r="T360" s="80"/>
      <c r="U360" s="83"/>
      <c r="V360" s="80"/>
      <c r="W360" s="83"/>
      <c r="X360" s="80"/>
      <c r="Y360" s="80"/>
      <c r="Z360" s="80"/>
      <c r="AA360" s="80"/>
      <c r="AB360" s="80"/>
      <c r="AC360" s="80"/>
      <c r="AD360" s="80"/>
      <c r="AE360" s="80"/>
    </row>
    <row r="361" spans="1:31" x14ac:dyDescent="0.25">
      <c r="A361" s="76"/>
      <c r="B361" s="76"/>
      <c r="C361" s="77"/>
      <c r="D361" s="78"/>
      <c r="E361" s="79"/>
      <c r="F361" s="80"/>
      <c r="G361" s="78"/>
      <c r="H361" s="81"/>
      <c r="I361" s="78"/>
      <c r="J361" s="78"/>
      <c r="K361" s="78"/>
      <c r="L361" s="78"/>
      <c r="M361" s="81"/>
      <c r="N361" s="76"/>
      <c r="O361" s="82"/>
      <c r="P361" s="80"/>
      <c r="Q361" s="83"/>
      <c r="R361" s="80"/>
      <c r="S361" s="80"/>
      <c r="T361" s="80"/>
      <c r="U361" s="83"/>
      <c r="V361" s="80"/>
      <c r="W361" s="83"/>
      <c r="X361" s="80"/>
      <c r="Y361" s="80"/>
      <c r="Z361" s="80"/>
      <c r="AA361" s="80"/>
      <c r="AB361" s="80"/>
      <c r="AC361" s="80"/>
      <c r="AD361" s="80"/>
      <c r="AE361" s="80"/>
    </row>
    <row r="362" spans="1:31" x14ac:dyDescent="0.25">
      <c r="A362" s="76"/>
      <c r="B362" s="76"/>
      <c r="C362" s="77"/>
      <c r="D362" s="78"/>
      <c r="E362" s="79"/>
      <c r="F362" s="80"/>
      <c r="G362" s="78"/>
      <c r="H362" s="81"/>
      <c r="I362" s="78"/>
      <c r="J362" s="78"/>
      <c r="K362" s="78"/>
      <c r="L362" s="78"/>
      <c r="M362" s="81"/>
      <c r="N362" s="76"/>
      <c r="O362" s="82"/>
      <c r="P362" s="80"/>
      <c r="Q362" s="83"/>
      <c r="R362" s="80"/>
      <c r="S362" s="80"/>
      <c r="T362" s="80"/>
      <c r="U362" s="83"/>
      <c r="V362" s="80"/>
      <c r="W362" s="83"/>
      <c r="X362" s="80"/>
      <c r="Y362" s="80"/>
      <c r="Z362" s="80"/>
      <c r="AA362" s="80"/>
      <c r="AB362" s="80"/>
      <c r="AC362" s="80"/>
      <c r="AD362" s="80"/>
      <c r="AE362" s="80"/>
    </row>
    <row r="363" spans="1:31" x14ac:dyDescent="0.25">
      <c r="A363" s="76"/>
      <c r="B363" s="76"/>
      <c r="C363" s="77"/>
      <c r="D363" s="78"/>
      <c r="E363" s="79"/>
      <c r="F363" s="80"/>
      <c r="G363" s="78"/>
      <c r="H363" s="81"/>
      <c r="I363" s="78"/>
      <c r="J363" s="78"/>
      <c r="K363" s="78"/>
      <c r="L363" s="78"/>
      <c r="M363" s="81"/>
      <c r="N363" s="76"/>
      <c r="O363" s="82"/>
      <c r="P363" s="80"/>
      <c r="Q363" s="83"/>
      <c r="R363" s="80"/>
      <c r="S363" s="80"/>
      <c r="T363" s="80"/>
      <c r="U363" s="83"/>
      <c r="V363" s="80"/>
      <c r="W363" s="83"/>
      <c r="X363" s="80"/>
      <c r="Y363" s="80"/>
      <c r="Z363" s="80"/>
      <c r="AA363" s="80"/>
      <c r="AB363" s="80"/>
      <c r="AC363" s="80"/>
      <c r="AD363" s="80"/>
      <c r="AE363" s="80"/>
    </row>
    <row r="364" spans="1:31" x14ac:dyDescent="0.25">
      <c r="A364" s="76"/>
      <c r="B364" s="76"/>
      <c r="C364" s="77"/>
      <c r="D364" s="78"/>
      <c r="E364" s="79"/>
      <c r="F364" s="80"/>
      <c r="G364" s="78"/>
      <c r="H364" s="81"/>
      <c r="I364" s="78"/>
      <c r="J364" s="78"/>
      <c r="K364" s="78"/>
      <c r="L364" s="78"/>
      <c r="M364" s="81"/>
      <c r="N364" s="76"/>
      <c r="O364" s="82"/>
      <c r="P364" s="80"/>
      <c r="Q364" s="83"/>
      <c r="R364" s="80"/>
      <c r="S364" s="80"/>
      <c r="T364" s="80"/>
      <c r="U364" s="83"/>
      <c r="V364" s="80"/>
      <c r="W364" s="83"/>
      <c r="X364" s="80"/>
      <c r="Y364" s="80"/>
      <c r="Z364" s="80"/>
      <c r="AA364" s="80"/>
      <c r="AB364" s="80"/>
      <c r="AC364" s="80"/>
      <c r="AD364" s="80"/>
      <c r="AE364" s="80"/>
    </row>
    <row r="365" spans="1:31" x14ac:dyDescent="0.25">
      <c r="A365" s="76"/>
      <c r="B365" s="76"/>
      <c r="C365" s="77"/>
      <c r="D365" s="78"/>
      <c r="E365" s="79"/>
      <c r="F365" s="80"/>
      <c r="G365" s="78"/>
      <c r="H365" s="81"/>
      <c r="I365" s="78"/>
      <c r="J365" s="78"/>
      <c r="K365" s="78"/>
      <c r="L365" s="78"/>
      <c r="M365" s="81"/>
      <c r="N365" s="76"/>
      <c r="O365" s="82"/>
      <c r="P365" s="80"/>
      <c r="Q365" s="83"/>
      <c r="R365" s="80"/>
      <c r="S365" s="80"/>
      <c r="T365" s="80"/>
      <c r="U365" s="83"/>
      <c r="V365" s="80"/>
      <c r="W365" s="83"/>
      <c r="X365" s="80"/>
      <c r="Y365" s="80"/>
      <c r="Z365" s="80"/>
      <c r="AA365" s="80"/>
      <c r="AB365" s="80"/>
      <c r="AC365" s="80"/>
      <c r="AD365" s="80"/>
      <c r="AE365" s="80"/>
    </row>
    <row r="366" spans="1:31" x14ac:dyDescent="0.25">
      <c r="A366" s="76"/>
      <c r="B366" s="76"/>
      <c r="C366" s="77"/>
      <c r="D366" s="78"/>
      <c r="E366" s="79"/>
      <c r="F366" s="80"/>
      <c r="G366" s="78"/>
      <c r="H366" s="81"/>
      <c r="I366" s="78"/>
      <c r="J366" s="78"/>
      <c r="K366" s="78"/>
      <c r="L366" s="78"/>
      <c r="M366" s="81"/>
      <c r="N366" s="76"/>
      <c r="O366" s="82"/>
      <c r="P366" s="80"/>
      <c r="Q366" s="83"/>
      <c r="R366" s="80"/>
      <c r="S366" s="80"/>
      <c r="T366" s="80"/>
      <c r="U366" s="83"/>
      <c r="V366" s="80"/>
      <c r="W366" s="83"/>
      <c r="X366" s="80"/>
      <c r="Y366" s="80"/>
      <c r="Z366" s="80"/>
      <c r="AA366" s="80"/>
      <c r="AB366" s="80"/>
      <c r="AC366" s="80"/>
      <c r="AD366" s="80"/>
      <c r="AE366" s="80"/>
    </row>
    <row r="367" spans="1:31" x14ac:dyDescent="0.25">
      <c r="A367" s="76"/>
      <c r="B367" s="76"/>
      <c r="C367" s="77"/>
      <c r="D367" s="78"/>
      <c r="E367" s="79"/>
      <c r="F367" s="80"/>
      <c r="G367" s="78"/>
      <c r="H367" s="81"/>
      <c r="I367" s="78"/>
      <c r="J367" s="78"/>
      <c r="K367" s="78"/>
      <c r="L367" s="78"/>
      <c r="M367" s="81"/>
      <c r="N367" s="76"/>
      <c r="O367" s="82"/>
      <c r="P367" s="80"/>
      <c r="Q367" s="83"/>
      <c r="R367" s="80"/>
      <c r="S367" s="80"/>
      <c r="T367" s="80"/>
      <c r="U367" s="83"/>
      <c r="V367" s="80"/>
      <c r="W367" s="83"/>
      <c r="X367" s="80"/>
      <c r="Y367" s="80"/>
      <c r="Z367" s="80"/>
      <c r="AA367" s="80"/>
      <c r="AB367" s="80"/>
      <c r="AC367" s="80"/>
      <c r="AD367" s="80"/>
      <c r="AE367" s="80"/>
    </row>
    <row r="368" spans="1:31" x14ac:dyDescent="0.25">
      <c r="A368" s="76"/>
      <c r="B368" s="76"/>
      <c r="C368" s="77"/>
      <c r="D368" s="78"/>
      <c r="E368" s="79"/>
      <c r="F368" s="80"/>
      <c r="G368" s="78"/>
      <c r="H368" s="81"/>
      <c r="I368" s="78"/>
      <c r="J368" s="78"/>
      <c r="K368" s="78"/>
      <c r="L368" s="78"/>
      <c r="M368" s="81"/>
      <c r="N368" s="76"/>
      <c r="O368" s="82"/>
      <c r="P368" s="80"/>
      <c r="Q368" s="83"/>
      <c r="R368" s="80"/>
      <c r="S368" s="80"/>
      <c r="T368" s="80"/>
      <c r="U368" s="83"/>
      <c r="V368" s="80"/>
      <c r="W368" s="83"/>
      <c r="X368" s="80"/>
      <c r="Y368" s="80"/>
      <c r="Z368" s="80"/>
      <c r="AA368" s="80"/>
      <c r="AB368" s="80"/>
      <c r="AC368" s="80"/>
      <c r="AD368" s="80"/>
      <c r="AE368" s="80"/>
    </row>
    <row r="369" spans="1:31" x14ac:dyDescent="0.25">
      <c r="A369" s="76"/>
      <c r="B369" s="76"/>
      <c r="C369" s="77"/>
      <c r="D369" s="78"/>
      <c r="E369" s="79"/>
      <c r="F369" s="80"/>
      <c r="G369" s="78"/>
      <c r="H369" s="81"/>
      <c r="I369" s="78"/>
      <c r="J369" s="78"/>
      <c r="K369" s="78"/>
      <c r="L369" s="78"/>
      <c r="M369" s="81"/>
      <c r="N369" s="76"/>
      <c r="O369" s="82"/>
      <c r="P369" s="80"/>
      <c r="Q369" s="83"/>
      <c r="R369" s="80"/>
      <c r="S369" s="80"/>
      <c r="T369" s="80"/>
      <c r="U369" s="83"/>
      <c r="V369" s="80"/>
      <c r="W369" s="83"/>
      <c r="X369" s="80"/>
      <c r="Y369" s="80"/>
      <c r="Z369" s="80"/>
      <c r="AA369" s="80"/>
      <c r="AB369" s="80"/>
      <c r="AC369" s="80"/>
      <c r="AD369" s="80"/>
      <c r="AE369" s="80"/>
    </row>
    <row r="370" spans="1:31" x14ac:dyDescent="0.25">
      <c r="A370" s="76"/>
      <c r="B370" s="76"/>
      <c r="C370" s="77"/>
      <c r="D370" s="78"/>
      <c r="E370" s="79"/>
      <c r="F370" s="80"/>
      <c r="G370" s="78"/>
      <c r="H370" s="81"/>
      <c r="I370" s="78"/>
      <c r="J370" s="78"/>
      <c r="K370" s="78"/>
      <c r="L370" s="78"/>
      <c r="M370" s="81"/>
      <c r="N370" s="76"/>
      <c r="O370" s="82"/>
      <c r="P370" s="80"/>
      <c r="Q370" s="83"/>
      <c r="R370" s="80"/>
      <c r="S370" s="80"/>
      <c r="T370" s="80"/>
      <c r="U370" s="83"/>
      <c r="V370" s="80"/>
      <c r="W370" s="83"/>
      <c r="X370" s="80"/>
      <c r="Y370" s="80"/>
      <c r="Z370" s="80"/>
      <c r="AA370" s="80"/>
      <c r="AB370" s="80"/>
      <c r="AC370" s="80"/>
      <c r="AD370" s="80"/>
      <c r="AE370" s="80"/>
    </row>
    <row r="371" spans="1:31" x14ac:dyDescent="0.25">
      <c r="A371" s="76"/>
      <c r="B371" s="76"/>
      <c r="C371" s="77"/>
      <c r="D371" s="78"/>
      <c r="E371" s="79"/>
      <c r="F371" s="80"/>
      <c r="G371" s="78"/>
      <c r="H371" s="81"/>
      <c r="I371" s="78"/>
      <c r="J371" s="78"/>
      <c r="K371" s="78"/>
      <c r="L371" s="78"/>
      <c r="M371" s="81"/>
      <c r="N371" s="76"/>
      <c r="O371" s="82"/>
      <c r="P371" s="80"/>
      <c r="Q371" s="83"/>
      <c r="R371" s="80"/>
      <c r="S371" s="80"/>
      <c r="T371" s="80"/>
      <c r="U371" s="83"/>
      <c r="V371" s="80"/>
      <c r="W371" s="83"/>
      <c r="X371" s="80"/>
      <c r="Y371" s="80"/>
      <c r="Z371" s="80"/>
      <c r="AA371" s="80"/>
      <c r="AB371" s="80"/>
      <c r="AC371" s="80"/>
      <c r="AD371" s="80"/>
      <c r="AE371" s="80"/>
    </row>
    <row r="372" spans="1:31" x14ac:dyDescent="0.25">
      <c r="A372" s="76"/>
      <c r="B372" s="76"/>
      <c r="C372" s="77"/>
      <c r="D372" s="78"/>
      <c r="E372" s="79"/>
      <c r="F372" s="80"/>
      <c r="G372" s="78"/>
      <c r="H372" s="81"/>
      <c r="I372" s="78"/>
      <c r="J372" s="78"/>
      <c r="K372" s="78"/>
      <c r="L372" s="78"/>
      <c r="M372" s="81"/>
      <c r="N372" s="76"/>
      <c r="O372" s="82"/>
      <c r="P372" s="80"/>
      <c r="Q372" s="83"/>
      <c r="R372" s="80"/>
      <c r="S372" s="80"/>
      <c r="T372" s="80"/>
      <c r="U372" s="83"/>
      <c r="V372" s="80"/>
      <c r="W372" s="83"/>
      <c r="X372" s="80"/>
      <c r="Y372" s="80"/>
      <c r="Z372" s="80"/>
      <c r="AA372" s="80"/>
      <c r="AB372" s="80"/>
      <c r="AC372" s="80"/>
      <c r="AD372" s="80"/>
      <c r="AE372" s="80"/>
    </row>
    <row r="373" spans="1:31" x14ac:dyDescent="0.25">
      <c r="A373" s="76"/>
      <c r="B373" s="76"/>
      <c r="C373" s="77"/>
      <c r="D373" s="78"/>
      <c r="E373" s="79"/>
      <c r="F373" s="80"/>
      <c r="G373" s="78"/>
      <c r="H373" s="81"/>
      <c r="I373" s="78"/>
      <c r="J373" s="78"/>
      <c r="K373" s="78"/>
      <c r="L373" s="78"/>
      <c r="M373" s="81"/>
      <c r="N373" s="76"/>
      <c r="O373" s="82"/>
      <c r="P373" s="80"/>
      <c r="Q373" s="83"/>
      <c r="R373" s="80"/>
      <c r="S373" s="80"/>
      <c r="T373" s="80"/>
      <c r="U373" s="83"/>
      <c r="V373" s="80"/>
      <c r="W373" s="83"/>
      <c r="X373" s="80"/>
      <c r="Y373" s="80"/>
      <c r="Z373" s="80"/>
      <c r="AA373" s="80"/>
      <c r="AB373" s="80"/>
      <c r="AC373" s="80"/>
      <c r="AD373" s="80"/>
      <c r="AE373" s="80"/>
    </row>
    <row r="374" spans="1:31" x14ac:dyDescent="0.25">
      <c r="A374" s="76"/>
      <c r="B374" s="76"/>
      <c r="C374" s="77"/>
      <c r="D374" s="78"/>
      <c r="E374" s="79"/>
      <c r="F374" s="80"/>
      <c r="G374" s="78"/>
      <c r="H374" s="81"/>
      <c r="I374" s="78"/>
      <c r="J374" s="78"/>
      <c r="K374" s="78"/>
      <c r="L374" s="78"/>
      <c r="M374" s="81"/>
      <c r="N374" s="76"/>
      <c r="O374" s="82"/>
      <c r="P374" s="80"/>
      <c r="Q374" s="83"/>
      <c r="R374" s="80"/>
      <c r="S374" s="80"/>
      <c r="T374" s="80"/>
      <c r="U374" s="83"/>
      <c r="V374" s="80"/>
      <c r="W374" s="83"/>
      <c r="X374" s="80"/>
      <c r="Y374" s="80"/>
      <c r="Z374" s="80"/>
      <c r="AA374" s="80"/>
      <c r="AB374" s="80"/>
      <c r="AC374" s="80"/>
      <c r="AD374" s="80"/>
      <c r="AE374" s="80"/>
    </row>
    <row r="375" spans="1:31" x14ac:dyDescent="0.25">
      <c r="A375" s="76"/>
      <c r="B375" s="76"/>
      <c r="C375" s="77"/>
      <c r="D375" s="78"/>
      <c r="E375" s="79"/>
      <c r="F375" s="80"/>
      <c r="G375" s="78"/>
      <c r="H375" s="81"/>
      <c r="I375" s="78"/>
      <c r="J375" s="78"/>
      <c r="K375" s="78"/>
      <c r="L375" s="78"/>
      <c r="M375" s="81"/>
      <c r="N375" s="76"/>
      <c r="O375" s="82"/>
      <c r="P375" s="80"/>
      <c r="Q375" s="83"/>
      <c r="R375" s="80"/>
      <c r="S375" s="80"/>
      <c r="T375" s="80"/>
      <c r="U375" s="83"/>
      <c r="V375" s="80"/>
      <c r="W375" s="83"/>
      <c r="X375" s="80"/>
      <c r="Y375" s="80"/>
      <c r="Z375" s="80"/>
      <c r="AA375" s="80"/>
      <c r="AB375" s="80"/>
      <c r="AC375" s="80"/>
      <c r="AD375" s="80"/>
      <c r="AE375" s="80"/>
    </row>
    <row r="376" spans="1:31" x14ac:dyDescent="0.25">
      <c r="A376" s="76"/>
      <c r="B376" s="76"/>
      <c r="C376" s="77"/>
      <c r="D376" s="78"/>
      <c r="E376" s="79"/>
      <c r="F376" s="80"/>
      <c r="G376" s="78"/>
      <c r="H376" s="81"/>
      <c r="I376" s="78"/>
      <c r="J376" s="78"/>
      <c r="K376" s="78"/>
      <c r="L376" s="78"/>
      <c r="M376" s="81"/>
      <c r="N376" s="76"/>
      <c r="O376" s="82"/>
      <c r="P376" s="80"/>
      <c r="Q376" s="83"/>
      <c r="R376" s="80"/>
      <c r="S376" s="80"/>
      <c r="T376" s="80"/>
      <c r="U376" s="83"/>
      <c r="V376" s="80"/>
      <c r="W376" s="83"/>
      <c r="X376" s="80"/>
      <c r="Y376" s="80"/>
      <c r="Z376" s="80"/>
      <c r="AA376" s="80"/>
      <c r="AB376" s="80"/>
      <c r="AC376" s="80"/>
      <c r="AD376" s="80"/>
      <c r="AE376" s="80"/>
    </row>
    <row r="377" spans="1:31" x14ac:dyDescent="0.25">
      <c r="A377" s="76"/>
      <c r="B377" s="76"/>
      <c r="C377" s="77"/>
      <c r="D377" s="78"/>
      <c r="E377" s="79"/>
      <c r="F377" s="80"/>
      <c r="G377" s="78"/>
      <c r="H377" s="81"/>
      <c r="I377" s="78"/>
      <c r="J377" s="78"/>
      <c r="K377" s="78"/>
      <c r="L377" s="78"/>
      <c r="M377" s="81"/>
      <c r="N377" s="76"/>
      <c r="O377" s="82"/>
      <c r="P377" s="80"/>
      <c r="Q377" s="83"/>
      <c r="R377" s="80"/>
      <c r="S377" s="80"/>
      <c r="T377" s="80"/>
      <c r="U377" s="83"/>
      <c r="V377" s="80"/>
      <c r="W377" s="83"/>
      <c r="X377" s="80"/>
      <c r="Y377" s="80"/>
      <c r="Z377" s="80"/>
      <c r="AA377" s="80"/>
      <c r="AB377" s="80"/>
      <c r="AC377" s="80"/>
      <c r="AD377" s="80"/>
      <c r="AE377" s="80"/>
    </row>
    <row r="378" spans="1:31" x14ac:dyDescent="0.25">
      <c r="A378" s="76"/>
      <c r="B378" s="76"/>
      <c r="C378" s="77"/>
      <c r="D378" s="78"/>
      <c r="E378" s="79"/>
      <c r="F378" s="80"/>
      <c r="G378" s="78"/>
      <c r="H378" s="81"/>
      <c r="I378" s="78"/>
      <c r="J378" s="78"/>
      <c r="K378" s="78"/>
      <c r="L378" s="78"/>
      <c r="M378" s="81"/>
      <c r="N378" s="76"/>
      <c r="O378" s="82"/>
      <c r="P378" s="80"/>
      <c r="Q378" s="83"/>
      <c r="R378" s="80"/>
      <c r="S378" s="80"/>
      <c r="T378" s="80"/>
      <c r="U378" s="83"/>
      <c r="V378" s="80"/>
      <c r="W378" s="83"/>
      <c r="X378" s="80"/>
      <c r="Y378" s="80"/>
      <c r="Z378" s="80"/>
      <c r="AA378" s="80"/>
      <c r="AB378" s="80"/>
      <c r="AC378" s="80"/>
      <c r="AD378" s="80"/>
      <c r="AE378" s="80"/>
    </row>
    <row r="379" spans="1:31" x14ac:dyDescent="0.25">
      <c r="A379" s="76"/>
      <c r="B379" s="76"/>
      <c r="C379" s="77"/>
      <c r="D379" s="78"/>
      <c r="E379" s="79"/>
      <c r="F379" s="80"/>
      <c r="G379" s="78"/>
      <c r="H379" s="81"/>
      <c r="I379" s="78"/>
      <c r="J379" s="78"/>
      <c r="K379" s="78"/>
      <c r="L379" s="78"/>
      <c r="M379" s="81"/>
      <c r="N379" s="76"/>
      <c r="O379" s="82"/>
      <c r="P379" s="80"/>
      <c r="Q379" s="83"/>
      <c r="R379" s="80"/>
      <c r="S379" s="80"/>
      <c r="T379" s="80"/>
      <c r="U379" s="83"/>
      <c r="V379" s="80"/>
      <c r="W379" s="83"/>
      <c r="X379" s="80"/>
      <c r="Y379" s="80"/>
      <c r="Z379" s="80"/>
      <c r="AA379" s="80"/>
      <c r="AB379" s="80"/>
      <c r="AC379" s="80"/>
      <c r="AD379" s="80"/>
      <c r="AE379" s="80"/>
    </row>
    <row r="380" spans="1:31" x14ac:dyDescent="0.25">
      <c r="A380" s="76"/>
      <c r="B380" s="76"/>
      <c r="C380" s="77"/>
      <c r="D380" s="78"/>
      <c r="E380" s="79"/>
      <c r="F380" s="80"/>
      <c r="G380" s="78"/>
      <c r="H380" s="81"/>
      <c r="I380" s="78"/>
      <c r="J380" s="78"/>
      <c r="K380" s="78"/>
      <c r="L380" s="78"/>
      <c r="M380" s="81"/>
      <c r="N380" s="76"/>
      <c r="O380" s="82"/>
      <c r="P380" s="80"/>
      <c r="Q380" s="83"/>
      <c r="R380" s="80"/>
      <c r="S380" s="80"/>
      <c r="T380" s="80"/>
      <c r="U380" s="83"/>
      <c r="V380" s="80"/>
      <c r="W380" s="83"/>
      <c r="X380" s="80"/>
      <c r="Y380" s="80"/>
      <c r="Z380" s="80"/>
      <c r="AA380" s="80"/>
      <c r="AB380" s="80"/>
      <c r="AC380" s="80"/>
      <c r="AD380" s="80"/>
      <c r="AE380" s="80"/>
    </row>
    <row r="381" spans="1:31" x14ac:dyDescent="0.25">
      <c r="A381" s="76"/>
      <c r="B381" s="76"/>
      <c r="C381" s="77"/>
      <c r="D381" s="78"/>
      <c r="E381" s="79"/>
      <c r="F381" s="80"/>
      <c r="G381" s="78"/>
      <c r="H381" s="81"/>
      <c r="I381" s="78"/>
      <c r="J381" s="78"/>
      <c r="K381" s="78"/>
      <c r="L381" s="78"/>
      <c r="M381" s="81"/>
      <c r="N381" s="76"/>
      <c r="O381" s="82"/>
      <c r="P381" s="80"/>
      <c r="Q381" s="83"/>
      <c r="R381" s="80"/>
      <c r="S381" s="80"/>
      <c r="T381" s="80"/>
      <c r="U381" s="83"/>
      <c r="V381" s="80"/>
      <c r="W381" s="83"/>
      <c r="X381" s="80"/>
      <c r="Y381" s="80"/>
      <c r="Z381" s="80"/>
      <c r="AA381" s="80"/>
      <c r="AB381" s="80"/>
      <c r="AC381" s="80"/>
      <c r="AD381" s="80"/>
      <c r="AE381" s="80"/>
    </row>
    <row r="382" spans="1:31" x14ac:dyDescent="0.25">
      <c r="A382" s="76"/>
      <c r="B382" s="76"/>
      <c r="C382" s="77"/>
      <c r="D382" s="78"/>
      <c r="E382" s="79"/>
      <c r="F382" s="80"/>
      <c r="G382" s="78"/>
      <c r="H382" s="81"/>
      <c r="I382" s="78"/>
      <c r="J382" s="78"/>
      <c r="K382" s="78"/>
      <c r="L382" s="78"/>
      <c r="M382" s="81"/>
      <c r="N382" s="76"/>
      <c r="O382" s="82"/>
      <c r="P382" s="80"/>
      <c r="Q382" s="83"/>
      <c r="R382" s="80"/>
      <c r="S382" s="80"/>
      <c r="T382" s="80"/>
      <c r="U382" s="83"/>
      <c r="V382" s="80"/>
      <c r="W382" s="83"/>
      <c r="X382" s="80"/>
      <c r="Y382" s="80"/>
      <c r="Z382" s="80"/>
      <c r="AA382" s="80"/>
      <c r="AB382" s="80"/>
      <c r="AC382" s="80"/>
      <c r="AD382" s="80"/>
      <c r="AE382" s="80"/>
    </row>
    <row r="383" spans="1:31" x14ac:dyDescent="0.25">
      <c r="A383" s="76"/>
      <c r="B383" s="76"/>
      <c r="C383" s="77"/>
      <c r="D383" s="78"/>
      <c r="E383" s="79"/>
      <c r="F383" s="80"/>
      <c r="G383" s="78"/>
      <c r="H383" s="81"/>
      <c r="I383" s="78"/>
      <c r="J383" s="78"/>
      <c r="K383" s="78"/>
      <c r="L383" s="78"/>
      <c r="M383" s="81"/>
      <c r="N383" s="76"/>
      <c r="O383" s="82"/>
      <c r="P383" s="80"/>
      <c r="Q383" s="83"/>
      <c r="R383" s="80"/>
      <c r="S383" s="80"/>
      <c r="T383" s="80"/>
      <c r="U383" s="83"/>
      <c r="V383" s="80"/>
      <c r="W383" s="83"/>
      <c r="X383" s="80"/>
      <c r="Y383" s="80"/>
      <c r="Z383" s="80"/>
      <c r="AA383" s="80"/>
      <c r="AB383" s="80"/>
      <c r="AC383" s="80"/>
      <c r="AD383" s="80"/>
      <c r="AE383" s="80"/>
    </row>
    <row r="384" spans="1:31" x14ac:dyDescent="0.25">
      <c r="A384" s="76"/>
      <c r="B384" s="76"/>
      <c r="C384" s="77"/>
      <c r="D384" s="78"/>
      <c r="E384" s="79"/>
      <c r="F384" s="80"/>
      <c r="G384" s="78"/>
      <c r="H384" s="81"/>
      <c r="I384" s="78"/>
      <c r="J384" s="78"/>
      <c r="K384" s="78"/>
      <c r="L384" s="78"/>
      <c r="M384" s="81"/>
      <c r="N384" s="76"/>
      <c r="O384" s="82"/>
      <c r="P384" s="80"/>
      <c r="Q384" s="83"/>
      <c r="R384" s="80"/>
      <c r="S384" s="80"/>
      <c r="T384" s="80"/>
      <c r="U384" s="83"/>
      <c r="V384" s="80"/>
      <c r="W384" s="83"/>
      <c r="X384" s="80"/>
      <c r="Y384" s="80"/>
      <c r="Z384" s="80"/>
      <c r="AA384" s="80"/>
      <c r="AB384" s="80"/>
      <c r="AC384" s="80"/>
      <c r="AD384" s="80"/>
      <c r="AE384" s="80"/>
    </row>
    <row r="385" spans="1:31" x14ac:dyDescent="0.25">
      <c r="A385" s="76"/>
      <c r="B385" s="76"/>
      <c r="C385" s="77"/>
      <c r="D385" s="78"/>
      <c r="E385" s="79"/>
      <c r="F385" s="80"/>
      <c r="G385" s="78"/>
      <c r="H385" s="81"/>
      <c r="I385" s="78"/>
      <c r="J385" s="78"/>
      <c r="K385" s="78"/>
      <c r="L385" s="78"/>
      <c r="M385" s="81"/>
      <c r="N385" s="76"/>
      <c r="O385" s="82"/>
      <c r="P385" s="80"/>
      <c r="Q385" s="83"/>
      <c r="R385" s="80"/>
      <c r="S385" s="80"/>
      <c r="T385" s="80"/>
      <c r="U385" s="83"/>
      <c r="V385" s="80"/>
      <c r="W385" s="83"/>
      <c r="X385" s="80"/>
      <c r="Y385" s="80"/>
      <c r="Z385" s="80"/>
      <c r="AA385" s="80"/>
      <c r="AB385" s="80"/>
      <c r="AC385" s="80"/>
      <c r="AD385" s="80"/>
      <c r="AE385" s="80"/>
    </row>
    <row r="386" spans="1:31" x14ac:dyDescent="0.25">
      <c r="A386" s="76"/>
      <c r="B386" s="76"/>
      <c r="C386" s="77"/>
      <c r="D386" s="78"/>
      <c r="E386" s="79"/>
      <c r="F386" s="80"/>
      <c r="G386" s="78"/>
      <c r="H386" s="81"/>
      <c r="I386" s="78"/>
      <c r="J386" s="78"/>
      <c r="K386" s="78"/>
      <c r="L386" s="78"/>
      <c r="M386" s="81"/>
      <c r="N386" s="76"/>
      <c r="O386" s="82"/>
      <c r="P386" s="80"/>
      <c r="Q386" s="83"/>
      <c r="R386" s="80"/>
      <c r="S386" s="80"/>
      <c r="T386" s="80"/>
      <c r="U386" s="83"/>
      <c r="V386" s="80"/>
      <c r="W386" s="83"/>
      <c r="X386" s="80"/>
      <c r="Y386" s="80"/>
      <c r="Z386" s="80"/>
      <c r="AA386" s="80"/>
      <c r="AB386" s="80"/>
      <c r="AC386" s="80"/>
      <c r="AD386" s="80"/>
      <c r="AE386" s="80"/>
    </row>
    <row r="387" spans="1:31" x14ac:dyDescent="0.25">
      <c r="A387" s="76"/>
      <c r="B387" s="76"/>
      <c r="C387" s="77"/>
      <c r="D387" s="78"/>
      <c r="E387" s="79"/>
      <c r="F387" s="80"/>
      <c r="G387" s="78"/>
      <c r="H387" s="81"/>
      <c r="I387" s="78"/>
      <c r="J387" s="78"/>
      <c r="K387" s="78"/>
      <c r="L387" s="78"/>
      <c r="M387" s="81"/>
      <c r="N387" s="76"/>
      <c r="O387" s="82"/>
      <c r="P387" s="80"/>
      <c r="Q387" s="83"/>
      <c r="R387" s="80"/>
      <c r="S387" s="80"/>
      <c r="T387" s="80"/>
      <c r="U387" s="83"/>
      <c r="V387" s="80"/>
      <c r="W387" s="83"/>
      <c r="X387" s="80"/>
      <c r="Y387" s="80"/>
      <c r="Z387" s="80"/>
      <c r="AA387" s="80"/>
      <c r="AB387" s="80"/>
      <c r="AC387" s="80"/>
      <c r="AD387" s="80"/>
      <c r="AE387" s="80"/>
    </row>
    <row r="388" spans="1:31" x14ac:dyDescent="0.25">
      <c r="A388" s="76"/>
      <c r="B388" s="76"/>
      <c r="C388" s="77"/>
      <c r="D388" s="78"/>
      <c r="E388" s="79"/>
      <c r="F388" s="80"/>
      <c r="G388" s="78"/>
      <c r="H388" s="81"/>
      <c r="I388" s="78"/>
      <c r="J388" s="78"/>
      <c r="K388" s="78"/>
      <c r="L388" s="78"/>
      <c r="M388" s="81"/>
      <c r="N388" s="76"/>
      <c r="O388" s="82"/>
      <c r="P388" s="80"/>
      <c r="Q388" s="83"/>
      <c r="R388" s="80"/>
      <c r="S388" s="80"/>
      <c r="T388" s="80"/>
      <c r="U388" s="83"/>
      <c r="V388" s="80"/>
      <c r="W388" s="83"/>
      <c r="X388" s="80"/>
      <c r="Y388" s="80"/>
      <c r="Z388" s="80"/>
      <c r="AA388" s="80"/>
      <c r="AB388" s="80"/>
      <c r="AC388" s="80"/>
      <c r="AD388" s="80"/>
      <c r="AE388" s="80"/>
    </row>
    <row r="389" spans="1:31" x14ac:dyDescent="0.25">
      <c r="A389" s="76"/>
      <c r="B389" s="76"/>
      <c r="C389" s="77"/>
      <c r="D389" s="78"/>
      <c r="E389" s="79"/>
      <c r="F389" s="80"/>
      <c r="G389" s="78"/>
      <c r="H389" s="81"/>
      <c r="I389" s="78"/>
      <c r="J389" s="78"/>
      <c r="K389" s="78"/>
      <c r="L389" s="78"/>
      <c r="M389" s="81"/>
      <c r="N389" s="76"/>
      <c r="O389" s="82"/>
      <c r="P389" s="80"/>
      <c r="Q389" s="83"/>
      <c r="R389" s="80"/>
      <c r="S389" s="80"/>
      <c r="T389" s="80"/>
      <c r="U389" s="83"/>
      <c r="V389" s="80"/>
      <c r="W389" s="83"/>
      <c r="X389" s="80"/>
      <c r="Y389" s="80"/>
      <c r="Z389" s="80"/>
      <c r="AA389" s="80"/>
      <c r="AB389" s="80"/>
      <c r="AC389" s="80"/>
      <c r="AD389" s="80"/>
      <c r="AE389" s="80"/>
    </row>
    <row r="390" spans="1:31" x14ac:dyDescent="0.25">
      <c r="A390" s="76"/>
      <c r="B390" s="76"/>
      <c r="C390" s="77"/>
      <c r="D390" s="78"/>
      <c r="E390" s="79"/>
      <c r="F390" s="80"/>
      <c r="G390" s="78"/>
      <c r="H390" s="81"/>
      <c r="I390" s="78"/>
      <c r="J390" s="78"/>
      <c r="K390" s="78"/>
      <c r="L390" s="78"/>
      <c r="M390" s="81"/>
      <c r="N390" s="76"/>
      <c r="O390" s="82"/>
      <c r="P390" s="80"/>
      <c r="Q390" s="83"/>
      <c r="R390" s="80"/>
      <c r="S390" s="80"/>
      <c r="T390" s="80"/>
      <c r="U390" s="83"/>
      <c r="V390" s="80"/>
      <c r="W390" s="83"/>
      <c r="X390" s="80"/>
      <c r="Y390" s="80"/>
      <c r="Z390" s="80"/>
      <c r="AA390" s="80"/>
      <c r="AB390" s="80"/>
      <c r="AC390" s="80"/>
      <c r="AD390" s="80"/>
      <c r="AE390" s="80"/>
    </row>
    <row r="391" spans="1:31" x14ac:dyDescent="0.25">
      <c r="A391" s="76"/>
      <c r="B391" s="76"/>
      <c r="C391" s="77"/>
      <c r="D391" s="78"/>
      <c r="E391" s="79"/>
      <c r="F391" s="80"/>
      <c r="G391" s="78"/>
      <c r="H391" s="81"/>
      <c r="I391" s="78"/>
      <c r="J391" s="78"/>
      <c r="K391" s="78"/>
      <c r="L391" s="78"/>
      <c r="M391" s="81"/>
      <c r="N391" s="76"/>
      <c r="O391" s="82"/>
      <c r="P391" s="80"/>
      <c r="Q391" s="83"/>
      <c r="R391" s="80"/>
      <c r="S391" s="80"/>
      <c r="T391" s="80"/>
      <c r="U391" s="83"/>
      <c r="V391" s="80"/>
      <c r="W391" s="83"/>
      <c r="X391" s="80"/>
      <c r="Y391" s="80"/>
      <c r="Z391" s="80"/>
      <c r="AA391" s="80"/>
      <c r="AB391" s="80"/>
      <c r="AC391" s="80"/>
      <c r="AD391" s="80"/>
      <c r="AE391" s="80"/>
    </row>
    <row r="392" spans="1:31" x14ac:dyDescent="0.25">
      <c r="A392" s="76"/>
      <c r="B392" s="76"/>
      <c r="C392" s="77"/>
      <c r="D392" s="78"/>
      <c r="E392" s="79"/>
      <c r="F392" s="80"/>
      <c r="G392" s="78"/>
      <c r="H392" s="81"/>
      <c r="I392" s="78"/>
      <c r="J392" s="78"/>
      <c r="K392" s="78"/>
      <c r="L392" s="78"/>
      <c r="M392" s="81"/>
      <c r="N392" s="76"/>
      <c r="O392" s="82"/>
      <c r="P392" s="80"/>
      <c r="Q392" s="83"/>
      <c r="R392" s="80"/>
      <c r="S392" s="80"/>
      <c r="T392" s="80"/>
      <c r="U392" s="83"/>
      <c r="V392" s="80"/>
      <c r="W392" s="83"/>
      <c r="X392" s="80"/>
      <c r="Y392" s="80"/>
      <c r="Z392" s="80"/>
      <c r="AA392" s="80"/>
      <c r="AB392" s="80"/>
      <c r="AC392" s="80"/>
      <c r="AD392" s="80"/>
      <c r="AE392" s="80"/>
    </row>
    <row r="393" spans="1:31" x14ac:dyDescent="0.25">
      <c r="A393" s="76"/>
      <c r="B393" s="76"/>
      <c r="C393" s="77"/>
      <c r="D393" s="78"/>
      <c r="E393" s="79"/>
      <c r="F393" s="80"/>
      <c r="G393" s="78"/>
      <c r="H393" s="81"/>
      <c r="I393" s="78"/>
      <c r="J393" s="78"/>
      <c r="K393" s="78"/>
      <c r="L393" s="78"/>
      <c r="M393" s="81"/>
      <c r="N393" s="76"/>
      <c r="O393" s="82"/>
      <c r="P393" s="80"/>
      <c r="Q393" s="83"/>
      <c r="R393" s="80"/>
      <c r="S393" s="80"/>
      <c r="T393" s="80"/>
      <c r="U393" s="83"/>
      <c r="V393" s="80"/>
      <c r="W393" s="83"/>
      <c r="X393" s="80"/>
      <c r="Y393" s="80"/>
      <c r="Z393" s="80"/>
      <c r="AA393" s="80"/>
      <c r="AB393" s="80"/>
      <c r="AC393" s="80"/>
      <c r="AD393" s="80"/>
      <c r="AE393" s="80"/>
    </row>
    <row r="394" spans="1:31" x14ac:dyDescent="0.25">
      <c r="A394" s="76"/>
      <c r="B394" s="76"/>
      <c r="C394" s="77"/>
      <c r="D394" s="78"/>
      <c r="E394" s="79"/>
      <c r="F394" s="80"/>
      <c r="G394" s="78"/>
      <c r="H394" s="81"/>
      <c r="I394" s="78"/>
      <c r="J394" s="78"/>
      <c r="K394" s="78"/>
      <c r="L394" s="78"/>
      <c r="M394" s="81"/>
      <c r="N394" s="76"/>
      <c r="O394" s="82"/>
      <c r="P394" s="80"/>
      <c r="Q394" s="83"/>
      <c r="R394" s="80"/>
      <c r="S394" s="80"/>
      <c r="T394" s="80"/>
      <c r="U394" s="83"/>
      <c r="V394" s="80"/>
      <c r="W394" s="83"/>
      <c r="X394" s="80"/>
      <c r="Y394" s="80"/>
      <c r="Z394" s="80"/>
      <c r="AA394" s="80"/>
      <c r="AB394" s="80"/>
      <c r="AC394" s="80"/>
      <c r="AD394" s="80"/>
      <c r="AE394" s="80"/>
    </row>
    <row r="395" spans="1:31" x14ac:dyDescent="0.25">
      <c r="A395" s="76"/>
      <c r="B395" s="76"/>
      <c r="C395" s="77"/>
      <c r="D395" s="78"/>
      <c r="E395" s="79"/>
      <c r="F395" s="80"/>
      <c r="G395" s="78"/>
      <c r="H395" s="81"/>
      <c r="I395" s="78"/>
      <c r="J395" s="78"/>
      <c r="K395" s="78"/>
      <c r="L395" s="78"/>
      <c r="M395" s="81"/>
      <c r="N395" s="76"/>
      <c r="O395" s="82"/>
      <c r="P395" s="80"/>
      <c r="Q395" s="83"/>
      <c r="R395" s="80"/>
      <c r="S395" s="80"/>
      <c r="T395" s="80"/>
      <c r="U395" s="83"/>
      <c r="V395" s="80"/>
      <c r="W395" s="83"/>
      <c r="X395" s="80"/>
      <c r="Y395" s="80"/>
      <c r="Z395" s="80"/>
      <c r="AA395" s="80"/>
      <c r="AB395" s="80"/>
      <c r="AC395" s="80"/>
      <c r="AD395" s="80"/>
      <c r="AE395" s="80"/>
    </row>
    <row r="396" spans="1:31" x14ac:dyDescent="0.25">
      <c r="A396" s="76"/>
      <c r="B396" s="76"/>
      <c r="C396" s="77"/>
      <c r="D396" s="78"/>
      <c r="E396" s="79"/>
      <c r="F396" s="80"/>
      <c r="G396" s="78"/>
      <c r="H396" s="81"/>
      <c r="I396" s="78"/>
      <c r="J396" s="78"/>
      <c r="K396" s="78"/>
      <c r="L396" s="78"/>
      <c r="M396" s="81"/>
      <c r="N396" s="76"/>
      <c r="O396" s="82"/>
      <c r="P396" s="80"/>
      <c r="Q396" s="83"/>
      <c r="R396" s="80"/>
      <c r="S396" s="80"/>
      <c r="T396" s="80"/>
      <c r="U396" s="83"/>
      <c r="V396" s="80"/>
      <c r="W396" s="83"/>
      <c r="X396" s="80"/>
      <c r="Y396" s="80"/>
      <c r="Z396" s="80"/>
      <c r="AA396" s="80"/>
      <c r="AB396" s="80"/>
      <c r="AC396" s="80"/>
      <c r="AD396" s="80"/>
      <c r="AE396" s="80"/>
    </row>
    <row r="397" spans="1:31" x14ac:dyDescent="0.25">
      <c r="A397" s="76"/>
      <c r="B397" s="76"/>
      <c r="C397" s="77"/>
      <c r="D397" s="78"/>
      <c r="E397" s="79"/>
      <c r="F397" s="80"/>
      <c r="G397" s="78"/>
      <c r="H397" s="81"/>
      <c r="I397" s="78"/>
      <c r="J397" s="78"/>
      <c r="K397" s="78"/>
      <c r="L397" s="78"/>
      <c r="M397" s="81"/>
      <c r="N397" s="76"/>
      <c r="O397" s="82"/>
      <c r="P397" s="80"/>
      <c r="Q397" s="83"/>
      <c r="R397" s="80"/>
      <c r="S397" s="80"/>
      <c r="T397" s="80"/>
      <c r="U397" s="83"/>
      <c r="V397" s="80"/>
      <c r="W397" s="83"/>
      <c r="X397" s="80"/>
      <c r="Y397" s="80"/>
      <c r="Z397" s="80"/>
      <c r="AA397" s="80"/>
      <c r="AB397" s="80"/>
      <c r="AC397" s="80"/>
      <c r="AD397" s="80"/>
      <c r="AE397" s="80"/>
    </row>
    <row r="398" spans="1:31" x14ac:dyDescent="0.25">
      <c r="A398" s="76"/>
      <c r="B398" s="76"/>
      <c r="C398" s="77"/>
      <c r="D398" s="78"/>
      <c r="E398" s="79"/>
      <c r="F398" s="80"/>
      <c r="G398" s="78"/>
      <c r="H398" s="81"/>
      <c r="I398" s="78"/>
      <c r="J398" s="78"/>
      <c r="K398" s="78"/>
      <c r="L398" s="78"/>
      <c r="M398" s="81"/>
      <c r="N398" s="76"/>
      <c r="O398" s="82"/>
      <c r="P398" s="80"/>
      <c r="Q398" s="83"/>
      <c r="R398" s="80"/>
      <c r="S398" s="80"/>
      <c r="T398" s="80"/>
      <c r="U398" s="83"/>
      <c r="V398" s="80"/>
      <c r="W398" s="83"/>
      <c r="X398" s="80"/>
      <c r="Y398" s="80"/>
      <c r="Z398" s="80"/>
      <c r="AA398" s="80"/>
      <c r="AB398" s="80"/>
      <c r="AC398" s="80"/>
      <c r="AD398" s="80"/>
      <c r="AE398" s="80"/>
    </row>
    <row r="399" spans="1:31" x14ac:dyDescent="0.25">
      <c r="A399" s="76"/>
      <c r="B399" s="76"/>
      <c r="C399" s="77"/>
      <c r="D399" s="78"/>
      <c r="E399" s="79"/>
      <c r="F399" s="80"/>
      <c r="G399" s="78"/>
      <c r="H399" s="81"/>
      <c r="I399" s="78"/>
      <c r="J399" s="78"/>
      <c r="K399" s="78"/>
      <c r="L399" s="78"/>
      <c r="M399" s="81"/>
      <c r="N399" s="76"/>
      <c r="O399" s="82"/>
      <c r="P399" s="80"/>
      <c r="Q399" s="83"/>
      <c r="R399" s="80"/>
      <c r="S399" s="80"/>
      <c r="T399" s="80"/>
      <c r="U399" s="83"/>
      <c r="V399" s="80"/>
      <c r="W399" s="83"/>
      <c r="X399" s="80"/>
      <c r="Y399" s="80"/>
      <c r="Z399" s="80"/>
      <c r="AA399" s="80"/>
      <c r="AB399" s="80"/>
      <c r="AC399" s="80"/>
      <c r="AD399" s="80"/>
      <c r="AE399" s="80"/>
    </row>
    <row r="400" spans="1:31" x14ac:dyDescent="0.25">
      <c r="A400" s="76"/>
      <c r="B400" s="76"/>
      <c r="C400" s="77"/>
      <c r="D400" s="78"/>
      <c r="E400" s="79"/>
      <c r="F400" s="80"/>
      <c r="G400" s="78"/>
      <c r="H400" s="81"/>
      <c r="I400" s="78"/>
      <c r="J400" s="78"/>
      <c r="K400" s="78"/>
      <c r="L400" s="78"/>
      <c r="M400" s="81"/>
      <c r="N400" s="76"/>
      <c r="O400" s="82"/>
      <c r="P400" s="80"/>
      <c r="Q400" s="83"/>
      <c r="R400" s="80"/>
      <c r="S400" s="80"/>
      <c r="T400" s="80"/>
      <c r="U400" s="83"/>
      <c r="V400" s="80"/>
      <c r="W400" s="83"/>
      <c r="X400" s="80"/>
      <c r="Y400" s="80"/>
      <c r="Z400" s="80"/>
      <c r="AA400" s="80"/>
      <c r="AB400" s="80"/>
      <c r="AC400" s="80"/>
      <c r="AD400" s="80"/>
      <c r="AE400" s="80"/>
    </row>
    <row r="401" spans="1:31" x14ac:dyDescent="0.25">
      <c r="A401" s="76"/>
      <c r="B401" s="76"/>
      <c r="C401" s="77"/>
      <c r="D401" s="78"/>
      <c r="E401" s="79"/>
      <c r="F401" s="80"/>
      <c r="G401" s="78"/>
      <c r="H401" s="81"/>
      <c r="I401" s="78"/>
      <c r="J401" s="78"/>
      <c r="K401" s="78"/>
      <c r="L401" s="78"/>
      <c r="M401" s="81"/>
      <c r="N401" s="76"/>
      <c r="O401" s="82"/>
      <c r="P401" s="80"/>
      <c r="Q401" s="83"/>
      <c r="R401" s="80"/>
      <c r="S401" s="80"/>
      <c r="T401" s="80"/>
      <c r="U401" s="83"/>
      <c r="V401" s="80"/>
      <c r="W401" s="83"/>
      <c r="X401" s="80"/>
      <c r="Y401" s="80"/>
      <c r="Z401" s="80"/>
      <c r="AA401" s="80"/>
      <c r="AB401" s="80"/>
      <c r="AC401" s="80"/>
      <c r="AD401" s="80"/>
      <c r="AE401" s="80"/>
    </row>
    <row r="402" spans="1:31" x14ac:dyDescent="0.25">
      <c r="A402" s="76"/>
      <c r="B402" s="76"/>
      <c r="C402" s="77"/>
      <c r="D402" s="78"/>
      <c r="E402" s="79"/>
      <c r="F402" s="80"/>
      <c r="G402" s="78"/>
      <c r="H402" s="81"/>
      <c r="I402" s="78"/>
      <c r="J402" s="78"/>
      <c r="K402" s="78"/>
      <c r="L402" s="78"/>
      <c r="M402" s="81"/>
      <c r="N402" s="76"/>
      <c r="O402" s="82"/>
      <c r="P402" s="80"/>
      <c r="Q402" s="83"/>
      <c r="R402" s="80"/>
      <c r="S402" s="80"/>
      <c r="T402" s="80"/>
      <c r="U402" s="83"/>
      <c r="V402" s="80"/>
      <c r="W402" s="83"/>
      <c r="X402" s="80"/>
      <c r="Y402" s="80"/>
      <c r="Z402" s="80"/>
      <c r="AA402" s="80"/>
      <c r="AB402" s="80"/>
      <c r="AC402" s="80"/>
      <c r="AD402" s="80"/>
      <c r="AE402" s="80"/>
    </row>
    <row r="403" spans="1:31" x14ac:dyDescent="0.25">
      <c r="A403" s="76"/>
      <c r="B403" s="76"/>
      <c r="C403" s="77"/>
      <c r="D403" s="78"/>
      <c r="E403" s="79"/>
      <c r="F403" s="80"/>
      <c r="G403" s="78"/>
      <c r="H403" s="81"/>
      <c r="I403" s="78"/>
      <c r="J403" s="78"/>
      <c r="K403" s="78"/>
      <c r="L403" s="78"/>
      <c r="M403" s="81"/>
      <c r="N403" s="76"/>
      <c r="O403" s="82"/>
      <c r="P403" s="80"/>
      <c r="Q403" s="83"/>
      <c r="R403" s="80"/>
      <c r="S403" s="80"/>
      <c r="T403" s="80"/>
      <c r="U403" s="83"/>
      <c r="V403" s="80"/>
      <c r="W403" s="83"/>
      <c r="X403" s="80"/>
      <c r="Y403" s="80"/>
      <c r="Z403" s="80"/>
      <c r="AA403" s="80"/>
      <c r="AB403" s="80"/>
      <c r="AC403" s="80"/>
      <c r="AD403" s="80"/>
      <c r="AE403" s="80"/>
    </row>
    <row r="404" spans="1:31" x14ac:dyDescent="0.25">
      <c r="A404" s="76"/>
      <c r="B404" s="76"/>
      <c r="C404" s="77"/>
      <c r="D404" s="78"/>
      <c r="E404" s="79"/>
      <c r="F404" s="80"/>
      <c r="G404" s="78"/>
      <c r="H404" s="81"/>
      <c r="I404" s="78"/>
      <c r="J404" s="78"/>
      <c r="K404" s="78"/>
      <c r="L404" s="78"/>
      <c r="M404" s="81"/>
      <c r="N404" s="76"/>
      <c r="O404" s="82"/>
      <c r="P404" s="80"/>
      <c r="Q404" s="83"/>
      <c r="R404" s="80"/>
      <c r="S404" s="80"/>
      <c r="T404" s="80"/>
      <c r="U404" s="83"/>
      <c r="V404" s="80"/>
      <c r="W404" s="83"/>
      <c r="X404" s="80"/>
      <c r="Y404" s="80"/>
      <c r="Z404" s="80"/>
      <c r="AA404" s="80"/>
      <c r="AB404" s="80"/>
      <c r="AC404" s="80"/>
      <c r="AD404" s="80"/>
      <c r="AE404" s="80"/>
    </row>
    <row r="405" spans="1:31" x14ac:dyDescent="0.25">
      <c r="A405" s="76"/>
      <c r="B405" s="76"/>
      <c r="C405" s="77"/>
      <c r="D405" s="78"/>
      <c r="E405" s="79"/>
      <c r="F405" s="80"/>
      <c r="G405" s="78"/>
      <c r="H405" s="81"/>
      <c r="I405" s="78"/>
      <c r="J405" s="78"/>
      <c r="K405" s="78"/>
      <c r="L405" s="78"/>
      <c r="M405" s="81"/>
      <c r="N405" s="76"/>
      <c r="O405" s="82"/>
      <c r="P405" s="80"/>
      <c r="Q405" s="83"/>
      <c r="R405" s="80"/>
      <c r="S405" s="80"/>
      <c r="T405" s="80"/>
      <c r="U405" s="83"/>
      <c r="V405" s="80"/>
      <c r="W405" s="83"/>
      <c r="X405" s="80"/>
      <c r="Y405" s="80"/>
      <c r="Z405" s="80"/>
      <c r="AA405" s="80"/>
      <c r="AB405" s="80"/>
      <c r="AC405" s="80"/>
      <c r="AD405" s="80"/>
      <c r="AE405" s="80"/>
    </row>
    <row r="406" spans="1:31" x14ac:dyDescent="0.25">
      <c r="A406" s="76"/>
      <c r="B406" s="76"/>
      <c r="C406" s="77"/>
      <c r="D406" s="78"/>
      <c r="E406" s="79"/>
      <c r="F406" s="80"/>
      <c r="G406" s="78"/>
      <c r="H406" s="81"/>
      <c r="I406" s="78"/>
      <c r="J406" s="78"/>
      <c r="K406" s="78"/>
      <c r="L406" s="78"/>
      <c r="M406" s="81"/>
      <c r="N406" s="76"/>
      <c r="O406" s="82"/>
      <c r="P406" s="80"/>
      <c r="Q406" s="83"/>
      <c r="R406" s="80"/>
      <c r="S406" s="80"/>
      <c r="T406" s="80"/>
      <c r="U406" s="83"/>
      <c r="V406" s="80"/>
      <c r="W406" s="83"/>
      <c r="X406" s="80"/>
      <c r="Y406" s="80"/>
      <c r="Z406" s="80"/>
      <c r="AA406" s="80"/>
      <c r="AB406" s="80"/>
      <c r="AC406" s="80"/>
      <c r="AD406" s="80"/>
      <c r="AE406" s="80"/>
    </row>
    <row r="407" spans="1:31" x14ac:dyDescent="0.25">
      <c r="A407" s="76"/>
      <c r="B407" s="76"/>
      <c r="C407" s="77"/>
      <c r="D407" s="78"/>
      <c r="E407" s="79"/>
      <c r="F407" s="80"/>
      <c r="G407" s="78"/>
      <c r="H407" s="81"/>
      <c r="I407" s="78"/>
      <c r="J407" s="78"/>
      <c r="K407" s="78"/>
      <c r="L407" s="78"/>
      <c r="M407" s="81"/>
      <c r="N407" s="76"/>
      <c r="O407" s="82"/>
      <c r="P407" s="80"/>
      <c r="Q407" s="83"/>
      <c r="R407" s="80"/>
      <c r="S407" s="80"/>
      <c r="T407" s="80"/>
      <c r="U407" s="83"/>
      <c r="V407" s="80"/>
      <c r="W407" s="83"/>
      <c r="X407" s="80"/>
      <c r="Y407" s="80"/>
      <c r="Z407" s="80"/>
      <c r="AA407" s="80"/>
      <c r="AB407" s="80"/>
      <c r="AC407" s="80"/>
      <c r="AD407" s="80"/>
      <c r="AE407" s="80"/>
    </row>
    <row r="408" spans="1:31" x14ac:dyDescent="0.25">
      <c r="A408" s="76"/>
      <c r="B408" s="76"/>
      <c r="C408" s="77"/>
      <c r="D408" s="78"/>
      <c r="E408" s="79"/>
      <c r="F408" s="80"/>
      <c r="G408" s="78"/>
      <c r="H408" s="81"/>
      <c r="I408" s="78"/>
      <c r="J408" s="78"/>
      <c r="K408" s="78"/>
      <c r="L408" s="78"/>
      <c r="M408" s="81"/>
      <c r="N408" s="76"/>
      <c r="O408" s="82"/>
      <c r="P408" s="80"/>
      <c r="Q408" s="83"/>
      <c r="R408" s="80"/>
      <c r="S408" s="80"/>
      <c r="T408" s="80"/>
      <c r="U408" s="83"/>
      <c r="V408" s="80"/>
      <c r="W408" s="83"/>
      <c r="X408" s="80"/>
      <c r="Y408" s="80"/>
      <c r="Z408" s="80"/>
      <c r="AA408" s="80"/>
      <c r="AB408" s="80"/>
      <c r="AC408" s="80"/>
      <c r="AD408" s="80"/>
      <c r="AE408" s="80"/>
    </row>
    <row r="409" spans="1:31" x14ac:dyDescent="0.25">
      <c r="A409" s="76"/>
      <c r="B409" s="76"/>
      <c r="C409" s="77"/>
      <c r="D409" s="78"/>
      <c r="E409" s="79"/>
      <c r="F409" s="80"/>
      <c r="G409" s="78"/>
      <c r="H409" s="81"/>
      <c r="I409" s="78"/>
      <c r="J409" s="78"/>
      <c r="K409" s="78"/>
      <c r="L409" s="78"/>
      <c r="M409" s="81"/>
      <c r="N409" s="76"/>
      <c r="O409" s="82"/>
      <c r="P409" s="80"/>
      <c r="Q409" s="83"/>
      <c r="R409" s="80"/>
      <c r="S409" s="80"/>
      <c r="T409" s="80"/>
      <c r="U409" s="83"/>
      <c r="V409" s="80"/>
      <c r="W409" s="83"/>
      <c r="X409" s="80"/>
      <c r="Y409" s="80"/>
      <c r="Z409" s="80"/>
      <c r="AA409" s="80"/>
      <c r="AB409" s="80"/>
      <c r="AC409" s="80"/>
      <c r="AD409" s="80"/>
      <c r="AE409" s="80"/>
    </row>
    <row r="410" spans="1:31" x14ac:dyDescent="0.25">
      <c r="A410" s="76"/>
      <c r="B410" s="76"/>
      <c r="C410" s="77"/>
      <c r="D410" s="78"/>
      <c r="E410" s="79"/>
      <c r="F410" s="80"/>
      <c r="G410" s="78"/>
      <c r="H410" s="81"/>
      <c r="I410" s="78"/>
      <c r="J410" s="78"/>
      <c r="K410" s="78"/>
      <c r="L410" s="78"/>
      <c r="M410" s="81"/>
      <c r="N410" s="76"/>
      <c r="O410" s="82"/>
      <c r="P410" s="80"/>
      <c r="Q410" s="83"/>
      <c r="R410" s="80"/>
      <c r="S410" s="80"/>
      <c r="T410" s="80"/>
      <c r="U410" s="83"/>
      <c r="V410" s="80"/>
      <c r="W410" s="83"/>
      <c r="X410" s="80"/>
      <c r="Y410" s="80"/>
      <c r="Z410" s="80"/>
      <c r="AA410" s="80"/>
      <c r="AB410" s="80"/>
      <c r="AC410" s="80"/>
      <c r="AD410" s="80"/>
      <c r="AE410" s="80"/>
    </row>
    <row r="411" spans="1:31" x14ac:dyDescent="0.25">
      <c r="A411" s="76"/>
      <c r="B411" s="76"/>
      <c r="C411" s="77"/>
      <c r="D411" s="78"/>
      <c r="E411" s="79"/>
      <c r="F411" s="80"/>
      <c r="G411" s="78"/>
      <c r="H411" s="81"/>
      <c r="I411" s="78"/>
      <c r="J411" s="78"/>
      <c r="K411" s="78"/>
      <c r="L411" s="78"/>
      <c r="M411" s="81"/>
      <c r="N411" s="76"/>
      <c r="O411" s="82"/>
      <c r="P411" s="80"/>
      <c r="Q411" s="83"/>
      <c r="R411" s="80"/>
      <c r="S411" s="80"/>
      <c r="T411" s="80"/>
      <c r="U411" s="83"/>
      <c r="V411" s="80"/>
      <c r="W411" s="83"/>
      <c r="X411" s="80"/>
      <c r="Y411" s="80"/>
      <c r="Z411" s="80"/>
      <c r="AA411" s="80"/>
      <c r="AB411" s="80"/>
      <c r="AC411" s="80"/>
      <c r="AD411" s="80"/>
      <c r="AE411" s="80"/>
    </row>
    <row r="412" spans="1:31" x14ac:dyDescent="0.25">
      <c r="A412" s="76"/>
      <c r="B412" s="76"/>
      <c r="C412" s="77"/>
      <c r="D412" s="78"/>
      <c r="E412" s="79"/>
      <c r="F412" s="80"/>
      <c r="G412" s="78"/>
      <c r="H412" s="81"/>
      <c r="I412" s="78"/>
      <c r="J412" s="78"/>
      <c r="K412" s="78"/>
      <c r="L412" s="78"/>
      <c r="M412" s="81"/>
      <c r="N412" s="76"/>
      <c r="O412" s="82"/>
      <c r="P412" s="80"/>
      <c r="Q412" s="83"/>
      <c r="R412" s="80"/>
      <c r="S412" s="80"/>
      <c r="T412" s="80"/>
      <c r="U412" s="83"/>
      <c r="V412" s="80"/>
      <c r="W412" s="83"/>
      <c r="X412" s="80"/>
      <c r="Y412" s="80"/>
      <c r="Z412" s="80"/>
      <c r="AA412" s="80"/>
      <c r="AB412" s="80"/>
      <c r="AC412" s="80"/>
      <c r="AD412" s="80"/>
      <c r="AE412" s="80"/>
    </row>
    <row r="413" spans="1:31" x14ac:dyDescent="0.25">
      <c r="A413" s="76"/>
      <c r="B413" s="76"/>
      <c r="C413" s="77"/>
      <c r="D413" s="78"/>
      <c r="E413" s="79"/>
      <c r="F413" s="80"/>
      <c r="G413" s="78"/>
      <c r="H413" s="81"/>
      <c r="I413" s="78"/>
      <c r="J413" s="78"/>
      <c r="K413" s="78"/>
      <c r="L413" s="78"/>
      <c r="M413" s="81"/>
      <c r="N413" s="76"/>
      <c r="O413" s="82"/>
      <c r="P413" s="80"/>
      <c r="Q413" s="83"/>
      <c r="R413" s="80"/>
      <c r="S413" s="80"/>
      <c r="T413" s="80"/>
      <c r="U413" s="83"/>
      <c r="V413" s="80"/>
      <c r="W413" s="83"/>
      <c r="X413" s="80"/>
      <c r="Y413" s="80"/>
      <c r="Z413" s="80"/>
      <c r="AA413" s="80"/>
      <c r="AB413" s="80"/>
      <c r="AC413" s="80"/>
      <c r="AD413" s="80"/>
      <c r="AE413" s="80"/>
    </row>
    <row r="414" spans="1:31" x14ac:dyDescent="0.25">
      <c r="A414" s="76"/>
      <c r="B414" s="76"/>
      <c r="C414" s="77"/>
      <c r="D414" s="78"/>
      <c r="E414" s="79"/>
      <c r="F414" s="80"/>
      <c r="G414" s="78"/>
      <c r="H414" s="81"/>
      <c r="I414" s="78"/>
      <c r="J414" s="78"/>
      <c r="K414" s="78"/>
      <c r="L414" s="78"/>
      <c r="M414" s="81"/>
      <c r="N414" s="76"/>
      <c r="O414" s="82"/>
      <c r="P414" s="80"/>
      <c r="Q414" s="83"/>
      <c r="R414" s="80"/>
      <c r="S414" s="80"/>
      <c r="T414" s="80"/>
      <c r="U414" s="83"/>
      <c r="V414" s="80"/>
      <c r="W414" s="83"/>
      <c r="X414" s="80"/>
      <c r="Y414" s="80"/>
      <c r="Z414" s="80"/>
      <c r="AA414" s="80"/>
      <c r="AB414" s="80"/>
      <c r="AC414" s="80"/>
      <c r="AD414" s="80"/>
      <c r="AE414" s="80"/>
    </row>
    <row r="415" spans="1:31" x14ac:dyDescent="0.25">
      <c r="A415" s="76"/>
      <c r="B415" s="76"/>
      <c r="C415" s="77"/>
      <c r="D415" s="78"/>
      <c r="E415" s="79"/>
      <c r="F415" s="80"/>
      <c r="G415" s="78"/>
      <c r="H415" s="81"/>
      <c r="I415" s="78"/>
      <c r="J415" s="78"/>
      <c r="K415" s="78"/>
      <c r="L415" s="78"/>
      <c r="M415" s="81"/>
      <c r="N415" s="76"/>
      <c r="O415" s="82"/>
      <c r="P415" s="80"/>
      <c r="Q415" s="83"/>
      <c r="R415" s="80"/>
      <c r="S415" s="80"/>
      <c r="T415" s="80"/>
      <c r="U415" s="83"/>
      <c r="V415" s="80"/>
      <c r="W415" s="83"/>
      <c r="X415" s="80"/>
      <c r="Y415" s="80"/>
      <c r="Z415" s="80"/>
      <c r="AA415" s="80"/>
      <c r="AB415" s="80"/>
      <c r="AC415" s="80"/>
      <c r="AD415" s="80"/>
      <c r="AE415" s="80"/>
    </row>
    <row r="416" spans="1:31" x14ac:dyDescent="0.25">
      <c r="A416" s="76"/>
      <c r="B416" s="76"/>
      <c r="C416" s="77"/>
      <c r="D416" s="78"/>
      <c r="E416" s="79"/>
      <c r="F416" s="80"/>
      <c r="G416" s="78"/>
      <c r="H416" s="81"/>
      <c r="I416" s="78"/>
      <c r="J416" s="78"/>
      <c r="K416" s="78"/>
      <c r="L416" s="78"/>
      <c r="M416" s="81"/>
      <c r="N416" s="76"/>
      <c r="O416" s="82"/>
      <c r="P416" s="80"/>
      <c r="Q416" s="83"/>
      <c r="R416" s="80"/>
      <c r="S416" s="80"/>
      <c r="T416" s="80"/>
      <c r="U416" s="83"/>
      <c r="V416" s="80"/>
      <c r="W416" s="83"/>
      <c r="X416" s="80"/>
      <c r="Y416" s="80"/>
      <c r="Z416" s="80"/>
      <c r="AA416" s="80"/>
      <c r="AB416" s="80"/>
      <c r="AC416" s="80"/>
      <c r="AD416" s="80"/>
      <c r="AE416" s="80"/>
    </row>
    <row r="417" spans="1:31" x14ac:dyDescent="0.25">
      <c r="A417" s="76"/>
      <c r="B417" s="76"/>
      <c r="C417" s="77"/>
      <c r="D417" s="78"/>
      <c r="E417" s="79"/>
      <c r="F417" s="80"/>
      <c r="G417" s="78"/>
      <c r="H417" s="81"/>
      <c r="I417" s="78"/>
      <c r="J417" s="78"/>
      <c r="K417" s="78"/>
      <c r="L417" s="78"/>
      <c r="M417" s="81"/>
      <c r="N417" s="76"/>
      <c r="O417" s="82"/>
      <c r="P417" s="80"/>
      <c r="Q417" s="83"/>
      <c r="R417" s="80"/>
      <c r="S417" s="80"/>
      <c r="T417" s="80"/>
      <c r="U417" s="83"/>
      <c r="V417" s="80"/>
      <c r="W417" s="83"/>
      <c r="X417" s="80"/>
      <c r="Y417" s="80"/>
      <c r="Z417" s="80"/>
      <c r="AA417" s="80"/>
      <c r="AB417" s="80"/>
      <c r="AC417" s="80"/>
      <c r="AD417" s="80"/>
      <c r="AE417" s="80"/>
    </row>
    <row r="418" spans="1:31" x14ac:dyDescent="0.25">
      <c r="A418" s="76"/>
      <c r="B418" s="76"/>
      <c r="C418" s="77"/>
      <c r="D418" s="78"/>
      <c r="E418" s="79"/>
      <c r="F418" s="80"/>
      <c r="G418" s="78"/>
      <c r="H418" s="81"/>
      <c r="I418" s="78"/>
      <c r="J418" s="78"/>
      <c r="K418" s="78"/>
      <c r="L418" s="78"/>
      <c r="M418" s="81"/>
      <c r="N418" s="76"/>
      <c r="O418" s="82"/>
      <c r="P418" s="80"/>
      <c r="Q418" s="83"/>
      <c r="R418" s="80"/>
      <c r="S418" s="80"/>
      <c r="T418" s="80"/>
      <c r="U418" s="83"/>
      <c r="V418" s="80"/>
      <c r="W418" s="83"/>
      <c r="X418" s="80"/>
      <c r="Y418" s="80"/>
      <c r="Z418" s="80"/>
      <c r="AA418" s="80"/>
      <c r="AB418" s="80"/>
      <c r="AC418" s="80"/>
      <c r="AD418" s="80"/>
      <c r="AE418" s="80"/>
    </row>
    <row r="419" spans="1:31" x14ac:dyDescent="0.25">
      <c r="A419" s="76"/>
      <c r="B419" s="76"/>
      <c r="C419" s="77"/>
      <c r="D419" s="78"/>
      <c r="E419" s="79"/>
      <c r="F419" s="80"/>
      <c r="G419" s="78"/>
      <c r="H419" s="81"/>
      <c r="I419" s="78"/>
      <c r="J419" s="78"/>
      <c r="K419" s="78"/>
      <c r="L419" s="78"/>
      <c r="M419" s="81"/>
      <c r="N419" s="76"/>
      <c r="O419" s="82"/>
      <c r="P419" s="80"/>
      <c r="Q419" s="83"/>
      <c r="R419" s="80"/>
      <c r="S419" s="80"/>
      <c r="T419" s="80"/>
      <c r="U419" s="83"/>
      <c r="V419" s="80"/>
      <c r="W419" s="83"/>
      <c r="X419" s="80"/>
      <c r="Y419" s="80"/>
      <c r="Z419" s="80"/>
      <c r="AA419" s="80"/>
      <c r="AB419" s="80"/>
      <c r="AC419" s="80"/>
      <c r="AD419" s="80"/>
      <c r="AE419" s="80"/>
    </row>
    <row r="420" spans="1:31" x14ac:dyDescent="0.25">
      <c r="A420" s="76"/>
      <c r="B420" s="76"/>
      <c r="C420" s="77"/>
      <c r="D420" s="78"/>
      <c r="E420" s="79"/>
      <c r="F420" s="80"/>
      <c r="G420" s="78"/>
      <c r="H420" s="81"/>
      <c r="I420" s="78"/>
      <c r="J420" s="78"/>
      <c r="K420" s="78"/>
      <c r="L420" s="78"/>
      <c r="M420" s="81"/>
      <c r="N420" s="76"/>
      <c r="O420" s="82"/>
      <c r="P420" s="80"/>
      <c r="Q420" s="83"/>
      <c r="R420" s="80"/>
      <c r="S420" s="80"/>
      <c r="T420" s="80"/>
      <c r="U420" s="83"/>
      <c r="V420" s="80"/>
      <c r="W420" s="83"/>
      <c r="X420" s="80"/>
      <c r="Y420" s="80"/>
      <c r="Z420" s="80"/>
      <c r="AA420" s="80"/>
      <c r="AB420" s="80"/>
      <c r="AC420" s="80"/>
      <c r="AD420" s="80"/>
      <c r="AE420" s="80"/>
    </row>
    <row r="421" spans="1:31" x14ac:dyDescent="0.25">
      <c r="A421" s="76"/>
      <c r="B421" s="76"/>
      <c r="C421" s="77"/>
      <c r="D421" s="78"/>
      <c r="E421" s="79"/>
      <c r="F421" s="80"/>
      <c r="G421" s="78"/>
      <c r="H421" s="81"/>
      <c r="I421" s="78"/>
      <c r="J421" s="78"/>
      <c r="K421" s="78"/>
      <c r="L421" s="78"/>
      <c r="M421" s="81"/>
      <c r="N421" s="76"/>
      <c r="O421" s="82"/>
      <c r="P421" s="80"/>
      <c r="Q421" s="83"/>
      <c r="R421" s="80"/>
      <c r="S421" s="80"/>
      <c r="T421" s="80"/>
      <c r="U421" s="83"/>
      <c r="V421" s="80"/>
      <c r="W421" s="83"/>
      <c r="X421" s="80"/>
      <c r="Y421" s="80"/>
      <c r="Z421" s="80"/>
      <c r="AA421" s="80"/>
      <c r="AB421" s="80"/>
      <c r="AC421" s="80"/>
      <c r="AD421" s="80"/>
      <c r="AE421" s="80"/>
    </row>
    <row r="422" spans="1:31" x14ac:dyDescent="0.25">
      <c r="A422" s="76"/>
      <c r="B422" s="76"/>
      <c r="C422" s="77"/>
      <c r="D422" s="78"/>
      <c r="E422" s="79"/>
      <c r="F422" s="80"/>
      <c r="G422" s="78"/>
      <c r="H422" s="81"/>
      <c r="I422" s="78"/>
      <c r="J422" s="78"/>
      <c r="K422" s="78"/>
      <c r="L422" s="78"/>
      <c r="M422" s="81"/>
      <c r="N422" s="76"/>
      <c r="O422" s="82"/>
      <c r="P422" s="80"/>
      <c r="Q422" s="83"/>
      <c r="R422" s="80"/>
      <c r="S422" s="80"/>
      <c r="T422" s="80"/>
      <c r="U422" s="83"/>
      <c r="V422" s="80"/>
      <c r="W422" s="83"/>
      <c r="X422" s="80"/>
      <c r="Y422" s="80"/>
      <c r="Z422" s="80"/>
      <c r="AA422" s="80"/>
      <c r="AB422" s="80"/>
      <c r="AC422" s="80"/>
      <c r="AD422" s="80"/>
      <c r="AE422" s="80"/>
    </row>
    <row r="423" spans="1:31" x14ac:dyDescent="0.25">
      <c r="A423" s="76"/>
      <c r="B423" s="76"/>
      <c r="C423" s="77"/>
      <c r="D423" s="78"/>
      <c r="E423" s="79"/>
      <c r="F423" s="80"/>
      <c r="G423" s="78"/>
      <c r="H423" s="81"/>
      <c r="I423" s="78"/>
      <c r="J423" s="78"/>
      <c r="K423" s="78"/>
      <c r="L423" s="78"/>
      <c r="M423" s="81"/>
      <c r="N423" s="76"/>
      <c r="O423" s="82"/>
      <c r="P423" s="80"/>
      <c r="Q423" s="83"/>
      <c r="R423" s="80"/>
      <c r="S423" s="80"/>
      <c r="T423" s="80"/>
      <c r="U423" s="83"/>
      <c r="V423" s="80"/>
      <c r="W423" s="83"/>
      <c r="X423" s="80"/>
      <c r="Y423" s="80"/>
      <c r="Z423" s="80"/>
      <c r="AA423" s="80"/>
      <c r="AB423" s="80"/>
      <c r="AC423" s="80"/>
      <c r="AD423" s="80"/>
      <c r="AE423" s="80"/>
    </row>
    <row r="424" spans="1:31" x14ac:dyDescent="0.25">
      <c r="A424" s="76"/>
      <c r="B424" s="76"/>
      <c r="C424" s="77"/>
      <c r="D424" s="78"/>
      <c r="E424" s="79"/>
      <c r="F424" s="80"/>
      <c r="G424" s="78"/>
      <c r="H424" s="81"/>
      <c r="I424" s="78"/>
      <c r="J424" s="78"/>
      <c r="K424" s="78"/>
      <c r="L424" s="78"/>
      <c r="M424" s="81"/>
      <c r="N424" s="76"/>
      <c r="O424" s="82"/>
      <c r="P424" s="80"/>
      <c r="Q424" s="83"/>
      <c r="R424" s="80"/>
      <c r="S424" s="80"/>
      <c r="T424" s="80"/>
      <c r="U424" s="83"/>
      <c r="V424" s="80"/>
      <c r="W424" s="83"/>
      <c r="X424" s="80"/>
      <c r="Y424" s="80"/>
      <c r="Z424" s="80"/>
      <c r="AA424" s="80"/>
      <c r="AB424" s="80"/>
      <c r="AC424" s="80"/>
      <c r="AD424" s="80"/>
      <c r="AE424" s="80"/>
    </row>
    <row r="425" spans="1:31" x14ac:dyDescent="0.25">
      <c r="A425" s="76"/>
      <c r="B425" s="76"/>
      <c r="C425" s="77"/>
      <c r="D425" s="78"/>
      <c r="E425" s="79"/>
      <c r="F425" s="80"/>
      <c r="G425" s="78"/>
      <c r="H425" s="81"/>
      <c r="I425" s="78"/>
      <c r="J425" s="78"/>
      <c r="K425" s="78"/>
      <c r="L425" s="78"/>
      <c r="M425" s="81"/>
      <c r="N425" s="76"/>
      <c r="O425" s="82"/>
      <c r="P425" s="80"/>
      <c r="Q425" s="83"/>
      <c r="R425" s="80"/>
      <c r="S425" s="80"/>
      <c r="T425" s="80"/>
      <c r="U425" s="83"/>
      <c r="V425" s="80"/>
      <c r="W425" s="83"/>
      <c r="X425" s="80"/>
      <c r="Y425" s="80"/>
      <c r="Z425" s="80"/>
      <c r="AA425" s="80"/>
      <c r="AB425" s="80"/>
      <c r="AC425" s="80"/>
      <c r="AD425" s="80"/>
      <c r="AE425" s="80"/>
    </row>
    <row r="426" spans="1:31" x14ac:dyDescent="0.25">
      <c r="A426" s="76"/>
      <c r="B426" s="76"/>
      <c r="C426" s="77"/>
      <c r="D426" s="78"/>
      <c r="E426" s="79"/>
      <c r="F426" s="80"/>
      <c r="G426" s="78"/>
      <c r="H426" s="81"/>
      <c r="I426" s="78"/>
      <c r="J426" s="78"/>
      <c r="K426" s="78"/>
      <c r="L426" s="78"/>
      <c r="M426" s="81"/>
      <c r="N426" s="76"/>
      <c r="O426" s="82"/>
      <c r="P426" s="80"/>
      <c r="Q426" s="83"/>
      <c r="R426" s="80"/>
      <c r="S426" s="80"/>
      <c r="T426" s="80"/>
      <c r="U426" s="83"/>
      <c r="V426" s="80"/>
      <c r="W426" s="83"/>
      <c r="X426" s="80"/>
      <c r="Y426" s="80"/>
      <c r="Z426" s="80"/>
      <c r="AA426" s="80"/>
      <c r="AB426" s="80"/>
      <c r="AC426" s="80"/>
      <c r="AD426" s="80"/>
      <c r="AE426" s="80"/>
    </row>
    <row r="427" spans="1:31" x14ac:dyDescent="0.25">
      <c r="A427" s="76"/>
      <c r="B427" s="76"/>
      <c r="C427" s="77"/>
      <c r="D427" s="78"/>
      <c r="E427" s="79"/>
      <c r="F427" s="80"/>
      <c r="G427" s="78"/>
      <c r="H427" s="81"/>
      <c r="I427" s="78"/>
      <c r="J427" s="78"/>
      <c r="K427" s="78"/>
      <c r="L427" s="78"/>
      <c r="M427" s="81"/>
      <c r="N427" s="76"/>
      <c r="O427" s="82"/>
      <c r="P427" s="80"/>
      <c r="Q427" s="83"/>
      <c r="R427" s="80"/>
      <c r="S427" s="80"/>
      <c r="T427" s="80"/>
      <c r="U427" s="83"/>
      <c r="V427" s="80"/>
      <c r="W427" s="83"/>
      <c r="X427" s="80"/>
      <c r="Y427" s="80"/>
      <c r="Z427" s="80"/>
      <c r="AA427" s="80"/>
      <c r="AB427" s="80"/>
      <c r="AC427" s="80"/>
      <c r="AD427" s="80"/>
      <c r="AE427" s="80"/>
    </row>
    <row r="428" spans="1:31" x14ac:dyDescent="0.25">
      <c r="A428" s="76"/>
      <c r="B428" s="76"/>
      <c r="C428" s="77"/>
      <c r="D428" s="78"/>
      <c r="E428" s="79"/>
      <c r="F428" s="80"/>
      <c r="G428" s="78"/>
      <c r="H428" s="81"/>
      <c r="I428" s="78"/>
      <c r="J428" s="78"/>
      <c r="K428" s="78"/>
      <c r="L428" s="78"/>
      <c r="M428" s="81"/>
      <c r="N428" s="76"/>
      <c r="O428" s="82"/>
      <c r="P428" s="80"/>
      <c r="Q428" s="83"/>
      <c r="R428" s="80"/>
      <c r="S428" s="80"/>
      <c r="T428" s="80"/>
      <c r="U428" s="83"/>
      <c r="V428" s="80"/>
      <c r="W428" s="83"/>
      <c r="X428" s="80"/>
      <c r="Y428" s="80"/>
      <c r="Z428" s="80"/>
      <c r="AA428" s="80"/>
      <c r="AB428" s="80"/>
      <c r="AC428" s="80"/>
      <c r="AD428" s="80"/>
      <c r="AE428" s="80"/>
    </row>
    <row r="429" spans="1:31" x14ac:dyDescent="0.25">
      <c r="A429" s="76"/>
      <c r="B429" s="76"/>
      <c r="C429" s="77"/>
      <c r="D429" s="78"/>
      <c r="E429" s="79"/>
      <c r="F429" s="80"/>
      <c r="G429" s="78"/>
      <c r="H429" s="81"/>
      <c r="I429" s="78"/>
      <c r="J429" s="78"/>
      <c r="K429" s="78"/>
      <c r="L429" s="78"/>
      <c r="M429" s="81"/>
      <c r="N429" s="76"/>
      <c r="O429" s="82"/>
      <c r="P429" s="80"/>
      <c r="Q429" s="83"/>
      <c r="R429" s="80"/>
      <c r="S429" s="80"/>
      <c r="T429" s="80"/>
      <c r="U429" s="83"/>
      <c r="V429" s="80"/>
      <c r="W429" s="83"/>
      <c r="X429" s="80"/>
      <c r="Y429" s="80"/>
      <c r="Z429" s="80"/>
      <c r="AA429" s="80"/>
      <c r="AB429" s="80"/>
      <c r="AC429" s="80"/>
      <c r="AD429" s="80"/>
      <c r="AE429" s="80"/>
    </row>
    <row r="430" spans="1:31" x14ac:dyDescent="0.25">
      <c r="A430" s="76"/>
      <c r="B430" s="76"/>
      <c r="C430" s="77"/>
      <c r="D430" s="78"/>
      <c r="E430" s="79"/>
      <c r="F430" s="80"/>
      <c r="G430" s="78"/>
      <c r="H430" s="81"/>
      <c r="I430" s="78"/>
      <c r="J430" s="78"/>
      <c r="K430" s="78"/>
      <c r="L430" s="78"/>
      <c r="M430" s="81"/>
      <c r="N430" s="76"/>
      <c r="O430" s="82"/>
      <c r="P430" s="80"/>
      <c r="Q430" s="83"/>
      <c r="R430" s="80"/>
      <c r="S430" s="80"/>
      <c r="T430" s="80"/>
      <c r="U430" s="83"/>
      <c r="V430" s="80"/>
      <c r="W430" s="83"/>
      <c r="X430" s="80"/>
      <c r="Y430" s="80"/>
      <c r="Z430" s="80"/>
      <c r="AA430" s="80"/>
      <c r="AB430" s="80"/>
      <c r="AC430" s="80"/>
      <c r="AD430" s="80"/>
      <c r="AE430" s="80"/>
    </row>
    <row r="431" spans="1:31" x14ac:dyDescent="0.25">
      <c r="A431" s="76"/>
      <c r="B431" s="76"/>
      <c r="C431" s="77"/>
      <c r="D431" s="78"/>
      <c r="E431" s="79"/>
      <c r="F431" s="80"/>
      <c r="G431" s="78"/>
      <c r="H431" s="81"/>
      <c r="I431" s="78"/>
      <c r="J431" s="78"/>
      <c r="K431" s="78"/>
      <c r="L431" s="78"/>
      <c r="M431" s="81"/>
      <c r="N431" s="76"/>
      <c r="O431" s="82"/>
      <c r="P431" s="80"/>
      <c r="Q431" s="83"/>
      <c r="R431" s="80"/>
      <c r="S431" s="80"/>
      <c r="T431" s="80"/>
      <c r="U431" s="83"/>
      <c r="V431" s="80"/>
      <c r="W431" s="83"/>
      <c r="X431" s="80"/>
      <c r="Y431" s="80"/>
      <c r="Z431" s="80"/>
      <c r="AA431" s="80"/>
      <c r="AB431" s="80"/>
      <c r="AC431" s="80"/>
      <c r="AD431" s="80"/>
      <c r="AE431" s="80"/>
    </row>
    <row r="432" spans="1:31" x14ac:dyDescent="0.25">
      <c r="A432" s="76"/>
      <c r="B432" s="76"/>
      <c r="C432" s="77"/>
      <c r="D432" s="78"/>
      <c r="E432" s="79"/>
      <c r="F432" s="80"/>
      <c r="G432" s="78"/>
      <c r="H432" s="81"/>
      <c r="I432" s="78"/>
      <c r="J432" s="78"/>
      <c r="K432" s="78"/>
      <c r="L432" s="78"/>
      <c r="M432" s="81"/>
      <c r="N432" s="76"/>
      <c r="O432" s="82"/>
      <c r="P432" s="80"/>
      <c r="Q432" s="83"/>
      <c r="R432" s="80"/>
      <c r="S432" s="80"/>
      <c r="T432" s="80"/>
      <c r="U432" s="83"/>
      <c r="V432" s="80"/>
      <c r="W432" s="83"/>
      <c r="X432" s="80"/>
      <c r="Y432" s="80"/>
      <c r="Z432" s="80"/>
      <c r="AA432" s="80"/>
      <c r="AB432" s="80"/>
      <c r="AC432" s="80"/>
      <c r="AD432" s="80"/>
      <c r="AE432" s="80"/>
    </row>
    <row r="433" spans="1:31" x14ac:dyDescent="0.25">
      <c r="A433" s="76"/>
      <c r="B433" s="76"/>
      <c r="C433" s="77"/>
      <c r="D433" s="78"/>
      <c r="E433" s="79"/>
      <c r="F433" s="80"/>
      <c r="G433" s="78"/>
      <c r="H433" s="81"/>
      <c r="I433" s="78"/>
      <c r="J433" s="78"/>
      <c r="K433" s="78"/>
      <c r="L433" s="78"/>
      <c r="M433" s="81"/>
      <c r="N433" s="76"/>
      <c r="O433" s="82"/>
      <c r="P433" s="80"/>
      <c r="Q433" s="83"/>
      <c r="R433" s="80"/>
      <c r="S433" s="80"/>
      <c r="T433" s="80"/>
      <c r="U433" s="83"/>
      <c r="V433" s="80"/>
      <c r="W433" s="83"/>
      <c r="X433" s="80"/>
      <c r="Y433" s="80"/>
      <c r="Z433" s="80"/>
      <c r="AA433" s="80"/>
      <c r="AB433" s="80"/>
      <c r="AC433" s="80"/>
      <c r="AD433" s="80"/>
      <c r="AE433" s="80"/>
    </row>
    <row r="434" spans="1:31" x14ac:dyDescent="0.25">
      <c r="A434" s="76"/>
      <c r="B434" s="76"/>
      <c r="C434" s="77"/>
      <c r="D434" s="78"/>
      <c r="E434" s="79"/>
      <c r="F434" s="80"/>
      <c r="G434" s="78"/>
      <c r="H434" s="81"/>
      <c r="I434" s="78"/>
      <c r="J434" s="78"/>
      <c r="K434" s="78"/>
      <c r="L434" s="78"/>
      <c r="M434" s="81"/>
      <c r="N434" s="76"/>
      <c r="O434" s="82"/>
      <c r="P434" s="80"/>
      <c r="Q434" s="83"/>
      <c r="R434" s="80"/>
      <c r="S434" s="80"/>
      <c r="T434" s="80"/>
      <c r="U434" s="83"/>
      <c r="V434" s="80"/>
      <c r="W434" s="83"/>
      <c r="X434" s="80"/>
      <c r="Y434" s="80"/>
      <c r="Z434" s="80"/>
      <c r="AA434" s="80"/>
      <c r="AB434" s="80"/>
      <c r="AC434" s="80"/>
      <c r="AD434" s="80"/>
      <c r="AE434" s="80"/>
    </row>
    <row r="435" spans="1:31" x14ac:dyDescent="0.25">
      <c r="A435" s="76"/>
      <c r="B435" s="76"/>
      <c r="C435" s="77"/>
      <c r="D435" s="78"/>
      <c r="E435" s="79"/>
      <c r="F435" s="80"/>
      <c r="G435" s="78"/>
      <c r="H435" s="81"/>
      <c r="I435" s="78"/>
      <c r="J435" s="78"/>
      <c r="K435" s="78"/>
      <c r="L435" s="78"/>
      <c r="M435" s="81"/>
      <c r="N435" s="76"/>
      <c r="O435" s="82"/>
      <c r="P435" s="80"/>
      <c r="Q435" s="83"/>
      <c r="R435" s="80"/>
      <c r="S435" s="80"/>
      <c r="T435" s="80"/>
      <c r="U435" s="83"/>
      <c r="V435" s="80"/>
      <c r="W435" s="83"/>
      <c r="X435" s="80"/>
      <c r="Y435" s="80"/>
      <c r="Z435" s="80"/>
      <c r="AA435" s="80"/>
      <c r="AB435" s="80"/>
      <c r="AC435" s="80"/>
      <c r="AD435" s="80"/>
      <c r="AE435" s="80"/>
    </row>
    <row r="436" spans="1:31" x14ac:dyDescent="0.25">
      <c r="A436" s="76"/>
      <c r="B436" s="76"/>
      <c r="C436" s="77"/>
      <c r="D436" s="78"/>
      <c r="E436" s="79"/>
      <c r="F436" s="80"/>
      <c r="G436" s="78"/>
      <c r="H436" s="81"/>
      <c r="I436" s="78"/>
      <c r="J436" s="78"/>
      <c r="K436" s="78"/>
      <c r="L436" s="78"/>
      <c r="M436" s="81"/>
      <c r="N436" s="76"/>
      <c r="O436" s="82"/>
      <c r="P436" s="80"/>
      <c r="Q436" s="83"/>
      <c r="R436" s="80"/>
      <c r="S436" s="80"/>
      <c r="T436" s="80"/>
      <c r="U436" s="83"/>
      <c r="V436" s="80"/>
      <c r="W436" s="83"/>
      <c r="X436" s="80"/>
      <c r="Y436" s="80"/>
      <c r="Z436" s="80"/>
      <c r="AA436" s="80"/>
      <c r="AB436" s="80"/>
      <c r="AC436" s="80"/>
      <c r="AD436" s="80"/>
      <c r="AE436" s="80"/>
    </row>
    <row r="437" spans="1:31" x14ac:dyDescent="0.25">
      <c r="A437" s="76"/>
      <c r="B437" s="76"/>
      <c r="C437" s="77"/>
      <c r="D437" s="78"/>
      <c r="E437" s="79"/>
      <c r="F437" s="80"/>
      <c r="G437" s="78"/>
      <c r="H437" s="81"/>
      <c r="I437" s="78"/>
      <c r="J437" s="78"/>
      <c r="K437" s="78"/>
      <c r="L437" s="78"/>
      <c r="M437" s="81"/>
      <c r="N437" s="76"/>
      <c r="O437" s="82"/>
      <c r="P437" s="80"/>
      <c r="Q437" s="83"/>
      <c r="R437" s="80"/>
      <c r="S437" s="80"/>
      <c r="T437" s="80"/>
      <c r="U437" s="83"/>
      <c r="V437" s="80"/>
      <c r="W437" s="83"/>
      <c r="X437" s="80"/>
      <c r="Y437" s="80"/>
      <c r="Z437" s="80"/>
      <c r="AA437" s="80"/>
      <c r="AB437" s="80"/>
      <c r="AC437" s="80"/>
      <c r="AD437" s="80"/>
      <c r="AE437" s="80"/>
    </row>
    <row r="438" spans="1:31" x14ac:dyDescent="0.25">
      <c r="A438" s="76"/>
      <c r="B438" s="76"/>
      <c r="C438" s="77"/>
      <c r="D438" s="78"/>
      <c r="E438" s="79"/>
      <c r="F438" s="80"/>
      <c r="G438" s="78"/>
      <c r="H438" s="81"/>
      <c r="I438" s="78"/>
      <c r="J438" s="78"/>
      <c r="K438" s="78"/>
      <c r="L438" s="78"/>
      <c r="M438" s="81"/>
      <c r="N438" s="76"/>
      <c r="O438" s="82"/>
      <c r="P438" s="80"/>
      <c r="Q438" s="83"/>
      <c r="R438" s="80"/>
      <c r="S438" s="80"/>
      <c r="T438" s="80"/>
      <c r="U438" s="83"/>
      <c r="V438" s="80"/>
      <c r="W438" s="83"/>
      <c r="X438" s="80"/>
      <c r="Y438" s="80"/>
      <c r="Z438" s="80"/>
      <c r="AA438" s="80"/>
      <c r="AB438" s="80"/>
      <c r="AC438" s="80"/>
      <c r="AD438" s="80"/>
      <c r="AE438" s="80"/>
    </row>
    <row r="439" spans="1:31" x14ac:dyDescent="0.25">
      <c r="A439" s="76"/>
      <c r="B439" s="76"/>
      <c r="C439" s="77"/>
      <c r="D439" s="78"/>
      <c r="E439" s="79"/>
      <c r="F439" s="80"/>
      <c r="G439" s="78"/>
      <c r="H439" s="81"/>
      <c r="I439" s="78"/>
      <c r="J439" s="78"/>
      <c r="K439" s="78"/>
      <c r="L439" s="78"/>
      <c r="M439" s="81"/>
      <c r="N439" s="76"/>
      <c r="O439" s="82"/>
      <c r="P439" s="80"/>
      <c r="Q439" s="83"/>
      <c r="R439" s="80"/>
      <c r="S439" s="80"/>
      <c r="T439" s="80"/>
      <c r="U439" s="83"/>
      <c r="V439" s="80"/>
      <c r="W439" s="83"/>
      <c r="X439" s="80"/>
      <c r="Y439" s="80"/>
      <c r="Z439" s="80"/>
      <c r="AA439" s="80"/>
      <c r="AB439" s="80"/>
      <c r="AC439" s="80"/>
      <c r="AD439" s="80"/>
      <c r="AE439" s="80"/>
    </row>
    <row r="440" spans="1:31" x14ac:dyDescent="0.25">
      <c r="A440" s="76"/>
      <c r="B440" s="76"/>
      <c r="C440" s="77"/>
      <c r="D440" s="78"/>
      <c r="E440" s="79"/>
      <c r="F440" s="80"/>
      <c r="G440" s="78"/>
      <c r="H440" s="81"/>
      <c r="I440" s="78"/>
      <c r="J440" s="78"/>
      <c r="K440" s="78"/>
      <c r="L440" s="78"/>
      <c r="M440" s="81"/>
      <c r="N440" s="76"/>
      <c r="O440" s="82"/>
      <c r="P440" s="80"/>
      <c r="Q440" s="83"/>
      <c r="R440" s="80"/>
      <c r="S440" s="80"/>
      <c r="T440" s="80"/>
      <c r="U440" s="83"/>
      <c r="V440" s="80"/>
      <c r="W440" s="83"/>
      <c r="X440" s="80"/>
      <c r="Y440" s="80"/>
      <c r="Z440" s="80"/>
      <c r="AA440" s="80"/>
      <c r="AB440" s="80"/>
      <c r="AC440" s="80"/>
      <c r="AD440" s="80"/>
      <c r="AE440" s="80"/>
    </row>
    <row r="441" spans="1:31" x14ac:dyDescent="0.25">
      <c r="A441" s="76"/>
      <c r="B441" s="76"/>
      <c r="C441" s="77"/>
      <c r="D441" s="78"/>
      <c r="E441" s="79"/>
      <c r="F441" s="80"/>
      <c r="G441" s="78"/>
      <c r="H441" s="81"/>
      <c r="I441" s="78"/>
      <c r="J441" s="78"/>
      <c r="K441" s="78"/>
      <c r="L441" s="78"/>
      <c r="M441" s="81"/>
      <c r="N441" s="76"/>
      <c r="O441" s="82"/>
      <c r="P441" s="80"/>
      <c r="Q441" s="83"/>
      <c r="R441" s="80"/>
      <c r="S441" s="80"/>
      <c r="T441" s="80"/>
      <c r="U441" s="83"/>
      <c r="V441" s="80"/>
      <c r="W441" s="83"/>
      <c r="X441" s="80"/>
      <c r="Y441" s="80"/>
      <c r="Z441" s="80"/>
      <c r="AA441" s="80"/>
      <c r="AB441" s="80"/>
      <c r="AC441" s="80"/>
      <c r="AD441" s="80"/>
      <c r="AE441" s="80"/>
    </row>
    <row r="442" spans="1:31" x14ac:dyDescent="0.25">
      <c r="A442" s="76"/>
      <c r="B442" s="76"/>
      <c r="C442" s="77"/>
      <c r="D442" s="78"/>
      <c r="E442" s="79"/>
      <c r="F442" s="80"/>
      <c r="G442" s="78"/>
      <c r="H442" s="81"/>
      <c r="I442" s="78"/>
      <c r="J442" s="78"/>
      <c r="K442" s="78"/>
      <c r="L442" s="78"/>
      <c r="M442" s="81"/>
      <c r="N442" s="76"/>
      <c r="O442" s="82"/>
      <c r="P442" s="80"/>
      <c r="Q442" s="83"/>
      <c r="R442" s="80"/>
      <c r="S442" s="80"/>
      <c r="T442" s="80"/>
      <c r="U442" s="83"/>
      <c r="V442" s="80"/>
      <c r="W442" s="83"/>
      <c r="X442" s="80"/>
      <c r="Y442" s="80"/>
      <c r="Z442" s="80"/>
      <c r="AA442" s="80"/>
      <c r="AB442" s="80"/>
      <c r="AC442" s="80"/>
      <c r="AD442" s="80"/>
      <c r="AE442" s="80"/>
    </row>
    <row r="443" spans="1:31" x14ac:dyDescent="0.25">
      <c r="A443" s="76"/>
      <c r="B443" s="76"/>
      <c r="C443" s="77"/>
      <c r="D443" s="78"/>
      <c r="E443" s="79"/>
      <c r="F443" s="80"/>
      <c r="G443" s="78"/>
      <c r="H443" s="81"/>
      <c r="I443" s="78"/>
      <c r="J443" s="78"/>
      <c r="K443" s="78"/>
      <c r="L443" s="78"/>
      <c r="M443" s="81"/>
      <c r="N443" s="76"/>
      <c r="O443" s="82"/>
      <c r="P443" s="80"/>
      <c r="Q443" s="83"/>
      <c r="R443" s="80"/>
      <c r="S443" s="80"/>
      <c r="T443" s="80"/>
      <c r="U443" s="83"/>
      <c r="V443" s="80"/>
      <c r="W443" s="83"/>
      <c r="X443" s="80"/>
      <c r="Y443" s="80"/>
      <c r="Z443" s="80"/>
      <c r="AA443" s="80"/>
      <c r="AB443" s="80"/>
      <c r="AC443" s="80"/>
      <c r="AD443" s="80"/>
      <c r="AE443" s="80"/>
    </row>
    <row r="444" spans="1:31" x14ac:dyDescent="0.25">
      <c r="A444" s="76"/>
      <c r="B444" s="76"/>
      <c r="C444" s="77"/>
      <c r="D444" s="78"/>
      <c r="E444" s="79"/>
      <c r="F444" s="80"/>
      <c r="G444" s="78"/>
      <c r="H444" s="81"/>
      <c r="I444" s="78"/>
      <c r="J444" s="78"/>
      <c r="K444" s="78"/>
      <c r="L444" s="78"/>
      <c r="M444" s="81"/>
      <c r="N444" s="76"/>
      <c r="O444" s="82"/>
      <c r="P444" s="80"/>
      <c r="Q444" s="83"/>
      <c r="R444" s="80"/>
      <c r="S444" s="80"/>
      <c r="T444" s="80"/>
      <c r="U444" s="83"/>
      <c r="V444" s="80"/>
      <c r="W444" s="83"/>
      <c r="X444" s="80"/>
      <c r="Y444" s="80"/>
      <c r="Z444" s="80"/>
      <c r="AA444" s="80"/>
      <c r="AB444" s="80"/>
      <c r="AC444" s="80"/>
      <c r="AD444" s="80"/>
      <c r="AE444" s="80"/>
    </row>
    <row r="445" spans="1:31" x14ac:dyDescent="0.25">
      <c r="A445" s="76"/>
      <c r="B445" s="76"/>
      <c r="C445" s="77"/>
      <c r="D445" s="78"/>
      <c r="E445" s="79"/>
      <c r="F445" s="80"/>
      <c r="G445" s="78"/>
      <c r="H445" s="81"/>
      <c r="I445" s="78"/>
      <c r="J445" s="78"/>
      <c r="K445" s="78"/>
      <c r="L445" s="78"/>
      <c r="M445" s="81"/>
      <c r="N445" s="76"/>
      <c r="O445" s="82"/>
      <c r="P445" s="80"/>
      <c r="Q445" s="83"/>
      <c r="R445" s="80"/>
      <c r="S445" s="80"/>
      <c r="T445" s="80"/>
      <c r="U445" s="83"/>
      <c r="V445" s="80"/>
      <c r="W445" s="83"/>
      <c r="X445" s="80"/>
      <c r="Y445" s="80"/>
      <c r="Z445" s="80"/>
      <c r="AA445" s="80"/>
      <c r="AB445" s="80"/>
      <c r="AC445" s="80"/>
      <c r="AD445" s="80"/>
      <c r="AE445" s="80"/>
    </row>
    <row r="446" spans="1:31" x14ac:dyDescent="0.25">
      <c r="A446" s="76"/>
      <c r="B446" s="76"/>
      <c r="C446" s="77"/>
      <c r="D446" s="78"/>
      <c r="E446" s="79"/>
      <c r="F446" s="80"/>
      <c r="G446" s="78"/>
      <c r="H446" s="81"/>
      <c r="I446" s="78"/>
      <c r="J446" s="78"/>
      <c r="K446" s="78"/>
      <c r="L446" s="78"/>
      <c r="M446" s="81"/>
      <c r="N446" s="76"/>
      <c r="O446" s="82"/>
      <c r="P446" s="80"/>
      <c r="Q446" s="83"/>
      <c r="R446" s="80"/>
      <c r="S446" s="80"/>
      <c r="T446" s="80"/>
      <c r="U446" s="83"/>
      <c r="V446" s="80"/>
      <c r="W446" s="83"/>
      <c r="X446" s="80"/>
      <c r="Y446" s="80"/>
      <c r="Z446" s="80"/>
      <c r="AA446" s="80"/>
      <c r="AB446" s="80"/>
      <c r="AC446" s="80"/>
      <c r="AD446" s="80"/>
      <c r="AE446" s="80"/>
    </row>
    <row r="447" spans="1:31" x14ac:dyDescent="0.25">
      <c r="A447" s="76"/>
      <c r="B447" s="76"/>
      <c r="C447" s="77"/>
      <c r="D447" s="78"/>
      <c r="E447" s="79"/>
      <c r="F447" s="80"/>
      <c r="G447" s="78"/>
      <c r="H447" s="81"/>
      <c r="I447" s="78"/>
      <c r="J447" s="78"/>
      <c r="K447" s="78"/>
      <c r="L447" s="78"/>
      <c r="M447" s="81"/>
      <c r="N447" s="76"/>
      <c r="O447" s="82"/>
      <c r="P447" s="80"/>
      <c r="Q447" s="83"/>
      <c r="R447" s="80"/>
      <c r="S447" s="80"/>
      <c r="T447" s="80"/>
      <c r="U447" s="83"/>
      <c r="V447" s="80"/>
      <c r="W447" s="83"/>
      <c r="X447" s="80"/>
      <c r="Y447" s="80"/>
      <c r="Z447" s="80"/>
      <c r="AA447" s="80"/>
      <c r="AB447" s="80"/>
      <c r="AC447" s="80"/>
      <c r="AD447" s="80"/>
      <c r="AE447" s="80"/>
    </row>
    <row r="448" spans="1:31" x14ac:dyDescent="0.25">
      <c r="A448" s="76"/>
      <c r="B448" s="76"/>
      <c r="C448" s="77"/>
      <c r="D448" s="78"/>
      <c r="E448" s="79"/>
      <c r="F448" s="80"/>
      <c r="G448" s="78"/>
      <c r="H448" s="81"/>
      <c r="I448" s="78"/>
      <c r="J448" s="78"/>
      <c r="K448" s="78"/>
      <c r="L448" s="78"/>
      <c r="M448" s="81"/>
      <c r="N448" s="76"/>
      <c r="O448" s="82"/>
      <c r="P448" s="80"/>
      <c r="Q448" s="83"/>
      <c r="R448" s="80"/>
      <c r="S448" s="80"/>
      <c r="T448" s="80"/>
      <c r="U448" s="83"/>
      <c r="V448" s="80"/>
      <c r="W448" s="83"/>
      <c r="X448" s="80"/>
      <c r="Y448" s="80"/>
      <c r="Z448" s="80"/>
      <c r="AA448" s="80"/>
      <c r="AB448" s="80"/>
      <c r="AC448" s="80"/>
      <c r="AD448" s="80"/>
      <c r="AE448" s="80"/>
    </row>
    <row r="449" spans="1:31" x14ac:dyDescent="0.25">
      <c r="A449" s="76"/>
      <c r="B449" s="76"/>
      <c r="C449" s="77"/>
      <c r="D449" s="78"/>
      <c r="E449" s="79"/>
      <c r="F449" s="80"/>
      <c r="G449" s="78"/>
      <c r="H449" s="81"/>
      <c r="I449" s="78"/>
      <c r="J449" s="78"/>
      <c r="K449" s="78"/>
      <c r="L449" s="78"/>
      <c r="M449" s="81"/>
      <c r="N449" s="76"/>
      <c r="O449" s="82"/>
      <c r="P449" s="80"/>
      <c r="Q449" s="83"/>
      <c r="R449" s="80"/>
      <c r="S449" s="80"/>
      <c r="T449" s="80"/>
      <c r="U449" s="83"/>
      <c r="V449" s="80"/>
      <c r="W449" s="83"/>
      <c r="X449" s="80"/>
      <c r="Y449" s="80"/>
      <c r="Z449" s="80"/>
      <c r="AA449" s="80"/>
      <c r="AB449" s="80"/>
      <c r="AC449" s="80"/>
      <c r="AD449" s="80"/>
      <c r="AE449" s="80"/>
    </row>
    <row r="450" spans="1:31" x14ac:dyDescent="0.25">
      <c r="A450" s="76"/>
      <c r="B450" s="76"/>
      <c r="C450" s="77"/>
      <c r="D450" s="78"/>
      <c r="E450" s="79"/>
      <c r="F450" s="80"/>
      <c r="G450" s="78"/>
      <c r="H450" s="81"/>
      <c r="I450" s="78"/>
      <c r="J450" s="78"/>
      <c r="K450" s="78"/>
      <c r="L450" s="78"/>
      <c r="M450" s="81"/>
      <c r="N450" s="76"/>
      <c r="O450" s="82"/>
      <c r="P450" s="80"/>
      <c r="Q450" s="83"/>
      <c r="R450" s="80"/>
      <c r="S450" s="80"/>
      <c r="T450" s="80"/>
      <c r="U450" s="83"/>
      <c r="V450" s="80"/>
      <c r="W450" s="83"/>
      <c r="X450" s="80"/>
      <c r="Y450" s="80"/>
      <c r="Z450" s="80"/>
      <c r="AA450" s="80"/>
      <c r="AB450" s="80"/>
      <c r="AC450" s="80"/>
      <c r="AD450" s="80"/>
      <c r="AE450" s="80"/>
    </row>
    <row r="451" spans="1:31" x14ac:dyDescent="0.25">
      <c r="A451" s="76"/>
      <c r="B451" s="76"/>
      <c r="C451" s="77"/>
      <c r="D451" s="78"/>
      <c r="E451" s="79"/>
      <c r="F451" s="80"/>
      <c r="G451" s="78"/>
      <c r="H451" s="81"/>
      <c r="I451" s="78"/>
      <c r="J451" s="78"/>
      <c r="K451" s="78"/>
      <c r="L451" s="78"/>
      <c r="M451" s="81"/>
      <c r="N451" s="76"/>
      <c r="O451" s="82"/>
      <c r="P451" s="80"/>
      <c r="Q451" s="83"/>
      <c r="R451" s="80"/>
      <c r="S451" s="80"/>
      <c r="T451" s="80"/>
      <c r="U451" s="83"/>
      <c r="V451" s="80"/>
      <c r="W451" s="83"/>
      <c r="X451" s="80"/>
      <c r="Y451" s="80"/>
      <c r="Z451" s="80"/>
      <c r="AA451" s="80"/>
      <c r="AB451" s="80"/>
      <c r="AC451" s="80"/>
      <c r="AD451" s="80"/>
      <c r="AE451" s="80"/>
    </row>
    <row r="452" spans="1:31" x14ac:dyDescent="0.25">
      <c r="A452" s="76"/>
      <c r="B452" s="76"/>
      <c r="C452" s="77"/>
      <c r="D452" s="78"/>
      <c r="E452" s="79"/>
      <c r="F452" s="80"/>
      <c r="G452" s="78"/>
      <c r="H452" s="81"/>
      <c r="I452" s="78"/>
      <c r="J452" s="78"/>
      <c r="K452" s="78"/>
      <c r="L452" s="78"/>
      <c r="M452" s="81"/>
      <c r="N452" s="76"/>
      <c r="O452" s="82"/>
      <c r="P452" s="80"/>
      <c r="Q452" s="83"/>
      <c r="R452" s="80"/>
      <c r="S452" s="80"/>
      <c r="T452" s="80"/>
      <c r="U452" s="83"/>
      <c r="V452" s="80"/>
      <c r="W452" s="83"/>
      <c r="X452" s="80"/>
      <c r="Y452" s="80"/>
      <c r="Z452" s="80"/>
      <c r="AA452" s="80"/>
      <c r="AB452" s="80"/>
      <c r="AC452" s="80"/>
      <c r="AD452" s="80"/>
      <c r="AE452" s="80"/>
    </row>
    <row r="453" spans="1:31" x14ac:dyDescent="0.25">
      <c r="A453" s="76"/>
      <c r="B453" s="76"/>
      <c r="C453" s="77"/>
      <c r="D453" s="78"/>
      <c r="E453" s="79"/>
      <c r="F453" s="80"/>
      <c r="G453" s="78"/>
      <c r="H453" s="81"/>
      <c r="I453" s="78"/>
      <c r="J453" s="78"/>
      <c r="K453" s="78"/>
      <c r="L453" s="78"/>
      <c r="M453" s="81"/>
      <c r="N453" s="76"/>
      <c r="O453" s="82"/>
      <c r="P453" s="80"/>
      <c r="Q453" s="83"/>
      <c r="R453" s="80"/>
      <c r="S453" s="80"/>
      <c r="T453" s="80"/>
      <c r="U453" s="83"/>
      <c r="V453" s="80"/>
      <c r="W453" s="83"/>
      <c r="X453" s="80"/>
      <c r="Y453" s="80"/>
      <c r="Z453" s="80"/>
      <c r="AA453" s="80"/>
      <c r="AB453" s="80"/>
      <c r="AC453" s="80"/>
      <c r="AD453" s="80"/>
      <c r="AE453" s="80"/>
    </row>
    <row r="454" spans="1:31" x14ac:dyDescent="0.25">
      <c r="A454" s="76"/>
      <c r="B454" s="76"/>
      <c r="C454" s="77"/>
      <c r="D454" s="78"/>
      <c r="E454" s="79"/>
      <c r="F454" s="80"/>
      <c r="G454" s="78"/>
      <c r="H454" s="81"/>
      <c r="I454" s="78"/>
      <c r="J454" s="78"/>
      <c r="K454" s="78"/>
      <c r="L454" s="78"/>
      <c r="M454" s="81"/>
      <c r="N454" s="76"/>
      <c r="O454" s="82"/>
      <c r="P454" s="80"/>
      <c r="Q454" s="83"/>
      <c r="R454" s="80"/>
      <c r="S454" s="80"/>
      <c r="T454" s="80"/>
      <c r="U454" s="83"/>
      <c r="V454" s="80"/>
      <c r="W454" s="83"/>
      <c r="X454" s="80"/>
      <c r="Y454" s="80"/>
      <c r="Z454" s="80"/>
      <c r="AA454" s="80"/>
      <c r="AB454" s="80"/>
      <c r="AC454" s="80"/>
      <c r="AD454" s="80"/>
      <c r="AE454" s="80"/>
    </row>
    <row r="455" spans="1:31" x14ac:dyDescent="0.25">
      <c r="A455" s="76"/>
      <c r="B455" s="76"/>
      <c r="C455" s="77"/>
      <c r="D455" s="78"/>
      <c r="E455" s="79"/>
      <c r="F455" s="80"/>
      <c r="G455" s="78"/>
      <c r="H455" s="81"/>
      <c r="I455" s="78"/>
      <c r="J455" s="78"/>
      <c r="K455" s="78"/>
      <c r="L455" s="78"/>
      <c r="M455" s="81"/>
      <c r="N455" s="76"/>
      <c r="O455" s="82"/>
      <c r="P455" s="80"/>
      <c r="Q455" s="83"/>
      <c r="R455" s="80"/>
      <c r="S455" s="80"/>
      <c r="T455" s="80"/>
      <c r="U455" s="83"/>
      <c r="V455" s="80"/>
      <c r="W455" s="83"/>
      <c r="X455" s="80"/>
      <c r="Y455" s="80"/>
      <c r="Z455" s="80"/>
      <c r="AA455" s="80"/>
      <c r="AB455" s="80"/>
      <c r="AC455" s="80"/>
      <c r="AD455" s="80"/>
      <c r="AE455" s="80"/>
    </row>
    <row r="456" spans="1:31" x14ac:dyDescent="0.25">
      <c r="A456" s="76"/>
      <c r="B456" s="76"/>
      <c r="C456" s="77"/>
      <c r="D456" s="78"/>
      <c r="E456" s="79"/>
      <c r="F456" s="80"/>
      <c r="G456" s="78"/>
      <c r="H456" s="81"/>
      <c r="I456" s="78"/>
      <c r="J456" s="78"/>
      <c r="K456" s="78"/>
      <c r="L456" s="78"/>
      <c r="M456" s="81"/>
      <c r="N456" s="76"/>
      <c r="O456" s="82"/>
      <c r="P456" s="80"/>
      <c r="Q456" s="83"/>
      <c r="R456" s="80"/>
      <c r="S456" s="80"/>
      <c r="T456" s="80"/>
      <c r="U456" s="83"/>
      <c r="V456" s="80"/>
      <c r="W456" s="83"/>
      <c r="X456" s="80"/>
      <c r="Y456" s="80"/>
      <c r="Z456" s="80"/>
      <c r="AA456" s="80"/>
      <c r="AB456" s="80"/>
      <c r="AC456" s="80"/>
      <c r="AD456" s="80"/>
      <c r="AE456" s="80"/>
    </row>
    <row r="457" spans="1:31" x14ac:dyDescent="0.25">
      <c r="A457" s="76"/>
      <c r="B457" s="76"/>
      <c r="C457" s="77"/>
      <c r="D457" s="78"/>
      <c r="E457" s="79"/>
      <c r="F457" s="80"/>
      <c r="G457" s="78"/>
      <c r="H457" s="81"/>
      <c r="I457" s="78"/>
      <c r="J457" s="78"/>
      <c r="K457" s="78"/>
      <c r="L457" s="78"/>
      <c r="M457" s="81"/>
      <c r="N457" s="76"/>
      <c r="O457" s="82"/>
      <c r="P457" s="80"/>
      <c r="Q457" s="83"/>
      <c r="R457" s="80"/>
      <c r="S457" s="80"/>
      <c r="T457" s="80"/>
      <c r="U457" s="83"/>
      <c r="V457" s="80"/>
      <c r="W457" s="83"/>
      <c r="X457" s="80"/>
      <c r="Y457" s="80"/>
      <c r="Z457" s="80"/>
      <c r="AA457" s="80"/>
      <c r="AB457" s="80"/>
      <c r="AC457" s="80"/>
      <c r="AD457" s="80"/>
      <c r="AE457" s="80"/>
    </row>
    <row r="458" spans="1:31" x14ac:dyDescent="0.25">
      <c r="A458" s="76"/>
      <c r="B458" s="76"/>
      <c r="C458" s="77"/>
      <c r="D458" s="78"/>
      <c r="E458" s="79"/>
      <c r="F458" s="80"/>
      <c r="G458" s="78"/>
      <c r="H458" s="81"/>
      <c r="I458" s="78"/>
      <c r="J458" s="78"/>
      <c r="K458" s="78"/>
      <c r="L458" s="78"/>
      <c r="M458" s="81"/>
      <c r="N458" s="76"/>
      <c r="O458" s="82"/>
      <c r="P458" s="80"/>
      <c r="Q458" s="83"/>
      <c r="R458" s="80"/>
      <c r="S458" s="80"/>
      <c r="T458" s="80"/>
      <c r="U458" s="83"/>
      <c r="V458" s="80"/>
      <c r="W458" s="83"/>
      <c r="X458" s="80"/>
      <c r="Y458" s="80"/>
      <c r="Z458" s="80"/>
      <c r="AA458" s="80"/>
      <c r="AB458" s="80"/>
      <c r="AC458" s="80"/>
      <c r="AD458" s="80"/>
      <c r="AE458" s="80"/>
    </row>
    <row r="459" spans="1:31" x14ac:dyDescent="0.25">
      <c r="A459" s="76"/>
      <c r="B459" s="76"/>
      <c r="C459" s="77"/>
      <c r="D459" s="78"/>
      <c r="E459" s="79"/>
      <c r="F459" s="80"/>
      <c r="G459" s="78"/>
      <c r="H459" s="81"/>
      <c r="I459" s="78"/>
      <c r="J459" s="78"/>
      <c r="K459" s="78"/>
      <c r="L459" s="78"/>
      <c r="M459" s="81"/>
      <c r="N459" s="76"/>
      <c r="O459" s="82"/>
      <c r="P459" s="80"/>
      <c r="Q459" s="83"/>
      <c r="R459" s="80"/>
      <c r="S459" s="80"/>
      <c r="T459" s="80"/>
      <c r="U459" s="83"/>
      <c r="V459" s="80"/>
      <c r="W459" s="83"/>
      <c r="X459" s="80"/>
      <c r="Y459" s="80"/>
      <c r="Z459" s="80"/>
      <c r="AA459" s="80"/>
      <c r="AB459" s="80"/>
      <c r="AC459" s="80"/>
      <c r="AD459" s="80"/>
      <c r="AE459" s="80"/>
    </row>
    <row r="460" spans="1:31" x14ac:dyDescent="0.25">
      <c r="A460" s="76"/>
      <c r="B460" s="76"/>
      <c r="C460" s="77"/>
      <c r="D460" s="78"/>
      <c r="E460" s="79"/>
      <c r="F460" s="80"/>
      <c r="G460" s="78"/>
      <c r="H460" s="81"/>
      <c r="I460" s="78"/>
      <c r="J460" s="78"/>
      <c r="K460" s="78"/>
      <c r="L460" s="78"/>
      <c r="M460" s="81"/>
      <c r="N460" s="76"/>
      <c r="O460" s="82"/>
      <c r="P460" s="80"/>
      <c r="Q460" s="83"/>
      <c r="R460" s="80"/>
      <c r="S460" s="80"/>
      <c r="T460" s="80"/>
      <c r="U460" s="83"/>
      <c r="V460" s="80"/>
      <c r="W460" s="83"/>
      <c r="X460" s="80"/>
      <c r="Y460" s="80"/>
      <c r="Z460" s="80"/>
      <c r="AA460" s="80"/>
      <c r="AB460" s="80"/>
      <c r="AC460" s="80"/>
      <c r="AD460" s="80"/>
      <c r="AE460" s="80"/>
    </row>
    <row r="461" spans="1:31" x14ac:dyDescent="0.25">
      <c r="A461" s="76"/>
      <c r="B461" s="76"/>
      <c r="C461" s="77"/>
      <c r="D461" s="78"/>
      <c r="E461" s="79"/>
      <c r="F461" s="80"/>
      <c r="G461" s="78"/>
      <c r="H461" s="81"/>
      <c r="I461" s="78"/>
      <c r="J461" s="78"/>
      <c r="K461" s="78"/>
      <c r="L461" s="78"/>
      <c r="M461" s="81"/>
      <c r="N461" s="76"/>
      <c r="O461" s="82"/>
      <c r="P461" s="80"/>
      <c r="Q461" s="83"/>
      <c r="R461" s="80"/>
      <c r="S461" s="80"/>
      <c r="T461" s="80"/>
      <c r="U461" s="83"/>
      <c r="V461" s="80"/>
      <c r="W461" s="83"/>
      <c r="X461" s="80"/>
      <c r="Y461" s="80"/>
      <c r="Z461" s="80"/>
      <c r="AA461" s="80"/>
      <c r="AB461" s="80"/>
      <c r="AC461" s="80"/>
      <c r="AD461" s="80"/>
      <c r="AE461" s="80"/>
    </row>
    <row r="462" spans="1:31" x14ac:dyDescent="0.25">
      <c r="A462" s="76"/>
      <c r="B462" s="76"/>
      <c r="C462" s="77"/>
      <c r="D462" s="78"/>
      <c r="E462" s="79"/>
      <c r="F462" s="80"/>
      <c r="G462" s="78"/>
      <c r="H462" s="81"/>
      <c r="I462" s="78"/>
      <c r="J462" s="78"/>
      <c r="K462" s="78"/>
      <c r="L462" s="78"/>
      <c r="M462" s="81"/>
      <c r="N462" s="76"/>
      <c r="O462" s="82"/>
      <c r="P462" s="80"/>
      <c r="Q462" s="83"/>
      <c r="R462" s="80"/>
      <c r="S462" s="80"/>
      <c r="T462" s="80"/>
      <c r="U462" s="83"/>
      <c r="V462" s="80"/>
      <c r="W462" s="83"/>
      <c r="X462" s="80"/>
      <c r="Y462" s="80"/>
      <c r="Z462" s="80"/>
      <c r="AA462" s="80"/>
      <c r="AB462" s="80"/>
      <c r="AC462" s="80"/>
      <c r="AD462" s="80"/>
      <c r="AE462" s="80"/>
    </row>
    <row r="463" spans="1:31" x14ac:dyDescent="0.25">
      <c r="A463" s="76"/>
      <c r="B463" s="76"/>
      <c r="C463" s="77"/>
      <c r="D463" s="78"/>
      <c r="E463" s="79"/>
      <c r="F463" s="80"/>
      <c r="G463" s="78"/>
      <c r="H463" s="81"/>
      <c r="I463" s="78"/>
      <c r="J463" s="78"/>
      <c r="K463" s="78"/>
      <c r="L463" s="78"/>
      <c r="M463" s="81"/>
      <c r="N463" s="76"/>
      <c r="O463" s="82"/>
      <c r="P463" s="80"/>
      <c r="Q463" s="83"/>
      <c r="R463" s="80"/>
      <c r="S463" s="80"/>
      <c r="T463" s="80"/>
      <c r="U463" s="83"/>
      <c r="V463" s="80"/>
      <c r="W463" s="83"/>
      <c r="X463" s="80"/>
      <c r="Y463" s="80"/>
      <c r="Z463" s="80"/>
      <c r="AA463" s="80"/>
      <c r="AB463" s="80"/>
      <c r="AC463" s="80"/>
      <c r="AD463" s="80"/>
      <c r="AE463" s="80"/>
    </row>
    <row r="464" spans="1:31" x14ac:dyDescent="0.25">
      <c r="A464" s="76"/>
      <c r="B464" s="76"/>
      <c r="C464" s="77"/>
      <c r="D464" s="78"/>
      <c r="E464" s="79"/>
      <c r="F464" s="80"/>
      <c r="G464" s="78"/>
      <c r="H464" s="81"/>
      <c r="I464" s="78"/>
      <c r="J464" s="78"/>
      <c r="K464" s="78"/>
      <c r="L464" s="78"/>
      <c r="M464" s="81"/>
      <c r="N464" s="76"/>
      <c r="O464" s="82"/>
      <c r="P464" s="80"/>
      <c r="Q464" s="83"/>
      <c r="R464" s="80"/>
      <c r="S464" s="80"/>
      <c r="T464" s="80"/>
      <c r="U464" s="83"/>
      <c r="V464" s="80"/>
      <c r="W464" s="83"/>
      <c r="X464" s="80"/>
      <c r="Y464" s="80"/>
      <c r="Z464" s="80"/>
      <c r="AA464" s="80"/>
      <c r="AB464" s="80"/>
      <c r="AC464" s="80"/>
      <c r="AD464" s="80"/>
      <c r="AE464" s="80"/>
    </row>
    <row r="465" spans="1:31" x14ac:dyDescent="0.25">
      <c r="A465" s="76"/>
      <c r="B465" s="76"/>
      <c r="C465" s="77"/>
      <c r="D465" s="78"/>
      <c r="E465" s="79"/>
      <c r="F465" s="80"/>
      <c r="G465" s="78"/>
      <c r="H465" s="81"/>
      <c r="I465" s="78"/>
      <c r="J465" s="78"/>
      <c r="K465" s="78"/>
      <c r="L465" s="78"/>
      <c r="M465" s="81"/>
      <c r="N465" s="76"/>
      <c r="O465" s="82"/>
      <c r="P465" s="80"/>
      <c r="Q465" s="83"/>
      <c r="R465" s="80"/>
      <c r="S465" s="80"/>
      <c r="T465" s="80"/>
      <c r="U465" s="83"/>
      <c r="V465" s="80"/>
      <c r="W465" s="83"/>
      <c r="X465" s="80"/>
      <c r="Y465" s="80"/>
      <c r="Z465" s="80"/>
      <c r="AA465" s="80"/>
      <c r="AB465" s="80"/>
      <c r="AC465" s="80"/>
      <c r="AD465" s="80"/>
      <c r="AE465" s="80"/>
    </row>
    <row r="466" spans="1:31" x14ac:dyDescent="0.25">
      <c r="A466" s="76"/>
      <c r="B466" s="76"/>
      <c r="C466" s="77"/>
      <c r="D466" s="78"/>
      <c r="E466" s="79"/>
      <c r="F466" s="80"/>
      <c r="G466" s="78"/>
      <c r="H466" s="81"/>
      <c r="I466" s="78"/>
      <c r="J466" s="78"/>
      <c r="K466" s="78"/>
      <c r="L466" s="78"/>
      <c r="M466" s="81"/>
      <c r="N466" s="76"/>
      <c r="O466" s="82"/>
      <c r="P466" s="80"/>
      <c r="Q466" s="83"/>
      <c r="R466" s="80"/>
      <c r="S466" s="80"/>
      <c r="T466" s="80"/>
      <c r="U466" s="83"/>
      <c r="V466" s="80"/>
      <c r="W466" s="83"/>
      <c r="X466" s="80"/>
      <c r="Y466" s="80"/>
      <c r="Z466" s="80"/>
      <c r="AA466" s="80"/>
      <c r="AB466" s="80"/>
      <c r="AC466" s="80"/>
      <c r="AD466" s="80"/>
      <c r="AE466" s="80"/>
    </row>
    <row r="467" spans="1:31" x14ac:dyDescent="0.25">
      <c r="A467" s="76"/>
      <c r="B467" s="76"/>
      <c r="C467" s="77"/>
      <c r="D467" s="78"/>
      <c r="E467" s="79"/>
      <c r="F467" s="80"/>
      <c r="G467" s="78"/>
      <c r="H467" s="81"/>
      <c r="I467" s="78"/>
      <c r="J467" s="78"/>
      <c r="K467" s="78"/>
      <c r="L467" s="78"/>
      <c r="M467" s="81"/>
      <c r="N467" s="76"/>
      <c r="O467" s="82"/>
      <c r="P467" s="80"/>
      <c r="Q467" s="83"/>
      <c r="R467" s="80"/>
      <c r="S467" s="80"/>
      <c r="T467" s="80"/>
      <c r="U467" s="83"/>
      <c r="V467" s="80"/>
      <c r="W467" s="83"/>
      <c r="X467" s="80"/>
      <c r="Y467" s="80"/>
      <c r="Z467" s="80"/>
      <c r="AA467" s="80"/>
      <c r="AB467" s="80"/>
      <c r="AC467" s="80"/>
      <c r="AD467" s="80"/>
      <c r="AE467" s="80"/>
    </row>
    <row r="468" spans="1:31" x14ac:dyDescent="0.25">
      <c r="A468" s="76"/>
      <c r="B468" s="76"/>
      <c r="C468" s="77"/>
      <c r="D468" s="78"/>
      <c r="E468" s="79"/>
      <c r="F468" s="80"/>
      <c r="G468" s="78"/>
      <c r="H468" s="81"/>
      <c r="I468" s="78"/>
      <c r="J468" s="78"/>
      <c r="K468" s="78"/>
      <c r="L468" s="78"/>
      <c r="M468" s="81"/>
      <c r="N468" s="76"/>
      <c r="O468" s="82"/>
      <c r="P468" s="80"/>
      <c r="Q468" s="83"/>
      <c r="R468" s="80"/>
      <c r="S468" s="80"/>
      <c r="T468" s="80"/>
      <c r="U468" s="83"/>
      <c r="V468" s="80"/>
      <c r="W468" s="83"/>
      <c r="X468" s="80"/>
      <c r="Y468" s="80"/>
      <c r="Z468" s="80"/>
      <c r="AA468" s="80"/>
      <c r="AB468" s="80"/>
      <c r="AC468" s="80"/>
      <c r="AD468" s="80"/>
      <c r="AE468" s="80"/>
    </row>
    <row r="469" spans="1:31" x14ac:dyDescent="0.25">
      <c r="A469" s="76"/>
      <c r="B469" s="76"/>
      <c r="C469" s="77"/>
      <c r="D469" s="78"/>
      <c r="E469" s="79"/>
      <c r="F469" s="80"/>
      <c r="G469" s="78"/>
      <c r="H469" s="81"/>
      <c r="I469" s="78"/>
      <c r="J469" s="78"/>
      <c r="K469" s="78"/>
      <c r="L469" s="78"/>
      <c r="M469" s="81"/>
      <c r="N469" s="76"/>
      <c r="O469" s="82"/>
      <c r="P469" s="80"/>
      <c r="Q469" s="83"/>
      <c r="R469" s="80"/>
      <c r="S469" s="80"/>
      <c r="T469" s="80"/>
      <c r="U469" s="83"/>
      <c r="V469" s="80"/>
      <c r="W469" s="83"/>
      <c r="X469" s="80"/>
      <c r="Y469" s="80"/>
      <c r="Z469" s="80"/>
      <c r="AA469" s="80"/>
      <c r="AB469" s="80"/>
      <c r="AC469" s="80"/>
      <c r="AD469" s="80"/>
      <c r="AE469" s="80"/>
    </row>
    <row r="470" spans="1:31" x14ac:dyDescent="0.25">
      <c r="A470" s="76"/>
      <c r="B470" s="76"/>
      <c r="C470" s="77"/>
      <c r="D470" s="78"/>
      <c r="E470" s="79"/>
      <c r="F470" s="80"/>
      <c r="G470" s="78"/>
      <c r="H470" s="81"/>
      <c r="I470" s="78"/>
      <c r="J470" s="78"/>
      <c r="K470" s="78"/>
      <c r="L470" s="78"/>
      <c r="M470" s="81"/>
      <c r="N470" s="76"/>
      <c r="O470" s="82"/>
      <c r="P470" s="80"/>
      <c r="Q470" s="83"/>
      <c r="R470" s="80"/>
      <c r="S470" s="80"/>
      <c r="T470" s="80"/>
      <c r="U470" s="83"/>
      <c r="V470" s="80"/>
      <c r="W470" s="83"/>
      <c r="X470" s="80"/>
      <c r="Y470" s="80"/>
      <c r="Z470" s="80"/>
      <c r="AA470" s="80"/>
      <c r="AB470" s="80"/>
      <c r="AC470" s="80"/>
      <c r="AD470" s="80"/>
      <c r="AE470" s="80"/>
    </row>
    <row r="471" spans="1:31" x14ac:dyDescent="0.25">
      <c r="A471" s="76"/>
      <c r="B471" s="76"/>
      <c r="C471" s="77"/>
      <c r="D471" s="78"/>
      <c r="E471" s="79"/>
      <c r="F471" s="80"/>
      <c r="G471" s="78"/>
      <c r="H471" s="81"/>
      <c r="I471" s="78"/>
      <c r="J471" s="78"/>
      <c r="K471" s="78"/>
      <c r="L471" s="78"/>
      <c r="M471" s="81"/>
      <c r="N471" s="76"/>
      <c r="O471" s="82"/>
      <c r="P471" s="80"/>
      <c r="Q471" s="83"/>
      <c r="R471" s="80"/>
      <c r="S471" s="80"/>
      <c r="T471" s="80"/>
      <c r="U471" s="83"/>
      <c r="V471" s="80"/>
      <c r="W471" s="83"/>
      <c r="X471" s="80"/>
      <c r="Y471" s="80"/>
      <c r="Z471" s="80"/>
      <c r="AA471" s="80"/>
      <c r="AB471" s="80"/>
      <c r="AC471" s="80"/>
      <c r="AD471" s="80"/>
      <c r="AE471" s="80"/>
    </row>
    <row r="472" spans="1:31" x14ac:dyDescent="0.25">
      <c r="A472" s="76"/>
      <c r="B472" s="76"/>
      <c r="C472" s="77"/>
      <c r="D472" s="78"/>
      <c r="E472" s="79"/>
      <c r="F472" s="80"/>
      <c r="G472" s="78"/>
      <c r="H472" s="81"/>
      <c r="I472" s="78"/>
      <c r="J472" s="78"/>
      <c r="K472" s="78"/>
      <c r="L472" s="78"/>
      <c r="M472" s="81"/>
      <c r="N472" s="76"/>
      <c r="O472" s="82"/>
      <c r="P472" s="80"/>
      <c r="Q472" s="83"/>
      <c r="R472" s="80"/>
      <c r="S472" s="80"/>
      <c r="T472" s="80"/>
      <c r="U472" s="83"/>
      <c r="V472" s="80"/>
      <c r="W472" s="83"/>
      <c r="X472" s="80"/>
      <c r="Y472" s="80"/>
      <c r="Z472" s="80"/>
      <c r="AA472" s="80"/>
      <c r="AB472" s="80"/>
      <c r="AC472" s="80"/>
      <c r="AD472" s="80"/>
      <c r="AE472" s="80"/>
    </row>
    <row r="473" spans="1:31" x14ac:dyDescent="0.25">
      <c r="A473" s="76"/>
      <c r="B473" s="76"/>
      <c r="C473" s="77"/>
      <c r="D473" s="78"/>
      <c r="E473" s="79"/>
      <c r="F473" s="80"/>
      <c r="G473" s="78"/>
      <c r="H473" s="81"/>
      <c r="I473" s="78"/>
      <c r="J473" s="78"/>
      <c r="K473" s="78"/>
      <c r="L473" s="78"/>
      <c r="M473" s="81"/>
      <c r="N473" s="76"/>
      <c r="O473" s="82"/>
      <c r="P473" s="80"/>
      <c r="Q473" s="83"/>
      <c r="R473" s="80"/>
      <c r="S473" s="80"/>
      <c r="T473" s="80"/>
      <c r="U473" s="83"/>
      <c r="V473" s="80"/>
      <c r="W473" s="83"/>
      <c r="X473" s="80"/>
      <c r="Y473" s="80"/>
      <c r="Z473" s="80"/>
      <c r="AA473" s="80"/>
      <c r="AB473" s="80"/>
      <c r="AC473" s="80"/>
      <c r="AD473" s="80"/>
      <c r="AE473" s="80"/>
    </row>
    <row r="474" spans="1:31" x14ac:dyDescent="0.25">
      <c r="A474" s="76"/>
      <c r="B474" s="76"/>
      <c r="C474" s="77"/>
      <c r="D474" s="78"/>
      <c r="E474" s="79"/>
      <c r="F474" s="80"/>
      <c r="G474" s="78"/>
      <c r="H474" s="81"/>
      <c r="I474" s="78"/>
      <c r="J474" s="78"/>
      <c r="K474" s="78"/>
      <c r="L474" s="78"/>
      <c r="M474" s="81"/>
      <c r="N474" s="76"/>
      <c r="O474" s="82"/>
      <c r="P474" s="80"/>
      <c r="Q474" s="83"/>
      <c r="R474" s="80"/>
      <c r="S474" s="80"/>
      <c r="T474" s="80"/>
      <c r="U474" s="83"/>
      <c r="V474" s="80"/>
      <c r="W474" s="83"/>
      <c r="X474" s="80"/>
      <c r="Y474" s="80"/>
      <c r="Z474" s="80"/>
      <c r="AA474" s="80"/>
      <c r="AB474" s="80"/>
      <c r="AC474" s="80"/>
      <c r="AD474" s="80"/>
      <c r="AE474" s="80"/>
    </row>
    <row r="475" spans="1:31" x14ac:dyDescent="0.25">
      <c r="A475" s="76"/>
      <c r="B475" s="76"/>
      <c r="C475" s="77"/>
      <c r="D475" s="78"/>
      <c r="E475" s="79"/>
      <c r="F475" s="80"/>
      <c r="G475" s="78"/>
      <c r="H475" s="81"/>
      <c r="I475" s="78"/>
      <c r="J475" s="78"/>
      <c r="K475" s="78"/>
      <c r="L475" s="78"/>
      <c r="M475" s="81"/>
      <c r="N475" s="76"/>
      <c r="O475" s="82"/>
      <c r="P475" s="80"/>
      <c r="Q475" s="83"/>
      <c r="R475" s="80"/>
      <c r="S475" s="80"/>
      <c r="T475" s="80"/>
      <c r="U475" s="83"/>
      <c r="V475" s="80"/>
      <c r="W475" s="83"/>
      <c r="X475" s="80"/>
      <c r="Y475" s="80"/>
      <c r="Z475" s="80"/>
      <c r="AA475" s="80"/>
      <c r="AB475" s="80"/>
      <c r="AC475" s="80"/>
      <c r="AD475" s="80"/>
      <c r="AE475" s="80"/>
    </row>
    <row r="476" spans="1:31" x14ac:dyDescent="0.25">
      <c r="A476" s="76"/>
      <c r="B476" s="76"/>
      <c r="C476" s="77"/>
      <c r="D476" s="78"/>
      <c r="E476" s="79"/>
      <c r="F476" s="80"/>
      <c r="G476" s="78"/>
      <c r="H476" s="81"/>
      <c r="I476" s="78"/>
      <c r="J476" s="78"/>
      <c r="K476" s="78"/>
      <c r="L476" s="78"/>
      <c r="M476" s="81"/>
      <c r="N476" s="76"/>
      <c r="O476" s="82"/>
      <c r="P476" s="80"/>
      <c r="Q476" s="83"/>
      <c r="R476" s="80"/>
      <c r="S476" s="80"/>
      <c r="T476" s="80"/>
      <c r="U476" s="83"/>
      <c r="V476" s="80"/>
      <c r="W476" s="83"/>
      <c r="X476" s="80"/>
      <c r="Y476" s="80"/>
      <c r="Z476" s="80"/>
      <c r="AA476" s="80"/>
      <c r="AB476" s="80"/>
      <c r="AC476" s="80"/>
      <c r="AD476" s="80"/>
      <c r="AE476" s="80"/>
    </row>
    <row r="477" spans="1:31" x14ac:dyDescent="0.25">
      <c r="A477" s="76"/>
      <c r="B477" s="76"/>
      <c r="C477" s="77"/>
      <c r="D477" s="78"/>
      <c r="E477" s="79"/>
      <c r="F477" s="80"/>
      <c r="G477" s="78"/>
      <c r="H477" s="81"/>
      <c r="I477" s="78"/>
      <c r="J477" s="78"/>
      <c r="K477" s="78"/>
      <c r="L477" s="78"/>
      <c r="M477" s="81"/>
      <c r="N477" s="76"/>
      <c r="O477" s="82"/>
      <c r="P477" s="80"/>
      <c r="Q477" s="83"/>
      <c r="R477" s="80"/>
      <c r="S477" s="80"/>
      <c r="T477" s="80"/>
      <c r="U477" s="83"/>
      <c r="V477" s="80"/>
      <c r="W477" s="83"/>
      <c r="X477" s="80"/>
      <c r="Y477" s="80"/>
      <c r="Z477" s="80"/>
      <c r="AA477" s="80"/>
      <c r="AB477" s="80"/>
      <c r="AC477" s="80"/>
      <c r="AD477" s="80"/>
      <c r="AE477" s="80"/>
    </row>
    <row r="478" spans="1:31" x14ac:dyDescent="0.25">
      <c r="A478" s="76"/>
      <c r="B478" s="76"/>
      <c r="C478" s="77"/>
      <c r="D478" s="78"/>
      <c r="E478" s="79"/>
      <c r="F478" s="80"/>
      <c r="G478" s="78"/>
      <c r="H478" s="81"/>
      <c r="I478" s="78"/>
      <c r="J478" s="78"/>
      <c r="K478" s="78"/>
      <c r="L478" s="78"/>
      <c r="M478" s="81"/>
      <c r="N478" s="76"/>
      <c r="O478" s="82"/>
      <c r="P478" s="80"/>
      <c r="Q478" s="83"/>
      <c r="R478" s="80"/>
      <c r="S478" s="80"/>
      <c r="T478" s="80"/>
      <c r="U478" s="83"/>
      <c r="V478" s="80"/>
      <c r="W478" s="83"/>
      <c r="X478" s="80"/>
      <c r="Y478" s="80"/>
      <c r="Z478" s="80"/>
      <c r="AA478" s="80"/>
      <c r="AB478" s="80"/>
      <c r="AC478" s="80"/>
      <c r="AD478" s="80"/>
      <c r="AE478" s="80"/>
    </row>
    <row r="479" spans="1:31" x14ac:dyDescent="0.25">
      <c r="A479" s="76"/>
      <c r="B479" s="76"/>
      <c r="C479" s="77"/>
      <c r="D479" s="78"/>
      <c r="E479" s="79"/>
      <c r="F479" s="80"/>
      <c r="G479" s="78"/>
      <c r="H479" s="81"/>
      <c r="I479" s="78"/>
      <c r="J479" s="78"/>
      <c r="K479" s="78"/>
      <c r="L479" s="78"/>
      <c r="M479" s="81"/>
      <c r="N479" s="76"/>
      <c r="O479" s="82"/>
      <c r="P479" s="80"/>
      <c r="Q479" s="83"/>
      <c r="R479" s="80"/>
      <c r="S479" s="80"/>
      <c r="T479" s="80"/>
      <c r="U479" s="83"/>
      <c r="V479" s="80"/>
      <c r="W479" s="83"/>
      <c r="X479" s="80"/>
      <c r="Y479" s="80"/>
      <c r="Z479" s="80"/>
      <c r="AA479" s="80"/>
      <c r="AB479" s="80"/>
      <c r="AC479" s="80"/>
      <c r="AD479" s="80"/>
      <c r="AE479" s="80"/>
    </row>
    <row r="480" spans="1:31" x14ac:dyDescent="0.25">
      <c r="A480" s="76"/>
      <c r="B480" s="76"/>
      <c r="C480" s="77"/>
      <c r="D480" s="78"/>
      <c r="E480" s="79"/>
      <c r="F480" s="80"/>
      <c r="G480" s="78"/>
      <c r="H480" s="81"/>
      <c r="I480" s="78"/>
      <c r="J480" s="78"/>
      <c r="K480" s="78"/>
      <c r="L480" s="78"/>
      <c r="M480" s="81"/>
      <c r="N480" s="76"/>
      <c r="O480" s="82"/>
      <c r="P480" s="80"/>
      <c r="Q480" s="83"/>
      <c r="R480" s="80"/>
      <c r="S480" s="80"/>
      <c r="T480" s="80"/>
      <c r="U480" s="83"/>
      <c r="V480" s="80"/>
      <c r="W480" s="83"/>
      <c r="X480" s="80"/>
      <c r="Y480" s="80"/>
      <c r="Z480" s="80"/>
      <c r="AA480" s="80"/>
      <c r="AB480" s="80"/>
      <c r="AC480" s="80"/>
      <c r="AD480" s="80"/>
      <c r="AE480" s="80"/>
    </row>
    <row r="481" spans="1:31" x14ac:dyDescent="0.25">
      <c r="A481" s="76"/>
      <c r="B481" s="76"/>
      <c r="C481" s="77"/>
      <c r="D481" s="78"/>
      <c r="E481" s="79"/>
      <c r="F481" s="80"/>
      <c r="G481" s="78"/>
      <c r="H481" s="81"/>
      <c r="I481" s="78"/>
      <c r="J481" s="78"/>
      <c r="K481" s="78"/>
      <c r="L481" s="78"/>
      <c r="M481" s="81"/>
      <c r="N481" s="76"/>
      <c r="O481" s="82"/>
      <c r="P481" s="80"/>
      <c r="Q481" s="83"/>
      <c r="R481" s="80"/>
      <c r="S481" s="80"/>
      <c r="T481" s="80"/>
      <c r="U481" s="83"/>
      <c r="V481" s="80"/>
      <c r="W481" s="83"/>
      <c r="X481" s="80"/>
      <c r="Y481" s="80"/>
      <c r="Z481" s="80"/>
      <c r="AA481" s="80"/>
      <c r="AB481" s="80"/>
      <c r="AC481" s="80"/>
      <c r="AD481" s="80"/>
      <c r="AE481" s="80"/>
    </row>
    <row r="482" spans="1:31" x14ac:dyDescent="0.25">
      <c r="A482" s="76"/>
      <c r="B482" s="76"/>
      <c r="C482" s="77"/>
      <c r="D482" s="78"/>
      <c r="E482" s="79"/>
      <c r="F482" s="80"/>
      <c r="G482" s="78"/>
      <c r="H482" s="81"/>
      <c r="I482" s="78"/>
      <c r="J482" s="78"/>
      <c r="K482" s="78"/>
      <c r="L482" s="78"/>
      <c r="M482" s="81"/>
      <c r="N482" s="76"/>
      <c r="O482" s="82"/>
      <c r="P482" s="80"/>
      <c r="Q482" s="83"/>
      <c r="R482" s="80"/>
      <c r="S482" s="80"/>
      <c r="T482" s="80"/>
      <c r="U482" s="83"/>
      <c r="V482" s="80"/>
      <c r="W482" s="83"/>
      <c r="X482" s="80"/>
      <c r="Y482" s="80"/>
      <c r="Z482" s="80"/>
      <c r="AA482" s="80"/>
      <c r="AB482" s="80"/>
      <c r="AC482" s="80"/>
      <c r="AD482" s="80"/>
      <c r="AE482" s="80"/>
    </row>
    <row r="483" spans="1:31" x14ac:dyDescent="0.25">
      <c r="A483" s="76"/>
      <c r="B483" s="76"/>
      <c r="C483" s="77"/>
      <c r="D483" s="78"/>
      <c r="E483" s="79"/>
      <c r="F483" s="80"/>
      <c r="G483" s="78"/>
      <c r="H483" s="81"/>
      <c r="I483" s="78"/>
      <c r="J483" s="78"/>
      <c r="K483" s="78"/>
      <c r="L483" s="78"/>
      <c r="M483" s="81"/>
      <c r="N483" s="76"/>
      <c r="O483" s="82"/>
      <c r="P483" s="80"/>
      <c r="Q483" s="83"/>
      <c r="R483" s="80"/>
      <c r="S483" s="80"/>
      <c r="T483" s="80"/>
      <c r="U483" s="83"/>
      <c r="V483" s="80"/>
      <c r="W483" s="83"/>
      <c r="X483" s="80"/>
      <c r="Y483" s="80"/>
      <c r="Z483" s="80"/>
      <c r="AA483" s="80"/>
      <c r="AB483" s="80"/>
      <c r="AC483" s="80"/>
      <c r="AD483" s="80"/>
      <c r="AE483" s="80"/>
    </row>
    <row r="484" spans="1:31" x14ac:dyDescent="0.25">
      <c r="A484" s="76"/>
      <c r="B484" s="76"/>
      <c r="C484" s="77"/>
      <c r="D484" s="78"/>
      <c r="E484" s="79"/>
      <c r="F484" s="80"/>
      <c r="G484" s="78"/>
      <c r="H484" s="81"/>
      <c r="I484" s="78"/>
      <c r="J484" s="78"/>
      <c r="K484" s="78"/>
      <c r="L484" s="78"/>
      <c r="M484" s="81"/>
      <c r="N484" s="76"/>
      <c r="O484" s="82"/>
      <c r="P484" s="80"/>
      <c r="Q484" s="83"/>
      <c r="R484" s="80"/>
      <c r="S484" s="80"/>
      <c r="T484" s="80"/>
      <c r="U484" s="83"/>
      <c r="V484" s="80"/>
      <c r="W484" s="83"/>
      <c r="X484" s="80"/>
      <c r="Y484" s="80"/>
      <c r="Z484" s="80"/>
      <c r="AA484" s="80"/>
      <c r="AB484" s="80"/>
      <c r="AC484" s="80"/>
      <c r="AD484" s="80"/>
      <c r="AE484" s="80"/>
    </row>
    <row r="485" spans="1:31" x14ac:dyDescent="0.25">
      <c r="A485" s="76"/>
      <c r="B485" s="76"/>
      <c r="C485" s="77"/>
      <c r="D485" s="78"/>
      <c r="E485" s="79"/>
      <c r="F485" s="80"/>
      <c r="G485" s="78"/>
      <c r="H485" s="81"/>
      <c r="I485" s="78"/>
      <c r="J485" s="78"/>
      <c r="K485" s="78"/>
      <c r="L485" s="78"/>
      <c r="M485" s="81"/>
      <c r="N485" s="76"/>
      <c r="O485" s="82"/>
      <c r="P485" s="80"/>
      <c r="Q485" s="83"/>
      <c r="R485" s="80"/>
      <c r="S485" s="80"/>
      <c r="T485" s="80"/>
      <c r="U485" s="83"/>
      <c r="V485" s="80"/>
      <c r="W485" s="83"/>
      <c r="X485" s="80"/>
      <c r="Y485" s="80"/>
      <c r="Z485" s="80"/>
      <c r="AA485" s="80"/>
      <c r="AB485" s="80"/>
      <c r="AC485" s="80"/>
      <c r="AD485" s="80"/>
      <c r="AE485" s="80"/>
    </row>
    <row r="486" spans="1:31" x14ac:dyDescent="0.25">
      <c r="A486" s="76"/>
      <c r="B486" s="76"/>
      <c r="C486" s="77"/>
      <c r="D486" s="78"/>
      <c r="E486" s="79"/>
      <c r="F486" s="80"/>
      <c r="G486" s="78"/>
      <c r="H486" s="81"/>
      <c r="I486" s="78"/>
      <c r="J486" s="78"/>
      <c r="K486" s="78"/>
      <c r="L486" s="78"/>
      <c r="M486" s="81"/>
      <c r="N486" s="76"/>
      <c r="O486" s="82"/>
      <c r="P486" s="80"/>
      <c r="Q486" s="83"/>
      <c r="R486" s="80"/>
      <c r="S486" s="80"/>
      <c r="T486" s="80"/>
      <c r="U486" s="83"/>
      <c r="V486" s="80"/>
      <c r="W486" s="83"/>
      <c r="X486" s="80"/>
      <c r="Y486" s="80"/>
      <c r="Z486" s="80"/>
      <c r="AA486" s="80"/>
      <c r="AB486" s="80"/>
      <c r="AC486" s="80"/>
      <c r="AD486" s="80"/>
      <c r="AE486" s="80"/>
    </row>
    <row r="487" spans="1:31" x14ac:dyDescent="0.25">
      <c r="A487" s="76"/>
      <c r="B487" s="76"/>
      <c r="C487" s="77"/>
      <c r="D487" s="78"/>
      <c r="E487" s="79"/>
      <c r="F487" s="80"/>
      <c r="G487" s="78"/>
      <c r="H487" s="81"/>
      <c r="I487" s="78"/>
      <c r="J487" s="78"/>
      <c r="K487" s="78"/>
      <c r="L487" s="78"/>
      <c r="M487" s="81"/>
      <c r="N487" s="76"/>
      <c r="O487" s="82"/>
      <c r="P487" s="80"/>
      <c r="Q487" s="83"/>
      <c r="R487" s="80"/>
      <c r="S487" s="80"/>
      <c r="T487" s="80"/>
      <c r="U487" s="83"/>
      <c r="V487" s="80"/>
      <c r="W487" s="83"/>
      <c r="X487" s="80"/>
      <c r="Y487" s="80"/>
      <c r="Z487" s="80"/>
      <c r="AA487" s="80"/>
      <c r="AB487" s="80"/>
      <c r="AC487" s="80"/>
      <c r="AD487" s="80"/>
      <c r="AE487" s="80"/>
    </row>
    <row r="488" spans="1:31" x14ac:dyDescent="0.25">
      <c r="A488" s="76"/>
      <c r="B488" s="76"/>
      <c r="C488" s="77"/>
      <c r="D488" s="78"/>
      <c r="E488" s="79"/>
      <c r="F488" s="80"/>
      <c r="G488" s="78"/>
      <c r="H488" s="81"/>
      <c r="I488" s="78"/>
      <c r="J488" s="78"/>
      <c r="K488" s="78"/>
      <c r="L488" s="78"/>
      <c r="M488" s="81"/>
      <c r="N488" s="76"/>
      <c r="O488" s="82"/>
      <c r="P488" s="80"/>
      <c r="Q488" s="83"/>
      <c r="R488" s="80"/>
      <c r="S488" s="80"/>
      <c r="T488" s="80"/>
      <c r="U488" s="83"/>
      <c r="V488" s="80"/>
      <c r="W488" s="83"/>
      <c r="X488" s="80"/>
      <c r="Y488" s="80"/>
      <c r="Z488" s="80"/>
      <c r="AA488" s="80"/>
      <c r="AB488" s="80"/>
      <c r="AC488" s="80"/>
      <c r="AD488" s="80"/>
      <c r="AE488" s="80"/>
    </row>
    <row r="489" spans="1:31" x14ac:dyDescent="0.25">
      <c r="A489" s="76"/>
      <c r="B489" s="76"/>
      <c r="C489" s="77"/>
      <c r="D489" s="78"/>
      <c r="E489" s="79"/>
      <c r="F489" s="80"/>
      <c r="G489" s="78"/>
      <c r="H489" s="81"/>
      <c r="I489" s="78"/>
      <c r="J489" s="78"/>
      <c r="K489" s="78"/>
      <c r="L489" s="78"/>
      <c r="M489" s="81"/>
      <c r="N489" s="76"/>
      <c r="O489" s="82"/>
      <c r="P489" s="80"/>
      <c r="Q489" s="83"/>
      <c r="R489" s="80"/>
      <c r="S489" s="80"/>
      <c r="T489" s="80"/>
      <c r="U489" s="83"/>
      <c r="V489" s="80"/>
      <c r="W489" s="83"/>
      <c r="X489" s="80"/>
      <c r="Y489" s="80"/>
      <c r="Z489" s="80"/>
      <c r="AA489" s="80"/>
      <c r="AB489" s="80"/>
      <c r="AC489" s="80"/>
      <c r="AD489" s="80"/>
      <c r="AE489" s="80"/>
    </row>
    <row r="490" spans="1:31" x14ac:dyDescent="0.25">
      <c r="A490" s="76"/>
      <c r="B490" s="76"/>
      <c r="C490" s="77"/>
      <c r="D490" s="78"/>
      <c r="E490" s="79"/>
      <c r="F490" s="80"/>
      <c r="G490" s="78"/>
      <c r="H490" s="81"/>
      <c r="I490" s="78"/>
      <c r="J490" s="78"/>
      <c r="K490" s="78"/>
      <c r="L490" s="78"/>
      <c r="M490" s="81"/>
      <c r="N490" s="76"/>
      <c r="O490" s="82"/>
      <c r="P490" s="80"/>
      <c r="Q490" s="83"/>
      <c r="R490" s="80"/>
      <c r="S490" s="80"/>
      <c r="T490" s="80"/>
      <c r="U490" s="83"/>
      <c r="V490" s="80"/>
      <c r="W490" s="83"/>
      <c r="X490" s="80"/>
      <c r="Y490" s="80"/>
      <c r="Z490" s="80"/>
      <c r="AA490" s="80"/>
      <c r="AB490" s="80"/>
      <c r="AC490" s="80"/>
      <c r="AD490" s="80"/>
      <c r="AE490" s="80"/>
    </row>
    <row r="491" spans="1:31" x14ac:dyDescent="0.25">
      <c r="A491" s="76"/>
      <c r="B491" s="76"/>
      <c r="C491" s="77"/>
      <c r="D491" s="78"/>
      <c r="E491" s="79"/>
      <c r="F491" s="80"/>
      <c r="G491" s="78"/>
      <c r="H491" s="81"/>
      <c r="I491" s="78"/>
      <c r="J491" s="78"/>
      <c r="K491" s="78"/>
      <c r="L491" s="78"/>
      <c r="M491" s="81"/>
      <c r="N491" s="76"/>
      <c r="O491" s="82"/>
      <c r="P491" s="80"/>
      <c r="Q491" s="83"/>
      <c r="R491" s="80"/>
      <c r="S491" s="80"/>
      <c r="T491" s="80"/>
      <c r="U491" s="83"/>
      <c r="V491" s="80"/>
      <c r="W491" s="83"/>
      <c r="X491" s="80"/>
      <c r="Y491" s="80"/>
      <c r="Z491" s="80"/>
      <c r="AA491" s="80"/>
      <c r="AB491" s="80"/>
      <c r="AC491" s="80"/>
      <c r="AD491" s="80"/>
      <c r="AE491" s="80"/>
    </row>
    <row r="492" spans="1:31" x14ac:dyDescent="0.25">
      <c r="A492" s="76"/>
      <c r="B492" s="76"/>
      <c r="C492" s="77"/>
      <c r="D492" s="78"/>
      <c r="E492" s="79"/>
      <c r="F492" s="80"/>
      <c r="G492" s="78"/>
      <c r="H492" s="81"/>
      <c r="I492" s="78"/>
      <c r="J492" s="78"/>
      <c r="K492" s="78"/>
      <c r="L492" s="78"/>
      <c r="M492" s="81"/>
      <c r="N492" s="76"/>
      <c r="O492" s="82"/>
      <c r="P492" s="80"/>
      <c r="Q492" s="83"/>
      <c r="R492" s="80"/>
      <c r="S492" s="80"/>
      <c r="T492" s="80"/>
      <c r="U492" s="83"/>
      <c r="V492" s="80"/>
      <c r="W492" s="83"/>
      <c r="X492" s="80"/>
      <c r="Y492" s="80"/>
      <c r="Z492" s="80"/>
      <c r="AA492" s="80"/>
      <c r="AB492" s="80"/>
      <c r="AC492" s="80"/>
      <c r="AD492" s="80"/>
      <c r="AE492" s="80"/>
    </row>
    <row r="493" spans="1:31" x14ac:dyDescent="0.25">
      <c r="A493" s="76"/>
      <c r="B493" s="76"/>
      <c r="C493" s="77"/>
      <c r="D493" s="78"/>
      <c r="E493" s="79"/>
      <c r="F493" s="80"/>
      <c r="G493" s="78"/>
      <c r="H493" s="81"/>
      <c r="I493" s="78"/>
      <c r="J493" s="78"/>
      <c r="K493" s="78"/>
      <c r="L493" s="78"/>
      <c r="M493" s="81"/>
      <c r="N493" s="76"/>
      <c r="O493" s="82"/>
      <c r="P493" s="80"/>
      <c r="Q493" s="83"/>
      <c r="R493" s="80"/>
      <c r="S493" s="80"/>
      <c r="T493" s="80"/>
      <c r="U493" s="83"/>
      <c r="V493" s="80"/>
      <c r="W493" s="83"/>
      <c r="X493" s="80"/>
      <c r="Y493" s="80"/>
      <c r="Z493" s="80"/>
      <c r="AA493" s="80"/>
      <c r="AB493" s="80"/>
      <c r="AC493" s="80"/>
      <c r="AD493" s="80"/>
      <c r="AE493" s="80"/>
    </row>
    <row r="494" spans="1:31" x14ac:dyDescent="0.25">
      <c r="A494" s="76"/>
      <c r="B494" s="76"/>
      <c r="C494" s="77"/>
      <c r="D494" s="78"/>
      <c r="E494" s="79"/>
      <c r="F494" s="80"/>
      <c r="G494" s="78"/>
      <c r="H494" s="81"/>
      <c r="I494" s="78"/>
      <c r="J494" s="78"/>
      <c r="K494" s="78"/>
      <c r="L494" s="78"/>
      <c r="M494" s="81"/>
      <c r="N494" s="76"/>
      <c r="O494" s="82"/>
      <c r="P494" s="80"/>
      <c r="Q494" s="83"/>
      <c r="R494" s="80"/>
      <c r="S494" s="80"/>
      <c r="T494" s="80"/>
      <c r="U494" s="83"/>
      <c r="V494" s="80"/>
      <c r="W494" s="83"/>
      <c r="X494" s="80"/>
      <c r="Y494" s="80"/>
      <c r="Z494" s="80"/>
      <c r="AA494" s="80"/>
      <c r="AB494" s="80"/>
      <c r="AC494" s="80"/>
      <c r="AD494" s="80"/>
      <c r="AE494" s="80"/>
    </row>
    <row r="495" spans="1:31" x14ac:dyDescent="0.25">
      <c r="A495" s="76"/>
      <c r="B495" s="76"/>
      <c r="C495" s="77"/>
      <c r="D495" s="78"/>
      <c r="E495" s="79"/>
      <c r="F495" s="80"/>
      <c r="G495" s="78"/>
      <c r="H495" s="81"/>
      <c r="I495" s="78"/>
      <c r="J495" s="78"/>
      <c r="K495" s="78"/>
      <c r="L495" s="78"/>
      <c r="M495" s="81"/>
      <c r="N495" s="76"/>
      <c r="O495" s="82"/>
      <c r="P495" s="80"/>
      <c r="Q495" s="83"/>
      <c r="R495" s="80"/>
      <c r="S495" s="80"/>
      <c r="T495" s="80"/>
      <c r="U495" s="83"/>
      <c r="V495" s="80"/>
      <c r="W495" s="83"/>
      <c r="X495" s="80"/>
      <c r="Y495" s="80"/>
      <c r="Z495" s="80"/>
      <c r="AA495" s="80"/>
      <c r="AB495" s="80"/>
      <c r="AC495" s="80"/>
      <c r="AD495" s="80"/>
      <c r="AE495" s="80"/>
    </row>
    <row r="496" spans="1:31" x14ac:dyDescent="0.25">
      <c r="A496" s="76"/>
      <c r="B496" s="76"/>
      <c r="C496" s="77"/>
      <c r="D496" s="78"/>
      <c r="E496" s="79"/>
      <c r="F496" s="80"/>
      <c r="G496" s="78"/>
      <c r="H496" s="81"/>
      <c r="I496" s="78"/>
      <c r="J496" s="78"/>
      <c r="K496" s="78"/>
      <c r="L496" s="78"/>
      <c r="M496" s="81"/>
      <c r="N496" s="76"/>
      <c r="O496" s="82"/>
      <c r="P496" s="80"/>
      <c r="Q496" s="83"/>
      <c r="R496" s="80"/>
      <c r="S496" s="80"/>
      <c r="T496" s="80"/>
      <c r="U496" s="83"/>
      <c r="V496" s="80"/>
      <c r="W496" s="83"/>
      <c r="X496" s="80"/>
      <c r="Y496" s="80"/>
      <c r="Z496" s="80"/>
      <c r="AA496" s="80"/>
      <c r="AB496" s="80"/>
      <c r="AC496" s="80"/>
      <c r="AD496" s="80"/>
      <c r="AE496" s="80"/>
    </row>
    <row r="497" spans="1:31" x14ac:dyDescent="0.25">
      <c r="A497" s="76"/>
      <c r="B497" s="76"/>
      <c r="C497" s="77"/>
      <c r="D497" s="78"/>
      <c r="E497" s="79"/>
      <c r="F497" s="80"/>
      <c r="G497" s="78"/>
      <c r="H497" s="81"/>
      <c r="I497" s="78"/>
      <c r="J497" s="78"/>
      <c r="K497" s="78"/>
      <c r="L497" s="78"/>
      <c r="M497" s="81"/>
      <c r="N497" s="76"/>
      <c r="O497" s="82"/>
      <c r="P497" s="80"/>
      <c r="Q497" s="83"/>
      <c r="R497" s="80"/>
      <c r="S497" s="80"/>
      <c r="T497" s="80"/>
      <c r="U497" s="83"/>
      <c r="V497" s="80"/>
      <c r="W497" s="83"/>
      <c r="X497" s="80"/>
      <c r="Y497" s="80"/>
      <c r="Z497" s="80"/>
      <c r="AA497" s="80"/>
      <c r="AB497" s="80"/>
      <c r="AC497" s="80"/>
      <c r="AD497" s="80"/>
      <c r="AE497" s="80"/>
    </row>
    <row r="498" spans="1:31" x14ac:dyDescent="0.25">
      <c r="A498" s="76"/>
      <c r="B498" s="76"/>
      <c r="C498" s="77"/>
      <c r="D498" s="78"/>
      <c r="E498" s="79"/>
      <c r="F498" s="80"/>
      <c r="G498" s="78"/>
      <c r="H498" s="81"/>
      <c r="I498" s="78"/>
      <c r="J498" s="78"/>
      <c r="K498" s="78"/>
      <c r="L498" s="78"/>
      <c r="M498" s="81"/>
      <c r="N498" s="76"/>
      <c r="O498" s="82"/>
      <c r="P498" s="80"/>
      <c r="Q498" s="83"/>
      <c r="R498" s="80"/>
      <c r="S498" s="80"/>
      <c r="T498" s="80"/>
      <c r="U498" s="83"/>
      <c r="V498" s="80"/>
      <c r="W498" s="83"/>
      <c r="X498" s="80"/>
      <c r="Y498" s="80"/>
      <c r="Z498" s="80"/>
      <c r="AA498" s="80"/>
      <c r="AB498" s="80"/>
      <c r="AC498" s="80"/>
      <c r="AD498" s="80"/>
      <c r="AE498" s="80"/>
    </row>
    <row r="499" spans="1:31" x14ac:dyDescent="0.25">
      <c r="A499" s="76"/>
      <c r="B499" s="76"/>
      <c r="C499" s="77"/>
      <c r="D499" s="78"/>
      <c r="E499" s="79"/>
      <c r="F499" s="80"/>
      <c r="G499" s="78"/>
      <c r="H499" s="81"/>
      <c r="I499" s="78"/>
      <c r="J499" s="78"/>
      <c r="K499" s="78"/>
      <c r="L499" s="78"/>
      <c r="M499" s="81"/>
      <c r="N499" s="76"/>
      <c r="O499" s="82"/>
      <c r="P499" s="80"/>
      <c r="Q499" s="83"/>
      <c r="R499" s="80"/>
      <c r="S499" s="80"/>
      <c r="T499" s="80"/>
      <c r="U499" s="83"/>
      <c r="V499" s="80"/>
      <c r="W499" s="83"/>
      <c r="X499" s="80"/>
      <c r="Y499" s="80"/>
      <c r="Z499" s="80"/>
      <c r="AA499" s="80"/>
      <c r="AB499" s="80"/>
      <c r="AC499" s="80"/>
      <c r="AD499" s="80"/>
      <c r="AE499" s="80"/>
    </row>
    <row r="500" spans="1:31" x14ac:dyDescent="0.25">
      <c r="A500" s="76"/>
      <c r="B500" s="76"/>
      <c r="C500" s="77"/>
      <c r="D500" s="78"/>
      <c r="E500" s="79"/>
      <c r="F500" s="80"/>
      <c r="G500" s="78"/>
      <c r="H500" s="81"/>
      <c r="I500" s="78"/>
      <c r="J500" s="78"/>
      <c r="K500" s="78"/>
      <c r="L500" s="78"/>
      <c r="M500" s="81"/>
      <c r="N500" s="76"/>
      <c r="O500" s="82"/>
      <c r="P500" s="80"/>
      <c r="Q500" s="83"/>
      <c r="R500" s="80"/>
      <c r="S500" s="80"/>
      <c r="T500" s="80"/>
      <c r="U500" s="83"/>
      <c r="V500" s="80"/>
      <c r="W500" s="83"/>
      <c r="X500" s="80"/>
      <c r="Y500" s="80"/>
      <c r="Z500" s="80"/>
      <c r="AA500" s="80"/>
      <c r="AB500" s="80"/>
      <c r="AC500" s="80"/>
      <c r="AD500" s="80"/>
      <c r="AE500" s="80"/>
    </row>
    <row r="501" spans="1:31" x14ac:dyDescent="0.25">
      <c r="A501" s="76"/>
      <c r="B501" s="76"/>
      <c r="C501" s="77"/>
      <c r="D501" s="78"/>
      <c r="E501" s="79"/>
      <c r="F501" s="80"/>
      <c r="G501" s="78"/>
      <c r="H501" s="81"/>
      <c r="I501" s="78"/>
      <c r="J501" s="78"/>
      <c r="K501" s="78"/>
      <c r="L501" s="78"/>
      <c r="M501" s="81"/>
      <c r="N501" s="76"/>
      <c r="O501" s="82"/>
      <c r="P501" s="80"/>
      <c r="Q501" s="83"/>
      <c r="R501" s="80"/>
      <c r="S501" s="80"/>
      <c r="T501" s="80"/>
      <c r="U501" s="83"/>
      <c r="V501" s="80"/>
      <c r="W501" s="83"/>
      <c r="X501" s="80"/>
      <c r="Y501" s="80"/>
      <c r="Z501" s="80"/>
      <c r="AA501" s="80"/>
      <c r="AB501" s="80"/>
      <c r="AC501" s="80"/>
      <c r="AD501" s="80"/>
      <c r="AE501" s="80"/>
    </row>
    <row r="502" spans="1:31" x14ac:dyDescent="0.25">
      <c r="A502" s="76"/>
      <c r="B502" s="76"/>
      <c r="C502" s="77"/>
      <c r="D502" s="78"/>
      <c r="E502" s="79"/>
      <c r="F502" s="80"/>
      <c r="G502" s="78"/>
      <c r="H502" s="81"/>
      <c r="I502" s="78"/>
      <c r="J502" s="78"/>
      <c r="K502" s="78"/>
      <c r="L502" s="78"/>
      <c r="M502" s="81"/>
      <c r="N502" s="76"/>
      <c r="O502" s="82"/>
      <c r="P502" s="80"/>
      <c r="Q502" s="83"/>
      <c r="R502" s="80"/>
      <c r="S502" s="80"/>
      <c r="T502" s="80"/>
      <c r="U502" s="83"/>
      <c r="V502" s="80"/>
      <c r="W502" s="83"/>
      <c r="X502" s="80"/>
      <c r="Y502" s="80"/>
      <c r="Z502" s="80"/>
      <c r="AA502" s="80"/>
      <c r="AB502" s="80"/>
      <c r="AC502" s="80"/>
      <c r="AD502" s="80"/>
      <c r="AE502" s="80"/>
    </row>
    <row r="503" spans="1:31" x14ac:dyDescent="0.25">
      <c r="A503" s="76"/>
      <c r="B503" s="76"/>
      <c r="C503" s="77"/>
      <c r="D503" s="78"/>
      <c r="E503" s="79"/>
      <c r="F503" s="80"/>
      <c r="G503" s="78"/>
      <c r="H503" s="81"/>
      <c r="I503" s="78"/>
      <c r="J503" s="78"/>
      <c r="K503" s="78"/>
      <c r="L503" s="78"/>
      <c r="M503" s="81"/>
      <c r="N503" s="76"/>
      <c r="O503" s="82"/>
      <c r="P503" s="80"/>
      <c r="Q503" s="83"/>
      <c r="R503" s="80"/>
      <c r="S503" s="80"/>
      <c r="T503" s="80"/>
      <c r="U503" s="83"/>
      <c r="V503" s="80"/>
      <c r="W503" s="83"/>
      <c r="X503" s="80"/>
      <c r="Y503" s="80"/>
      <c r="Z503" s="80"/>
      <c r="AA503" s="80"/>
      <c r="AB503" s="80"/>
      <c r="AC503" s="80"/>
      <c r="AD503" s="80"/>
      <c r="AE503" s="80"/>
    </row>
    <row r="504" spans="1:31" x14ac:dyDescent="0.25">
      <c r="A504" s="76"/>
      <c r="B504" s="76"/>
      <c r="C504" s="77"/>
      <c r="D504" s="78"/>
      <c r="E504" s="79"/>
      <c r="F504" s="80"/>
      <c r="G504" s="78"/>
      <c r="H504" s="81"/>
      <c r="I504" s="78"/>
      <c r="J504" s="78"/>
      <c r="K504" s="78"/>
      <c r="L504" s="78"/>
      <c r="M504" s="81"/>
      <c r="N504" s="76"/>
      <c r="O504" s="82"/>
      <c r="P504" s="80"/>
      <c r="Q504" s="83"/>
      <c r="R504" s="80"/>
      <c r="S504" s="80"/>
      <c r="T504" s="80"/>
      <c r="U504" s="83"/>
      <c r="V504" s="80"/>
      <c r="W504" s="83"/>
      <c r="X504" s="80"/>
      <c r="Y504" s="80"/>
      <c r="Z504" s="80"/>
      <c r="AA504" s="80"/>
      <c r="AB504" s="80"/>
      <c r="AC504" s="80"/>
      <c r="AD504" s="80"/>
      <c r="AE504" s="80"/>
    </row>
    <row r="505" spans="1:31" x14ac:dyDescent="0.25">
      <c r="A505" s="76"/>
      <c r="B505" s="76"/>
      <c r="C505" s="77"/>
      <c r="D505" s="78"/>
      <c r="E505" s="79"/>
      <c r="F505" s="80"/>
      <c r="G505" s="78"/>
      <c r="H505" s="81"/>
      <c r="I505" s="78"/>
      <c r="J505" s="78"/>
      <c r="K505" s="78"/>
      <c r="L505" s="78"/>
      <c r="M505" s="81"/>
      <c r="N505" s="76"/>
      <c r="O505" s="82"/>
      <c r="P505" s="80"/>
      <c r="Q505" s="83"/>
      <c r="R505" s="80"/>
      <c r="S505" s="80"/>
      <c r="T505" s="80"/>
      <c r="U505" s="83"/>
      <c r="V505" s="80"/>
      <c r="W505" s="83"/>
      <c r="X505" s="80"/>
      <c r="Y505" s="80"/>
      <c r="Z505" s="80"/>
      <c r="AA505" s="80"/>
      <c r="AB505" s="80"/>
      <c r="AC505" s="80"/>
      <c r="AD505" s="80"/>
      <c r="AE505" s="80"/>
    </row>
    <row r="506" spans="1:31" x14ac:dyDescent="0.25">
      <c r="A506" s="76"/>
      <c r="B506" s="76"/>
      <c r="C506" s="77"/>
      <c r="D506" s="78"/>
      <c r="E506" s="79"/>
      <c r="F506" s="80"/>
      <c r="G506" s="78"/>
      <c r="H506" s="81"/>
      <c r="I506" s="78"/>
      <c r="J506" s="78"/>
      <c r="K506" s="78"/>
      <c r="L506" s="78"/>
      <c r="M506" s="81"/>
      <c r="N506" s="76"/>
      <c r="O506" s="82"/>
      <c r="P506" s="80"/>
      <c r="Q506" s="83"/>
      <c r="R506" s="80"/>
      <c r="S506" s="80"/>
      <c r="T506" s="80"/>
      <c r="U506" s="83"/>
      <c r="V506" s="80"/>
      <c r="W506" s="83"/>
      <c r="X506" s="80"/>
      <c r="Y506" s="80"/>
      <c r="Z506" s="80"/>
      <c r="AA506" s="80"/>
      <c r="AB506" s="80"/>
      <c r="AC506" s="80"/>
      <c r="AD506" s="80"/>
      <c r="AE506" s="80"/>
    </row>
    <row r="507" spans="1:31" x14ac:dyDescent="0.25">
      <c r="A507" s="76"/>
      <c r="B507" s="76"/>
      <c r="C507" s="77"/>
      <c r="D507" s="78"/>
      <c r="E507" s="79"/>
      <c r="F507" s="80"/>
      <c r="G507" s="78"/>
      <c r="H507" s="81"/>
      <c r="I507" s="78"/>
      <c r="J507" s="78"/>
      <c r="K507" s="78"/>
      <c r="L507" s="78"/>
      <c r="M507" s="81"/>
      <c r="N507" s="76"/>
      <c r="O507" s="82"/>
      <c r="P507" s="80"/>
      <c r="Q507" s="83"/>
      <c r="R507" s="80"/>
      <c r="S507" s="80"/>
      <c r="T507" s="80"/>
      <c r="U507" s="83"/>
      <c r="V507" s="80"/>
      <c r="W507" s="83"/>
      <c r="X507" s="80"/>
      <c r="Y507" s="80"/>
      <c r="Z507" s="80"/>
      <c r="AA507" s="80"/>
      <c r="AB507" s="80"/>
      <c r="AC507" s="80"/>
      <c r="AD507" s="80"/>
      <c r="AE507" s="80"/>
    </row>
    <row r="508" spans="1:31" x14ac:dyDescent="0.25">
      <c r="A508" s="76"/>
      <c r="B508" s="76"/>
      <c r="C508" s="77"/>
      <c r="D508" s="78"/>
      <c r="E508" s="79"/>
      <c r="F508" s="80"/>
      <c r="G508" s="78"/>
      <c r="H508" s="81"/>
      <c r="I508" s="78"/>
      <c r="J508" s="78"/>
      <c r="K508" s="78"/>
      <c r="L508" s="78"/>
      <c r="M508" s="81"/>
      <c r="N508" s="76"/>
      <c r="O508" s="82"/>
      <c r="P508" s="80"/>
      <c r="Q508" s="83"/>
      <c r="R508" s="80"/>
      <c r="S508" s="80"/>
      <c r="T508" s="80"/>
      <c r="U508" s="83"/>
      <c r="V508" s="80"/>
      <c r="W508" s="83"/>
      <c r="X508" s="80"/>
      <c r="Y508" s="80"/>
      <c r="Z508" s="80"/>
      <c r="AA508" s="80"/>
      <c r="AB508" s="80"/>
      <c r="AC508" s="80"/>
      <c r="AD508" s="80"/>
      <c r="AE508" s="80"/>
    </row>
    <row r="509" spans="1:31" x14ac:dyDescent="0.25">
      <c r="A509" s="76"/>
      <c r="B509" s="76"/>
      <c r="C509" s="77"/>
      <c r="D509" s="78"/>
      <c r="E509" s="79"/>
      <c r="F509" s="80"/>
      <c r="G509" s="78"/>
      <c r="H509" s="81"/>
      <c r="I509" s="78"/>
      <c r="J509" s="78"/>
      <c r="K509" s="78"/>
      <c r="L509" s="78"/>
      <c r="M509" s="81"/>
      <c r="N509" s="76"/>
      <c r="O509" s="82"/>
      <c r="P509" s="80"/>
      <c r="Q509" s="83"/>
      <c r="R509" s="80"/>
      <c r="S509" s="80"/>
      <c r="T509" s="80"/>
      <c r="U509" s="83"/>
      <c r="V509" s="80"/>
      <c r="W509" s="83"/>
      <c r="X509" s="80"/>
      <c r="Y509" s="80"/>
      <c r="Z509" s="80"/>
      <c r="AA509" s="80"/>
      <c r="AB509" s="80"/>
      <c r="AC509" s="80"/>
      <c r="AD509" s="80"/>
      <c r="AE509" s="80"/>
    </row>
    <row r="510" spans="1:31" x14ac:dyDescent="0.25">
      <c r="A510" s="76"/>
      <c r="B510" s="76"/>
      <c r="C510" s="77"/>
      <c r="D510" s="78"/>
      <c r="E510" s="79"/>
      <c r="F510" s="80"/>
      <c r="G510" s="78"/>
      <c r="H510" s="81"/>
      <c r="I510" s="78"/>
      <c r="J510" s="78"/>
      <c r="K510" s="78"/>
      <c r="L510" s="78"/>
      <c r="M510" s="81"/>
      <c r="N510" s="76"/>
      <c r="O510" s="82"/>
      <c r="P510" s="80"/>
      <c r="Q510" s="83"/>
      <c r="R510" s="80"/>
      <c r="S510" s="80"/>
      <c r="T510" s="80"/>
      <c r="U510" s="83"/>
      <c r="V510" s="80"/>
      <c r="W510" s="83"/>
      <c r="X510" s="80"/>
      <c r="Y510" s="80"/>
      <c r="Z510" s="80"/>
      <c r="AA510" s="80"/>
      <c r="AB510" s="80"/>
      <c r="AC510" s="80"/>
      <c r="AD510" s="80"/>
      <c r="AE510" s="80"/>
    </row>
    <row r="511" spans="1:31" x14ac:dyDescent="0.25">
      <c r="A511" s="76"/>
      <c r="B511" s="76"/>
      <c r="C511" s="77"/>
      <c r="D511" s="78"/>
      <c r="E511" s="79"/>
      <c r="F511" s="80"/>
      <c r="G511" s="78"/>
      <c r="H511" s="81"/>
      <c r="I511" s="78"/>
      <c r="J511" s="78"/>
      <c r="K511" s="78"/>
      <c r="L511" s="78"/>
      <c r="M511" s="81"/>
      <c r="N511" s="76"/>
      <c r="O511" s="82"/>
      <c r="P511" s="80"/>
      <c r="Q511" s="83"/>
      <c r="R511" s="80"/>
      <c r="S511" s="80"/>
      <c r="T511" s="80"/>
      <c r="U511" s="83"/>
      <c r="V511" s="80"/>
      <c r="W511" s="83"/>
      <c r="X511" s="80"/>
      <c r="Y511" s="80"/>
      <c r="Z511" s="80"/>
      <c r="AA511" s="80"/>
      <c r="AB511" s="80"/>
      <c r="AC511" s="80"/>
      <c r="AD511" s="80"/>
      <c r="AE511" s="80"/>
    </row>
    <row r="512" spans="1:31" x14ac:dyDescent="0.25">
      <c r="A512" s="76"/>
      <c r="B512" s="76"/>
      <c r="C512" s="77"/>
      <c r="D512" s="78"/>
      <c r="E512" s="79"/>
      <c r="F512" s="80"/>
      <c r="G512" s="78"/>
      <c r="H512" s="81"/>
      <c r="I512" s="78"/>
      <c r="J512" s="78"/>
      <c r="K512" s="78"/>
      <c r="L512" s="78"/>
      <c r="M512" s="81"/>
      <c r="N512" s="76"/>
      <c r="O512" s="82"/>
      <c r="P512" s="80"/>
      <c r="Q512" s="83"/>
      <c r="R512" s="80"/>
      <c r="S512" s="80"/>
      <c r="T512" s="80"/>
      <c r="U512" s="83"/>
      <c r="V512" s="80"/>
      <c r="W512" s="83"/>
      <c r="X512" s="80"/>
      <c r="Y512" s="80"/>
      <c r="Z512" s="80"/>
      <c r="AA512" s="80"/>
      <c r="AB512" s="80"/>
      <c r="AC512" s="80"/>
      <c r="AD512" s="80"/>
      <c r="AE512" s="80"/>
    </row>
    <row r="513" spans="1:31" x14ac:dyDescent="0.25">
      <c r="A513" s="76"/>
      <c r="B513" s="76"/>
      <c r="C513" s="77"/>
      <c r="D513" s="78"/>
      <c r="E513" s="79"/>
      <c r="F513" s="80"/>
      <c r="G513" s="78"/>
      <c r="H513" s="81"/>
      <c r="I513" s="78"/>
      <c r="J513" s="78"/>
      <c r="K513" s="78"/>
      <c r="L513" s="78"/>
      <c r="M513" s="81"/>
      <c r="N513" s="76"/>
      <c r="O513" s="82"/>
      <c r="P513" s="80"/>
      <c r="Q513" s="83"/>
      <c r="R513" s="80"/>
      <c r="S513" s="80"/>
      <c r="T513" s="80"/>
      <c r="U513" s="83"/>
      <c r="V513" s="80"/>
      <c r="W513" s="83"/>
      <c r="X513" s="80"/>
      <c r="Y513" s="80"/>
      <c r="Z513" s="80"/>
      <c r="AA513" s="80"/>
      <c r="AB513" s="80"/>
      <c r="AC513" s="80"/>
      <c r="AD513" s="80"/>
      <c r="AE513" s="80"/>
    </row>
    <row r="514" spans="1:31" x14ac:dyDescent="0.25">
      <c r="A514" s="76"/>
      <c r="B514" s="76"/>
      <c r="C514" s="77"/>
      <c r="D514" s="78"/>
      <c r="E514" s="79"/>
      <c r="F514" s="80"/>
      <c r="G514" s="78"/>
      <c r="H514" s="81"/>
      <c r="I514" s="78"/>
      <c r="J514" s="78"/>
      <c r="K514" s="78"/>
      <c r="L514" s="78"/>
      <c r="M514" s="81"/>
      <c r="N514" s="76"/>
      <c r="O514" s="82"/>
      <c r="P514" s="80"/>
      <c r="Q514" s="83"/>
      <c r="R514" s="80"/>
      <c r="S514" s="80"/>
      <c r="T514" s="80"/>
      <c r="U514" s="83"/>
      <c r="V514" s="80"/>
      <c r="W514" s="83"/>
      <c r="X514" s="80"/>
      <c r="Y514" s="80"/>
      <c r="Z514" s="80"/>
      <c r="AA514" s="80"/>
      <c r="AB514" s="80"/>
      <c r="AC514" s="80"/>
      <c r="AD514" s="80"/>
      <c r="AE514" s="80"/>
    </row>
    <row r="515" spans="1:31" x14ac:dyDescent="0.25">
      <c r="A515" s="76"/>
      <c r="B515" s="76"/>
      <c r="C515" s="77"/>
      <c r="D515" s="78"/>
      <c r="E515" s="79"/>
      <c r="F515" s="80"/>
      <c r="G515" s="78"/>
      <c r="H515" s="81"/>
      <c r="I515" s="78"/>
      <c r="J515" s="78"/>
      <c r="K515" s="78"/>
      <c r="L515" s="78"/>
      <c r="M515" s="81"/>
      <c r="N515" s="76"/>
      <c r="O515" s="82"/>
      <c r="P515" s="80"/>
      <c r="Q515" s="83"/>
      <c r="R515" s="80"/>
      <c r="S515" s="80"/>
      <c r="T515" s="80"/>
      <c r="U515" s="83"/>
      <c r="V515" s="80"/>
      <c r="W515" s="83"/>
      <c r="X515" s="80"/>
      <c r="Y515" s="80"/>
      <c r="Z515" s="80"/>
      <c r="AA515" s="80"/>
      <c r="AB515" s="80"/>
      <c r="AC515" s="80"/>
      <c r="AD515" s="80"/>
      <c r="AE515" s="80"/>
    </row>
    <row r="516" spans="1:31" x14ac:dyDescent="0.25">
      <c r="A516" s="76"/>
      <c r="B516" s="76"/>
      <c r="C516" s="77"/>
      <c r="D516" s="78"/>
      <c r="E516" s="79"/>
      <c r="F516" s="80"/>
      <c r="G516" s="78"/>
      <c r="H516" s="81"/>
      <c r="I516" s="78"/>
      <c r="J516" s="78"/>
      <c r="K516" s="78"/>
      <c r="L516" s="78"/>
      <c r="M516" s="81"/>
      <c r="N516" s="76"/>
      <c r="O516" s="82"/>
      <c r="P516" s="80"/>
      <c r="Q516" s="83"/>
      <c r="R516" s="80"/>
      <c r="S516" s="80"/>
      <c r="T516" s="80"/>
      <c r="U516" s="83"/>
      <c r="V516" s="80"/>
      <c r="W516" s="83"/>
      <c r="X516" s="80"/>
      <c r="Y516" s="80"/>
      <c r="Z516" s="80"/>
      <c r="AA516" s="80"/>
      <c r="AB516" s="80"/>
      <c r="AC516" s="80"/>
      <c r="AD516" s="80"/>
      <c r="AE516" s="80"/>
    </row>
    <row r="517" spans="1:31" x14ac:dyDescent="0.25">
      <c r="A517" s="76"/>
      <c r="B517" s="76"/>
      <c r="C517" s="77"/>
      <c r="D517" s="78"/>
      <c r="E517" s="79"/>
      <c r="F517" s="80"/>
      <c r="G517" s="78"/>
      <c r="H517" s="81"/>
      <c r="I517" s="78"/>
      <c r="J517" s="78"/>
      <c r="K517" s="78"/>
      <c r="L517" s="78"/>
      <c r="M517" s="81"/>
      <c r="N517" s="76"/>
      <c r="O517" s="82"/>
      <c r="P517" s="80"/>
      <c r="Q517" s="83"/>
      <c r="R517" s="80"/>
      <c r="S517" s="80"/>
      <c r="T517" s="80"/>
      <c r="U517" s="83"/>
      <c r="V517" s="80"/>
      <c r="W517" s="83"/>
      <c r="X517" s="80"/>
      <c r="Y517" s="80"/>
      <c r="Z517" s="80"/>
      <c r="AA517" s="80"/>
      <c r="AB517" s="80"/>
      <c r="AC517" s="80"/>
      <c r="AD517" s="80"/>
      <c r="AE517" s="80"/>
    </row>
    <row r="518" spans="1:31" x14ac:dyDescent="0.25">
      <c r="A518" s="76"/>
      <c r="B518" s="76"/>
      <c r="C518" s="77"/>
      <c r="D518" s="78"/>
      <c r="E518" s="79"/>
      <c r="F518" s="80"/>
      <c r="G518" s="78"/>
      <c r="H518" s="81"/>
      <c r="I518" s="78"/>
      <c r="J518" s="78"/>
      <c r="K518" s="78"/>
      <c r="L518" s="78"/>
      <c r="M518" s="81"/>
      <c r="N518" s="76"/>
      <c r="O518" s="82"/>
      <c r="P518" s="80"/>
      <c r="Q518" s="83"/>
      <c r="R518" s="80"/>
      <c r="S518" s="80"/>
      <c r="T518" s="80"/>
      <c r="U518" s="83"/>
      <c r="V518" s="80"/>
      <c r="W518" s="83"/>
      <c r="X518" s="80"/>
      <c r="Y518" s="80"/>
      <c r="Z518" s="80"/>
      <c r="AA518" s="80"/>
      <c r="AB518" s="80"/>
      <c r="AC518" s="80"/>
      <c r="AD518" s="80"/>
      <c r="AE518" s="80"/>
    </row>
    <row r="519" spans="1:31" x14ac:dyDescent="0.25">
      <c r="A519" s="76"/>
      <c r="B519" s="76"/>
      <c r="C519" s="77"/>
      <c r="D519" s="78"/>
      <c r="E519" s="79"/>
      <c r="F519" s="80"/>
      <c r="G519" s="78"/>
      <c r="H519" s="81"/>
      <c r="I519" s="78"/>
      <c r="J519" s="78"/>
      <c r="K519" s="78"/>
      <c r="L519" s="78"/>
      <c r="M519" s="81"/>
      <c r="N519" s="76"/>
      <c r="O519" s="82"/>
      <c r="P519" s="80"/>
      <c r="Q519" s="83"/>
      <c r="R519" s="80"/>
      <c r="S519" s="80"/>
      <c r="T519" s="80"/>
      <c r="U519" s="83"/>
      <c r="V519" s="80"/>
      <c r="W519" s="83"/>
      <c r="X519" s="80"/>
      <c r="Y519" s="80"/>
      <c r="Z519" s="80"/>
      <c r="AA519" s="80"/>
      <c r="AB519" s="80"/>
      <c r="AC519" s="80"/>
      <c r="AD519" s="80"/>
      <c r="AE519" s="80"/>
    </row>
    <row r="520" spans="1:31" x14ac:dyDescent="0.25">
      <c r="A520" s="76"/>
      <c r="B520" s="76"/>
      <c r="C520" s="77"/>
      <c r="D520" s="78"/>
      <c r="E520" s="79"/>
      <c r="F520" s="80"/>
      <c r="G520" s="78"/>
      <c r="H520" s="81"/>
      <c r="I520" s="78"/>
      <c r="J520" s="78"/>
      <c r="K520" s="78"/>
      <c r="L520" s="78"/>
      <c r="M520" s="81"/>
      <c r="N520" s="76"/>
      <c r="O520" s="82"/>
      <c r="P520" s="80"/>
      <c r="Q520" s="83"/>
      <c r="R520" s="80"/>
      <c r="S520" s="80"/>
      <c r="T520" s="80"/>
      <c r="U520" s="83"/>
      <c r="V520" s="80"/>
      <c r="W520" s="83"/>
      <c r="X520" s="80"/>
      <c r="Y520" s="80"/>
      <c r="Z520" s="80"/>
      <c r="AA520" s="80"/>
      <c r="AB520" s="80"/>
      <c r="AC520" s="80"/>
      <c r="AD520" s="80"/>
      <c r="AE520" s="80"/>
    </row>
    <row r="521" spans="1:31" x14ac:dyDescent="0.25">
      <c r="A521" s="76"/>
      <c r="B521" s="76"/>
      <c r="C521" s="77"/>
      <c r="D521" s="78"/>
      <c r="E521" s="79"/>
      <c r="F521" s="80"/>
      <c r="G521" s="78"/>
      <c r="H521" s="81"/>
      <c r="I521" s="78"/>
      <c r="J521" s="78"/>
      <c r="K521" s="78"/>
      <c r="L521" s="78"/>
      <c r="M521" s="81"/>
      <c r="N521" s="76"/>
      <c r="O521" s="82"/>
      <c r="P521" s="80"/>
      <c r="Q521" s="83"/>
      <c r="R521" s="80"/>
      <c r="S521" s="80"/>
      <c r="T521" s="80"/>
      <c r="U521" s="83"/>
      <c r="V521" s="80"/>
      <c r="W521" s="83"/>
      <c r="X521" s="80"/>
      <c r="Y521" s="80"/>
      <c r="Z521" s="80"/>
      <c r="AA521" s="80"/>
      <c r="AB521" s="80"/>
      <c r="AC521" s="80"/>
      <c r="AD521" s="80"/>
      <c r="AE521" s="80"/>
    </row>
    <row r="522" spans="1:31" x14ac:dyDescent="0.25">
      <c r="A522" s="76"/>
      <c r="B522" s="76"/>
      <c r="C522" s="77"/>
      <c r="D522" s="78"/>
      <c r="E522" s="79"/>
      <c r="F522" s="80"/>
      <c r="G522" s="78"/>
      <c r="H522" s="81"/>
      <c r="I522" s="78"/>
      <c r="J522" s="78"/>
      <c r="K522" s="78"/>
      <c r="L522" s="78"/>
      <c r="M522" s="81"/>
      <c r="N522" s="76"/>
      <c r="O522" s="82"/>
      <c r="P522" s="80"/>
      <c r="Q522" s="83"/>
      <c r="R522" s="80"/>
      <c r="S522" s="80"/>
      <c r="T522" s="80"/>
      <c r="U522" s="83"/>
      <c r="V522" s="80"/>
      <c r="W522" s="83"/>
      <c r="X522" s="80"/>
      <c r="Y522" s="80"/>
      <c r="Z522" s="80"/>
      <c r="AA522" s="80"/>
      <c r="AB522" s="80"/>
      <c r="AC522" s="80"/>
      <c r="AD522" s="80"/>
      <c r="AE522" s="80"/>
    </row>
    <row r="523" spans="1:31" x14ac:dyDescent="0.25">
      <c r="A523" s="76"/>
      <c r="B523" s="76"/>
      <c r="C523" s="77"/>
      <c r="D523" s="78"/>
      <c r="E523" s="79"/>
      <c r="F523" s="80"/>
      <c r="G523" s="78"/>
      <c r="H523" s="81"/>
      <c r="I523" s="78"/>
      <c r="J523" s="78"/>
      <c r="K523" s="78"/>
      <c r="L523" s="78"/>
      <c r="M523" s="81"/>
      <c r="N523" s="76"/>
      <c r="O523" s="82"/>
      <c r="P523" s="80"/>
      <c r="Q523" s="83"/>
      <c r="R523" s="80"/>
      <c r="S523" s="80"/>
      <c r="T523" s="80"/>
      <c r="U523" s="83"/>
      <c r="V523" s="80"/>
      <c r="W523" s="83"/>
      <c r="X523" s="80"/>
      <c r="Y523" s="80"/>
      <c r="Z523" s="80"/>
      <c r="AA523" s="80"/>
      <c r="AB523" s="80"/>
      <c r="AC523" s="80"/>
      <c r="AD523" s="80"/>
      <c r="AE523" s="80"/>
    </row>
    <row r="524" spans="1:31" x14ac:dyDescent="0.25">
      <c r="A524" s="76"/>
      <c r="B524" s="76"/>
      <c r="C524" s="77"/>
      <c r="D524" s="78"/>
      <c r="E524" s="79"/>
      <c r="F524" s="80"/>
      <c r="G524" s="78"/>
      <c r="H524" s="81"/>
      <c r="I524" s="78"/>
      <c r="J524" s="78"/>
      <c r="K524" s="78"/>
      <c r="L524" s="78"/>
      <c r="M524" s="81"/>
      <c r="N524" s="76"/>
      <c r="O524" s="82"/>
      <c r="P524" s="80"/>
      <c r="Q524" s="83"/>
      <c r="R524" s="80"/>
      <c r="S524" s="80"/>
      <c r="T524" s="80"/>
      <c r="U524" s="83"/>
      <c r="V524" s="80"/>
      <c r="W524" s="83"/>
      <c r="X524" s="80"/>
      <c r="Y524" s="80"/>
      <c r="Z524" s="80"/>
      <c r="AA524" s="80"/>
      <c r="AB524" s="80"/>
      <c r="AC524" s="80"/>
      <c r="AD524" s="80"/>
      <c r="AE524" s="80"/>
    </row>
    <row r="525" spans="1:31" x14ac:dyDescent="0.25">
      <c r="A525" s="76"/>
      <c r="B525" s="76"/>
      <c r="C525" s="77"/>
      <c r="D525" s="78"/>
      <c r="E525" s="79"/>
      <c r="F525" s="80"/>
      <c r="G525" s="78"/>
      <c r="H525" s="81"/>
      <c r="I525" s="78"/>
      <c r="J525" s="78"/>
      <c r="K525" s="78"/>
      <c r="L525" s="78"/>
      <c r="M525" s="81"/>
      <c r="N525" s="76"/>
      <c r="O525" s="82"/>
      <c r="P525" s="80"/>
      <c r="Q525" s="83"/>
      <c r="R525" s="80"/>
      <c r="S525" s="80"/>
      <c r="T525" s="80"/>
      <c r="U525" s="83"/>
      <c r="V525" s="80"/>
      <c r="W525" s="83"/>
      <c r="X525" s="80"/>
      <c r="Y525" s="80"/>
      <c r="Z525" s="80"/>
      <c r="AA525" s="80"/>
      <c r="AB525" s="80"/>
      <c r="AC525" s="80"/>
      <c r="AD525" s="80"/>
      <c r="AE525" s="80"/>
    </row>
    <row r="526" spans="1:31" x14ac:dyDescent="0.25">
      <c r="A526" s="76"/>
      <c r="B526" s="76"/>
      <c r="C526" s="77"/>
      <c r="D526" s="78"/>
      <c r="E526" s="79"/>
      <c r="F526" s="80"/>
      <c r="G526" s="78"/>
      <c r="H526" s="81"/>
      <c r="I526" s="78"/>
      <c r="J526" s="78"/>
      <c r="K526" s="78"/>
      <c r="L526" s="78"/>
      <c r="M526" s="81"/>
      <c r="N526" s="76"/>
      <c r="O526" s="82"/>
      <c r="P526" s="80"/>
      <c r="Q526" s="83"/>
      <c r="R526" s="80"/>
      <c r="S526" s="80"/>
      <c r="T526" s="80"/>
      <c r="U526" s="83"/>
      <c r="V526" s="80"/>
      <c r="W526" s="83"/>
      <c r="X526" s="80"/>
      <c r="Y526" s="80"/>
      <c r="Z526" s="80"/>
      <c r="AA526" s="80"/>
      <c r="AB526" s="80"/>
      <c r="AC526" s="80"/>
      <c r="AD526" s="80"/>
      <c r="AE526" s="80"/>
    </row>
    <row r="527" spans="1:31" x14ac:dyDescent="0.25">
      <c r="A527" s="76"/>
      <c r="B527" s="76"/>
      <c r="C527" s="77"/>
      <c r="D527" s="78"/>
      <c r="E527" s="79"/>
      <c r="F527" s="80"/>
      <c r="G527" s="78"/>
      <c r="H527" s="81"/>
      <c r="I527" s="78"/>
      <c r="J527" s="78"/>
      <c r="K527" s="78"/>
      <c r="L527" s="78"/>
      <c r="M527" s="81"/>
      <c r="N527" s="76"/>
      <c r="O527" s="82"/>
      <c r="P527" s="80"/>
      <c r="Q527" s="83"/>
      <c r="R527" s="80"/>
      <c r="S527" s="80"/>
      <c r="T527" s="80"/>
      <c r="U527" s="83"/>
      <c r="V527" s="80"/>
      <c r="W527" s="83"/>
      <c r="X527" s="80"/>
      <c r="Y527" s="80"/>
      <c r="Z527" s="80"/>
      <c r="AA527" s="80"/>
      <c r="AB527" s="80"/>
      <c r="AC527" s="80"/>
      <c r="AD527" s="80"/>
      <c r="AE527" s="80"/>
    </row>
    <row r="528" spans="1:31" x14ac:dyDescent="0.25">
      <c r="A528" s="76"/>
      <c r="B528" s="76"/>
      <c r="C528" s="77"/>
      <c r="D528" s="78"/>
      <c r="E528" s="79"/>
      <c r="F528" s="80"/>
      <c r="G528" s="78"/>
      <c r="H528" s="81"/>
      <c r="I528" s="78"/>
      <c r="J528" s="78"/>
      <c r="K528" s="78"/>
      <c r="L528" s="78"/>
      <c r="M528" s="81"/>
      <c r="N528" s="76"/>
      <c r="O528" s="82"/>
      <c r="P528" s="80"/>
      <c r="Q528" s="83"/>
      <c r="R528" s="80"/>
      <c r="S528" s="80"/>
      <c r="T528" s="80"/>
      <c r="U528" s="83"/>
      <c r="V528" s="80"/>
      <c r="W528" s="83"/>
      <c r="X528" s="80"/>
      <c r="Y528" s="80"/>
      <c r="Z528" s="80"/>
      <c r="AA528" s="80"/>
      <c r="AB528" s="80"/>
      <c r="AC528" s="80"/>
      <c r="AD528" s="80"/>
      <c r="AE528" s="80"/>
    </row>
    <row r="529" spans="1:31" x14ac:dyDescent="0.25">
      <c r="A529" s="76"/>
      <c r="B529" s="76"/>
      <c r="C529" s="77"/>
      <c r="D529" s="78"/>
      <c r="E529" s="79"/>
      <c r="F529" s="80"/>
      <c r="G529" s="78"/>
      <c r="H529" s="81"/>
      <c r="I529" s="78"/>
      <c r="J529" s="78"/>
      <c r="K529" s="78"/>
      <c r="L529" s="78"/>
      <c r="M529" s="81"/>
      <c r="N529" s="76"/>
      <c r="O529" s="82"/>
      <c r="P529" s="80"/>
      <c r="Q529" s="83"/>
      <c r="R529" s="80"/>
      <c r="S529" s="80"/>
      <c r="T529" s="80"/>
      <c r="U529" s="83"/>
      <c r="V529" s="80"/>
      <c r="W529" s="83"/>
      <c r="X529" s="80"/>
      <c r="Y529" s="80"/>
      <c r="Z529" s="80"/>
      <c r="AA529" s="80"/>
      <c r="AB529" s="80"/>
      <c r="AC529" s="80"/>
      <c r="AD529" s="80"/>
      <c r="AE529" s="80"/>
    </row>
    <row r="530" spans="1:31" x14ac:dyDescent="0.25">
      <c r="A530" s="76"/>
      <c r="B530" s="76"/>
      <c r="C530" s="77"/>
      <c r="D530" s="78"/>
      <c r="E530" s="79"/>
      <c r="F530" s="80"/>
      <c r="G530" s="78"/>
      <c r="H530" s="81"/>
      <c r="I530" s="78"/>
      <c r="J530" s="78"/>
      <c r="K530" s="78"/>
      <c r="L530" s="78"/>
      <c r="M530" s="81"/>
      <c r="N530" s="76"/>
      <c r="O530" s="82"/>
      <c r="P530" s="80"/>
      <c r="Q530" s="83"/>
      <c r="R530" s="80"/>
      <c r="S530" s="80"/>
      <c r="T530" s="80"/>
      <c r="U530" s="83"/>
      <c r="V530" s="80"/>
      <c r="W530" s="83"/>
      <c r="X530" s="80"/>
      <c r="Y530" s="80"/>
      <c r="Z530" s="80"/>
      <c r="AA530" s="80"/>
      <c r="AB530" s="80"/>
      <c r="AC530" s="80"/>
      <c r="AD530" s="80"/>
      <c r="AE530" s="80"/>
    </row>
    <row r="531" spans="1:31" x14ac:dyDescent="0.25">
      <c r="A531" s="76"/>
      <c r="B531" s="76"/>
      <c r="C531" s="77"/>
      <c r="D531" s="78"/>
      <c r="E531" s="79"/>
      <c r="F531" s="80"/>
      <c r="G531" s="78"/>
      <c r="H531" s="81"/>
      <c r="I531" s="78"/>
      <c r="J531" s="78"/>
      <c r="K531" s="78"/>
      <c r="L531" s="78"/>
      <c r="M531" s="81"/>
      <c r="N531" s="76"/>
      <c r="O531" s="82"/>
      <c r="P531" s="80"/>
      <c r="Q531" s="83"/>
      <c r="R531" s="80"/>
      <c r="S531" s="80"/>
      <c r="T531" s="80"/>
      <c r="U531" s="83"/>
      <c r="V531" s="80"/>
      <c r="W531" s="83"/>
      <c r="X531" s="80"/>
      <c r="Y531" s="80"/>
      <c r="Z531" s="80"/>
      <c r="AA531" s="80"/>
      <c r="AB531" s="80"/>
      <c r="AC531" s="80"/>
      <c r="AD531" s="80"/>
      <c r="AE531" s="80"/>
    </row>
    <row r="532" spans="1:31" x14ac:dyDescent="0.25">
      <c r="A532" s="76"/>
      <c r="B532" s="76"/>
      <c r="C532" s="77"/>
      <c r="D532" s="78"/>
      <c r="E532" s="79"/>
      <c r="F532" s="80"/>
      <c r="G532" s="78"/>
      <c r="H532" s="81"/>
      <c r="I532" s="78"/>
      <c r="J532" s="78"/>
      <c r="K532" s="78"/>
      <c r="L532" s="78"/>
      <c r="M532" s="81"/>
      <c r="N532" s="76"/>
      <c r="O532" s="82"/>
      <c r="P532" s="80"/>
      <c r="Q532" s="83"/>
      <c r="R532" s="80"/>
      <c r="S532" s="80"/>
      <c r="T532" s="80"/>
      <c r="U532" s="83"/>
      <c r="V532" s="80"/>
      <c r="W532" s="83"/>
      <c r="X532" s="80"/>
      <c r="Y532" s="80"/>
      <c r="Z532" s="80"/>
      <c r="AA532" s="80"/>
      <c r="AB532" s="80"/>
      <c r="AC532" s="80"/>
      <c r="AD532" s="80"/>
      <c r="AE532" s="80"/>
    </row>
    <row r="533" spans="1:31" x14ac:dyDescent="0.25">
      <c r="A533" s="76"/>
      <c r="B533" s="76"/>
      <c r="C533" s="77"/>
      <c r="D533" s="78"/>
      <c r="E533" s="79"/>
      <c r="F533" s="80"/>
      <c r="G533" s="78"/>
      <c r="H533" s="81"/>
      <c r="I533" s="78"/>
      <c r="J533" s="78"/>
      <c r="K533" s="78"/>
      <c r="L533" s="78"/>
      <c r="M533" s="81"/>
      <c r="N533" s="76"/>
      <c r="O533" s="82"/>
      <c r="P533" s="80"/>
      <c r="Q533" s="83"/>
      <c r="R533" s="80"/>
      <c r="S533" s="80"/>
      <c r="T533" s="80"/>
      <c r="U533" s="83"/>
      <c r="V533" s="80"/>
      <c r="W533" s="83"/>
      <c r="X533" s="80"/>
      <c r="Y533" s="80"/>
      <c r="Z533" s="80"/>
      <c r="AA533" s="80"/>
      <c r="AB533" s="80"/>
      <c r="AC533" s="80"/>
      <c r="AD533" s="80"/>
      <c r="AE533" s="80"/>
    </row>
    <row r="534" spans="1:31" x14ac:dyDescent="0.25">
      <c r="A534" s="76"/>
      <c r="B534" s="76"/>
      <c r="C534" s="77"/>
      <c r="D534" s="78"/>
      <c r="E534" s="79"/>
      <c r="F534" s="80"/>
      <c r="G534" s="78"/>
      <c r="H534" s="81"/>
      <c r="I534" s="78"/>
      <c r="J534" s="78"/>
      <c r="K534" s="78"/>
      <c r="L534" s="78"/>
      <c r="M534" s="81"/>
      <c r="N534" s="76"/>
      <c r="O534" s="82"/>
      <c r="P534" s="80"/>
      <c r="Q534" s="83"/>
      <c r="R534" s="80"/>
      <c r="S534" s="80"/>
      <c r="T534" s="80"/>
      <c r="U534" s="83"/>
      <c r="V534" s="80"/>
      <c r="W534" s="83"/>
      <c r="X534" s="80"/>
      <c r="Y534" s="80"/>
      <c r="Z534" s="80"/>
      <c r="AA534" s="80"/>
      <c r="AB534" s="80"/>
      <c r="AC534" s="80"/>
      <c r="AD534" s="80"/>
      <c r="AE534" s="80"/>
    </row>
    <row r="535" spans="1:31" x14ac:dyDescent="0.25">
      <c r="A535" s="76"/>
      <c r="B535" s="76"/>
      <c r="C535" s="77"/>
      <c r="D535" s="78"/>
      <c r="E535" s="79"/>
      <c r="F535" s="80"/>
      <c r="G535" s="78"/>
      <c r="H535" s="81"/>
      <c r="I535" s="78"/>
      <c r="J535" s="78"/>
      <c r="K535" s="78"/>
      <c r="L535" s="78"/>
      <c r="M535" s="81"/>
      <c r="N535" s="76"/>
      <c r="O535" s="82"/>
      <c r="P535" s="80"/>
      <c r="Q535" s="83"/>
      <c r="R535" s="80"/>
      <c r="S535" s="80"/>
      <c r="T535" s="80"/>
      <c r="U535" s="83"/>
      <c r="V535" s="80"/>
      <c r="W535" s="83"/>
      <c r="X535" s="80"/>
      <c r="Y535" s="80"/>
      <c r="Z535" s="80"/>
      <c r="AA535" s="80"/>
      <c r="AB535" s="80"/>
      <c r="AC535" s="80"/>
      <c r="AD535" s="80"/>
      <c r="AE535" s="80"/>
    </row>
    <row r="536" spans="1:31" x14ac:dyDescent="0.25">
      <c r="A536" s="76"/>
      <c r="B536" s="76"/>
      <c r="C536" s="77"/>
      <c r="D536" s="78"/>
      <c r="E536" s="79"/>
      <c r="F536" s="80"/>
      <c r="G536" s="78"/>
      <c r="H536" s="81"/>
      <c r="I536" s="78"/>
      <c r="J536" s="78"/>
      <c r="K536" s="78"/>
      <c r="L536" s="78"/>
      <c r="M536" s="81"/>
      <c r="N536" s="76"/>
      <c r="O536" s="82"/>
      <c r="P536" s="80"/>
      <c r="Q536" s="83"/>
      <c r="R536" s="80"/>
      <c r="S536" s="80"/>
      <c r="T536" s="80"/>
      <c r="U536" s="83"/>
      <c r="V536" s="80"/>
      <c r="W536" s="83"/>
      <c r="X536" s="80"/>
      <c r="Y536" s="80"/>
      <c r="Z536" s="80"/>
      <c r="AA536" s="80"/>
      <c r="AB536" s="80"/>
      <c r="AC536" s="80"/>
      <c r="AD536" s="80"/>
      <c r="AE536" s="80"/>
    </row>
    <row r="537" spans="1:31" x14ac:dyDescent="0.25">
      <c r="A537" s="76"/>
      <c r="B537" s="76"/>
      <c r="C537" s="77"/>
      <c r="D537" s="78"/>
      <c r="E537" s="79"/>
      <c r="F537" s="80"/>
      <c r="G537" s="78"/>
      <c r="H537" s="81"/>
      <c r="I537" s="78"/>
      <c r="J537" s="78"/>
      <c r="K537" s="78"/>
      <c r="L537" s="78"/>
      <c r="M537" s="81"/>
      <c r="N537" s="76"/>
      <c r="O537" s="82"/>
      <c r="P537" s="80"/>
      <c r="Q537" s="83"/>
      <c r="R537" s="80"/>
      <c r="S537" s="80"/>
      <c r="T537" s="80"/>
      <c r="U537" s="83"/>
      <c r="V537" s="80"/>
      <c r="W537" s="83"/>
      <c r="X537" s="80"/>
      <c r="Y537" s="80"/>
      <c r="Z537" s="80"/>
      <c r="AA537" s="80"/>
      <c r="AB537" s="80"/>
      <c r="AC537" s="80"/>
      <c r="AD537" s="80"/>
      <c r="AE537" s="80"/>
    </row>
    <row r="538" spans="1:31" x14ac:dyDescent="0.25">
      <c r="A538" s="76"/>
      <c r="B538" s="76"/>
      <c r="C538" s="77"/>
      <c r="D538" s="78"/>
      <c r="E538" s="79"/>
      <c r="F538" s="80"/>
      <c r="G538" s="78"/>
      <c r="H538" s="81"/>
      <c r="I538" s="78"/>
      <c r="J538" s="78"/>
      <c r="K538" s="78"/>
      <c r="L538" s="78"/>
      <c r="M538" s="81"/>
      <c r="N538" s="76"/>
      <c r="O538" s="82"/>
      <c r="P538" s="80"/>
      <c r="Q538" s="83"/>
      <c r="R538" s="80"/>
      <c r="S538" s="80"/>
      <c r="T538" s="80"/>
      <c r="U538" s="83"/>
      <c r="V538" s="80"/>
      <c r="W538" s="83"/>
      <c r="X538" s="80"/>
      <c r="Y538" s="80"/>
      <c r="Z538" s="80"/>
      <c r="AA538" s="80"/>
      <c r="AB538" s="80"/>
      <c r="AC538" s="80"/>
      <c r="AD538" s="80"/>
      <c r="AE538" s="80"/>
    </row>
    <row r="539" spans="1:31" x14ac:dyDescent="0.25">
      <c r="A539" s="76"/>
      <c r="B539" s="76"/>
      <c r="C539" s="77"/>
      <c r="D539" s="78"/>
      <c r="E539" s="79"/>
      <c r="F539" s="80"/>
      <c r="G539" s="78"/>
      <c r="H539" s="81"/>
      <c r="I539" s="78"/>
      <c r="J539" s="78"/>
      <c r="K539" s="78"/>
      <c r="L539" s="78"/>
      <c r="M539" s="81"/>
      <c r="N539" s="76"/>
      <c r="O539" s="82"/>
      <c r="P539" s="80"/>
      <c r="Q539" s="83"/>
      <c r="R539" s="80"/>
      <c r="S539" s="80"/>
      <c r="T539" s="80"/>
      <c r="U539" s="83"/>
      <c r="V539" s="80"/>
      <c r="W539" s="83"/>
      <c r="X539" s="80"/>
      <c r="Y539" s="80"/>
      <c r="Z539" s="80"/>
      <c r="AA539" s="80"/>
      <c r="AB539" s="80"/>
      <c r="AC539" s="80"/>
      <c r="AD539" s="80"/>
      <c r="AE539" s="80"/>
    </row>
    <row r="540" spans="1:31" x14ac:dyDescent="0.25">
      <c r="A540" s="76"/>
      <c r="B540" s="76"/>
      <c r="C540" s="77"/>
      <c r="D540" s="78"/>
      <c r="E540" s="79"/>
      <c r="F540" s="80"/>
      <c r="G540" s="78"/>
      <c r="H540" s="81"/>
      <c r="I540" s="78"/>
      <c r="J540" s="78"/>
      <c r="K540" s="78"/>
      <c r="L540" s="78"/>
      <c r="M540" s="81"/>
      <c r="N540" s="76"/>
      <c r="O540" s="82"/>
      <c r="P540" s="80"/>
      <c r="Q540" s="83"/>
      <c r="R540" s="80"/>
      <c r="S540" s="80"/>
      <c r="T540" s="80"/>
      <c r="U540" s="83"/>
      <c r="V540" s="80"/>
      <c r="W540" s="83"/>
      <c r="X540" s="80"/>
      <c r="Y540" s="80"/>
      <c r="Z540" s="80"/>
      <c r="AA540" s="80"/>
      <c r="AB540" s="80"/>
      <c r="AC540" s="80"/>
      <c r="AD540" s="80"/>
      <c r="AE540" s="80"/>
    </row>
    <row r="541" spans="1:31" x14ac:dyDescent="0.25">
      <c r="A541" s="76"/>
      <c r="B541" s="76"/>
      <c r="C541" s="77"/>
      <c r="D541" s="78"/>
      <c r="E541" s="79"/>
      <c r="F541" s="80"/>
      <c r="G541" s="78"/>
      <c r="H541" s="81"/>
      <c r="I541" s="78"/>
      <c r="J541" s="78"/>
      <c r="K541" s="78"/>
      <c r="L541" s="78"/>
      <c r="M541" s="81"/>
      <c r="N541" s="76"/>
      <c r="O541" s="82"/>
      <c r="P541" s="80"/>
      <c r="Q541" s="83"/>
      <c r="R541" s="80"/>
      <c r="S541" s="80"/>
      <c r="T541" s="80"/>
      <c r="U541" s="83"/>
      <c r="V541" s="80"/>
      <c r="W541" s="83"/>
      <c r="X541" s="80"/>
      <c r="Y541" s="80"/>
      <c r="Z541" s="80"/>
      <c r="AA541" s="80"/>
      <c r="AB541" s="80"/>
      <c r="AC541" s="80"/>
      <c r="AD541" s="80"/>
      <c r="AE541" s="80"/>
    </row>
    <row r="542" spans="1:31" x14ac:dyDescent="0.25">
      <c r="A542" s="76"/>
      <c r="B542" s="76"/>
      <c r="C542" s="77"/>
      <c r="D542" s="78"/>
      <c r="E542" s="79"/>
      <c r="F542" s="80"/>
      <c r="G542" s="78"/>
      <c r="H542" s="81"/>
      <c r="I542" s="78"/>
      <c r="J542" s="78"/>
      <c r="K542" s="78"/>
      <c r="L542" s="78"/>
      <c r="M542" s="81"/>
      <c r="N542" s="76"/>
      <c r="O542" s="82"/>
      <c r="P542" s="80"/>
      <c r="Q542" s="83"/>
      <c r="R542" s="80"/>
      <c r="S542" s="80"/>
      <c r="T542" s="80"/>
      <c r="U542" s="83"/>
      <c r="V542" s="80"/>
      <c r="W542" s="83"/>
      <c r="X542" s="80"/>
      <c r="Y542" s="80"/>
      <c r="Z542" s="80"/>
      <c r="AA542" s="80"/>
      <c r="AB542" s="80"/>
      <c r="AC542" s="80"/>
      <c r="AD542" s="80"/>
      <c r="AE542" s="80"/>
    </row>
    <row r="543" spans="1:31" x14ac:dyDescent="0.25">
      <c r="A543" s="76"/>
      <c r="B543" s="76"/>
      <c r="C543" s="77"/>
      <c r="D543" s="78"/>
      <c r="E543" s="79"/>
      <c r="F543" s="80"/>
      <c r="G543" s="78"/>
      <c r="H543" s="81"/>
      <c r="I543" s="78"/>
      <c r="J543" s="78"/>
      <c r="K543" s="78"/>
      <c r="L543" s="78"/>
      <c r="M543" s="81"/>
      <c r="N543" s="76"/>
      <c r="O543" s="82"/>
      <c r="P543" s="80"/>
      <c r="Q543" s="83"/>
      <c r="R543" s="80"/>
      <c r="S543" s="80"/>
      <c r="T543" s="80"/>
      <c r="U543" s="83"/>
      <c r="V543" s="80"/>
      <c r="W543" s="83"/>
      <c r="X543" s="80"/>
      <c r="Y543" s="80"/>
      <c r="Z543" s="80"/>
      <c r="AA543" s="80"/>
      <c r="AB543" s="80"/>
      <c r="AC543" s="80"/>
      <c r="AD543" s="80"/>
      <c r="AE543" s="80"/>
    </row>
    <row r="544" spans="1:31" x14ac:dyDescent="0.25">
      <c r="A544" s="76"/>
      <c r="B544" s="76"/>
      <c r="C544" s="77"/>
      <c r="D544" s="78"/>
      <c r="E544" s="79"/>
      <c r="F544" s="80"/>
      <c r="G544" s="78"/>
      <c r="H544" s="81"/>
      <c r="I544" s="78"/>
      <c r="J544" s="78"/>
      <c r="K544" s="78"/>
      <c r="L544" s="78"/>
      <c r="M544" s="81"/>
      <c r="N544" s="76"/>
      <c r="O544" s="82"/>
      <c r="P544" s="80"/>
      <c r="Q544" s="83"/>
      <c r="R544" s="80"/>
      <c r="S544" s="80"/>
      <c r="T544" s="80"/>
      <c r="U544" s="83"/>
      <c r="V544" s="80"/>
      <c r="W544" s="83"/>
      <c r="X544" s="80"/>
      <c r="Y544" s="80"/>
      <c r="Z544" s="80"/>
      <c r="AA544" s="80"/>
      <c r="AB544" s="80"/>
      <c r="AC544" s="80"/>
      <c r="AD544" s="80"/>
      <c r="AE544" s="80"/>
    </row>
    <row r="545" spans="1:31" x14ac:dyDescent="0.25">
      <c r="A545" s="76"/>
      <c r="B545" s="76"/>
      <c r="C545" s="77"/>
      <c r="D545" s="78"/>
      <c r="E545" s="79"/>
      <c r="F545" s="80"/>
      <c r="G545" s="78"/>
      <c r="H545" s="81"/>
      <c r="I545" s="78"/>
      <c r="J545" s="78"/>
      <c r="K545" s="78"/>
      <c r="L545" s="78"/>
      <c r="M545" s="81"/>
      <c r="N545" s="76"/>
      <c r="O545" s="82"/>
      <c r="P545" s="80"/>
      <c r="Q545" s="83"/>
      <c r="R545" s="80"/>
      <c r="S545" s="80"/>
      <c r="T545" s="80"/>
      <c r="U545" s="83"/>
      <c r="V545" s="80"/>
      <c r="W545" s="83"/>
      <c r="X545" s="80"/>
      <c r="Y545" s="80"/>
      <c r="Z545" s="80"/>
      <c r="AA545" s="80"/>
      <c r="AB545" s="80"/>
      <c r="AC545" s="80"/>
      <c r="AD545" s="80"/>
      <c r="AE545" s="80"/>
    </row>
    <row r="546" spans="1:31" x14ac:dyDescent="0.25">
      <c r="A546" s="76"/>
      <c r="B546" s="76"/>
      <c r="C546" s="77"/>
      <c r="D546" s="78"/>
      <c r="E546" s="79"/>
      <c r="F546" s="80"/>
      <c r="G546" s="78"/>
      <c r="H546" s="81"/>
      <c r="I546" s="78"/>
      <c r="J546" s="78"/>
      <c r="K546" s="78"/>
      <c r="L546" s="78"/>
      <c r="M546" s="81"/>
      <c r="N546" s="76"/>
      <c r="O546" s="82"/>
      <c r="P546" s="80"/>
      <c r="Q546" s="83"/>
      <c r="R546" s="80"/>
      <c r="S546" s="80"/>
      <c r="T546" s="80"/>
      <c r="U546" s="83"/>
      <c r="V546" s="80"/>
      <c r="W546" s="83"/>
      <c r="X546" s="80"/>
      <c r="Y546" s="80"/>
      <c r="Z546" s="80"/>
      <c r="AA546" s="80"/>
      <c r="AB546" s="80"/>
      <c r="AC546" s="80"/>
      <c r="AD546" s="80"/>
      <c r="AE546" s="80"/>
    </row>
    <row r="547" spans="1:31" x14ac:dyDescent="0.25">
      <c r="A547" s="76"/>
      <c r="B547" s="76"/>
      <c r="C547" s="77"/>
      <c r="D547" s="78"/>
      <c r="E547" s="79"/>
      <c r="F547" s="80"/>
      <c r="G547" s="78"/>
      <c r="H547" s="81"/>
      <c r="I547" s="78"/>
      <c r="J547" s="78"/>
      <c r="K547" s="78"/>
      <c r="L547" s="78"/>
      <c r="M547" s="81"/>
      <c r="N547" s="76"/>
      <c r="O547" s="82"/>
      <c r="P547" s="80"/>
      <c r="Q547" s="83"/>
      <c r="R547" s="80"/>
      <c r="S547" s="80"/>
      <c r="T547" s="80"/>
      <c r="U547" s="83"/>
      <c r="V547" s="80"/>
      <c r="W547" s="83"/>
      <c r="X547" s="80"/>
      <c r="Y547" s="80"/>
      <c r="Z547" s="80"/>
      <c r="AA547" s="80"/>
      <c r="AB547" s="80"/>
      <c r="AC547" s="80"/>
      <c r="AD547" s="80"/>
      <c r="AE547" s="80"/>
    </row>
    <row r="548" spans="1:31" x14ac:dyDescent="0.25">
      <c r="A548" s="76"/>
      <c r="B548" s="76"/>
      <c r="C548" s="77"/>
      <c r="D548" s="78"/>
      <c r="E548" s="79"/>
      <c r="F548" s="80"/>
      <c r="G548" s="78"/>
      <c r="H548" s="81"/>
      <c r="I548" s="78"/>
      <c r="J548" s="78"/>
      <c r="K548" s="78"/>
      <c r="L548" s="78"/>
      <c r="M548" s="81"/>
      <c r="N548" s="76"/>
      <c r="O548" s="82"/>
      <c r="P548" s="80"/>
      <c r="Q548" s="83"/>
      <c r="R548" s="80"/>
      <c r="S548" s="80"/>
      <c r="T548" s="80"/>
      <c r="U548" s="83"/>
      <c r="V548" s="80"/>
      <c r="W548" s="83"/>
      <c r="X548" s="80"/>
      <c r="Y548" s="80"/>
      <c r="Z548" s="80"/>
      <c r="AA548" s="80"/>
      <c r="AB548" s="80"/>
      <c r="AC548" s="80"/>
      <c r="AD548" s="80"/>
      <c r="AE548" s="80"/>
    </row>
    <row r="549" spans="1:31" x14ac:dyDescent="0.25">
      <c r="A549" s="76"/>
      <c r="B549" s="76"/>
      <c r="C549" s="77"/>
      <c r="D549" s="78"/>
      <c r="E549" s="79"/>
      <c r="F549" s="80"/>
      <c r="G549" s="78"/>
      <c r="H549" s="81"/>
      <c r="I549" s="78"/>
      <c r="J549" s="78"/>
      <c r="K549" s="78"/>
      <c r="L549" s="78"/>
      <c r="M549" s="81"/>
      <c r="N549" s="76"/>
      <c r="O549" s="82"/>
      <c r="P549" s="80"/>
      <c r="Q549" s="83"/>
      <c r="R549" s="80"/>
      <c r="S549" s="80"/>
      <c r="T549" s="80"/>
      <c r="U549" s="83"/>
      <c r="V549" s="80"/>
      <c r="W549" s="83"/>
      <c r="X549" s="80"/>
      <c r="Y549" s="80"/>
      <c r="Z549" s="80"/>
      <c r="AA549" s="80"/>
      <c r="AB549" s="80"/>
      <c r="AC549" s="80"/>
      <c r="AD549" s="80"/>
      <c r="AE549" s="80"/>
    </row>
    <row r="550" spans="1:31" x14ac:dyDescent="0.25">
      <c r="A550" s="76"/>
      <c r="B550" s="76"/>
      <c r="C550" s="77"/>
      <c r="D550" s="78"/>
      <c r="E550" s="79"/>
      <c r="F550" s="80"/>
      <c r="G550" s="78"/>
      <c r="H550" s="81"/>
      <c r="I550" s="78"/>
      <c r="J550" s="78"/>
      <c r="K550" s="78"/>
      <c r="L550" s="78"/>
      <c r="M550" s="81"/>
      <c r="N550" s="76"/>
      <c r="O550" s="82"/>
      <c r="P550" s="80"/>
      <c r="Q550" s="83"/>
      <c r="R550" s="80"/>
      <c r="S550" s="80"/>
      <c r="T550" s="80"/>
      <c r="U550" s="83"/>
      <c r="V550" s="80"/>
      <c r="W550" s="83"/>
      <c r="X550" s="80"/>
      <c r="Y550" s="80"/>
      <c r="Z550" s="80"/>
      <c r="AA550" s="80"/>
      <c r="AB550" s="80"/>
      <c r="AC550" s="80"/>
      <c r="AD550" s="80"/>
      <c r="AE550" s="80"/>
    </row>
    <row r="551" spans="1:31" x14ac:dyDescent="0.25">
      <c r="A551" s="76"/>
      <c r="B551" s="76"/>
      <c r="C551" s="77"/>
      <c r="D551" s="78"/>
      <c r="E551" s="79"/>
      <c r="F551" s="80"/>
      <c r="G551" s="78"/>
      <c r="H551" s="81"/>
      <c r="I551" s="78"/>
      <c r="J551" s="78"/>
      <c r="K551" s="78"/>
      <c r="L551" s="78"/>
      <c r="M551" s="81"/>
      <c r="N551" s="76"/>
      <c r="O551" s="82"/>
      <c r="P551" s="80"/>
      <c r="Q551" s="83"/>
      <c r="R551" s="80"/>
      <c r="S551" s="80"/>
      <c r="T551" s="80"/>
      <c r="U551" s="83"/>
      <c r="V551" s="80"/>
      <c r="W551" s="83"/>
      <c r="X551" s="80"/>
      <c r="Y551" s="80"/>
      <c r="Z551" s="80"/>
      <c r="AA551" s="80"/>
      <c r="AB551" s="80"/>
      <c r="AC551" s="80"/>
      <c r="AD551" s="80"/>
      <c r="AE551" s="80"/>
    </row>
    <row r="552" spans="1:31" x14ac:dyDescent="0.25">
      <c r="A552" s="76"/>
      <c r="B552" s="76"/>
      <c r="C552" s="77"/>
      <c r="D552" s="78"/>
      <c r="E552" s="79"/>
      <c r="F552" s="80"/>
      <c r="G552" s="78"/>
      <c r="H552" s="81"/>
      <c r="I552" s="78"/>
      <c r="J552" s="78"/>
      <c r="K552" s="78"/>
      <c r="L552" s="78"/>
      <c r="M552" s="81"/>
      <c r="N552" s="76"/>
      <c r="O552" s="82"/>
      <c r="P552" s="80"/>
      <c r="Q552" s="83"/>
      <c r="R552" s="80"/>
      <c r="S552" s="80"/>
      <c r="T552" s="80"/>
      <c r="U552" s="83"/>
      <c r="V552" s="80"/>
      <c r="W552" s="83"/>
      <c r="X552" s="80"/>
      <c r="Y552" s="80"/>
      <c r="Z552" s="80"/>
      <c r="AA552" s="80"/>
      <c r="AB552" s="80"/>
      <c r="AC552" s="80"/>
      <c r="AD552" s="80"/>
      <c r="AE552" s="80"/>
    </row>
    <row r="553" spans="1:31" x14ac:dyDescent="0.25">
      <c r="A553" s="76"/>
      <c r="B553" s="76"/>
      <c r="C553" s="77"/>
      <c r="D553" s="78"/>
      <c r="E553" s="79"/>
      <c r="F553" s="80"/>
      <c r="G553" s="78"/>
      <c r="H553" s="81"/>
      <c r="I553" s="78"/>
      <c r="J553" s="78"/>
      <c r="K553" s="78"/>
      <c r="L553" s="78"/>
      <c r="M553" s="81"/>
      <c r="N553" s="76"/>
      <c r="O553" s="82"/>
      <c r="P553" s="80"/>
      <c r="Q553" s="83"/>
      <c r="R553" s="80"/>
      <c r="S553" s="80"/>
      <c r="T553" s="80"/>
      <c r="U553" s="83"/>
      <c r="V553" s="80"/>
      <c r="W553" s="83"/>
      <c r="X553" s="80"/>
      <c r="Y553" s="80"/>
      <c r="Z553" s="80"/>
      <c r="AA553" s="80"/>
      <c r="AB553" s="80"/>
      <c r="AC553" s="80"/>
      <c r="AD553" s="80"/>
      <c r="AE553" s="80"/>
    </row>
    <row r="554" spans="1:31" x14ac:dyDescent="0.25">
      <c r="A554" s="76"/>
      <c r="B554" s="76"/>
      <c r="C554" s="77"/>
      <c r="D554" s="78"/>
      <c r="E554" s="79"/>
      <c r="F554" s="80"/>
      <c r="G554" s="78"/>
      <c r="H554" s="81"/>
      <c r="I554" s="78"/>
      <c r="J554" s="78"/>
      <c r="K554" s="78"/>
      <c r="L554" s="78"/>
      <c r="M554" s="81"/>
      <c r="N554" s="76"/>
      <c r="O554" s="82"/>
      <c r="P554" s="80"/>
      <c r="Q554" s="83"/>
      <c r="R554" s="80"/>
      <c r="S554" s="80"/>
      <c r="T554" s="80"/>
      <c r="U554" s="83"/>
      <c r="V554" s="80"/>
      <c r="W554" s="83"/>
      <c r="X554" s="80"/>
      <c r="Y554" s="80"/>
      <c r="Z554" s="80"/>
      <c r="AA554" s="80"/>
      <c r="AB554" s="80"/>
      <c r="AC554" s="80"/>
      <c r="AD554" s="80"/>
      <c r="AE554" s="80"/>
    </row>
    <row r="555" spans="1:31" x14ac:dyDescent="0.25">
      <c r="A555" s="76"/>
      <c r="B555" s="76"/>
      <c r="C555" s="77"/>
      <c r="D555" s="78"/>
      <c r="E555" s="79"/>
      <c r="F555" s="80"/>
      <c r="G555" s="78"/>
      <c r="H555" s="81"/>
      <c r="I555" s="78"/>
      <c r="J555" s="78"/>
      <c r="K555" s="78"/>
      <c r="L555" s="78"/>
      <c r="M555" s="81"/>
      <c r="N555" s="76"/>
      <c r="O555" s="82"/>
      <c r="P555" s="80"/>
      <c r="Q555" s="83"/>
      <c r="R555" s="80"/>
      <c r="S555" s="80"/>
      <c r="T555" s="80"/>
      <c r="U555" s="83"/>
      <c r="V555" s="80"/>
      <c r="W555" s="83"/>
      <c r="X555" s="80"/>
      <c r="Y555" s="80"/>
      <c r="Z555" s="80"/>
      <c r="AA555" s="80"/>
      <c r="AB555" s="80"/>
      <c r="AC555" s="80"/>
      <c r="AD555" s="80"/>
      <c r="AE555" s="80"/>
    </row>
    <row r="556" spans="1:31" x14ac:dyDescent="0.25">
      <c r="A556" s="76"/>
      <c r="B556" s="76"/>
      <c r="C556" s="77"/>
      <c r="D556" s="78"/>
      <c r="E556" s="79"/>
      <c r="F556" s="80"/>
      <c r="G556" s="78"/>
      <c r="H556" s="81"/>
      <c r="I556" s="78"/>
      <c r="J556" s="78"/>
      <c r="K556" s="78"/>
      <c r="L556" s="78"/>
      <c r="M556" s="81"/>
      <c r="N556" s="76"/>
      <c r="O556" s="82"/>
      <c r="P556" s="80"/>
      <c r="Q556" s="83"/>
      <c r="R556" s="80"/>
      <c r="S556" s="80"/>
      <c r="T556" s="80"/>
      <c r="U556" s="83"/>
      <c r="V556" s="80"/>
      <c r="W556" s="83"/>
      <c r="X556" s="80"/>
      <c r="Y556" s="80"/>
      <c r="Z556" s="80"/>
      <c r="AA556" s="80"/>
      <c r="AB556" s="80"/>
      <c r="AC556" s="80"/>
      <c r="AD556" s="80"/>
      <c r="AE556" s="80"/>
    </row>
    <row r="557" spans="1:31" x14ac:dyDescent="0.25">
      <c r="A557" s="76"/>
      <c r="B557" s="76"/>
      <c r="C557" s="77"/>
      <c r="D557" s="78"/>
      <c r="E557" s="79"/>
      <c r="F557" s="80"/>
      <c r="G557" s="78"/>
      <c r="H557" s="81"/>
      <c r="I557" s="78"/>
      <c r="J557" s="78"/>
      <c r="K557" s="78"/>
      <c r="L557" s="78"/>
      <c r="M557" s="81"/>
      <c r="N557" s="76"/>
      <c r="O557" s="82"/>
      <c r="P557" s="80"/>
      <c r="Q557" s="83"/>
      <c r="R557" s="80"/>
      <c r="S557" s="80"/>
      <c r="T557" s="80"/>
      <c r="U557" s="83"/>
      <c r="V557" s="80"/>
      <c r="W557" s="83"/>
      <c r="X557" s="80"/>
      <c r="Y557" s="80"/>
      <c r="Z557" s="80"/>
      <c r="AA557" s="80"/>
      <c r="AB557" s="80"/>
      <c r="AC557" s="80"/>
      <c r="AD557" s="80"/>
      <c r="AE557" s="80"/>
    </row>
    <row r="558" spans="1:31" x14ac:dyDescent="0.25">
      <c r="A558" s="76"/>
      <c r="B558" s="76"/>
      <c r="C558" s="77"/>
      <c r="D558" s="78"/>
      <c r="E558" s="79"/>
      <c r="F558" s="80"/>
      <c r="G558" s="78"/>
      <c r="H558" s="81"/>
      <c r="I558" s="78"/>
      <c r="J558" s="78"/>
      <c r="K558" s="78"/>
      <c r="L558" s="78"/>
      <c r="M558" s="81"/>
      <c r="N558" s="76"/>
      <c r="O558" s="82"/>
      <c r="P558" s="80"/>
      <c r="Q558" s="83"/>
      <c r="R558" s="80"/>
      <c r="S558" s="80"/>
      <c r="T558" s="80"/>
      <c r="U558" s="83"/>
      <c r="V558" s="80"/>
      <c r="W558" s="83"/>
      <c r="X558" s="80"/>
      <c r="Y558" s="80"/>
      <c r="Z558" s="80"/>
      <c r="AA558" s="80"/>
      <c r="AB558" s="80"/>
      <c r="AC558" s="80"/>
      <c r="AD558" s="80"/>
      <c r="AE558" s="80"/>
    </row>
    <row r="559" spans="1:31" x14ac:dyDescent="0.25">
      <c r="A559" s="76"/>
      <c r="B559" s="76"/>
      <c r="C559" s="77"/>
      <c r="D559" s="78"/>
      <c r="E559" s="79"/>
      <c r="F559" s="80"/>
      <c r="G559" s="78"/>
      <c r="H559" s="81"/>
      <c r="I559" s="78"/>
      <c r="J559" s="78"/>
      <c r="K559" s="78"/>
      <c r="L559" s="78"/>
      <c r="M559" s="81"/>
      <c r="N559" s="76"/>
      <c r="O559" s="82"/>
      <c r="P559" s="80"/>
      <c r="Q559" s="83"/>
      <c r="R559" s="80"/>
      <c r="S559" s="80"/>
      <c r="T559" s="80"/>
      <c r="U559" s="83"/>
      <c r="V559" s="80"/>
      <c r="W559" s="83"/>
      <c r="X559" s="80"/>
      <c r="Y559" s="80"/>
      <c r="Z559" s="80"/>
      <c r="AA559" s="80"/>
      <c r="AB559" s="80"/>
      <c r="AC559" s="80"/>
      <c r="AD559" s="80"/>
      <c r="AE559" s="80"/>
    </row>
    <row r="560" spans="1:31" x14ac:dyDescent="0.25">
      <c r="A560" s="76"/>
      <c r="B560" s="76"/>
      <c r="C560" s="77"/>
      <c r="D560" s="78"/>
      <c r="E560" s="79"/>
      <c r="F560" s="80"/>
      <c r="G560" s="78"/>
      <c r="H560" s="81"/>
      <c r="I560" s="78"/>
      <c r="J560" s="78"/>
      <c r="K560" s="78"/>
      <c r="L560" s="78"/>
      <c r="M560" s="81"/>
      <c r="N560" s="76"/>
      <c r="O560" s="82"/>
      <c r="P560" s="80"/>
      <c r="Q560" s="83"/>
      <c r="R560" s="80"/>
      <c r="S560" s="80"/>
      <c r="T560" s="80"/>
      <c r="U560" s="83"/>
      <c r="V560" s="80"/>
      <c r="W560" s="83"/>
      <c r="X560" s="80"/>
      <c r="Y560" s="80"/>
      <c r="Z560" s="80"/>
      <c r="AA560" s="80"/>
      <c r="AB560" s="80"/>
      <c r="AC560" s="80"/>
      <c r="AD560" s="80"/>
      <c r="AE560" s="80"/>
    </row>
    <row r="561" spans="1:31" x14ac:dyDescent="0.25">
      <c r="A561" s="76"/>
      <c r="B561" s="76"/>
      <c r="C561" s="77"/>
      <c r="D561" s="78"/>
      <c r="E561" s="79"/>
      <c r="F561" s="80"/>
      <c r="G561" s="78"/>
      <c r="H561" s="81"/>
      <c r="I561" s="78"/>
      <c r="J561" s="78"/>
      <c r="K561" s="78"/>
      <c r="L561" s="78"/>
      <c r="M561" s="81"/>
      <c r="N561" s="76"/>
      <c r="O561" s="82"/>
      <c r="P561" s="80"/>
      <c r="Q561" s="83"/>
      <c r="R561" s="80"/>
      <c r="S561" s="80"/>
      <c r="T561" s="80"/>
      <c r="U561" s="83"/>
      <c r="V561" s="80"/>
      <c r="W561" s="83"/>
      <c r="X561" s="80"/>
      <c r="Y561" s="80"/>
      <c r="Z561" s="80"/>
      <c r="AA561" s="80"/>
      <c r="AB561" s="80"/>
      <c r="AC561" s="80"/>
      <c r="AD561" s="80"/>
      <c r="AE561" s="80"/>
    </row>
    <row r="562" spans="1:31" x14ac:dyDescent="0.25">
      <c r="A562" s="76"/>
      <c r="B562" s="76"/>
      <c r="C562" s="77"/>
      <c r="D562" s="78"/>
      <c r="E562" s="79"/>
      <c r="F562" s="80"/>
      <c r="G562" s="78"/>
      <c r="H562" s="81"/>
      <c r="I562" s="78"/>
      <c r="J562" s="78"/>
      <c r="K562" s="78"/>
      <c r="L562" s="78"/>
      <c r="M562" s="81"/>
      <c r="N562" s="76"/>
      <c r="O562" s="82"/>
      <c r="P562" s="80"/>
      <c r="Q562" s="83"/>
      <c r="R562" s="80"/>
      <c r="S562" s="80"/>
      <c r="T562" s="80"/>
      <c r="U562" s="83"/>
      <c r="V562" s="80"/>
      <c r="W562" s="83"/>
      <c r="X562" s="80"/>
      <c r="Y562" s="80"/>
      <c r="Z562" s="80"/>
      <c r="AA562" s="80"/>
      <c r="AB562" s="80"/>
      <c r="AC562" s="80"/>
      <c r="AD562" s="80"/>
      <c r="AE562" s="80"/>
    </row>
    <row r="563" spans="1:31" x14ac:dyDescent="0.25">
      <c r="A563" s="76"/>
      <c r="B563" s="76"/>
      <c r="C563" s="77"/>
      <c r="D563" s="78"/>
      <c r="E563" s="79"/>
      <c r="F563" s="80"/>
      <c r="G563" s="78"/>
      <c r="H563" s="81"/>
      <c r="I563" s="78"/>
      <c r="J563" s="78"/>
      <c r="K563" s="78"/>
      <c r="L563" s="78"/>
      <c r="M563" s="81"/>
      <c r="N563" s="76"/>
      <c r="O563" s="82"/>
      <c r="P563" s="80"/>
      <c r="Q563" s="83"/>
      <c r="R563" s="80"/>
      <c r="S563" s="80"/>
      <c r="T563" s="80"/>
      <c r="U563" s="83"/>
      <c r="V563" s="80"/>
      <c r="W563" s="83"/>
      <c r="X563" s="80"/>
      <c r="Y563" s="80"/>
      <c r="Z563" s="80"/>
      <c r="AA563" s="80"/>
      <c r="AB563" s="80"/>
      <c r="AC563" s="80"/>
      <c r="AD563" s="80"/>
      <c r="AE563" s="80"/>
    </row>
    <row r="564" spans="1:31" x14ac:dyDescent="0.25">
      <c r="A564" s="76"/>
      <c r="B564" s="76"/>
      <c r="C564" s="77"/>
      <c r="D564" s="78"/>
      <c r="E564" s="79"/>
      <c r="F564" s="80"/>
      <c r="G564" s="78"/>
      <c r="H564" s="81"/>
      <c r="I564" s="78"/>
      <c r="J564" s="78"/>
      <c r="K564" s="78"/>
      <c r="L564" s="78"/>
      <c r="M564" s="81"/>
      <c r="N564" s="76"/>
      <c r="O564" s="82"/>
      <c r="P564" s="80"/>
      <c r="Q564" s="83"/>
      <c r="R564" s="80"/>
      <c r="S564" s="80"/>
      <c r="T564" s="80"/>
      <c r="U564" s="83"/>
      <c r="V564" s="80"/>
      <c r="W564" s="83"/>
      <c r="X564" s="80"/>
      <c r="Y564" s="80"/>
      <c r="Z564" s="80"/>
      <c r="AA564" s="80"/>
      <c r="AB564" s="80"/>
      <c r="AC564" s="80"/>
      <c r="AD564" s="80"/>
      <c r="AE564" s="80"/>
    </row>
    <row r="565" spans="1:31" x14ac:dyDescent="0.25">
      <c r="A565" s="76"/>
      <c r="B565" s="76"/>
      <c r="C565" s="77"/>
      <c r="D565" s="78"/>
      <c r="E565" s="79"/>
      <c r="F565" s="80"/>
      <c r="G565" s="78"/>
      <c r="H565" s="81"/>
      <c r="I565" s="78"/>
      <c r="J565" s="78"/>
      <c r="K565" s="78"/>
      <c r="L565" s="78"/>
      <c r="M565" s="81"/>
      <c r="N565" s="76"/>
      <c r="O565" s="82"/>
      <c r="P565" s="80"/>
      <c r="Q565" s="83"/>
      <c r="R565" s="80"/>
      <c r="S565" s="80"/>
      <c r="T565" s="80"/>
      <c r="U565" s="83"/>
      <c r="V565" s="80"/>
      <c r="W565" s="83"/>
      <c r="X565" s="80"/>
      <c r="Y565" s="80"/>
      <c r="Z565" s="80"/>
      <c r="AA565" s="80"/>
      <c r="AB565" s="80"/>
      <c r="AC565" s="80"/>
      <c r="AD565" s="80"/>
      <c r="AE565" s="80"/>
    </row>
    <row r="566" spans="1:31" x14ac:dyDescent="0.25">
      <c r="A566" s="76"/>
      <c r="B566" s="76"/>
      <c r="C566" s="77"/>
      <c r="D566" s="78"/>
      <c r="E566" s="79"/>
      <c r="F566" s="80"/>
      <c r="G566" s="78"/>
      <c r="H566" s="81"/>
      <c r="I566" s="78"/>
      <c r="J566" s="78"/>
      <c r="K566" s="78"/>
      <c r="L566" s="78"/>
      <c r="M566" s="81"/>
      <c r="N566" s="76"/>
      <c r="O566" s="82"/>
      <c r="P566" s="80"/>
      <c r="Q566" s="83"/>
      <c r="R566" s="80"/>
      <c r="S566" s="80"/>
      <c r="T566" s="80"/>
      <c r="U566" s="83"/>
      <c r="V566" s="80"/>
      <c r="W566" s="83"/>
      <c r="X566" s="80"/>
      <c r="Y566" s="80"/>
      <c r="Z566" s="80"/>
      <c r="AA566" s="80"/>
      <c r="AB566" s="80"/>
      <c r="AC566" s="80"/>
      <c r="AD566" s="80"/>
      <c r="AE566" s="80"/>
    </row>
    <row r="567" spans="1:31" x14ac:dyDescent="0.25">
      <c r="A567" s="76"/>
      <c r="B567" s="76"/>
      <c r="C567" s="77"/>
      <c r="D567" s="78"/>
      <c r="E567" s="79"/>
      <c r="F567" s="80"/>
      <c r="G567" s="78"/>
      <c r="H567" s="81"/>
      <c r="I567" s="78"/>
      <c r="J567" s="78"/>
      <c r="K567" s="78"/>
      <c r="L567" s="78"/>
      <c r="M567" s="81"/>
      <c r="N567" s="76"/>
      <c r="O567" s="82"/>
      <c r="P567" s="80"/>
      <c r="Q567" s="83"/>
      <c r="R567" s="80"/>
      <c r="S567" s="80"/>
      <c r="T567" s="80"/>
      <c r="U567" s="83"/>
      <c r="V567" s="80"/>
      <c r="W567" s="83"/>
      <c r="X567" s="80"/>
      <c r="Y567" s="80"/>
      <c r="Z567" s="80"/>
      <c r="AA567" s="80"/>
      <c r="AB567" s="80"/>
      <c r="AC567" s="80"/>
      <c r="AD567" s="80"/>
      <c r="AE567" s="80"/>
    </row>
    <row r="568" spans="1:31" x14ac:dyDescent="0.25">
      <c r="A568" s="76"/>
      <c r="B568" s="76"/>
      <c r="C568" s="77"/>
      <c r="D568" s="78"/>
      <c r="E568" s="79"/>
      <c r="F568" s="80"/>
      <c r="G568" s="78"/>
      <c r="H568" s="81"/>
      <c r="I568" s="78"/>
      <c r="J568" s="78"/>
      <c r="K568" s="78"/>
      <c r="L568" s="78"/>
      <c r="M568" s="81"/>
      <c r="N568" s="76"/>
      <c r="O568" s="82"/>
      <c r="P568" s="80"/>
      <c r="Q568" s="83"/>
      <c r="R568" s="80"/>
      <c r="S568" s="80"/>
      <c r="T568" s="80"/>
      <c r="U568" s="83"/>
      <c r="V568" s="80"/>
      <c r="W568" s="83"/>
      <c r="X568" s="80"/>
      <c r="Y568" s="80"/>
      <c r="Z568" s="80"/>
      <c r="AA568" s="80"/>
      <c r="AB568" s="80"/>
      <c r="AC568" s="80"/>
      <c r="AD568" s="80"/>
      <c r="AE568" s="80"/>
    </row>
    <row r="569" spans="1:31" x14ac:dyDescent="0.25">
      <c r="A569" s="76"/>
      <c r="B569" s="76"/>
      <c r="C569" s="77"/>
      <c r="D569" s="78"/>
      <c r="E569" s="79"/>
      <c r="F569" s="80"/>
      <c r="G569" s="78"/>
      <c r="H569" s="81"/>
      <c r="I569" s="78"/>
      <c r="J569" s="78"/>
      <c r="K569" s="78"/>
      <c r="L569" s="78"/>
      <c r="M569" s="81"/>
      <c r="N569" s="76"/>
      <c r="O569" s="82"/>
      <c r="P569" s="80"/>
      <c r="Q569" s="83"/>
      <c r="R569" s="80"/>
      <c r="S569" s="80"/>
      <c r="T569" s="80"/>
      <c r="U569" s="83"/>
      <c r="V569" s="80"/>
      <c r="W569" s="83"/>
      <c r="X569" s="80"/>
      <c r="Y569" s="80"/>
      <c r="Z569" s="80"/>
      <c r="AA569" s="80"/>
      <c r="AB569" s="80"/>
      <c r="AC569" s="80"/>
      <c r="AD569" s="80"/>
      <c r="AE569" s="80"/>
    </row>
    <row r="570" spans="1:31" x14ac:dyDescent="0.25">
      <c r="A570" s="76"/>
      <c r="B570" s="76"/>
      <c r="C570" s="77"/>
      <c r="D570" s="78"/>
      <c r="E570" s="79"/>
      <c r="F570" s="80"/>
      <c r="G570" s="78"/>
      <c r="H570" s="81"/>
      <c r="I570" s="78"/>
      <c r="J570" s="78"/>
      <c r="K570" s="78"/>
      <c r="L570" s="78"/>
      <c r="M570" s="81"/>
      <c r="N570" s="76"/>
      <c r="O570" s="82"/>
      <c r="P570" s="80"/>
      <c r="Q570" s="83"/>
      <c r="R570" s="80"/>
      <c r="S570" s="80"/>
      <c r="T570" s="80"/>
      <c r="U570" s="83"/>
      <c r="V570" s="80"/>
      <c r="W570" s="83"/>
      <c r="X570" s="80"/>
      <c r="Y570" s="80"/>
      <c r="Z570" s="80"/>
      <c r="AA570" s="80"/>
      <c r="AB570" s="80"/>
      <c r="AC570" s="80"/>
      <c r="AD570" s="80"/>
      <c r="AE570" s="80"/>
    </row>
    <row r="571" spans="1:31" x14ac:dyDescent="0.25">
      <c r="A571" s="76"/>
      <c r="B571" s="76"/>
      <c r="C571" s="77"/>
      <c r="D571" s="78"/>
      <c r="E571" s="79"/>
      <c r="F571" s="80"/>
      <c r="G571" s="78"/>
      <c r="H571" s="81"/>
      <c r="I571" s="78"/>
      <c r="J571" s="78"/>
      <c r="K571" s="78"/>
      <c r="L571" s="78"/>
      <c r="M571" s="81"/>
      <c r="N571" s="76"/>
      <c r="O571" s="82"/>
      <c r="P571" s="80"/>
      <c r="Q571" s="83"/>
      <c r="R571" s="80"/>
      <c r="S571" s="80"/>
      <c r="T571" s="80"/>
      <c r="U571" s="83"/>
      <c r="V571" s="80"/>
      <c r="W571" s="83"/>
      <c r="X571" s="80"/>
      <c r="Y571" s="80"/>
      <c r="Z571" s="80"/>
      <c r="AA571" s="80"/>
      <c r="AB571" s="80"/>
      <c r="AC571" s="80"/>
      <c r="AD571" s="80"/>
      <c r="AE571" s="80"/>
    </row>
    <row r="572" spans="1:31" x14ac:dyDescent="0.25">
      <c r="A572" s="76"/>
      <c r="B572" s="76"/>
      <c r="C572" s="77"/>
      <c r="D572" s="78"/>
      <c r="E572" s="79"/>
      <c r="F572" s="80"/>
      <c r="G572" s="78"/>
      <c r="H572" s="81"/>
      <c r="I572" s="78"/>
      <c r="J572" s="78"/>
      <c r="K572" s="78"/>
      <c r="L572" s="78"/>
      <c r="M572" s="81"/>
      <c r="N572" s="76"/>
      <c r="O572" s="82"/>
      <c r="P572" s="80"/>
      <c r="Q572" s="83"/>
      <c r="R572" s="80"/>
      <c r="S572" s="80"/>
      <c r="T572" s="80"/>
      <c r="U572" s="83"/>
      <c r="V572" s="80"/>
      <c r="W572" s="83"/>
      <c r="X572" s="80"/>
      <c r="Y572" s="80"/>
      <c r="Z572" s="80"/>
      <c r="AA572" s="80"/>
      <c r="AB572" s="80"/>
      <c r="AC572" s="80"/>
      <c r="AD572" s="80"/>
      <c r="AE572" s="80"/>
    </row>
    <row r="573" spans="1:31" x14ac:dyDescent="0.25">
      <c r="A573" s="76"/>
      <c r="B573" s="76"/>
      <c r="C573" s="77"/>
      <c r="D573" s="78"/>
      <c r="E573" s="79"/>
      <c r="F573" s="80"/>
      <c r="G573" s="78"/>
      <c r="H573" s="81"/>
      <c r="I573" s="78"/>
      <c r="J573" s="78"/>
      <c r="K573" s="78"/>
      <c r="L573" s="78"/>
      <c r="M573" s="81"/>
      <c r="N573" s="76"/>
      <c r="O573" s="82"/>
      <c r="P573" s="80"/>
      <c r="Q573" s="83"/>
      <c r="R573" s="80"/>
      <c r="S573" s="80"/>
      <c r="T573" s="80"/>
      <c r="U573" s="83"/>
      <c r="V573" s="80"/>
      <c r="W573" s="83"/>
      <c r="X573" s="80"/>
      <c r="Y573" s="80"/>
      <c r="Z573" s="80"/>
      <c r="AA573" s="80"/>
      <c r="AB573" s="80"/>
      <c r="AC573" s="80"/>
      <c r="AD573" s="80"/>
      <c r="AE573" s="80"/>
    </row>
    <row r="574" spans="1:31" x14ac:dyDescent="0.25">
      <c r="A574" s="76"/>
      <c r="B574" s="76"/>
      <c r="C574" s="77"/>
      <c r="D574" s="78"/>
      <c r="E574" s="79"/>
      <c r="F574" s="80"/>
      <c r="G574" s="78"/>
      <c r="H574" s="81"/>
      <c r="I574" s="78"/>
      <c r="J574" s="78"/>
      <c r="K574" s="78"/>
      <c r="L574" s="78"/>
      <c r="M574" s="81"/>
      <c r="N574" s="76"/>
      <c r="O574" s="82"/>
      <c r="P574" s="80"/>
      <c r="Q574" s="83"/>
      <c r="R574" s="80"/>
      <c r="S574" s="80"/>
      <c r="T574" s="80"/>
      <c r="U574" s="83"/>
      <c r="V574" s="80"/>
      <c r="W574" s="83"/>
      <c r="X574" s="80"/>
      <c r="Y574" s="80"/>
      <c r="Z574" s="80"/>
      <c r="AA574" s="80"/>
      <c r="AB574" s="80"/>
      <c r="AC574" s="80"/>
      <c r="AD574" s="80"/>
      <c r="AE574" s="80"/>
    </row>
    <row r="575" spans="1:31" x14ac:dyDescent="0.25">
      <c r="A575" s="76"/>
      <c r="B575" s="76"/>
      <c r="C575" s="77"/>
      <c r="D575" s="78"/>
      <c r="E575" s="79"/>
      <c r="F575" s="80"/>
      <c r="G575" s="78"/>
      <c r="H575" s="81"/>
      <c r="I575" s="78"/>
      <c r="J575" s="78"/>
      <c r="K575" s="78"/>
      <c r="L575" s="78"/>
      <c r="M575" s="81"/>
      <c r="N575" s="76"/>
      <c r="O575" s="82"/>
      <c r="P575" s="80"/>
      <c r="Q575" s="83"/>
      <c r="R575" s="80"/>
      <c r="S575" s="80"/>
      <c r="T575" s="80"/>
      <c r="U575" s="83"/>
      <c r="V575" s="80"/>
      <c r="W575" s="83"/>
      <c r="X575" s="80"/>
      <c r="Y575" s="80"/>
      <c r="Z575" s="80"/>
      <c r="AA575" s="80"/>
      <c r="AB575" s="80"/>
      <c r="AC575" s="80"/>
      <c r="AD575" s="80"/>
      <c r="AE575" s="80"/>
    </row>
    <row r="576" spans="1:31" x14ac:dyDescent="0.25">
      <c r="A576" s="76"/>
      <c r="B576" s="76"/>
      <c r="C576" s="77"/>
      <c r="D576" s="78"/>
      <c r="E576" s="79"/>
      <c r="F576" s="80"/>
      <c r="G576" s="78"/>
      <c r="H576" s="81"/>
      <c r="I576" s="78"/>
      <c r="J576" s="78"/>
      <c r="K576" s="78"/>
      <c r="L576" s="78"/>
      <c r="M576" s="81"/>
      <c r="N576" s="76"/>
      <c r="O576" s="82"/>
      <c r="P576" s="80"/>
      <c r="Q576" s="83"/>
      <c r="R576" s="80"/>
      <c r="S576" s="80"/>
      <c r="T576" s="80"/>
      <c r="U576" s="83"/>
      <c r="V576" s="80"/>
      <c r="W576" s="83"/>
      <c r="X576" s="80"/>
      <c r="Y576" s="80"/>
      <c r="Z576" s="80"/>
      <c r="AA576" s="80"/>
      <c r="AB576" s="80"/>
      <c r="AC576" s="80"/>
      <c r="AD576" s="80"/>
      <c r="AE576" s="80"/>
    </row>
    <row r="577" spans="1:31" x14ac:dyDescent="0.25">
      <c r="A577" s="76"/>
      <c r="B577" s="76"/>
      <c r="C577" s="77"/>
      <c r="D577" s="78"/>
      <c r="E577" s="79"/>
      <c r="F577" s="80"/>
      <c r="G577" s="78"/>
      <c r="H577" s="81"/>
      <c r="I577" s="78"/>
      <c r="J577" s="78"/>
      <c r="K577" s="78"/>
      <c r="L577" s="78"/>
      <c r="M577" s="81"/>
      <c r="N577" s="76"/>
      <c r="O577" s="82"/>
      <c r="P577" s="80"/>
      <c r="Q577" s="83"/>
      <c r="R577" s="80"/>
      <c r="S577" s="80"/>
      <c r="T577" s="80"/>
      <c r="U577" s="83"/>
      <c r="V577" s="80"/>
      <c r="W577" s="83"/>
      <c r="X577" s="80"/>
      <c r="Y577" s="80"/>
      <c r="Z577" s="80"/>
      <c r="AA577" s="80"/>
      <c r="AB577" s="80"/>
      <c r="AC577" s="80"/>
      <c r="AD577" s="80"/>
      <c r="AE577" s="80"/>
    </row>
    <row r="578" spans="1:31" x14ac:dyDescent="0.25">
      <c r="A578" s="76"/>
      <c r="B578" s="76"/>
      <c r="C578" s="77"/>
      <c r="D578" s="78"/>
      <c r="E578" s="79"/>
      <c r="F578" s="80"/>
      <c r="G578" s="78"/>
      <c r="H578" s="81"/>
      <c r="I578" s="78"/>
      <c r="J578" s="78"/>
      <c r="K578" s="78"/>
      <c r="L578" s="78"/>
      <c r="M578" s="81"/>
      <c r="N578" s="76"/>
      <c r="O578" s="82"/>
      <c r="P578" s="80"/>
      <c r="Q578" s="83"/>
      <c r="R578" s="80"/>
      <c r="S578" s="80"/>
      <c r="T578" s="80"/>
      <c r="U578" s="83"/>
      <c r="V578" s="80"/>
      <c r="W578" s="83"/>
      <c r="X578" s="80"/>
      <c r="Y578" s="80"/>
      <c r="Z578" s="80"/>
      <c r="AA578" s="80"/>
      <c r="AB578" s="80"/>
      <c r="AC578" s="80"/>
      <c r="AD578" s="80"/>
      <c r="AE578" s="80"/>
    </row>
    <row r="579" spans="1:31" x14ac:dyDescent="0.25">
      <c r="A579" s="76"/>
      <c r="B579" s="76"/>
      <c r="C579" s="77"/>
      <c r="D579" s="78"/>
      <c r="E579" s="79"/>
      <c r="F579" s="80"/>
      <c r="G579" s="78"/>
      <c r="H579" s="81"/>
      <c r="I579" s="78"/>
      <c r="J579" s="78"/>
      <c r="K579" s="78"/>
      <c r="L579" s="78"/>
      <c r="M579" s="81"/>
      <c r="N579" s="76"/>
      <c r="O579" s="82"/>
      <c r="P579" s="80"/>
      <c r="Q579" s="83"/>
      <c r="R579" s="80"/>
      <c r="S579" s="80"/>
      <c r="T579" s="80"/>
      <c r="U579" s="83"/>
      <c r="V579" s="80"/>
      <c r="W579" s="83"/>
      <c r="X579" s="80"/>
      <c r="Y579" s="80"/>
      <c r="Z579" s="80"/>
      <c r="AA579" s="80"/>
      <c r="AB579" s="80"/>
      <c r="AC579" s="80"/>
      <c r="AD579" s="80"/>
      <c r="AE579" s="80"/>
    </row>
    <row r="580" spans="1:31" x14ac:dyDescent="0.25">
      <c r="A580" s="76"/>
      <c r="B580" s="76"/>
      <c r="C580" s="77"/>
      <c r="D580" s="78"/>
      <c r="E580" s="79"/>
      <c r="F580" s="80"/>
      <c r="G580" s="78"/>
      <c r="H580" s="81"/>
      <c r="I580" s="78"/>
      <c r="J580" s="78"/>
      <c r="K580" s="78"/>
      <c r="L580" s="78"/>
      <c r="M580" s="81"/>
      <c r="N580" s="76"/>
      <c r="O580" s="82"/>
      <c r="P580" s="80"/>
      <c r="Q580" s="83"/>
      <c r="R580" s="80"/>
      <c r="S580" s="80"/>
      <c r="T580" s="80"/>
      <c r="U580" s="83"/>
      <c r="V580" s="80"/>
      <c r="W580" s="83"/>
      <c r="X580" s="80"/>
      <c r="Y580" s="80"/>
      <c r="Z580" s="80"/>
      <c r="AA580" s="80"/>
      <c r="AB580" s="80"/>
      <c r="AC580" s="80"/>
      <c r="AD580" s="80"/>
      <c r="AE580" s="80"/>
    </row>
    <row r="581" spans="1:31" x14ac:dyDescent="0.25">
      <c r="A581" s="76"/>
      <c r="B581" s="76"/>
      <c r="C581" s="77"/>
      <c r="D581" s="78"/>
      <c r="E581" s="79"/>
      <c r="F581" s="80"/>
      <c r="G581" s="78"/>
      <c r="H581" s="81"/>
      <c r="I581" s="78"/>
      <c r="J581" s="78"/>
      <c r="K581" s="78"/>
      <c r="L581" s="78"/>
      <c r="M581" s="81"/>
      <c r="N581" s="76"/>
      <c r="O581" s="82"/>
      <c r="P581" s="80"/>
      <c r="Q581" s="83"/>
      <c r="R581" s="80"/>
      <c r="S581" s="80"/>
      <c r="T581" s="80"/>
      <c r="U581" s="83"/>
      <c r="V581" s="80"/>
      <c r="W581" s="83"/>
      <c r="X581" s="80"/>
      <c r="Y581" s="80"/>
      <c r="Z581" s="80"/>
      <c r="AA581" s="80"/>
      <c r="AB581" s="80"/>
      <c r="AC581" s="80"/>
      <c r="AD581" s="80"/>
      <c r="AE581" s="80"/>
    </row>
    <row r="582" spans="1:31" x14ac:dyDescent="0.25">
      <c r="A582" s="76"/>
      <c r="B582" s="76"/>
      <c r="C582" s="77"/>
      <c r="D582" s="78"/>
      <c r="E582" s="79"/>
      <c r="F582" s="80"/>
      <c r="G582" s="78"/>
      <c r="H582" s="81"/>
      <c r="I582" s="78"/>
      <c r="J582" s="78"/>
      <c r="K582" s="78"/>
      <c r="L582" s="78"/>
      <c r="M582" s="81"/>
      <c r="N582" s="76"/>
      <c r="O582" s="82"/>
      <c r="P582" s="80"/>
      <c r="Q582" s="83"/>
      <c r="R582" s="80"/>
      <c r="S582" s="80"/>
      <c r="T582" s="80"/>
      <c r="U582" s="83"/>
      <c r="V582" s="80"/>
      <c r="W582" s="83"/>
      <c r="X582" s="80"/>
      <c r="Y582" s="80"/>
      <c r="Z582" s="80"/>
      <c r="AA582" s="80"/>
      <c r="AB582" s="80"/>
      <c r="AC582" s="80"/>
      <c r="AD582" s="80"/>
      <c r="AE582" s="80"/>
    </row>
    <row r="583" spans="1:31" x14ac:dyDescent="0.25">
      <c r="A583" s="76"/>
      <c r="B583" s="76"/>
      <c r="C583" s="77"/>
      <c r="D583" s="78"/>
      <c r="E583" s="79"/>
      <c r="F583" s="80"/>
      <c r="G583" s="78"/>
      <c r="H583" s="81"/>
      <c r="I583" s="78"/>
      <c r="J583" s="78"/>
      <c r="K583" s="78"/>
      <c r="L583" s="78"/>
      <c r="M583" s="81"/>
      <c r="N583" s="76"/>
      <c r="O583" s="82"/>
      <c r="P583" s="80"/>
      <c r="Q583" s="83"/>
      <c r="R583" s="80"/>
      <c r="S583" s="80"/>
      <c r="T583" s="80"/>
      <c r="U583" s="83"/>
      <c r="V583" s="80"/>
      <c r="W583" s="83"/>
      <c r="X583" s="80"/>
      <c r="Y583" s="80"/>
      <c r="Z583" s="80"/>
      <c r="AA583" s="80"/>
      <c r="AB583" s="80"/>
      <c r="AC583" s="80"/>
      <c r="AD583" s="80"/>
      <c r="AE583" s="80"/>
    </row>
    <row r="584" spans="1:31" x14ac:dyDescent="0.25">
      <c r="A584" s="76"/>
      <c r="B584" s="76"/>
      <c r="C584" s="77"/>
      <c r="D584" s="78"/>
      <c r="E584" s="79"/>
      <c r="F584" s="80"/>
      <c r="G584" s="78"/>
      <c r="H584" s="81"/>
      <c r="I584" s="78"/>
      <c r="J584" s="78"/>
      <c r="K584" s="78"/>
      <c r="L584" s="78"/>
      <c r="M584" s="81"/>
      <c r="N584" s="76"/>
      <c r="O584" s="82"/>
      <c r="P584" s="80"/>
      <c r="Q584" s="83"/>
      <c r="R584" s="80"/>
      <c r="S584" s="80"/>
      <c r="T584" s="80"/>
      <c r="U584" s="83"/>
      <c r="V584" s="80"/>
      <c r="W584" s="83"/>
      <c r="X584" s="80"/>
      <c r="Y584" s="80"/>
      <c r="Z584" s="80"/>
      <c r="AA584" s="80"/>
      <c r="AB584" s="80"/>
      <c r="AC584" s="80"/>
      <c r="AD584" s="80"/>
      <c r="AE584" s="80"/>
    </row>
    <row r="585" spans="1:31" x14ac:dyDescent="0.25">
      <c r="A585" s="76"/>
      <c r="B585" s="76"/>
      <c r="C585" s="77"/>
      <c r="D585" s="78"/>
      <c r="E585" s="79"/>
      <c r="F585" s="80"/>
      <c r="G585" s="78"/>
      <c r="H585" s="81"/>
      <c r="I585" s="78"/>
      <c r="J585" s="78"/>
      <c r="K585" s="78"/>
      <c r="L585" s="78"/>
      <c r="M585" s="81"/>
      <c r="N585" s="76"/>
      <c r="O585" s="82"/>
      <c r="P585" s="80"/>
      <c r="Q585" s="83"/>
      <c r="R585" s="80"/>
      <c r="S585" s="80"/>
      <c r="T585" s="80"/>
      <c r="U585" s="83"/>
      <c r="V585" s="80"/>
      <c r="W585" s="83"/>
      <c r="X585" s="80"/>
      <c r="Y585" s="80"/>
      <c r="Z585" s="80"/>
      <c r="AA585" s="80"/>
      <c r="AB585" s="80"/>
      <c r="AC585" s="80"/>
      <c r="AD585" s="80"/>
      <c r="AE585" s="80"/>
    </row>
    <row r="586" spans="1:31" x14ac:dyDescent="0.25">
      <c r="A586" s="76"/>
      <c r="B586" s="76"/>
      <c r="C586" s="77"/>
      <c r="D586" s="78"/>
      <c r="E586" s="79"/>
      <c r="F586" s="80"/>
      <c r="G586" s="78"/>
      <c r="H586" s="81"/>
      <c r="I586" s="78"/>
      <c r="J586" s="78"/>
      <c r="K586" s="78"/>
      <c r="L586" s="78"/>
      <c r="M586" s="81"/>
      <c r="N586" s="76"/>
      <c r="O586" s="82"/>
      <c r="P586" s="80"/>
      <c r="Q586" s="83"/>
      <c r="R586" s="80"/>
      <c r="S586" s="80"/>
      <c r="T586" s="80"/>
      <c r="U586" s="83"/>
      <c r="V586" s="80"/>
      <c r="W586" s="83"/>
      <c r="X586" s="80"/>
      <c r="Y586" s="80"/>
      <c r="Z586" s="80"/>
      <c r="AA586" s="80"/>
      <c r="AB586" s="80"/>
      <c r="AC586" s="80"/>
      <c r="AD586" s="80"/>
      <c r="AE586" s="80"/>
    </row>
    <row r="587" spans="1:31" x14ac:dyDescent="0.25">
      <c r="A587" s="76"/>
      <c r="B587" s="76"/>
      <c r="C587" s="77"/>
      <c r="D587" s="78"/>
      <c r="E587" s="79"/>
      <c r="F587" s="80"/>
      <c r="G587" s="78"/>
      <c r="H587" s="81"/>
      <c r="I587" s="78"/>
      <c r="J587" s="78"/>
      <c r="K587" s="78"/>
      <c r="L587" s="78"/>
      <c r="M587" s="81"/>
      <c r="N587" s="76"/>
      <c r="O587" s="82"/>
      <c r="P587" s="80"/>
      <c r="Q587" s="83"/>
      <c r="R587" s="80"/>
      <c r="S587" s="80"/>
      <c r="T587" s="80"/>
      <c r="U587" s="83"/>
      <c r="V587" s="80"/>
      <c r="W587" s="83"/>
      <c r="X587" s="80"/>
      <c r="Y587" s="80"/>
      <c r="Z587" s="80"/>
      <c r="AA587" s="80"/>
      <c r="AB587" s="80"/>
      <c r="AC587" s="80"/>
      <c r="AD587" s="80"/>
      <c r="AE587" s="80"/>
    </row>
    <row r="588" spans="1:31" x14ac:dyDescent="0.25">
      <c r="A588" s="76"/>
      <c r="B588" s="76"/>
      <c r="C588" s="77"/>
      <c r="D588" s="78"/>
      <c r="E588" s="79"/>
      <c r="F588" s="80"/>
      <c r="G588" s="78"/>
      <c r="H588" s="81"/>
      <c r="I588" s="78"/>
      <c r="J588" s="78"/>
      <c r="K588" s="78"/>
      <c r="L588" s="78"/>
      <c r="M588" s="81"/>
      <c r="N588" s="76"/>
      <c r="O588" s="82"/>
      <c r="P588" s="80"/>
      <c r="Q588" s="83"/>
      <c r="R588" s="80"/>
      <c r="S588" s="80"/>
      <c r="T588" s="80"/>
      <c r="U588" s="83"/>
      <c r="V588" s="80"/>
      <c r="W588" s="83"/>
      <c r="X588" s="80"/>
      <c r="Y588" s="80"/>
      <c r="Z588" s="80"/>
      <c r="AA588" s="80"/>
      <c r="AB588" s="80"/>
      <c r="AC588" s="80"/>
      <c r="AD588" s="80"/>
      <c r="AE588" s="80"/>
    </row>
    <row r="589" spans="1:31" x14ac:dyDescent="0.25">
      <c r="A589" s="76"/>
      <c r="B589" s="76"/>
      <c r="C589" s="77"/>
      <c r="D589" s="78"/>
      <c r="E589" s="79"/>
      <c r="F589" s="80"/>
      <c r="G589" s="78"/>
      <c r="H589" s="81"/>
      <c r="I589" s="78"/>
      <c r="J589" s="78"/>
      <c r="K589" s="78"/>
      <c r="L589" s="78"/>
      <c r="M589" s="81"/>
      <c r="N589" s="76"/>
      <c r="O589" s="82"/>
      <c r="P589" s="80"/>
      <c r="Q589" s="83"/>
      <c r="R589" s="80"/>
      <c r="S589" s="80"/>
      <c r="T589" s="80"/>
      <c r="U589" s="83"/>
      <c r="V589" s="80"/>
      <c r="W589" s="83"/>
      <c r="X589" s="80"/>
      <c r="Y589" s="80"/>
      <c r="Z589" s="80"/>
      <c r="AA589" s="80"/>
      <c r="AB589" s="80"/>
      <c r="AC589" s="80"/>
      <c r="AD589" s="80"/>
      <c r="AE589" s="80"/>
    </row>
    <row r="590" spans="1:31" x14ac:dyDescent="0.25">
      <c r="A590" s="76"/>
      <c r="B590" s="76"/>
      <c r="C590" s="77"/>
      <c r="D590" s="78"/>
      <c r="E590" s="79"/>
      <c r="F590" s="80"/>
      <c r="G590" s="78"/>
      <c r="H590" s="81"/>
      <c r="I590" s="78"/>
      <c r="J590" s="78"/>
      <c r="K590" s="78"/>
      <c r="L590" s="78"/>
      <c r="M590" s="81"/>
      <c r="N590" s="76"/>
      <c r="O590" s="82"/>
      <c r="P590" s="80"/>
      <c r="Q590" s="83"/>
      <c r="R590" s="80"/>
      <c r="S590" s="80"/>
      <c r="T590" s="80"/>
      <c r="U590" s="83"/>
      <c r="V590" s="80"/>
      <c r="W590" s="83"/>
      <c r="X590" s="80"/>
      <c r="Y590" s="80"/>
      <c r="Z590" s="80"/>
      <c r="AA590" s="80"/>
      <c r="AB590" s="80"/>
      <c r="AC590" s="80"/>
      <c r="AD590" s="80"/>
      <c r="AE590" s="80"/>
    </row>
    <row r="591" spans="1:31" x14ac:dyDescent="0.25">
      <c r="A591" s="76"/>
      <c r="B591" s="76"/>
      <c r="C591" s="77"/>
      <c r="D591" s="78"/>
      <c r="E591" s="79"/>
      <c r="F591" s="80"/>
      <c r="G591" s="78"/>
      <c r="H591" s="81"/>
      <c r="I591" s="78"/>
      <c r="J591" s="78"/>
      <c r="K591" s="78"/>
      <c r="L591" s="78"/>
      <c r="M591" s="81"/>
      <c r="N591" s="76"/>
      <c r="O591" s="82"/>
      <c r="P591" s="80"/>
      <c r="Q591" s="83"/>
      <c r="R591" s="80"/>
      <c r="S591" s="80"/>
      <c r="T591" s="80"/>
      <c r="U591" s="83"/>
      <c r="V591" s="80"/>
      <c r="W591" s="83"/>
      <c r="X591" s="80"/>
      <c r="Y591" s="80"/>
      <c r="Z591" s="80"/>
      <c r="AA591" s="80"/>
      <c r="AB591" s="80"/>
      <c r="AC591" s="80"/>
      <c r="AD591" s="80"/>
      <c r="AE591" s="80"/>
    </row>
    <row r="592" spans="1:31" x14ac:dyDescent="0.25">
      <c r="A592" s="76"/>
      <c r="B592" s="76"/>
      <c r="C592" s="77"/>
      <c r="D592" s="78"/>
      <c r="E592" s="79"/>
      <c r="F592" s="80"/>
      <c r="G592" s="78"/>
      <c r="H592" s="81"/>
      <c r="I592" s="78"/>
      <c r="J592" s="78"/>
      <c r="K592" s="78"/>
      <c r="L592" s="78"/>
      <c r="M592" s="81"/>
      <c r="N592" s="76"/>
      <c r="O592" s="82"/>
      <c r="P592" s="80"/>
      <c r="Q592" s="83"/>
      <c r="R592" s="80"/>
      <c r="S592" s="80"/>
      <c r="T592" s="80"/>
      <c r="U592" s="83"/>
      <c r="V592" s="80"/>
      <c r="W592" s="83"/>
      <c r="X592" s="80"/>
      <c r="Y592" s="80"/>
      <c r="Z592" s="80"/>
      <c r="AA592" s="80"/>
      <c r="AB592" s="80"/>
      <c r="AC592" s="80"/>
      <c r="AD592" s="80"/>
      <c r="AE592" s="80"/>
    </row>
    <row r="593" spans="1:31" x14ac:dyDescent="0.25">
      <c r="A593" s="76"/>
      <c r="B593" s="76"/>
      <c r="C593" s="77"/>
      <c r="D593" s="78"/>
      <c r="E593" s="79"/>
      <c r="F593" s="80"/>
      <c r="G593" s="78"/>
      <c r="H593" s="81"/>
      <c r="I593" s="78"/>
      <c r="J593" s="78"/>
      <c r="K593" s="78"/>
      <c r="L593" s="78"/>
      <c r="M593" s="81"/>
      <c r="N593" s="76"/>
      <c r="O593" s="82"/>
      <c r="P593" s="80"/>
      <c r="Q593" s="83"/>
      <c r="R593" s="80"/>
      <c r="S593" s="80"/>
      <c r="T593" s="80"/>
      <c r="U593" s="83"/>
      <c r="V593" s="80"/>
      <c r="W593" s="83"/>
      <c r="X593" s="80"/>
      <c r="Y593" s="80"/>
      <c r="Z593" s="80"/>
      <c r="AA593" s="80"/>
      <c r="AB593" s="80"/>
      <c r="AC593" s="80"/>
      <c r="AD593" s="80"/>
      <c r="AE593" s="80"/>
    </row>
    <row r="594" spans="1:31" x14ac:dyDescent="0.25">
      <c r="A594" s="76"/>
      <c r="B594" s="76"/>
      <c r="C594" s="77"/>
      <c r="D594" s="78"/>
      <c r="E594" s="79"/>
      <c r="F594" s="80"/>
      <c r="G594" s="78"/>
      <c r="H594" s="81"/>
      <c r="I594" s="78"/>
      <c r="J594" s="78"/>
      <c r="K594" s="78"/>
      <c r="L594" s="78"/>
      <c r="M594" s="81"/>
      <c r="N594" s="76"/>
      <c r="O594" s="82"/>
      <c r="P594" s="80"/>
      <c r="Q594" s="83"/>
      <c r="R594" s="80"/>
      <c r="S594" s="80"/>
      <c r="T594" s="80"/>
      <c r="U594" s="83"/>
      <c r="V594" s="80"/>
      <c r="W594" s="83"/>
      <c r="X594" s="80"/>
      <c r="Y594" s="80"/>
      <c r="Z594" s="80"/>
      <c r="AA594" s="80"/>
      <c r="AB594" s="80"/>
      <c r="AC594" s="80"/>
      <c r="AD594" s="80"/>
      <c r="AE594" s="80"/>
    </row>
    <row r="595" spans="1:31" x14ac:dyDescent="0.25">
      <c r="A595" s="76"/>
      <c r="B595" s="76"/>
      <c r="C595" s="77"/>
      <c r="D595" s="78"/>
      <c r="E595" s="79"/>
      <c r="F595" s="80"/>
      <c r="G595" s="78"/>
      <c r="H595" s="81"/>
      <c r="I595" s="78"/>
      <c r="J595" s="78"/>
      <c r="K595" s="78"/>
      <c r="L595" s="78"/>
      <c r="M595" s="81"/>
      <c r="N595" s="76"/>
      <c r="O595" s="82"/>
      <c r="P595" s="80"/>
      <c r="Q595" s="83"/>
      <c r="R595" s="80"/>
      <c r="S595" s="80"/>
      <c r="T595" s="80"/>
      <c r="U595" s="83"/>
      <c r="V595" s="80"/>
      <c r="W595" s="83"/>
      <c r="X595" s="80"/>
      <c r="Y595" s="80"/>
      <c r="Z595" s="80"/>
      <c r="AA595" s="80"/>
      <c r="AB595" s="80"/>
      <c r="AC595" s="80"/>
      <c r="AD595" s="80"/>
      <c r="AE595" s="80"/>
    </row>
    <row r="596" spans="1:31" x14ac:dyDescent="0.25">
      <c r="A596" s="76"/>
      <c r="B596" s="76"/>
      <c r="C596" s="77"/>
      <c r="D596" s="78"/>
      <c r="E596" s="79"/>
      <c r="F596" s="80"/>
      <c r="G596" s="78"/>
      <c r="H596" s="81"/>
      <c r="I596" s="78"/>
      <c r="J596" s="78"/>
      <c r="K596" s="78"/>
      <c r="L596" s="78"/>
      <c r="M596" s="81"/>
      <c r="N596" s="76"/>
      <c r="O596" s="82"/>
      <c r="P596" s="80"/>
      <c r="Q596" s="83"/>
      <c r="R596" s="80"/>
      <c r="S596" s="80"/>
      <c r="T596" s="80"/>
      <c r="U596" s="83"/>
      <c r="V596" s="80"/>
      <c r="W596" s="83"/>
      <c r="X596" s="80"/>
      <c r="Y596" s="80"/>
      <c r="Z596" s="80"/>
      <c r="AA596" s="80"/>
      <c r="AB596" s="80"/>
      <c r="AC596" s="80"/>
      <c r="AD596" s="80"/>
      <c r="AE596" s="80"/>
    </row>
    <row r="597" spans="1:31" x14ac:dyDescent="0.25">
      <c r="A597" s="76"/>
      <c r="B597" s="76"/>
      <c r="C597" s="77"/>
      <c r="D597" s="78"/>
      <c r="E597" s="79"/>
      <c r="F597" s="80"/>
      <c r="G597" s="78"/>
      <c r="H597" s="81"/>
      <c r="I597" s="78"/>
      <c r="J597" s="78"/>
      <c r="K597" s="78"/>
      <c r="L597" s="78"/>
      <c r="M597" s="81"/>
      <c r="N597" s="76"/>
      <c r="O597" s="82"/>
      <c r="P597" s="80"/>
      <c r="Q597" s="83"/>
      <c r="R597" s="80"/>
      <c r="S597" s="80"/>
      <c r="T597" s="80"/>
      <c r="U597" s="83"/>
      <c r="V597" s="80"/>
      <c r="W597" s="83"/>
      <c r="X597" s="80"/>
      <c r="Y597" s="80"/>
      <c r="Z597" s="80"/>
      <c r="AA597" s="80"/>
      <c r="AB597" s="80"/>
      <c r="AC597" s="80"/>
      <c r="AD597" s="80"/>
      <c r="AE597" s="80"/>
    </row>
    <row r="598" spans="1:31" x14ac:dyDescent="0.25">
      <c r="A598" s="76"/>
      <c r="B598" s="76"/>
      <c r="C598" s="77"/>
      <c r="D598" s="78"/>
      <c r="E598" s="79"/>
      <c r="F598" s="80"/>
      <c r="G598" s="78"/>
      <c r="H598" s="81"/>
      <c r="I598" s="78"/>
      <c r="J598" s="78"/>
      <c r="K598" s="78"/>
      <c r="L598" s="78"/>
      <c r="M598" s="81"/>
      <c r="N598" s="76"/>
      <c r="O598" s="82"/>
      <c r="P598" s="80"/>
      <c r="Q598" s="83"/>
      <c r="R598" s="80"/>
      <c r="S598" s="80"/>
      <c r="T598" s="80"/>
      <c r="U598" s="83"/>
      <c r="V598" s="80"/>
      <c r="W598" s="83"/>
      <c r="X598" s="80"/>
      <c r="Y598" s="80"/>
      <c r="Z598" s="80"/>
      <c r="AA598" s="80"/>
      <c r="AB598" s="80"/>
      <c r="AC598" s="80"/>
      <c r="AD598" s="80"/>
      <c r="AE598" s="80"/>
    </row>
    <row r="599" spans="1:31" x14ac:dyDescent="0.25">
      <c r="A599" s="76"/>
      <c r="B599" s="76"/>
      <c r="C599" s="77"/>
      <c r="D599" s="78"/>
      <c r="E599" s="79"/>
      <c r="F599" s="80"/>
      <c r="G599" s="78"/>
      <c r="H599" s="81"/>
      <c r="I599" s="78"/>
      <c r="J599" s="78"/>
      <c r="K599" s="78"/>
      <c r="L599" s="78"/>
      <c r="M599" s="81"/>
      <c r="N599" s="76"/>
      <c r="O599" s="82"/>
      <c r="P599" s="80"/>
      <c r="Q599" s="83"/>
      <c r="R599" s="80"/>
      <c r="S599" s="80"/>
      <c r="T599" s="80"/>
      <c r="U599" s="83"/>
      <c r="V599" s="80"/>
      <c r="W599" s="83"/>
      <c r="X599" s="80"/>
      <c r="Y599" s="80"/>
      <c r="Z599" s="80"/>
      <c r="AA599" s="80"/>
      <c r="AB599" s="80"/>
      <c r="AC599" s="80"/>
      <c r="AD599" s="80"/>
      <c r="AE599" s="80"/>
    </row>
    <row r="600" spans="1:31" x14ac:dyDescent="0.25">
      <c r="A600" s="76"/>
      <c r="B600" s="76"/>
      <c r="C600" s="77"/>
      <c r="D600" s="78"/>
      <c r="E600" s="79"/>
      <c r="F600" s="80"/>
      <c r="G600" s="78"/>
      <c r="H600" s="81"/>
      <c r="I600" s="78"/>
      <c r="J600" s="78"/>
      <c r="K600" s="78"/>
      <c r="L600" s="78"/>
      <c r="M600" s="81"/>
      <c r="N600" s="76"/>
      <c r="O600" s="82"/>
      <c r="P600" s="80"/>
      <c r="Q600" s="83"/>
      <c r="R600" s="80"/>
      <c r="S600" s="80"/>
      <c r="T600" s="80"/>
      <c r="U600" s="83"/>
      <c r="V600" s="80"/>
      <c r="W600" s="83"/>
      <c r="X600" s="80"/>
      <c r="Y600" s="80"/>
      <c r="Z600" s="80"/>
      <c r="AA600" s="80"/>
      <c r="AB600" s="80"/>
      <c r="AC600" s="80"/>
      <c r="AD600" s="80"/>
      <c r="AE600" s="80"/>
    </row>
    <row r="601" spans="1:31" x14ac:dyDescent="0.25">
      <c r="A601" s="76"/>
      <c r="B601" s="76"/>
      <c r="C601" s="77"/>
      <c r="D601" s="78"/>
      <c r="E601" s="79"/>
      <c r="F601" s="80"/>
      <c r="G601" s="78"/>
      <c r="H601" s="81"/>
      <c r="I601" s="78"/>
      <c r="J601" s="78"/>
      <c r="K601" s="78"/>
      <c r="L601" s="78"/>
      <c r="M601" s="81"/>
      <c r="N601" s="76"/>
      <c r="O601" s="82"/>
      <c r="P601" s="80"/>
      <c r="Q601" s="83"/>
      <c r="R601" s="80"/>
      <c r="S601" s="80"/>
      <c r="T601" s="80"/>
      <c r="U601" s="83"/>
      <c r="V601" s="80"/>
      <c r="W601" s="83"/>
      <c r="X601" s="80"/>
      <c r="Y601" s="80"/>
      <c r="Z601" s="80"/>
      <c r="AA601" s="80"/>
      <c r="AB601" s="80"/>
      <c r="AC601" s="80"/>
      <c r="AD601" s="80"/>
      <c r="AE601" s="80"/>
    </row>
    <row r="602" spans="1:31" x14ac:dyDescent="0.25">
      <c r="A602" s="76"/>
      <c r="B602" s="76"/>
      <c r="C602" s="77"/>
      <c r="D602" s="78"/>
      <c r="E602" s="79"/>
      <c r="F602" s="80"/>
      <c r="G602" s="78"/>
      <c r="H602" s="81"/>
      <c r="I602" s="78"/>
      <c r="J602" s="78"/>
      <c r="K602" s="78"/>
      <c r="L602" s="78"/>
      <c r="M602" s="81"/>
      <c r="N602" s="76"/>
      <c r="O602" s="82"/>
      <c r="P602" s="80"/>
      <c r="Q602" s="83"/>
      <c r="R602" s="80"/>
      <c r="S602" s="80"/>
      <c r="T602" s="80"/>
      <c r="U602" s="83"/>
      <c r="V602" s="80"/>
      <c r="W602" s="83"/>
      <c r="X602" s="80"/>
      <c r="Y602" s="80"/>
      <c r="Z602" s="80"/>
      <c r="AA602" s="80"/>
      <c r="AB602" s="80"/>
      <c r="AC602" s="80"/>
      <c r="AD602" s="80"/>
      <c r="AE602" s="80"/>
    </row>
    <row r="603" spans="1:31" x14ac:dyDescent="0.25">
      <c r="A603" s="76"/>
      <c r="B603" s="76"/>
      <c r="C603" s="77"/>
      <c r="D603" s="78"/>
      <c r="E603" s="79"/>
      <c r="F603" s="80"/>
      <c r="G603" s="78"/>
      <c r="H603" s="81"/>
      <c r="I603" s="78"/>
      <c r="J603" s="78"/>
      <c r="K603" s="78"/>
      <c r="L603" s="78"/>
      <c r="M603" s="81"/>
      <c r="N603" s="76"/>
      <c r="O603" s="82"/>
      <c r="P603" s="80"/>
      <c r="Q603" s="83"/>
      <c r="R603" s="80"/>
      <c r="S603" s="80"/>
      <c r="T603" s="80"/>
      <c r="U603" s="83"/>
      <c r="V603" s="80"/>
      <c r="W603" s="83"/>
      <c r="X603" s="80"/>
      <c r="Y603" s="80"/>
      <c r="Z603" s="80"/>
      <c r="AA603" s="80"/>
      <c r="AB603" s="80"/>
      <c r="AC603" s="80"/>
      <c r="AD603" s="80"/>
      <c r="AE603" s="80"/>
    </row>
    <row r="604" spans="1:31" x14ac:dyDescent="0.25">
      <c r="A604" s="76"/>
      <c r="B604" s="76"/>
      <c r="C604" s="77"/>
      <c r="D604" s="78"/>
      <c r="E604" s="79"/>
      <c r="F604" s="80"/>
      <c r="G604" s="78"/>
      <c r="H604" s="81"/>
      <c r="I604" s="78"/>
      <c r="J604" s="78"/>
      <c r="K604" s="78"/>
      <c r="L604" s="78"/>
      <c r="M604" s="81"/>
      <c r="N604" s="76"/>
      <c r="O604" s="82"/>
      <c r="P604" s="80"/>
      <c r="Q604" s="83"/>
      <c r="R604" s="80"/>
      <c r="S604" s="80"/>
      <c r="T604" s="80"/>
      <c r="U604" s="83"/>
      <c r="V604" s="80"/>
      <c r="W604" s="83"/>
      <c r="X604" s="80"/>
      <c r="Y604" s="80"/>
      <c r="Z604" s="80"/>
      <c r="AA604" s="80"/>
      <c r="AB604" s="80"/>
      <c r="AC604" s="80"/>
      <c r="AD604" s="80"/>
      <c r="AE604" s="80"/>
    </row>
    <row r="605" spans="1:31" x14ac:dyDescent="0.25">
      <c r="A605" s="76"/>
      <c r="B605" s="76"/>
      <c r="C605" s="77"/>
      <c r="D605" s="78"/>
      <c r="E605" s="79"/>
      <c r="F605" s="80"/>
      <c r="G605" s="78"/>
      <c r="H605" s="81"/>
      <c r="I605" s="78"/>
      <c r="J605" s="78"/>
      <c r="K605" s="78"/>
      <c r="L605" s="78"/>
      <c r="M605" s="81"/>
      <c r="N605" s="76"/>
      <c r="O605" s="82"/>
      <c r="P605" s="80"/>
      <c r="Q605" s="83"/>
      <c r="R605" s="80"/>
      <c r="S605" s="80"/>
      <c r="T605" s="80"/>
      <c r="U605" s="83"/>
      <c r="V605" s="80"/>
      <c r="W605" s="83"/>
      <c r="X605" s="80"/>
      <c r="Y605" s="80"/>
      <c r="Z605" s="80"/>
      <c r="AA605" s="80"/>
      <c r="AB605" s="80"/>
      <c r="AC605" s="80"/>
      <c r="AD605" s="80"/>
      <c r="AE605" s="80"/>
    </row>
    <row r="606" spans="1:31" x14ac:dyDescent="0.25">
      <c r="A606" s="76"/>
      <c r="B606" s="76"/>
      <c r="C606" s="77"/>
      <c r="D606" s="78"/>
      <c r="E606" s="79"/>
      <c r="F606" s="80"/>
      <c r="G606" s="78"/>
      <c r="H606" s="81"/>
      <c r="I606" s="78"/>
      <c r="J606" s="78"/>
      <c r="K606" s="78"/>
      <c r="L606" s="78"/>
      <c r="M606" s="81"/>
      <c r="N606" s="76"/>
      <c r="O606" s="82"/>
      <c r="P606" s="80"/>
      <c r="Q606" s="83"/>
      <c r="R606" s="80"/>
      <c r="S606" s="80"/>
      <c r="T606" s="80"/>
      <c r="U606" s="83"/>
      <c r="V606" s="80"/>
      <c r="W606" s="83"/>
      <c r="X606" s="80"/>
      <c r="Y606" s="80"/>
      <c r="Z606" s="80"/>
      <c r="AA606" s="80"/>
      <c r="AB606" s="80"/>
      <c r="AC606" s="80"/>
      <c r="AD606" s="80"/>
      <c r="AE606" s="80"/>
    </row>
    <row r="607" spans="1:31" x14ac:dyDescent="0.25">
      <c r="A607" s="76"/>
      <c r="B607" s="76"/>
      <c r="C607" s="77"/>
      <c r="D607" s="78"/>
      <c r="E607" s="79"/>
      <c r="F607" s="80"/>
      <c r="G607" s="78"/>
      <c r="H607" s="81"/>
      <c r="I607" s="78"/>
      <c r="J607" s="78"/>
      <c r="K607" s="78"/>
      <c r="L607" s="78"/>
      <c r="M607" s="81"/>
      <c r="N607" s="76"/>
      <c r="O607" s="82"/>
      <c r="P607" s="80"/>
      <c r="Q607" s="83"/>
      <c r="R607" s="80"/>
      <c r="S607" s="80"/>
      <c r="T607" s="80"/>
      <c r="U607" s="83"/>
      <c r="V607" s="80"/>
      <c r="W607" s="83"/>
      <c r="X607" s="80"/>
      <c r="Y607" s="80"/>
      <c r="Z607" s="80"/>
      <c r="AA607" s="80"/>
      <c r="AB607" s="80"/>
      <c r="AC607" s="80"/>
      <c r="AD607" s="80"/>
      <c r="AE607" s="80"/>
    </row>
    <row r="608" spans="1:31" x14ac:dyDescent="0.25">
      <c r="A608" s="76"/>
      <c r="B608" s="76"/>
      <c r="C608" s="77"/>
      <c r="D608" s="78"/>
      <c r="E608" s="79"/>
      <c r="F608" s="80"/>
      <c r="G608" s="78"/>
      <c r="H608" s="81"/>
      <c r="I608" s="78"/>
      <c r="J608" s="78"/>
      <c r="K608" s="78"/>
      <c r="L608" s="78"/>
      <c r="M608" s="81"/>
      <c r="N608" s="76"/>
      <c r="O608" s="82"/>
      <c r="P608" s="80"/>
      <c r="Q608" s="83"/>
      <c r="R608" s="80"/>
      <c r="S608" s="80"/>
      <c r="T608" s="80"/>
      <c r="U608" s="83"/>
      <c r="V608" s="80"/>
      <c r="W608" s="83"/>
      <c r="X608" s="80"/>
      <c r="Y608" s="80"/>
      <c r="Z608" s="80"/>
      <c r="AA608" s="80"/>
      <c r="AB608" s="80"/>
      <c r="AC608" s="80"/>
      <c r="AD608" s="80"/>
      <c r="AE608" s="80"/>
    </row>
    <row r="609" spans="1:31" x14ac:dyDescent="0.25">
      <c r="A609" s="76"/>
      <c r="B609" s="76"/>
      <c r="C609" s="77"/>
      <c r="D609" s="78"/>
      <c r="E609" s="79"/>
      <c r="F609" s="80"/>
      <c r="G609" s="78"/>
      <c r="H609" s="81"/>
      <c r="I609" s="78"/>
      <c r="J609" s="78"/>
      <c r="K609" s="78"/>
      <c r="L609" s="78"/>
      <c r="M609" s="81"/>
      <c r="N609" s="76"/>
      <c r="O609" s="82"/>
      <c r="P609" s="80"/>
      <c r="Q609" s="83"/>
      <c r="R609" s="80"/>
      <c r="S609" s="80"/>
      <c r="T609" s="80"/>
      <c r="U609" s="83"/>
      <c r="V609" s="80"/>
      <c r="W609" s="83"/>
      <c r="X609" s="80"/>
      <c r="Y609" s="80"/>
      <c r="Z609" s="80"/>
      <c r="AA609" s="80"/>
      <c r="AB609" s="80"/>
      <c r="AC609" s="80"/>
      <c r="AD609" s="80"/>
      <c r="AE609" s="80"/>
    </row>
    <row r="610" spans="1:31" x14ac:dyDescent="0.25">
      <c r="A610" s="76"/>
      <c r="B610" s="76"/>
      <c r="C610" s="77"/>
      <c r="D610" s="78"/>
      <c r="E610" s="79"/>
      <c r="F610" s="80"/>
      <c r="G610" s="78"/>
      <c r="H610" s="81"/>
      <c r="I610" s="78"/>
      <c r="J610" s="78"/>
      <c r="K610" s="78"/>
      <c r="L610" s="78"/>
      <c r="M610" s="81"/>
      <c r="N610" s="76"/>
      <c r="O610" s="82"/>
      <c r="P610" s="80"/>
      <c r="Q610" s="83"/>
      <c r="R610" s="80"/>
      <c r="S610" s="80"/>
      <c r="T610" s="80"/>
      <c r="U610" s="83"/>
      <c r="V610" s="80"/>
      <c r="W610" s="83"/>
      <c r="X610" s="80"/>
      <c r="Y610" s="80"/>
      <c r="Z610" s="80"/>
      <c r="AA610" s="80"/>
      <c r="AB610" s="80"/>
      <c r="AC610" s="80"/>
      <c r="AD610" s="80"/>
      <c r="AE610" s="80"/>
    </row>
    <row r="611" spans="1:31" x14ac:dyDescent="0.25">
      <c r="A611" s="76"/>
      <c r="B611" s="76"/>
      <c r="C611" s="77"/>
      <c r="D611" s="78"/>
      <c r="E611" s="79"/>
      <c r="F611" s="80"/>
      <c r="G611" s="78"/>
      <c r="H611" s="81"/>
      <c r="I611" s="78"/>
      <c r="J611" s="78"/>
      <c r="K611" s="78"/>
      <c r="L611" s="78"/>
      <c r="M611" s="81"/>
      <c r="N611" s="76"/>
      <c r="O611" s="82"/>
      <c r="P611" s="80"/>
      <c r="Q611" s="83"/>
      <c r="R611" s="80"/>
      <c r="S611" s="80"/>
      <c r="T611" s="80"/>
      <c r="U611" s="83"/>
      <c r="V611" s="80"/>
      <c r="W611" s="83"/>
      <c r="X611" s="80"/>
      <c r="Y611" s="80"/>
      <c r="Z611" s="80"/>
      <c r="AA611" s="80"/>
      <c r="AB611" s="80"/>
      <c r="AC611" s="80"/>
      <c r="AD611" s="80"/>
      <c r="AE611" s="80"/>
    </row>
    <row r="612" spans="1:31" x14ac:dyDescent="0.25">
      <c r="A612" s="76"/>
      <c r="B612" s="76"/>
      <c r="C612" s="77"/>
      <c r="D612" s="78"/>
      <c r="E612" s="79"/>
      <c r="F612" s="80"/>
      <c r="G612" s="78"/>
      <c r="H612" s="81"/>
      <c r="I612" s="78"/>
      <c r="J612" s="78"/>
      <c r="K612" s="78"/>
      <c r="L612" s="78"/>
      <c r="M612" s="81"/>
      <c r="N612" s="76"/>
      <c r="O612" s="82"/>
      <c r="P612" s="80"/>
      <c r="Q612" s="83"/>
      <c r="R612" s="80"/>
      <c r="S612" s="80"/>
      <c r="T612" s="80"/>
      <c r="U612" s="83"/>
      <c r="V612" s="80"/>
      <c r="W612" s="83"/>
      <c r="X612" s="80"/>
      <c r="Y612" s="80"/>
      <c r="Z612" s="80"/>
      <c r="AA612" s="80"/>
      <c r="AB612" s="80"/>
      <c r="AC612" s="80"/>
      <c r="AD612" s="80"/>
      <c r="AE612" s="80"/>
    </row>
    <row r="613" spans="1:31" x14ac:dyDescent="0.25">
      <c r="A613" s="76"/>
      <c r="B613" s="76"/>
      <c r="C613" s="77"/>
      <c r="D613" s="78"/>
      <c r="E613" s="79"/>
      <c r="F613" s="80"/>
      <c r="G613" s="78"/>
      <c r="H613" s="81"/>
      <c r="I613" s="78"/>
      <c r="J613" s="78"/>
      <c r="K613" s="78"/>
      <c r="L613" s="78"/>
      <c r="M613" s="81"/>
      <c r="N613" s="76"/>
      <c r="O613" s="82"/>
      <c r="P613" s="80"/>
      <c r="Q613" s="83"/>
      <c r="R613" s="80"/>
      <c r="S613" s="80"/>
      <c r="T613" s="80"/>
      <c r="U613" s="83"/>
      <c r="V613" s="80"/>
      <c r="W613" s="83"/>
      <c r="X613" s="80"/>
      <c r="Y613" s="80"/>
      <c r="Z613" s="80"/>
      <c r="AA613" s="80"/>
      <c r="AB613" s="80"/>
      <c r="AC613" s="80"/>
      <c r="AD613" s="80"/>
      <c r="AE613" s="80"/>
    </row>
    <row r="614" spans="1:31" x14ac:dyDescent="0.25">
      <c r="A614" s="76"/>
      <c r="B614" s="76"/>
      <c r="C614" s="77"/>
      <c r="D614" s="78"/>
      <c r="E614" s="79"/>
      <c r="F614" s="80"/>
      <c r="G614" s="78"/>
      <c r="H614" s="81"/>
      <c r="I614" s="78"/>
      <c r="J614" s="78"/>
      <c r="K614" s="78"/>
      <c r="L614" s="78"/>
      <c r="M614" s="81"/>
      <c r="N614" s="76"/>
      <c r="O614" s="82"/>
      <c r="P614" s="80"/>
      <c r="Q614" s="83"/>
      <c r="R614" s="80"/>
      <c r="S614" s="80"/>
      <c r="T614" s="80"/>
      <c r="U614" s="83"/>
      <c r="V614" s="80"/>
      <c r="W614" s="83"/>
      <c r="X614" s="80"/>
      <c r="Y614" s="80"/>
      <c r="Z614" s="80"/>
      <c r="AA614" s="80"/>
      <c r="AB614" s="80"/>
      <c r="AC614" s="80"/>
      <c r="AD614" s="80"/>
      <c r="AE614" s="80"/>
    </row>
    <row r="615" spans="1:31" x14ac:dyDescent="0.25">
      <c r="A615" s="76"/>
      <c r="B615" s="76"/>
      <c r="C615" s="77"/>
      <c r="D615" s="78"/>
      <c r="E615" s="79"/>
      <c r="F615" s="80"/>
      <c r="G615" s="78"/>
      <c r="H615" s="81"/>
      <c r="I615" s="78"/>
      <c r="J615" s="78"/>
      <c r="K615" s="78"/>
      <c r="L615" s="78"/>
      <c r="M615" s="81"/>
      <c r="N615" s="76"/>
      <c r="O615" s="82"/>
      <c r="P615" s="80"/>
      <c r="Q615" s="83"/>
      <c r="R615" s="80"/>
      <c r="S615" s="80"/>
      <c r="T615" s="80"/>
      <c r="U615" s="83"/>
      <c r="V615" s="80"/>
      <c r="W615" s="83"/>
      <c r="X615" s="80"/>
      <c r="Y615" s="80"/>
      <c r="Z615" s="80"/>
      <c r="AA615" s="80"/>
      <c r="AB615" s="80"/>
      <c r="AC615" s="80"/>
      <c r="AD615" s="80"/>
      <c r="AE615" s="80"/>
    </row>
    <row r="616" spans="1:31" x14ac:dyDescent="0.25">
      <c r="A616" s="76"/>
      <c r="B616" s="76"/>
      <c r="C616" s="77"/>
      <c r="D616" s="78"/>
      <c r="E616" s="79"/>
      <c r="F616" s="80"/>
      <c r="G616" s="78"/>
      <c r="H616" s="81"/>
      <c r="I616" s="78"/>
      <c r="J616" s="78"/>
      <c r="K616" s="78"/>
      <c r="L616" s="78"/>
      <c r="M616" s="81"/>
      <c r="N616" s="76"/>
      <c r="O616" s="82"/>
      <c r="P616" s="80"/>
      <c r="Q616" s="83"/>
      <c r="R616" s="80"/>
      <c r="S616" s="80"/>
      <c r="T616" s="80"/>
      <c r="U616" s="83"/>
      <c r="V616" s="80"/>
      <c r="W616" s="83"/>
      <c r="X616" s="80"/>
      <c r="Y616" s="80"/>
      <c r="Z616" s="80"/>
      <c r="AA616" s="80"/>
      <c r="AB616" s="80"/>
      <c r="AC616" s="80"/>
      <c r="AD616" s="80"/>
      <c r="AE616" s="80"/>
    </row>
    <row r="617" spans="1:31" x14ac:dyDescent="0.25">
      <c r="A617" s="76"/>
      <c r="B617" s="76"/>
      <c r="C617" s="77"/>
      <c r="D617" s="78"/>
      <c r="E617" s="79"/>
      <c r="F617" s="80"/>
      <c r="G617" s="78"/>
      <c r="H617" s="81"/>
      <c r="I617" s="78"/>
      <c r="J617" s="78"/>
      <c r="K617" s="78"/>
      <c r="L617" s="78"/>
      <c r="M617" s="81"/>
      <c r="N617" s="76"/>
      <c r="O617" s="82"/>
      <c r="P617" s="80"/>
      <c r="Q617" s="83"/>
      <c r="R617" s="80"/>
      <c r="S617" s="80"/>
      <c r="T617" s="80"/>
      <c r="U617" s="83"/>
      <c r="V617" s="80"/>
      <c r="W617" s="83"/>
      <c r="X617" s="80"/>
      <c r="Y617" s="80"/>
      <c r="Z617" s="80"/>
      <c r="AA617" s="80"/>
      <c r="AB617" s="80"/>
      <c r="AC617" s="80"/>
      <c r="AD617" s="80"/>
      <c r="AE617" s="80"/>
    </row>
    <row r="618" spans="1:31" x14ac:dyDescent="0.25">
      <c r="A618" s="76"/>
      <c r="B618" s="76"/>
      <c r="C618" s="77"/>
      <c r="D618" s="78"/>
      <c r="E618" s="79"/>
      <c r="F618" s="80"/>
      <c r="G618" s="78"/>
      <c r="H618" s="81"/>
      <c r="I618" s="78"/>
      <c r="J618" s="78"/>
      <c r="K618" s="78"/>
      <c r="L618" s="78"/>
      <c r="M618" s="81"/>
      <c r="N618" s="76"/>
      <c r="O618" s="82"/>
      <c r="P618" s="80"/>
      <c r="Q618" s="83"/>
      <c r="R618" s="80"/>
      <c r="S618" s="80"/>
      <c r="T618" s="80"/>
      <c r="U618" s="83"/>
      <c r="V618" s="80"/>
      <c r="W618" s="83"/>
      <c r="X618" s="80"/>
      <c r="Y618" s="80"/>
      <c r="Z618" s="80"/>
      <c r="AA618" s="80"/>
      <c r="AB618" s="80"/>
      <c r="AC618" s="80"/>
      <c r="AD618" s="80"/>
      <c r="AE618" s="80"/>
    </row>
    <row r="619" spans="1:31" x14ac:dyDescent="0.25">
      <c r="A619" s="76"/>
      <c r="B619" s="76"/>
      <c r="C619" s="77"/>
      <c r="D619" s="78"/>
      <c r="E619" s="79"/>
      <c r="F619" s="80"/>
      <c r="G619" s="78"/>
      <c r="H619" s="81"/>
      <c r="I619" s="78"/>
      <c r="J619" s="78"/>
      <c r="K619" s="78"/>
      <c r="L619" s="78"/>
      <c r="M619" s="81"/>
      <c r="N619" s="76"/>
      <c r="O619" s="82"/>
      <c r="P619" s="80"/>
      <c r="Q619" s="83"/>
      <c r="R619" s="80"/>
      <c r="S619" s="80"/>
      <c r="T619" s="80"/>
      <c r="U619" s="83"/>
      <c r="V619" s="80"/>
      <c r="W619" s="83"/>
      <c r="X619" s="80"/>
      <c r="Y619" s="80"/>
      <c r="Z619" s="80"/>
      <c r="AA619" s="80"/>
      <c r="AB619" s="80"/>
      <c r="AC619" s="80"/>
      <c r="AD619" s="80"/>
      <c r="AE619" s="80"/>
    </row>
    <row r="620" spans="1:31" x14ac:dyDescent="0.25">
      <c r="A620" s="76"/>
      <c r="B620" s="76"/>
      <c r="C620" s="77"/>
      <c r="D620" s="78"/>
      <c r="E620" s="79"/>
      <c r="F620" s="80"/>
      <c r="G620" s="78"/>
      <c r="H620" s="81"/>
      <c r="I620" s="78"/>
      <c r="J620" s="78"/>
      <c r="K620" s="78"/>
      <c r="L620" s="78"/>
      <c r="M620" s="81"/>
      <c r="N620" s="76"/>
      <c r="O620" s="82"/>
      <c r="P620" s="80"/>
      <c r="Q620" s="83"/>
      <c r="R620" s="80"/>
      <c r="S620" s="80"/>
      <c r="T620" s="80"/>
      <c r="U620" s="83"/>
      <c r="V620" s="80"/>
      <c r="W620" s="83"/>
      <c r="X620" s="80"/>
      <c r="Y620" s="80"/>
      <c r="Z620" s="80"/>
      <c r="AA620" s="80"/>
      <c r="AB620" s="80"/>
      <c r="AC620" s="80"/>
      <c r="AD620" s="80"/>
      <c r="AE620" s="80"/>
    </row>
    <row r="621" spans="1:31" x14ac:dyDescent="0.25">
      <c r="A621" s="76"/>
      <c r="B621" s="76"/>
      <c r="C621" s="77"/>
      <c r="D621" s="78"/>
      <c r="E621" s="79"/>
      <c r="F621" s="80"/>
      <c r="G621" s="78"/>
      <c r="H621" s="81"/>
      <c r="I621" s="78"/>
      <c r="J621" s="78"/>
      <c r="K621" s="78"/>
      <c r="L621" s="78"/>
      <c r="M621" s="81"/>
      <c r="N621" s="76"/>
      <c r="O621" s="82"/>
      <c r="P621" s="80"/>
      <c r="Q621" s="83"/>
      <c r="R621" s="80"/>
      <c r="S621" s="80"/>
      <c r="T621" s="80"/>
      <c r="U621" s="83"/>
      <c r="V621" s="80"/>
      <c r="W621" s="83"/>
      <c r="X621" s="80"/>
      <c r="Y621" s="80"/>
      <c r="Z621" s="80"/>
      <c r="AA621" s="80"/>
      <c r="AB621" s="80"/>
      <c r="AC621" s="80"/>
      <c r="AD621" s="80"/>
      <c r="AE621" s="80"/>
    </row>
    <row r="622" spans="1:31" x14ac:dyDescent="0.25">
      <c r="A622" s="76"/>
      <c r="B622" s="76"/>
      <c r="C622" s="77"/>
      <c r="D622" s="78"/>
      <c r="E622" s="79"/>
      <c r="F622" s="80"/>
      <c r="G622" s="78"/>
      <c r="H622" s="81"/>
      <c r="I622" s="78"/>
      <c r="J622" s="78"/>
      <c r="K622" s="78"/>
      <c r="L622" s="78"/>
      <c r="M622" s="81"/>
      <c r="N622" s="76"/>
      <c r="O622" s="82"/>
      <c r="P622" s="80"/>
      <c r="Q622" s="83"/>
      <c r="R622" s="80"/>
      <c r="S622" s="80"/>
      <c r="T622" s="80"/>
      <c r="U622" s="83"/>
      <c r="V622" s="80"/>
      <c r="W622" s="83"/>
      <c r="X622" s="80"/>
      <c r="Y622" s="80"/>
      <c r="Z622" s="80"/>
      <c r="AA622" s="80"/>
      <c r="AB622" s="80"/>
      <c r="AC622" s="80"/>
      <c r="AD622" s="80"/>
      <c r="AE622" s="80"/>
    </row>
    <row r="623" spans="1:31" x14ac:dyDescent="0.25">
      <c r="A623" s="76"/>
      <c r="B623" s="76"/>
      <c r="C623" s="77"/>
      <c r="D623" s="78"/>
      <c r="E623" s="79"/>
      <c r="F623" s="80"/>
      <c r="G623" s="78"/>
      <c r="H623" s="81"/>
      <c r="I623" s="78"/>
      <c r="J623" s="78"/>
      <c r="K623" s="78"/>
      <c r="L623" s="78"/>
      <c r="M623" s="81"/>
      <c r="N623" s="76"/>
      <c r="O623" s="82"/>
      <c r="P623" s="80"/>
      <c r="Q623" s="83"/>
      <c r="R623" s="80"/>
      <c r="S623" s="80"/>
      <c r="T623" s="80"/>
      <c r="U623" s="83"/>
      <c r="V623" s="80"/>
      <c r="W623" s="83"/>
      <c r="X623" s="80"/>
      <c r="Y623" s="80"/>
      <c r="Z623" s="80"/>
      <c r="AA623" s="80"/>
      <c r="AB623" s="80"/>
      <c r="AC623" s="80"/>
      <c r="AD623" s="80"/>
      <c r="AE623" s="80"/>
    </row>
    <row r="624" spans="1:31" x14ac:dyDescent="0.25">
      <c r="A624" s="76"/>
      <c r="B624" s="76"/>
      <c r="C624" s="77"/>
      <c r="D624" s="78"/>
      <c r="E624" s="79"/>
      <c r="F624" s="80"/>
      <c r="G624" s="78"/>
      <c r="H624" s="81"/>
      <c r="I624" s="78"/>
      <c r="J624" s="78"/>
      <c r="K624" s="78"/>
      <c r="L624" s="78"/>
      <c r="M624" s="81"/>
      <c r="N624" s="76"/>
      <c r="O624" s="82"/>
      <c r="P624" s="80"/>
      <c r="Q624" s="83"/>
      <c r="R624" s="80"/>
      <c r="S624" s="80"/>
      <c r="T624" s="80"/>
      <c r="U624" s="83"/>
      <c r="V624" s="80"/>
      <c r="W624" s="83"/>
      <c r="X624" s="80"/>
      <c r="Y624" s="80"/>
      <c r="Z624" s="80"/>
      <c r="AA624" s="80"/>
      <c r="AB624" s="80"/>
      <c r="AC624" s="80"/>
      <c r="AD624" s="80"/>
      <c r="AE624" s="80"/>
    </row>
    <row r="625" spans="1:31" x14ac:dyDescent="0.25">
      <c r="A625" s="76"/>
      <c r="B625" s="76"/>
      <c r="C625" s="77"/>
      <c r="D625" s="78"/>
      <c r="E625" s="79"/>
      <c r="F625" s="80"/>
      <c r="G625" s="78"/>
      <c r="H625" s="81"/>
      <c r="I625" s="78"/>
      <c r="J625" s="78"/>
      <c r="K625" s="78"/>
      <c r="L625" s="78"/>
      <c r="M625" s="81"/>
      <c r="N625" s="76"/>
      <c r="O625" s="82"/>
      <c r="P625" s="80"/>
      <c r="Q625" s="83"/>
      <c r="R625" s="80"/>
      <c r="S625" s="80"/>
      <c r="T625" s="80"/>
      <c r="U625" s="83"/>
      <c r="V625" s="80"/>
      <c r="W625" s="83"/>
      <c r="X625" s="80"/>
      <c r="Y625" s="80"/>
      <c r="Z625" s="80"/>
      <c r="AA625" s="80"/>
      <c r="AB625" s="80"/>
      <c r="AC625" s="80"/>
      <c r="AD625" s="80"/>
      <c r="AE625" s="80"/>
    </row>
    <row r="626" spans="1:31" x14ac:dyDescent="0.25">
      <c r="A626" s="76"/>
      <c r="B626" s="76"/>
      <c r="C626" s="77"/>
      <c r="D626" s="78"/>
      <c r="E626" s="79"/>
      <c r="F626" s="80"/>
      <c r="G626" s="78"/>
      <c r="H626" s="81"/>
      <c r="I626" s="78"/>
      <c r="J626" s="78"/>
      <c r="K626" s="78"/>
      <c r="L626" s="78"/>
      <c r="M626" s="81"/>
      <c r="N626" s="76"/>
      <c r="O626" s="82"/>
      <c r="P626" s="80"/>
      <c r="Q626" s="83"/>
      <c r="R626" s="80"/>
      <c r="S626" s="80"/>
      <c r="T626" s="80"/>
      <c r="U626" s="83"/>
      <c r="V626" s="80"/>
      <c r="W626" s="83"/>
      <c r="X626" s="80"/>
      <c r="Y626" s="80"/>
      <c r="Z626" s="80"/>
      <c r="AA626" s="80"/>
      <c r="AB626" s="80"/>
      <c r="AC626" s="80"/>
      <c r="AD626" s="80"/>
      <c r="AE626" s="80"/>
    </row>
    <row r="627" spans="1:31" x14ac:dyDescent="0.25">
      <c r="A627" s="76"/>
      <c r="B627" s="76"/>
      <c r="C627" s="77"/>
      <c r="D627" s="78"/>
      <c r="E627" s="79"/>
      <c r="F627" s="80"/>
      <c r="G627" s="78"/>
      <c r="H627" s="81"/>
      <c r="I627" s="78"/>
      <c r="J627" s="78"/>
      <c r="K627" s="78"/>
      <c r="L627" s="78"/>
      <c r="M627" s="81"/>
      <c r="N627" s="76"/>
      <c r="O627" s="82"/>
      <c r="P627" s="80"/>
      <c r="Q627" s="83"/>
      <c r="R627" s="80"/>
      <c r="S627" s="80"/>
      <c r="T627" s="80"/>
      <c r="U627" s="83"/>
      <c r="V627" s="80"/>
      <c r="W627" s="83"/>
      <c r="X627" s="80"/>
      <c r="Y627" s="80"/>
      <c r="Z627" s="80"/>
      <c r="AA627" s="80"/>
      <c r="AB627" s="80"/>
      <c r="AC627" s="80"/>
      <c r="AD627" s="80"/>
      <c r="AE627" s="80"/>
    </row>
    <row r="628" spans="1:31" x14ac:dyDescent="0.25">
      <c r="A628" s="76"/>
      <c r="B628" s="76"/>
      <c r="C628" s="77"/>
      <c r="D628" s="78"/>
      <c r="E628" s="79"/>
      <c r="F628" s="80"/>
      <c r="G628" s="78"/>
      <c r="H628" s="81"/>
      <c r="I628" s="78"/>
      <c r="J628" s="78"/>
      <c r="K628" s="78"/>
      <c r="L628" s="78"/>
      <c r="M628" s="81"/>
      <c r="N628" s="76"/>
      <c r="O628" s="82"/>
      <c r="P628" s="80"/>
      <c r="Q628" s="83"/>
      <c r="R628" s="80"/>
      <c r="S628" s="80"/>
      <c r="T628" s="80"/>
      <c r="U628" s="83"/>
      <c r="V628" s="80"/>
      <c r="W628" s="83"/>
      <c r="X628" s="80"/>
      <c r="Y628" s="80"/>
      <c r="Z628" s="80"/>
      <c r="AA628" s="80"/>
      <c r="AB628" s="80"/>
      <c r="AC628" s="80"/>
      <c r="AD628" s="80"/>
      <c r="AE628" s="80"/>
    </row>
    <row r="629" spans="1:31" x14ac:dyDescent="0.25">
      <c r="A629" s="76"/>
      <c r="B629" s="76"/>
      <c r="C629" s="77"/>
      <c r="D629" s="78"/>
      <c r="E629" s="79"/>
      <c r="F629" s="80"/>
      <c r="G629" s="78"/>
      <c r="H629" s="81"/>
      <c r="I629" s="78"/>
      <c r="J629" s="78"/>
      <c r="K629" s="78"/>
      <c r="L629" s="78"/>
      <c r="M629" s="81"/>
      <c r="N629" s="76"/>
      <c r="O629" s="82"/>
      <c r="P629" s="80"/>
      <c r="Q629" s="83"/>
      <c r="R629" s="80"/>
      <c r="S629" s="80"/>
      <c r="T629" s="80"/>
      <c r="U629" s="83"/>
      <c r="V629" s="80"/>
      <c r="W629" s="83"/>
      <c r="X629" s="80"/>
      <c r="Y629" s="80"/>
      <c r="Z629" s="80"/>
      <c r="AA629" s="80"/>
      <c r="AB629" s="80"/>
      <c r="AC629" s="80"/>
      <c r="AD629" s="80"/>
      <c r="AE629" s="80"/>
    </row>
    <row r="630" spans="1:31" x14ac:dyDescent="0.25">
      <c r="A630" s="76"/>
      <c r="B630" s="76"/>
      <c r="C630" s="77"/>
      <c r="D630" s="78"/>
      <c r="E630" s="79"/>
      <c r="F630" s="80"/>
      <c r="G630" s="78"/>
      <c r="H630" s="81"/>
      <c r="I630" s="78"/>
      <c r="J630" s="78"/>
      <c r="K630" s="78"/>
      <c r="L630" s="78"/>
      <c r="M630" s="81"/>
      <c r="N630" s="76"/>
      <c r="O630" s="82"/>
      <c r="P630" s="80"/>
      <c r="Q630" s="83"/>
      <c r="R630" s="80"/>
      <c r="S630" s="80"/>
      <c r="T630" s="80"/>
      <c r="U630" s="83"/>
      <c r="V630" s="80"/>
      <c r="W630" s="83"/>
      <c r="X630" s="80"/>
      <c r="Y630" s="80"/>
      <c r="Z630" s="80"/>
      <c r="AA630" s="80"/>
      <c r="AB630" s="80"/>
      <c r="AC630" s="80"/>
      <c r="AD630" s="80"/>
      <c r="AE630" s="80"/>
    </row>
    <row r="631" spans="1:31" x14ac:dyDescent="0.25">
      <c r="A631" s="76"/>
      <c r="B631" s="76"/>
      <c r="C631" s="77"/>
      <c r="D631" s="78"/>
      <c r="E631" s="79"/>
      <c r="F631" s="80"/>
      <c r="G631" s="78"/>
      <c r="H631" s="81"/>
      <c r="I631" s="78"/>
      <c r="J631" s="78"/>
      <c r="K631" s="78"/>
      <c r="L631" s="78"/>
      <c r="M631" s="81"/>
      <c r="N631" s="76"/>
      <c r="O631" s="82"/>
      <c r="P631" s="80"/>
      <c r="Q631" s="83"/>
      <c r="R631" s="80"/>
      <c r="S631" s="80"/>
      <c r="T631" s="80"/>
      <c r="U631" s="83"/>
      <c r="V631" s="80"/>
      <c r="W631" s="83"/>
      <c r="X631" s="80"/>
      <c r="Y631" s="80"/>
      <c r="Z631" s="80"/>
      <c r="AA631" s="80"/>
      <c r="AB631" s="80"/>
      <c r="AC631" s="80"/>
      <c r="AD631" s="80"/>
      <c r="AE631" s="80"/>
    </row>
    <row r="632" spans="1:31" x14ac:dyDescent="0.25">
      <c r="A632" s="76"/>
      <c r="B632" s="76"/>
      <c r="C632" s="77"/>
      <c r="D632" s="78"/>
      <c r="E632" s="79"/>
      <c r="F632" s="80"/>
      <c r="G632" s="78"/>
      <c r="H632" s="81"/>
      <c r="I632" s="78"/>
      <c r="J632" s="78"/>
      <c r="K632" s="78"/>
      <c r="L632" s="78"/>
      <c r="M632" s="81"/>
      <c r="N632" s="76"/>
      <c r="O632" s="82"/>
      <c r="P632" s="80"/>
      <c r="Q632" s="83"/>
      <c r="R632" s="80"/>
      <c r="S632" s="80"/>
      <c r="T632" s="80"/>
      <c r="U632" s="83"/>
      <c r="V632" s="80"/>
      <c r="W632" s="83"/>
      <c r="X632" s="80"/>
      <c r="Y632" s="80"/>
      <c r="Z632" s="80"/>
      <c r="AA632" s="80"/>
      <c r="AB632" s="80"/>
      <c r="AC632" s="80"/>
      <c r="AD632" s="80"/>
      <c r="AE632" s="80"/>
    </row>
    <row r="633" spans="1:31" x14ac:dyDescent="0.25">
      <c r="A633" s="76"/>
      <c r="B633" s="76"/>
      <c r="C633" s="77"/>
      <c r="D633" s="78"/>
      <c r="E633" s="79"/>
      <c r="F633" s="80"/>
      <c r="G633" s="78"/>
      <c r="H633" s="81"/>
      <c r="I633" s="78"/>
      <c r="J633" s="78"/>
      <c r="K633" s="78"/>
      <c r="L633" s="78"/>
      <c r="M633" s="81"/>
      <c r="N633" s="76"/>
      <c r="O633" s="82"/>
      <c r="P633" s="80"/>
      <c r="Q633" s="83"/>
      <c r="R633" s="80"/>
      <c r="S633" s="80"/>
      <c r="T633" s="80"/>
      <c r="U633" s="83"/>
      <c r="V633" s="80"/>
      <c r="W633" s="83"/>
      <c r="X633" s="80"/>
      <c r="Y633" s="80"/>
      <c r="Z633" s="80"/>
      <c r="AA633" s="80"/>
      <c r="AB633" s="80"/>
      <c r="AC633" s="80"/>
      <c r="AD633" s="80"/>
      <c r="AE633" s="80"/>
    </row>
    <row r="634" spans="1:31" x14ac:dyDescent="0.25">
      <c r="A634" s="76"/>
      <c r="B634" s="76"/>
      <c r="C634" s="77"/>
      <c r="D634" s="78"/>
      <c r="E634" s="79"/>
      <c r="F634" s="80"/>
      <c r="G634" s="78"/>
      <c r="H634" s="81"/>
      <c r="I634" s="78"/>
      <c r="J634" s="78"/>
      <c r="K634" s="78"/>
      <c r="L634" s="78"/>
      <c r="M634" s="81"/>
      <c r="N634" s="76"/>
      <c r="O634" s="82"/>
      <c r="P634" s="80"/>
      <c r="Q634" s="83"/>
      <c r="R634" s="80"/>
      <c r="S634" s="80"/>
      <c r="T634" s="80"/>
      <c r="U634" s="83"/>
      <c r="V634" s="80"/>
      <c r="W634" s="83"/>
      <c r="X634" s="80"/>
      <c r="Y634" s="80"/>
      <c r="Z634" s="80"/>
      <c r="AA634" s="80"/>
      <c r="AB634" s="80"/>
      <c r="AC634" s="80"/>
      <c r="AD634" s="80"/>
      <c r="AE634" s="80"/>
    </row>
    <row r="635" spans="1:31" x14ac:dyDescent="0.25">
      <c r="A635" s="76"/>
      <c r="B635" s="76"/>
      <c r="C635" s="77"/>
      <c r="D635" s="78"/>
      <c r="E635" s="79"/>
      <c r="F635" s="80"/>
      <c r="G635" s="78"/>
      <c r="H635" s="81"/>
      <c r="I635" s="78"/>
      <c r="J635" s="78"/>
      <c r="K635" s="78"/>
      <c r="L635" s="78"/>
      <c r="M635" s="81"/>
      <c r="N635" s="76"/>
      <c r="O635" s="82"/>
      <c r="P635" s="80"/>
      <c r="Q635" s="83"/>
      <c r="R635" s="80"/>
      <c r="S635" s="80"/>
      <c r="T635" s="80"/>
      <c r="U635" s="83"/>
      <c r="V635" s="80"/>
      <c r="W635" s="83"/>
      <c r="X635" s="80"/>
      <c r="Y635" s="80"/>
      <c r="Z635" s="80"/>
      <c r="AA635" s="80"/>
      <c r="AB635" s="80"/>
      <c r="AC635" s="80"/>
      <c r="AD635" s="80"/>
      <c r="AE635" s="80"/>
    </row>
    <row r="636" spans="1:31" x14ac:dyDescent="0.25">
      <c r="A636" s="76"/>
      <c r="B636" s="76"/>
      <c r="C636" s="77"/>
      <c r="D636" s="78"/>
      <c r="E636" s="79"/>
      <c r="F636" s="80"/>
      <c r="G636" s="78"/>
      <c r="H636" s="81"/>
      <c r="I636" s="78"/>
      <c r="J636" s="78"/>
      <c r="K636" s="78"/>
      <c r="L636" s="78"/>
      <c r="M636" s="81"/>
      <c r="N636" s="76"/>
      <c r="O636" s="82"/>
      <c r="P636" s="80"/>
      <c r="Q636" s="83"/>
      <c r="R636" s="80"/>
      <c r="S636" s="80"/>
      <c r="T636" s="80"/>
      <c r="U636" s="83"/>
      <c r="V636" s="80"/>
      <c r="W636" s="83"/>
      <c r="X636" s="80"/>
      <c r="Y636" s="80"/>
      <c r="Z636" s="80"/>
      <c r="AA636" s="80"/>
      <c r="AB636" s="80"/>
      <c r="AC636" s="80"/>
      <c r="AD636" s="80"/>
      <c r="AE636" s="80"/>
    </row>
    <row r="637" spans="1:31" x14ac:dyDescent="0.25">
      <c r="A637" s="76"/>
      <c r="B637" s="76"/>
      <c r="C637" s="77"/>
      <c r="D637" s="78"/>
      <c r="E637" s="79"/>
      <c r="F637" s="80"/>
      <c r="G637" s="78"/>
      <c r="H637" s="81"/>
      <c r="I637" s="78"/>
      <c r="J637" s="78"/>
      <c r="K637" s="78"/>
      <c r="L637" s="78"/>
      <c r="M637" s="81"/>
      <c r="N637" s="76"/>
      <c r="O637" s="82"/>
      <c r="P637" s="80"/>
      <c r="Q637" s="83"/>
      <c r="R637" s="80"/>
      <c r="S637" s="80"/>
      <c r="T637" s="80"/>
      <c r="U637" s="83"/>
      <c r="V637" s="80"/>
      <c r="W637" s="83"/>
      <c r="X637" s="80"/>
      <c r="Y637" s="80"/>
      <c r="Z637" s="80"/>
      <c r="AA637" s="80"/>
      <c r="AB637" s="80"/>
      <c r="AC637" s="80"/>
      <c r="AD637" s="80"/>
      <c r="AE637" s="80"/>
    </row>
    <row r="638" spans="1:31" x14ac:dyDescent="0.25">
      <c r="A638" s="76"/>
      <c r="B638" s="76"/>
      <c r="C638" s="77"/>
      <c r="D638" s="78"/>
      <c r="E638" s="79"/>
      <c r="F638" s="80"/>
      <c r="G638" s="78"/>
      <c r="H638" s="81"/>
      <c r="I638" s="78"/>
      <c r="J638" s="78"/>
      <c r="K638" s="78"/>
      <c r="L638" s="78"/>
      <c r="M638" s="81"/>
      <c r="N638" s="76"/>
      <c r="O638" s="82"/>
      <c r="P638" s="80"/>
      <c r="Q638" s="83"/>
      <c r="R638" s="80"/>
      <c r="S638" s="80"/>
      <c r="T638" s="80"/>
      <c r="U638" s="83"/>
      <c r="V638" s="80"/>
      <c r="W638" s="83"/>
      <c r="X638" s="80"/>
      <c r="Y638" s="80"/>
      <c r="Z638" s="80"/>
      <c r="AA638" s="80"/>
      <c r="AB638" s="80"/>
      <c r="AC638" s="80"/>
      <c r="AD638" s="80"/>
      <c r="AE638" s="80"/>
    </row>
    <row r="639" spans="1:31" x14ac:dyDescent="0.25">
      <c r="A639" s="76"/>
      <c r="B639" s="76"/>
      <c r="C639" s="77"/>
      <c r="D639" s="78"/>
      <c r="E639" s="79"/>
      <c r="F639" s="80"/>
      <c r="G639" s="78"/>
      <c r="H639" s="81"/>
      <c r="I639" s="78"/>
      <c r="J639" s="78"/>
      <c r="K639" s="78"/>
      <c r="L639" s="78"/>
      <c r="M639" s="81"/>
      <c r="N639" s="76"/>
      <c r="O639" s="82"/>
      <c r="P639" s="80"/>
      <c r="Q639" s="83"/>
      <c r="R639" s="80"/>
      <c r="S639" s="80"/>
      <c r="T639" s="80"/>
      <c r="U639" s="83"/>
      <c r="V639" s="80"/>
      <c r="W639" s="83"/>
      <c r="X639" s="80"/>
      <c r="Y639" s="80"/>
      <c r="Z639" s="80"/>
      <c r="AA639" s="80"/>
      <c r="AB639" s="80"/>
      <c r="AC639" s="80"/>
      <c r="AD639" s="80"/>
      <c r="AE639" s="80"/>
    </row>
    <row r="640" spans="1:31" x14ac:dyDescent="0.25">
      <c r="A640" s="76"/>
      <c r="B640" s="76"/>
      <c r="C640" s="77"/>
      <c r="D640" s="78"/>
      <c r="E640" s="79"/>
      <c r="F640" s="80"/>
      <c r="G640" s="78"/>
      <c r="H640" s="81"/>
      <c r="I640" s="78"/>
      <c r="J640" s="78"/>
      <c r="K640" s="78"/>
      <c r="L640" s="78"/>
      <c r="M640" s="81"/>
      <c r="N640" s="76"/>
      <c r="O640" s="82"/>
      <c r="P640" s="80"/>
      <c r="Q640" s="83"/>
      <c r="R640" s="80"/>
      <c r="S640" s="80"/>
      <c r="T640" s="80"/>
      <c r="U640" s="83"/>
      <c r="V640" s="80"/>
      <c r="W640" s="83"/>
      <c r="X640" s="80"/>
      <c r="Y640" s="80"/>
      <c r="Z640" s="80"/>
      <c r="AA640" s="80"/>
      <c r="AB640" s="80"/>
      <c r="AC640" s="80"/>
      <c r="AD640" s="80"/>
      <c r="AE640" s="80"/>
    </row>
    <row r="641" spans="1:31" x14ac:dyDescent="0.25">
      <c r="A641" s="76"/>
      <c r="B641" s="76"/>
      <c r="C641" s="77"/>
      <c r="D641" s="78"/>
      <c r="E641" s="79"/>
      <c r="F641" s="80"/>
      <c r="G641" s="78"/>
      <c r="H641" s="81"/>
      <c r="I641" s="78"/>
      <c r="J641" s="78"/>
      <c r="K641" s="78"/>
      <c r="L641" s="78"/>
      <c r="M641" s="81"/>
      <c r="N641" s="76"/>
      <c r="O641" s="82"/>
      <c r="P641" s="80"/>
      <c r="Q641" s="83"/>
      <c r="R641" s="80"/>
      <c r="S641" s="80"/>
      <c r="T641" s="80"/>
      <c r="U641" s="83"/>
      <c r="V641" s="80"/>
      <c r="W641" s="83"/>
      <c r="X641" s="80"/>
      <c r="Y641" s="80"/>
      <c r="Z641" s="80"/>
      <c r="AA641" s="80"/>
      <c r="AB641" s="80"/>
      <c r="AC641" s="80"/>
      <c r="AD641" s="80"/>
      <c r="AE641" s="80"/>
    </row>
    <row r="642" spans="1:31" x14ac:dyDescent="0.25">
      <c r="A642" s="76"/>
      <c r="B642" s="76"/>
      <c r="C642" s="77"/>
      <c r="D642" s="78"/>
      <c r="E642" s="79"/>
      <c r="F642" s="80"/>
      <c r="G642" s="78"/>
      <c r="H642" s="81"/>
      <c r="I642" s="78"/>
      <c r="J642" s="78"/>
      <c r="K642" s="78"/>
      <c r="L642" s="78"/>
      <c r="M642" s="81"/>
      <c r="N642" s="76"/>
      <c r="O642" s="82"/>
      <c r="P642" s="80"/>
      <c r="Q642" s="83"/>
      <c r="R642" s="80"/>
      <c r="S642" s="80"/>
      <c r="T642" s="80"/>
      <c r="U642" s="83"/>
      <c r="V642" s="80"/>
      <c r="W642" s="83"/>
      <c r="X642" s="80"/>
      <c r="Y642" s="80"/>
      <c r="Z642" s="80"/>
      <c r="AA642" s="80"/>
      <c r="AB642" s="80"/>
      <c r="AC642" s="80"/>
      <c r="AD642" s="80"/>
      <c r="AE642" s="80"/>
    </row>
    <row r="643" spans="1:31" x14ac:dyDescent="0.25">
      <c r="A643" s="76"/>
      <c r="B643" s="76"/>
      <c r="C643" s="77"/>
      <c r="D643" s="78"/>
      <c r="E643" s="79"/>
      <c r="F643" s="80"/>
      <c r="G643" s="78"/>
      <c r="H643" s="81"/>
      <c r="I643" s="78"/>
      <c r="J643" s="78"/>
      <c r="K643" s="78"/>
      <c r="L643" s="78"/>
      <c r="M643" s="81"/>
      <c r="N643" s="76"/>
      <c r="O643" s="82"/>
      <c r="P643" s="80"/>
      <c r="Q643" s="83"/>
      <c r="R643" s="80"/>
      <c r="S643" s="80"/>
      <c r="T643" s="80"/>
      <c r="U643" s="83"/>
      <c r="V643" s="80"/>
      <c r="W643" s="83"/>
      <c r="X643" s="80"/>
      <c r="Y643" s="80"/>
      <c r="Z643" s="80"/>
      <c r="AA643" s="80"/>
      <c r="AB643" s="80"/>
      <c r="AC643" s="80"/>
      <c r="AD643" s="80"/>
      <c r="AE643" s="80"/>
    </row>
    <row r="644" spans="1:31" x14ac:dyDescent="0.25">
      <c r="A644" s="76"/>
      <c r="B644" s="76"/>
      <c r="C644" s="77"/>
      <c r="D644" s="78"/>
      <c r="E644" s="79"/>
      <c r="F644" s="80"/>
      <c r="G644" s="78"/>
      <c r="H644" s="81"/>
      <c r="I644" s="78"/>
      <c r="J644" s="78"/>
      <c r="K644" s="78"/>
      <c r="L644" s="78"/>
      <c r="M644" s="81"/>
      <c r="N644" s="76"/>
      <c r="O644" s="82"/>
      <c r="P644" s="80"/>
      <c r="Q644" s="83"/>
      <c r="R644" s="80"/>
      <c r="S644" s="80"/>
      <c r="T644" s="80"/>
      <c r="U644" s="83"/>
      <c r="V644" s="80"/>
      <c r="W644" s="83"/>
      <c r="X644" s="80"/>
      <c r="Y644" s="80"/>
      <c r="Z644" s="80"/>
      <c r="AA644" s="80"/>
      <c r="AB644" s="80"/>
      <c r="AC644" s="80"/>
      <c r="AD644" s="80"/>
      <c r="AE644" s="80"/>
    </row>
    <row r="645" spans="1:31" x14ac:dyDescent="0.25">
      <c r="A645" s="76"/>
      <c r="B645" s="76"/>
      <c r="C645" s="77"/>
      <c r="D645" s="78"/>
      <c r="E645" s="79"/>
      <c r="F645" s="80"/>
      <c r="G645" s="78"/>
      <c r="H645" s="81"/>
      <c r="I645" s="78"/>
      <c r="J645" s="78"/>
      <c r="K645" s="78"/>
      <c r="L645" s="78"/>
      <c r="M645" s="81"/>
      <c r="N645" s="76"/>
      <c r="O645" s="82"/>
      <c r="P645" s="80"/>
      <c r="Q645" s="83"/>
      <c r="R645" s="80"/>
      <c r="S645" s="80"/>
      <c r="T645" s="80"/>
      <c r="U645" s="83"/>
      <c r="V645" s="80"/>
      <c r="W645" s="83"/>
      <c r="X645" s="80"/>
      <c r="Y645" s="80"/>
      <c r="Z645" s="80"/>
      <c r="AA645" s="80"/>
      <c r="AB645" s="80"/>
      <c r="AC645" s="80"/>
      <c r="AD645" s="80"/>
      <c r="AE645" s="80"/>
    </row>
    <row r="646" spans="1:31" x14ac:dyDescent="0.25">
      <c r="A646" s="76"/>
      <c r="B646" s="76"/>
      <c r="C646" s="77"/>
      <c r="D646" s="78"/>
      <c r="E646" s="79"/>
      <c r="F646" s="80"/>
      <c r="G646" s="78"/>
      <c r="H646" s="81"/>
      <c r="I646" s="78"/>
      <c r="J646" s="78"/>
      <c r="K646" s="78"/>
      <c r="L646" s="78"/>
      <c r="M646" s="81"/>
      <c r="N646" s="76"/>
      <c r="O646" s="82"/>
      <c r="P646" s="80"/>
      <c r="Q646" s="83"/>
      <c r="R646" s="80"/>
      <c r="S646" s="80"/>
      <c r="T646" s="80"/>
      <c r="U646" s="83"/>
      <c r="V646" s="80"/>
      <c r="W646" s="83"/>
      <c r="X646" s="80"/>
      <c r="Y646" s="80"/>
      <c r="Z646" s="80"/>
      <c r="AA646" s="80"/>
      <c r="AB646" s="80"/>
      <c r="AC646" s="80"/>
      <c r="AD646" s="80"/>
      <c r="AE646" s="80"/>
    </row>
    <row r="647" spans="1:31" x14ac:dyDescent="0.25">
      <c r="A647" s="76"/>
      <c r="B647" s="76"/>
      <c r="C647" s="77"/>
      <c r="D647" s="78"/>
      <c r="E647" s="79"/>
      <c r="F647" s="80"/>
      <c r="G647" s="78"/>
      <c r="H647" s="81"/>
      <c r="I647" s="78"/>
      <c r="J647" s="78"/>
      <c r="K647" s="78"/>
      <c r="L647" s="78"/>
      <c r="M647" s="81"/>
      <c r="N647" s="76"/>
      <c r="O647" s="82"/>
      <c r="P647" s="80"/>
      <c r="Q647" s="83"/>
      <c r="R647" s="80"/>
      <c r="S647" s="80"/>
      <c r="T647" s="80"/>
      <c r="U647" s="83"/>
      <c r="V647" s="80"/>
      <c r="W647" s="83"/>
      <c r="X647" s="80"/>
      <c r="Y647" s="80"/>
      <c r="Z647" s="80"/>
      <c r="AA647" s="80"/>
      <c r="AB647" s="80"/>
      <c r="AC647" s="80"/>
      <c r="AD647" s="80"/>
      <c r="AE647" s="80"/>
    </row>
    <row r="648" spans="1:31" x14ac:dyDescent="0.25">
      <c r="A648" s="76"/>
      <c r="B648" s="76"/>
      <c r="C648" s="77"/>
      <c r="D648" s="78"/>
      <c r="E648" s="79"/>
      <c r="F648" s="80"/>
      <c r="G648" s="78"/>
      <c r="H648" s="81"/>
      <c r="I648" s="78"/>
      <c r="J648" s="78"/>
      <c r="K648" s="78"/>
      <c r="L648" s="78"/>
      <c r="M648" s="81"/>
      <c r="N648" s="76"/>
      <c r="O648" s="82"/>
      <c r="P648" s="80"/>
      <c r="Q648" s="83"/>
      <c r="R648" s="80"/>
      <c r="S648" s="80"/>
      <c r="T648" s="80"/>
      <c r="U648" s="83"/>
      <c r="V648" s="80"/>
      <c r="W648" s="83"/>
      <c r="X648" s="80"/>
      <c r="Y648" s="80"/>
      <c r="Z648" s="80"/>
      <c r="AA648" s="80"/>
      <c r="AB648" s="80"/>
      <c r="AC648" s="80"/>
      <c r="AD648" s="80"/>
      <c r="AE648" s="80"/>
    </row>
    <row r="649" spans="1:31" x14ac:dyDescent="0.25">
      <c r="A649" s="76"/>
      <c r="B649" s="76"/>
      <c r="C649" s="77"/>
      <c r="D649" s="78"/>
      <c r="E649" s="79"/>
      <c r="F649" s="80"/>
      <c r="G649" s="78"/>
      <c r="H649" s="81"/>
      <c r="I649" s="78"/>
      <c r="J649" s="78"/>
      <c r="K649" s="78"/>
      <c r="L649" s="78"/>
      <c r="M649" s="81"/>
      <c r="N649" s="76"/>
      <c r="O649" s="82"/>
      <c r="P649" s="80"/>
      <c r="Q649" s="83"/>
      <c r="R649" s="80"/>
      <c r="S649" s="80"/>
      <c r="T649" s="80"/>
      <c r="U649" s="83"/>
      <c r="V649" s="80"/>
      <c r="W649" s="83"/>
      <c r="X649" s="80"/>
      <c r="Y649" s="80"/>
      <c r="Z649" s="80"/>
      <c r="AA649" s="80"/>
      <c r="AB649" s="80"/>
      <c r="AC649" s="80"/>
      <c r="AD649" s="80"/>
      <c r="AE649" s="80"/>
    </row>
    <row r="650" spans="1:31" x14ac:dyDescent="0.25">
      <c r="A650" s="76"/>
      <c r="B650" s="76"/>
      <c r="C650" s="77"/>
      <c r="D650" s="78"/>
      <c r="E650" s="79"/>
      <c r="F650" s="80"/>
      <c r="G650" s="78"/>
      <c r="H650" s="81"/>
      <c r="I650" s="78"/>
      <c r="J650" s="78"/>
      <c r="K650" s="78"/>
      <c r="L650" s="78"/>
      <c r="M650" s="81"/>
      <c r="N650" s="76"/>
      <c r="O650" s="82"/>
      <c r="P650" s="80"/>
      <c r="Q650" s="83"/>
      <c r="R650" s="80"/>
      <c r="S650" s="80"/>
      <c r="T650" s="80"/>
      <c r="U650" s="83"/>
      <c r="V650" s="80"/>
      <c r="W650" s="83"/>
      <c r="X650" s="80"/>
      <c r="Y650" s="80"/>
      <c r="Z650" s="80"/>
      <c r="AA650" s="80"/>
      <c r="AB650" s="80"/>
      <c r="AC650" s="80"/>
      <c r="AD650" s="80"/>
      <c r="AE650" s="80"/>
    </row>
    <row r="651" spans="1:31" x14ac:dyDescent="0.25">
      <c r="A651" s="76"/>
      <c r="B651" s="76"/>
      <c r="C651" s="77"/>
      <c r="D651" s="78"/>
      <c r="E651" s="79"/>
      <c r="F651" s="80"/>
      <c r="G651" s="78"/>
      <c r="H651" s="81"/>
      <c r="I651" s="78"/>
      <c r="J651" s="78"/>
      <c r="K651" s="78"/>
      <c r="L651" s="78"/>
      <c r="M651" s="81"/>
      <c r="N651" s="76"/>
      <c r="O651" s="82"/>
      <c r="P651" s="80"/>
      <c r="Q651" s="83"/>
      <c r="R651" s="80"/>
      <c r="S651" s="80"/>
      <c r="T651" s="80"/>
      <c r="U651" s="83"/>
      <c r="V651" s="80"/>
      <c r="W651" s="83"/>
      <c r="X651" s="80"/>
      <c r="Y651" s="80"/>
      <c r="Z651" s="80"/>
      <c r="AA651" s="80"/>
      <c r="AB651" s="80"/>
      <c r="AC651" s="80"/>
      <c r="AD651" s="80"/>
      <c r="AE651" s="80"/>
    </row>
    <row r="652" spans="1:31" x14ac:dyDescent="0.25">
      <c r="A652" s="76"/>
      <c r="B652" s="76"/>
      <c r="C652" s="77"/>
      <c r="D652" s="78"/>
      <c r="E652" s="79"/>
      <c r="F652" s="80"/>
      <c r="G652" s="78"/>
      <c r="H652" s="81"/>
      <c r="I652" s="78"/>
      <c r="J652" s="78"/>
      <c r="K652" s="78"/>
      <c r="L652" s="78"/>
      <c r="M652" s="81"/>
      <c r="N652" s="76"/>
      <c r="O652" s="82"/>
      <c r="P652" s="80"/>
      <c r="Q652" s="83"/>
      <c r="R652" s="80"/>
      <c r="S652" s="80"/>
      <c r="T652" s="80"/>
      <c r="U652" s="83"/>
      <c r="V652" s="80"/>
      <c r="W652" s="83"/>
      <c r="X652" s="80"/>
      <c r="Y652" s="80"/>
      <c r="Z652" s="80"/>
      <c r="AA652" s="80"/>
      <c r="AB652" s="80"/>
      <c r="AC652" s="80"/>
      <c r="AD652" s="80"/>
      <c r="AE652" s="80"/>
    </row>
    <row r="653" spans="1:31" x14ac:dyDescent="0.25">
      <c r="A653" s="76"/>
      <c r="B653" s="76"/>
      <c r="C653" s="77"/>
      <c r="D653" s="78"/>
      <c r="E653" s="79"/>
      <c r="F653" s="80"/>
      <c r="G653" s="78"/>
      <c r="H653" s="81"/>
      <c r="I653" s="78"/>
      <c r="J653" s="78"/>
      <c r="K653" s="78"/>
      <c r="L653" s="78"/>
      <c r="M653" s="81"/>
      <c r="N653" s="76"/>
      <c r="O653" s="82"/>
      <c r="P653" s="80"/>
      <c r="Q653" s="83"/>
      <c r="R653" s="80"/>
      <c r="S653" s="80"/>
      <c r="T653" s="80"/>
      <c r="U653" s="83"/>
      <c r="V653" s="80"/>
      <c r="W653" s="83"/>
      <c r="X653" s="80"/>
      <c r="Y653" s="80"/>
      <c r="Z653" s="80"/>
      <c r="AA653" s="80"/>
      <c r="AB653" s="80"/>
      <c r="AC653" s="80"/>
      <c r="AD653" s="80"/>
      <c r="AE653" s="80"/>
    </row>
    <row r="654" spans="1:31" x14ac:dyDescent="0.25">
      <c r="A654" s="76"/>
      <c r="B654" s="76"/>
      <c r="C654" s="77"/>
      <c r="D654" s="78"/>
      <c r="E654" s="79"/>
      <c r="F654" s="80"/>
      <c r="G654" s="78"/>
      <c r="H654" s="81"/>
      <c r="I654" s="78"/>
      <c r="J654" s="78"/>
      <c r="K654" s="78"/>
      <c r="L654" s="78"/>
      <c r="M654" s="81"/>
      <c r="N654" s="76"/>
      <c r="O654" s="82"/>
      <c r="P654" s="80"/>
      <c r="Q654" s="83"/>
      <c r="R654" s="80"/>
      <c r="S654" s="80"/>
      <c r="T654" s="80"/>
      <c r="U654" s="83"/>
      <c r="V654" s="80"/>
      <c r="W654" s="83"/>
      <c r="X654" s="80"/>
      <c r="Y654" s="80"/>
      <c r="Z654" s="80"/>
      <c r="AA654" s="80"/>
      <c r="AB654" s="80"/>
      <c r="AC654" s="80"/>
      <c r="AD654" s="80"/>
      <c r="AE654" s="80"/>
    </row>
    <row r="655" spans="1:31" x14ac:dyDescent="0.25">
      <c r="A655" s="76"/>
      <c r="B655" s="76"/>
      <c r="C655" s="77"/>
      <c r="D655" s="78"/>
      <c r="E655" s="79"/>
      <c r="F655" s="80"/>
      <c r="G655" s="78"/>
      <c r="H655" s="81"/>
      <c r="I655" s="78"/>
      <c r="J655" s="78"/>
      <c r="K655" s="78"/>
      <c r="L655" s="78"/>
      <c r="M655" s="81"/>
      <c r="N655" s="76"/>
      <c r="O655" s="82"/>
      <c r="P655" s="80"/>
      <c r="Q655" s="83"/>
      <c r="R655" s="80"/>
      <c r="S655" s="80"/>
      <c r="T655" s="80"/>
      <c r="U655" s="83"/>
      <c r="V655" s="80"/>
      <c r="W655" s="83"/>
      <c r="X655" s="80"/>
      <c r="Y655" s="80"/>
      <c r="Z655" s="80"/>
      <c r="AA655" s="80"/>
      <c r="AB655" s="80"/>
      <c r="AC655" s="80"/>
      <c r="AD655" s="80"/>
      <c r="AE655" s="80"/>
    </row>
    <row r="656" spans="1:31" x14ac:dyDescent="0.25">
      <c r="A656" s="76"/>
      <c r="B656" s="76"/>
      <c r="C656" s="77"/>
      <c r="D656" s="78"/>
      <c r="E656" s="79"/>
      <c r="F656" s="80"/>
      <c r="G656" s="78"/>
      <c r="H656" s="81"/>
      <c r="I656" s="78"/>
      <c r="J656" s="78"/>
      <c r="K656" s="78"/>
      <c r="L656" s="78"/>
      <c r="M656" s="81"/>
      <c r="N656" s="76"/>
      <c r="O656" s="82"/>
      <c r="P656" s="80"/>
      <c r="Q656" s="83"/>
      <c r="R656" s="80"/>
      <c r="S656" s="80"/>
      <c r="T656" s="80"/>
      <c r="U656" s="83"/>
      <c r="V656" s="80"/>
      <c r="W656" s="83"/>
      <c r="X656" s="80"/>
      <c r="Y656" s="80"/>
      <c r="Z656" s="80"/>
      <c r="AA656" s="80"/>
      <c r="AB656" s="80"/>
      <c r="AC656" s="80"/>
      <c r="AD656" s="80"/>
      <c r="AE656" s="80"/>
    </row>
    <row r="657" spans="1:31" x14ac:dyDescent="0.25">
      <c r="A657" s="76"/>
      <c r="B657" s="76"/>
      <c r="C657" s="77"/>
      <c r="D657" s="78"/>
      <c r="E657" s="79"/>
      <c r="F657" s="80"/>
      <c r="G657" s="78"/>
      <c r="H657" s="81"/>
      <c r="I657" s="78"/>
      <c r="J657" s="78"/>
      <c r="K657" s="78"/>
      <c r="L657" s="78"/>
      <c r="M657" s="81"/>
      <c r="N657" s="76"/>
      <c r="O657" s="82"/>
      <c r="P657" s="80"/>
      <c r="Q657" s="83"/>
      <c r="R657" s="80"/>
      <c r="S657" s="80"/>
      <c r="T657" s="80"/>
      <c r="U657" s="83"/>
      <c r="V657" s="80"/>
      <c r="W657" s="83"/>
      <c r="X657" s="80"/>
      <c r="Y657" s="80"/>
      <c r="Z657" s="80"/>
      <c r="AA657" s="80"/>
      <c r="AB657" s="80"/>
      <c r="AC657" s="80"/>
      <c r="AD657" s="80"/>
      <c r="AE657" s="80"/>
    </row>
    <row r="658" spans="1:31" x14ac:dyDescent="0.25">
      <c r="A658" s="76"/>
      <c r="B658" s="76"/>
      <c r="C658" s="77"/>
      <c r="D658" s="78"/>
      <c r="E658" s="79"/>
      <c r="F658" s="80"/>
      <c r="G658" s="78"/>
      <c r="H658" s="81"/>
      <c r="I658" s="78"/>
      <c r="J658" s="78"/>
      <c r="K658" s="78"/>
      <c r="L658" s="78"/>
      <c r="M658" s="81"/>
      <c r="N658" s="76"/>
      <c r="O658" s="82"/>
      <c r="P658" s="80"/>
      <c r="Q658" s="83"/>
      <c r="R658" s="80"/>
      <c r="S658" s="80"/>
      <c r="T658" s="80"/>
      <c r="U658" s="83"/>
      <c r="V658" s="80"/>
      <c r="W658" s="83"/>
      <c r="X658" s="80"/>
      <c r="Y658" s="80"/>
      <c r="Z658" s="80"/>
      <c r="AA658" s="80"/>
      <c r="AB658" s="80"/>
      <c r="AC658" s="80"/>
      <c r="AD658" s="80"/>
      <c r="AE658" s="80"/>
    </row>
    <row r="659" spans="1:31" x14ac:dyDescent="0.25">
      <c r="A659" s="76"/>
      <c r="B659" s="76"/>
      <c r="C659" s="77"/>
      <c r="D659" s="78"/>
      <c r="E659" s="79"/>
      <c r="F659" s="80"/>
      <c r="G659" s="78"/>
      <c r="H659" s="81"/>
      <c r="I659" s="78"/>
      <c r="J659" s="78"/>
      <c r="K659" s="78"/>
      <c r="L659" s="78"/>
      <c r="M659" s="81"/>
      <c r="N659" s="76"/>
      <c r="O659" s="82"/>
      <c r="P659" s="80"/>
      <c r="Q659" s="83"/>
      <c r="R659" s="80"/>
      <c r="S659" s="80"/>
      <c r="T659" s="80"/>
      <c r="U659" s="83"/>
      <c r="V659" s="80"/>
      <c r="W659" s="83"/>
      <c r="X659" s="80"/>
      <c r="Y659" s="80"/>
      <c r="Z659" s="80"/>
      <c r="AA659" s="80"/>
      <c r="AB659" s="80"/>
      <c r="AC659" s="80"/>
      <c r="AD659" s="80"/>
      <c r="AE659" s="80"/>
    </row>
    <row r="660" spans="1:31" x14ac:dyDescent="0.25">
      <c r="A660" s="76"/>
      <c r="B660" s="76"/>
      <c r="C660" s="77"/>
      <c r="D660" s="78"/>
      <c r="E660" s="79"/>
      <c r="F660" s="80"/>
      <c r="G660" s="78"/>
      <c r="H660" s="81"/>
      <c r="I660" s="78"/>
      <c r="J660" s="78"/>
      <c r="K660" s="78"/>
      <c r="L660" s="78"/>
      <c r="M660" s="81"/>
      <c r="N660" s="76"/>
      <c r="O660" s="82"/>
      <c r="P660" s="80"/>
      <c r="Q660" s="83"/>
      <c r="R660" s="80"/>
      <c r="S660" s="80"/>
      <c r="T660" s="80"/>
      <c r="U660" s="83"/>
      <c r="V660" s="80"/>
      <c r="W660" s="83"/>
      <c r="X660" s="80"/>
      <c r="Y660" s="80"/>
      <c r="Z660" s="80"/>
      <c r="AA660" s="80"/>
      <c r="AB660" s="80"/>
      <c r="AC660" s="80"/>
      <c r="AD660" s="80"/>
      <c r="AE660" s="80"/>
    </row>
    <row r="661" spans="1:31" x14ac:dyDescent="0.25">
      <c r="A661" s="76"/>
      <c r="B661" s="76"/>
      <c r="C661" s="77"/>
      <c r="D661" s="78"/>
      <c r="E661" s="79"/>
      <c r="F661" s="80"/>
      <c r="G661" s="78"/>
      <c r="H661" s="81"/>
      <c r="I661" s="78"/>
      <c r="J661" s="78"/>
      <c r="K661" s="78"/>
      <c r="L661" s="78"/>
      <c r="M661" s="81"/>
      <c r="N661" s="76"/>
      <c r="O661" s="82"/>
      <c r="P661" s="80"/>
      <c r="Q661" s="83"/>
      <c r="R661" s="80"/>
      <c r="S661" s="80"/>
      <c r="T661" s="80"/>
      <c r="U661" s="83"/>
      <c r="V661" s="80"/>
      <c r="W661" s="83"/>
      <c r="X661" s="80"/>
      <c r="Y661" s="80"/>
      <c r="Z661" s="80"/>
      <c r="AA661" s="80"/>
      <c r="AB661" s="80"/>
      <c r="AC661" s="80"/>
      <c r="AD661" s="80"/>
      <c r="AE661" s="80"/>
    </row>
    <row r="662" spans="1:31" x14ac:dyDescent="0.25">
      <c r="A662" s="76"/>
      <c r="B662" s="76"/>
      <c r="C662" s="77"/>
      <c r="D662" s="78"/>
      <c r="E662" s="79"/>
      <c r="F662" s="80"/>
      <c r="G662" s="78"/>
      <c r="H662" s="81"/>
      <c r="I662" s="78"/>
      <c r="J662" s="78"/>
      <c r="K662" s="78"/>
      <c r="L662" s="78"/>
      <c r="M662" s="81"/>
      <c r="N662" s="76"/>
      <c r="O662" s="82"/>
      <c r="P662" s="80"/>
      <c r="Q662" s="83"/>
      <c r="R662" s="80"/>
      <c r="S662" s="80"/>
      <c r="T662" s="80"/>
      <c r="U662" s="83"/>
      <c r="V662" s="80"/>
      <c r="W662" s="83"/>
      <c r="X662" s="80"/>
      <c r="Y662" s="80"/>
      <c r="Z662" s="80"/>
      <c r="AA662" s="80"/>
      <c r="AB662" s="80"/>
      <c r="AC662" s="80"/>
      <c r="AD662" s="80"/>
      <c r="AE662" s="80"/>
    </row>
    <row r="663" spans="1:31" x14ac:dyDescent="0.25">
      <c r="A663" s="76"/>
      <c r="B663" s="76"/>
      <c r="C663" s="77"/>
      <c r="D663" s="78"/>
      <c r="E663" s="79"/>
      <c r="F663" s="80"/>
      <c r="G663" s="78"/>
      <c r="H663" s="81"/>
      <c r="I663" s="78"/>
      <c r="J663" s="78"/>
      <c r="K663" s="78"/>
      <c r="L663" s="78"/>
      <c r="M663" s="81"/>
      <c r="N663" s="76"/>
      <c r="O663" s="82"/>
      <c r="P663" s="80"/>
      <c r="Q663" s="83"/>
      <c r="R663" s="80"/>
      <c r="S663" s="80"/>
      <c r="T663" s="80"/>
      <c r="U663" s="83"/>
      <c r="V663" s="80"/>
      <c r="W663" s="83"/>
      <c r="X663" s="80"/>
      <c r="Y663" s="80"/>
      <c r="Z663" s="80"/>
      <c r="AA663" s="80"/>
      <c r="AB663" s="80"/>
      <c r="AC663" s="80"/>
      <c r="AD663" s="80"/>
      <c r="AE663" s="80"/>
    </row>
    <row r="664" spans="1:31" x14ac:dyDescent="0.25">
      <c r="A664" s="76"/>
      <c r="B664" s="76"/>
      <c r="C664" s="77"/>
      <c r="D664" s="78"/>
      <c r="E664" s="79"/>
      <c r="F664" s="80"/>
      <c r="G664" s="78"/>
      <c r="H664" s="81"/>
      <c r="I664" s="78"/>
      <c r="J664" s="78"/>
      <c r="K664" s="78"/>
      <c r="L664" s="78"/>
      <c r="M664" s="81"/>
      <c r="N664" s="76"/>
      <c r="O664" s="82"/>
      <c r="P664" s="80"/>
      <c r="Q664" s="83"/>
      <c r="R664" s="80"/>
      <c r="S664" s="80"/>
      <c r="T664" s="80"/>
      <c r="U664" s="83"/>
      <c r="V664" s="80"/>
      <c r="W664" s="83"/>
      <c r="X664" s="80"/>
      <c r="Y664" s="80"/>
      <c r="Z664" s="80"/>
      <c r="AA664" s="80"/>
      <c r="AB664" s="80"/>
      <c r="AC664" s="80"/>
      <c r="AD664" s="80"/>
      <c r="AE664" s="80"/>
    </row>
    <row r="665" spans="1:31" x14ac:dyDescent="0.25">
      <c r="A665" s="76"/>
      <c r="B665" s="76"/>
      <c r="C665" s="77"/>
      <c r="D665" s="78"/>
      <c r="E665" s="79"/>
      <c r="F665" s="80"/>
      <c r="G665" s="78"/>
      <c r="H665" s="81"/>
      <c r="I665" s="78"/>
      <c r="J665" s="78"/>
      <c r="K665" s="78"/>
      <c r="L665" s="78"/>
      <c r="M665" s="81"/>
      <c r="N665" s="76"/>
      <c r="O665" s="82"/>
      <c r="P665" s="80"/>
      <c r="Q665" s="83"/>
      <c r="R665" s="80"/>
      <c r="S665" s="80"/>
      <c r="T665" s="80"/>
      <c r="U665" s="83"/>
      <c r="V665" s="80"/>
      <c r="W665" s="83"/>
      <c r="X665" s="80"/>
      <c r="Y665" s="80"/>
      <c r="Z665" s="80"/>
      <c r="AA665" s="80"/>
      <c r="AB665" s="80"/>
      <c r="AC665" s="80"/>
      <c r="AD665" s="80"/>
      <c r="AE665" s="80"/>
    </row>
    <row r="666" spans="1:31" x14ac:dyDescent="0.25">
      <c r="A666" s="76"/>
      <c r="B666" s="76"/>
      <c r="C666" s="77"/>
      <c r="D666" s="78"/>
      <c r="E666" s="79"/>
      <c r="F666" s="80"/>
      <c r="G666" s="78"/>
      <c r="H666" s="81"/>
      <c r="I666" s="78"/>
      <c r="J666" s="78"/>
      <c r="K666" s="78"/>
      <c r="L666" s="78"/>
      <c r="M666" s="81"/>
      <c r="N666" s="76"/>
      <c r="O666" s="82"/>
      <c r="P666" s="80"/>
      <c r="Q666" s="83"/>
      <c r="R666" s="80"/>
      <c r="S666" s="80"/>
      <c r="T666" s="80"/>
      <c r="U666" s="83"/>
      <c r="V666" s="80"/>
      <c r="W666" s="83"/>
      <c r="X666" s="80"/>
      <c r="Y666" s="80"/>
      <c r="Z666" s="80"/>
      <c r="AA666" s="80"/>
      <c r="AB666" s="80"/>
      <c r="AC666" s="80"/>
      <c r="AD666" s="80"/>
      <c r="AE666" s="80"/>
    </row>
    <row r="667" spans="1:31" x14ac:dyDescent="0.25">
      <c r="A667" s="76"/>
      <c r="B667" s="76"/>
      <c r="C667" s="77"/>
      <c r="D667" s="78"/>
      <c r="E667" s="79"/>
      <c r="F667" s="80"/>
      <c r="G667" s="78"/>
      <c r="H667" s="81"/>
      <c r="I667" s="78"/>
      <c r="J667" s="78"/>
      <c r="K667" s="78"/>
      <c r="L667" s="78"/>
      <c r="M667" s="81"/>
      <c r="N667" s="76"/>
      <c r="O667" s="82"/>
      <c r="P667" s="80"/>
      <c r="Q667" s="83"/>
      <c r="R667" s="80"/>
      <c r="S667" s="80"/>
      <c r="T667" s="80"/>
      <c r="U667" s="83"/>
      <c r="V667" s="80"/>
      <c r="W667" s="83"/>
      <c r="X667" s="80"/>
      <c r="Y667" s="80"/>
      <c r="Z667" s="80"/>
      <c r="AA667" s="80"/>
      <c r="AB667" s="80"/>
      <c r="AC667" s="80"/>
      <c r="AD667" s="80"/>
      <c r="AE667" s="80"/>
    </row>
    <row r="668" spans="1:31" x14ac:dyDescent="0.25">
      <c r="A668" s="76"/>
      <c r="B668" s="76"/>
      <c r="C668" s="77"/>
      <c r="D668" s="78"/>
      <c r="E668" s="79"/>
      <c r="F668" s="80"/>
      <c r="G668" s="78"/>
      <c r="H668" s="81"/>
      <c r="I668" s="78"/>
      <c r="J668" s="78"/>
      <c r="K668" s="78"/>
      <c r="L668" s="78"/>
      <c r="M668" s="81"/>
      <c r="N668" s="76"/>
      <c r="O668" s="82"/>
      <c r="P668" s="80"/>
      <c r="Q668" s="83"/>
      <c r="R668" s="80"/>
      <c r="S668" s="80"/>
      <c r="T668" s="80"/>
      <c r="U668" s="83"/>
      <c r="V668" s="80"/>
      <c r="W668" s="83"/>
      <c r="X668" s="80"/>
      <c r="Y668" s="80"/>
      <c r="Z668" s="80"/>
      <c r="AA668" s="80"/>
      <c r="AB668" s="80"/>
      <c r="AC668" s="80"/>
      <c r="AD668" s="80"/>
      <c r="AE668" s="80"/>
    </row>
    <row r="669" spans="1:31" x14ac:dyDescent="0.25">
      <c r="A669" s="76"/>
      <c r="B669" s="76"/>
      <c r="C669" s="77"/>
      <c r="D669" s="78"/>
      <c r="E669" s="79"/>
      <c r="F669" s="80"/>
      <c r="G669" s="78"/>
      <c r="H669" s="81"/>
      <c r="I669" s="78"/>
      <c r="J669" s="78"/>
      <c r="K669" s="78"/>
      <c r="L669" s="78"/>
      <c r="M669" s="81"/>
      <c r="N669" s="76"/>
      <c r="O669" s="82"/>
      <c r="P669" s="80"/>
      <c r="Q669" s="83"/>
      <c r="R669" s="80"/>
      <c r="S669" s="80"/>
      <c r="T669" s="80"/>
      <c r="U669" s="83"/>
      <c r="V669" s="80"/>
      <c r="W669" s="83"/>
      <c r="X669" s="80"/>
      <c r="Y669" s="80"/>
      <c r="Z669" s="80"/>
      <c r="AA669" s="80"/>
      <c r="AB669" s="80"/>
      <c r="AC669" s="80"/>
      <c r="AD669" s="80"/>
      <c r="AE669" s="80"/>
    </row>
    <row r="670" spans="1:31" x14ac:dyDescent="0.25">
      <c r="A670" s="76"/>
      <c r="B670" s="76"/>
      <c r="C670" s="77"/>
      <c r="D670" s="78"/>
      <c r="E670" s="79"/>
      <c r="F670" s="80"/>
      <c r="G670" s="78"/>
      <c r="H670" s="81"/>
      <c r="I670" s="78"/>
      <c r="J670" s="78"/>
      <c r="K670" s="78"/>
      <c r="L670" s="78"/>
      <c r="M670" s="81"/>
      <c r="N670" s="76"/>
      <c r="O670" s="82"/>
      <c r="P670" s="80"/>
      <c r="Q670" s="83"/>
      <c r="R670" s="80"/>
      <c r="S670" s="80"/>
      <c r="T670" s="80"/>
      <c r="U670" s="83"/>
      <c r="V670" s="80"/>
      <c r="W670" s="83"/>
      <c r="X670" s="80"/>
      <c r="Y670" s="80"/>
      <c r="Z670" s="80"/>
      <c r="AA670" s="80"/>
      <c r="AB670" s="80"/>
      <c r="AC670" s="80"/>
      <c r="AD670" s="80"/>
      <c r="AE670" s="80"/>
    </row>
    <row r="671" spans="1:31" x14ac:dyDescent="0.25">
      <c r="A671" s="76"/>
      <c r="B671" s="76"/>
      <c r="C671" s="77"/>
      <c r="D671" s="78"/>
      <c r="E671" s="79"/>
      <c r="F671" s="80"/>
      <c r="G671" s="78"/>
      <c r="H671" s="81"/>
      <c r="I671" s="78"/>
      <c r="J671" s="78"/>
      <c r="K671" s="78"/>
      <c r="L671" s="78"/>
      <c r="M671" s="81"/>
      <c r="N671" s="76"/>
      <c r="O671" s="82"/>
      <c r="P671" s="80"/>
      <c r="Q671" s="83"/>
      <c r="R671" s="80"/>
      <c r="S671" s="80"/>
      <c r="T671" s="80"/>
      <c r="U671" s="83"/>
      <c r="V671" s="80"/>
      <c r="W671" s="83"/>
      <c r="X671" s="80"/>
      <c r="Y671" s="80"/>
      <c r="Z671" s="80"/>
      <c r="AA671" s="80"/>
      <c r="AB671" s="80"/>
      <c r="AC671" s="80"/>
      <c r="AD671" s="80"/>
      <c r="AE671" s="80"/>
    </row>
    <row r="672" spans="1:31" x14ac:dyDescent="0.25">
      <c r="A672" s="76"/>
      <c r="B672" s="76"/>
      <c r="C672" s="77"/>
      <c r="D672" s="78"/>
      <c r="E672" s="79"/>
      <c r="F672" s="80"/>
      <c r="G672" s="78"/>
      <c r="H672" s="81"/>
      <c r="I672" s="78"/>
      <c r="J672" s="78"/>
      <c r="K672" s="78"/>
      <c r="L672" s="78"/>
      <c r="M672" s="81"/>
      <c r="N672" s="76"/>
      <c r="O672" s="82"/>
      <c r="P672" s="80"/>
      <c r="Q672" s="83"/>
      <c r="R672" s="80"/>
      <c r="S672" s="80"/>
      <c r="T672" s="80"/>
      <c r="U672" s="83"/>
      <c r="V672" s="80"/>
      <c r="W672" s="83"/>
      <c r="X672" s="80"/>
      <c r="Y672" s="80"/>
      <c r="Z672" s="80"/>
      <c r="AA672" s="80"/>
      <c r="AB672" s="80"/>
      <c r="AC672" s="80"/>
      <c r="AD672" s="80"/>
      <c r="AE672" s="80"/>
    </row>
    <row r="673" spans="1:31" x14ac:dyDescent="0.25">
      <c r="A673" s="76"/>
      <c r="B673" s="76"/>
      <c r="C673" s="77"/>
      <c r="D673" s="78"/>
      <c r="E673" s="79"/>
      <c r="F673" s="80"/>
      <c r="G673" s="78"/>
      <c r="H673" s="81"/>
      <c r="I673" s="78"/>
      <c r="J673" s="78"/>
      <c r="K673" s="78"/>
      <c r="L673" s="78"/>
      <c r="M673" s="81"/>
      <c r="N673" s="76"/>
      <c r="O673" s="82"/>
      <c r="P673" s="80"/>
      <c r="Q673" s="83"/>
      <c r="R673" s="80"/>
      <c r="S673" s="80"/>
      <c r="T673" s="80"/>
      <c r="U673" s="83"/>
      <c r="V673" s="80"/>
      <c r="W673" s="83"/>
      <c r="X673" s="80"/>
      <c r="Y673" s="80"/>
      <c r="Z673" s="80"/>
      <c r="AA673" s="80"/>
      <c r="AB673" s="80"/>
      <c r="AC673" s="80"/>
      <c r="AD673" s="80"/>
      <c r="AE673" s="80"/>
    </row>
    <row r="674" spans="1:31" x14ac:dyDescent="0.25">
      <c r="A674" s="76"/>
      <c r="B674" s="76"/>
      <c r="C674" s="77"/>
      <c r="D674" s="78"/>
      <c r="E674" s="79"/>
      <c r="F674" s="80"/>
      <c r="G674" s="78"/>
      <c r="H674" s="81"/>
      <c r="I674" s="78"/>
      <c r="J674" s="78"/>
      <c r="K674" s="78"/>
      <c r="L674" s="78"/>
      <c r="M674" s="81"/>
      <c r="N674" s="76"/>
      <c r="O674" s="82"/>
      <c r="P674" s="80"/>
      <c r="Q674" s="83"/>
      <c r="R674" s="80"/>
      <c r="S674" s="80"/>
      <c r="T674" s="80"/>
      <c r="U674" s="83"/>
      <c r="V674" s="80"/>
      <c r="W674" s="83"/>
      <c r="X674" s="80"/>
      <c r="Y674" s="80"/>
      <c r="Z674" s="80"/>
      <c r="AA674" s="80"/>
      <c r="AB674" s="80"/>
      <c r="AC674" s="80"/>
      <c r="AD674" s="80"/>
      <c r="AE674" s="80"/>
    </row>
    <row r="675" spans="1:31" x14ac:dyDescent="0.25">
      <c r="A675" s="76"/>
      <c r="B675" s="76"/>
      <c r="C675" s="77"/>
      <c r="D675" s="78"/>
      <c r="E675" s="79"/>
      <c r="F675" s="80"/>
      <c r="G675" s="78"/>
      <c r="H675" s="81"/>
      <c r="I675" s="78"/>
      <c r="J675" s="78"/>
      <c r="K675" s="78"/>
      <c r="L675" s="78"/>
      <c r="M675" s="81"/>
      <c r="N675" s="76"/>
      <c r="O675" s="82"/>
      <c r="P675" s="80"/>
      <c r="Q675" s="83"/>
      <c r="R675" s="80"/>
      <c r="S675" s="80"/>
      <c r="T675" s="80"/>
      <c r="U675" s="83"/>
      <c r="V675" s="80"/>
      <c r="W675" s="83"/>
      <c r="X675" s="80"/>
      <c r="Y675" s="80"/>
      <c r="Z675" s="80"/>
      <c r="AA675" s="80"/>
      <c r="AB675" s="80"/>
      <c r="AC675" s="80"/>
      <c r="AD675" s="80"/>
      <c r="AE675" s="80"/>
    </row>
    <row r="676" spans="1:31" x14ac:dyDescent="0.25">
      <c r="A676" s="76"/>
      <c r="B676" s="76"/>
      <c r="C676" s="77"/>
      <c r="D676" s="78"/>
      <c r="E676" s="79"/>
      <c r="F676" s="80"/>
      <c r="G676" s="78"/>
      <c r="H676" s="81"/>
      <c r="I676" s="78"/>
      <c r="J676" s="78"/>
      <c r="K676" s="78"/>
      <c r="L676" s="78"/>
      <c r="M676" s="81"/>
      <c r="N676" s="76"/>
      <c r="O676" s="82"/>
      <c r="P676" s="80"/>
      <c r="Q676" s="83"/>
      <c r="R676" s="80"/>
      <c r="S676" s="80"/>
      <c r="T676" s="80"/>
      <c r="U676" s="83"/>
      <c r="V676" s="80"/>
      <c r="W676" s="83"/>
      <c r="X676" s="80"/>
      <c r="Y676" s="80"/>
      <c r="Z676" s="80"/>
      <c r="AA676" s="80"/>
      <c r="AB676" s="80"/>
      <c r="AC676" s="80"/>
      <c r="AD676" s="80"/>
      <c r="AE676" s="80"/>
    </row>
    <row r="677" spans="1:31" x14ac:dyDescent="0.25">
      <c r="A677" s="76"/>
      <c r="B677" s="76"/>
      <c r="C677" s="77"/>
      <c r="D677" s="78"/>
      <c r="E677" s="79"/>
      <c r="F677" s="80"/>
      <c r="G677" s="78"/>
      <c r="H677" s="81"/>
      <c r="I677" s="78"/>
      <c r="J677" s="78"/>
      <c r="K677" s="78"/>
      <c r="L677" s="78"/>
      <c r="M677" s="81"/>
      <c r="N677" s="76"/>
      <c r="O677" s="82"/>
      <c r="P677" s="80"/>
      <c r="Q677" s="83"/>
      <c r="R677" s="80"/>
      <c r="S677" s="80"/>
      <c r="T677" s="80"/>
      <c r="U677" s="83"/>
      <c r="V677" s="80"/>
      <c r="W677" s="83"/>
      <c r="X677" s="80"/>
      <c r="Y677" s="80"/>
      <c r="Z677" s="80"/>
      <c r="AA677" s="80"/>
      <c r="AB677" s="80"/>
      <c r="AC677" s="80"/>
      <c r="AD677" s="80"/>
      <c r="AE677" s="80"/>
    </row>
    <row r="678" spans="1:31" x14ac:dyDescent="0.25">
      <c r="A678" s="76"/>
      <c r="B678" s="76"/>
      <c r="C678" s="77"/>
      <c r="D678" s="78"/>
      <c r="E678" s="79"/>
      <c r="F678" s="80"/>
      <c r="G678" s="78"/>
      <c r="H678" s="81"/>
      <c r="I678" s="78"/>
      <c r="J678" s="78"/>
      <c r="K678" s="78"/>
      <c r="L678" s="78"/>
      <c r="M678" s="81"/>
      <c r="N678" s="76"/>
      <c r="O678" s="82"/>
      <c r="P678" s="80"/>
      <c r="Q678" s="83"/>
      <c r="R678" s="80"/>
      <c r="S678" s="80"/>
      <c r="T678" s="80"/>
      <c r="U678" s="83"/>
      <c r="V678" s="80"/>
      <c r="W678" s="83"/>
      <c r="X678" s="80"/>
      <c r="Y678" s="80"/>
      <c r="Z678" s="80"/>
      <c r="AA678" s="80"/>
      <c r="AB678" s="80"/>
      <c r="AC678" s="80"/>
      <c r="AD678" s="80"/>
      <c r="AE678" s="80"/>
    </row>
    <row r="679" spans="1:31" x14ac:dyDescent="0.25">
      <c r="A679" s="76"/>
      <c r="B679" s="76"/>
      <c r="C679" s="77"/>
      <c r="D679" s="78"/>
      <c r="E679" s="79"/>
      <c r="F679" s="80"/>
      <c r="G679" s="78"/>
      <c r="H679" s="81"/>
      <c r="I679" s="78"/>
      <c r="J679" s="78"/>
      <c r="K679" s="78"/>
      <c r="L679" s="78"/>
      <c r="M679" s="81"/>
      <c r="N679" s="76"/>
      <c r="O679" s="82"/>
      <c r="P679" s="80"/>
      <c r="Q679" s="83"/>
      <c r="R679" s="80"/>
      <c r="S679" s="80"/>
      <c r="T679" s="80"/>
      <c r="U679" s="83"/>
      <c r="V679" s="80"/>
      <c r="W679" s="83"/>
      <c r="X679" s="80"/>
      <c r="Y679" s="80"/>
      <c r="Z679" s="80"/>
      <c r="AA679" s="80"/>
      <c r="AB679" s="80"/>
      <c r="AC679" s="80"/>
      <c r="AD679" s="80"/>
      <c r="AE679" s="80"/>
    </row>
    <row r="680" spans="1:31" x14ac:dyDescent="0.25">
      <c r="A680" s="76"/>
      <c r="B680" s="76"/>
      <c r="C680" s="77"/>
      <c r="D680" s="78"/>
      <c r="E680" s="79"/>
      <c r="F680" s="80"/>
      <c r="G680" s="78"/>
      <c r="H680" s="81"/>
      <c r="I680" s="78"/>
      <c r="J680" s="78"/>
      <c r="K680" s="78"/>
      <c r="L680" s="78"/>
      <c r="M680" s="81"/>
      <c r="N680" s="76"/>
      <c r="O680" s="82"/>
      <c r="P680" s="80"/>
      <c r="Q680" s="83"/>
      <c r="R680" s="80"/>
      <c r="S680" s="80"/>
      <c r="T680" s="80"/>
      <c r="U680" s="83"/>
      <c r="V680" s="80"/>
      <c r="W680" s="83"/>
      <c r="X680" s="80"/>
      <c r="Y680" s="80"/>
      <c r="Z680" s="80"/>
      <c r="AA680" s="80"/>
      <c r="AB680" s="80"/>
      <c r="AC680" s="80"/>
      <c r="AD680" s="80"/>
      <c r="AE680" s="80"/>
    </row>
    <row r="681" spans="1:31" x14ac:dyDescent="0.25">
      <c r="A681" s="76"/>
      <c r="B681" s="76"/>
      <c r="C681" s="77"/>
      <c r="D681" s="78"/>
      <c r="E681" s="79"/>
      <c r="F681" s="80"/>
      <c r="G681" s="78"/>
      <c r="H681" s="81"/>
      <c r="I681" s="78"/>
      <c r="J681" s="78"/>
      <c r="K681" s="78"/>
      <c r="L681" s="78"/>
      <c r="M681" s="81"/>
      <c r="N681" s="76"/>
      <c r="O681" s="82"/>
      <c r="P681" s="80"/>
      <c r="Q681" s="83"/>
      <c r="R681" s="80"/>
      <c r="S681" s="80"/>
      <c r="T681" s="80"/>
      <c r="U681" s="83"/>
      <c r="V681" s="80"/>
      <c r="W681" s="83"/>
      <c r="X681" s="80"/>
      <c r="Y681" s="80"/>
      <c r="Z681" s="80"/>
      <c r="AA681" s="80"/>
      <c r="AB681" s="80"/>
      <c r="AC681" s="80"/>
      <c r="AD681" s="80"/>
      <c r="AE681" s="80"/>
    </row>
    <row r="682" spans="1:31" x14ac:dyDescent="0.25">
      <c r="A682" s="76"/>
      <c r="B682" s="76"/>
      <c r="C682" s="77"/>
      <c r="D682" s="78"/>
      <c r="E682" s="79"/>
      <c r="F682" s="80"/>
      <c r="G682" s="78"/>
      <c r="H682" s="81"/>
      <c r="I682" s="78"/>
      <c r="J682" s="78"/>
      <c r="K682" s="78"/>
      <c r="L682" s="78"/>
      <c r="M682" s="81"/>
      <c r="N682" s="76"/>
      <c r="O682" s="82"/>
      <c r="P682" s="80"/>
      <c r="Q682" s="83"/>
      <c r="R682" s="80"/>
      <c r="S682" s="80"/>
      <c r="T682" s="80"/>
      <c r="U682" s="83"/>
      <c r="V682" s="80"/>
      <c r="W682" s="83"/>
      <c r="X682" s="80"/>
      <c r="Y682" s="80"/>
      <c r="Z682" s="80"/>
      <c r="AA682" s="80"/>
      <c r="AB682" s="80"/>
      <c r="AC682" s="80"/>
      <c r="AD682" s="80"/>
      <c r="AE682" s="80"/>
    </row>
    <row r="683" spans="1:31" x14ac:dyDescent="0.25">
      <c r="A683" s="76"/>
      <c r="B683" s="76"/>
      <c r="C683" s="77"/>
      <c r="D683" s="78"/>
      <c r="E683" s="79"/>
      <c r="F683" s="80"/>
      <c r="G683" s="78"/>
      <c r="H683" s="81"/>
      <c r="I683" s="78"/>
      <c r="J683" s="78"/>
      <c r="K683" s="78"/>
      <c r="L683" s="78"/>
      <c r="M683" s="81"/>
      <c r="N683" s="76"/>
      <c r="O683" s="82"/>
      <c r="P683" s="80"/>
      <c r="Q683" s="83"/>
      <c r="R683" s="80"/>
      <c r="S683" s="80"/>
      <c r="T683" s="80"/>
      <c r="U683" s="83"/>
      <c r="V683" s="80"/>
      <c r="W683" s="83"/>
      <c r="X683" s="80"/>
      <c r="Y683" s="80"/>
      <c r="Z683" s="80"/>
      <c r="AA683" s="80"/>
      <c r="AB683" s="80"/>
      <c r="AC683" s="80"/>
      <c r="AD683" s="80"/>
      <c r="AE683" s="80"/>
    </row>
    <row r="684" spans="1:31" x14ac:dyDescent="0.25">
      <c r="A684" s="76"/>
      <c r="B684" s="76"/>
      <c r="C684" s="77"/>
      <c r="D684" s="78"/>
      <c r="E684" s="79"/>
      <c r="F684" s="80"/>
      <c r="G684" s="78"/>
      <c r="H684" s="81"/>
      <c r="I684" s="78"/>
      <c r="J684" s="78"/>
      <c r="K684" s="78"/>
      <c r="L684" s="78"/>
      <c r="M684" s="81"/>
      <c r="N684" s="76"/>
      <c r="O684" s="82"/>
      <c r="P684" s="80"/>
      <c r="Q684" s="83"/>
      <c r="R684" s="80"/>
      <c r="S684" s="80"/>
      <c r="T684" s="80"/>
      <c r="U684" s="83"/>
      <c r="V684" s="80"/>
      <c r="W684" s="83"/>
      <c r="X684" s="80"/>
      <c r="Y684" s="80"/>
      <c r="Z684" s="80"/>
      <c r="AA684" s="80"/>
      <c r="AB684" s="80"/>
      <c r="AC684" s="80"/>
      <c r="AD684" s="80"/>
      <c r="AE684" s="80"/>
    </row>
    <row r="685" spans="1:31" x14ac:dyDescent="0.25">
      <c r="A685" s="76"/>
      <c r="B685" s="76"/>
      <c r="C685" s="77"/>
      <c r="D685" s="78"/>
      <c r="E685" s="79"/>
      <c r="F685" s="80"/>
      <c r="G685" s="78"/>
      <c r="H685" s="81"/>
      <c r="I685" s="78"/>
      <c r="J685" s="78"/>
      <c r="K685" s="78"/>
      <c r="L685" s="78"/>
      <c r="M685" s="81"/>
      <c r="N685" s="76"/>
      <c r="O685" s="82"/>
      <c r="P685" s="80"/>
      <c r="Q685" s="83"/>
      <c r="R685" s="80"/>
      <c r="S685" s="80"/>
      <c r="T685" s="80"/>
      <c r="U685" s="83"/>
      <c r="V685" s="80"/>
      <c r="W685" s="83"/>
      <c r="X685" s="80"/>
      <c r="Y685" s="80"/>
      <c r="Z685" s="80"/>
      <c r="AA685" s="80"/>
      <c r="AB685" s="80"/>
      <c r="AC685" s="80"/>
      <c r="AD685" s="80"/>
      <c r="AE685" s="80"/>
    </row>
    <row r="686" spans="1:31" x14ac:dyDescent="0.25">
      <c r="A686" s="76"/>
      <c r="B686" s="76"/>
      <c r="C686" s="77"/>
      <c r="D686" s="78"/>
      <c r="E686" s="79"/>
      <c r="F686" s="80"/>
      <c r="G686" s="78"/>
      <c r="H686" s="81"/>
      <c r="I686" s="78"/>
      <c r="J686" s="78"/>
      <c r="K686" s="78"/>
      <c r="L686" s="78"/>
      <c r="M686" s="81"/>
      <c r="N686" s="76"/>
      <c r="O686" s="82"/>
      <c r="P686" s="80"/>
      <c r="Q686" s="83"/>
      <c r="R686" s="80"/>
      <c r="S686" s="80"/>
      <c r="T686" s="80"/>
      <c r="U686" s="83"/>
      <c r="V686" s="80"/>
      <c r="W686" s="83"/>
      <c r="X686" s="80"/>
      <c r="Y686" s="80"/>
      <c r="Z686" s="80"/>
      <c r="AA686" s="80"/>
      <c r="AB686" s="80"/>
      <c r="AC686" s="80"/>
      <c r="AD686" s="80"/>
      <c r="AE686" s="80"/>
    </row>
    <row r="687" spans="1:31" x14ac:dyDescent="0.25">
      <c r="A687" s="76"/>
      <c r="B687" s="76"/>
      <c r="C687" s="77"/>
      <c r="D687" s="78"/>
      <c r="E687" s="79"/>
      <c r="F687" s="80"/>
      <c r="G687" s="78"/>
      <c r="H687" s="81"/>
      <c r="I687" s="78"/>
      <c r="J687" s="78"/>
      <c r="K687" s="78"/>
      <c r="L687" s="78"/>
      <c r="M687" s="81"/>
      <c r="N687" s="76"/>
      <c r="O687" s="82"/>
      <c r="P687" s="80"/>
      <c r="Q687" s="83"/>
      <c r="R687" s="80"/>
      <c r="S687" s="80"/>
      <c r="T687" s="80"/>
      <c r="U687" s="83"/>
      <c r="V687" s="80"/>
      <c r="W687" s="83"/>
      <c r="X687" s="80"/>
      <c r="Y687" s="80"/>
      <c r="Z687" s="80"/>
      <c r="AA687" s="80"/>
      <c r="AB687" s="80"/>
      <c r="AC687" s="80"/>
      <c r="AD687" s="80"/>
      <c r="AE687" s="80"/>
    </row>
    <row r="688" spans="1:31" x14ac:dyDescent="0.25">
      <c r="A688" s="76"/>
      <c r="B688" s="76"/>
      <c r="C688" s="77"/>
      <c r="D688" s="78"/>
      <c r="E688" s="79"/>
      <c r="F688" s="80"/>
      <c r="G688" s="78"/>
      <c r="H688" s="81"/>
      <c r="I688" s="78"/>
      <c r="J688" s="78"/>
      <c r="K688" s="78"/>
      <c r="L688" s="78"/>
      <c r="M688" s="81"/>
      <c r="N688" s="76"/>
      <c r="O688" s="82"/>
      <c r="P688" s="80"/>
      <c r="Q688" s="83"/>
      <c r="R688" s="80"/>
      <c r="S688" s="80"/>
      <c r="T688" s="80"/>
      <c r="U688" s="83"/>
      <c r="V688" s="80"/>
      <c r="W688" s="83"/>
      <c r="X688" s="80"/>
      <c r="Y688" s="80"/>
      <c r="Z688" s="80"/>
      <c r="AA688" s="80"/>
      <c r="AB688" s="80"/>
      <c r="AC688" s="80"/>
      <c r="AD688" s="80"/>
      <c r="AE688" s="80"/>
    </row>
    <row r="689" spans="1:31" x14ac:dyDescent="0.25">
      <c r="A689" s="76"/>
      <c r="B689" s="76"/>
      <c r="C689" s="77"/>
      <c r="D689" s="78"/>
      <c r="E689" s="79"/>
      <c r="F689" s="80"/>
      <c r="G689" s="78"/>
      <c r="H689" s="81"/>
      <c r="I689" s="78"/>
      <c r="J689" s="78"/>
      <c r="K689" s="78"/>
      <c r="L689" s="78"/>
      <c r="M689" s="81"/>
      <c r="N689" s="76"/>
      <c r="O689" s="82"/>
      <c r="P689" s="80"/>
      <c r="Q689" s="83"/>
      <c r="R689" s="80"/>
      <c r="S689" s="80"/>
      <c r="T689" s="80"/>
      <c r="U689" s="83"/>
      <c r="V689" s="80"/>
      <c r="W689" s="83"/>
      <c r="X689" s="80"/>
      <c r="Y689" s="80"/>
      <c r="Z689" s="80"/>
      <c r="AA689" s="80"/>
      <c r="AB689" s="80"/>
      <c r="AC689" s="80"/>
      <c r="AD689" s="80"/>
      <c r="AE689" s="80"/>
    </row>
    <row r="690" spans="1:31" x14ac:dyDescent="0.25">
      <c r="A690" s="76"/>
      <c r="B690" s="76"/>
      <c r="C690" s="77"/>
      <c r="D690" s="78"/>
      <c r="E690" s="79"/>
      <c r="F690" s="80"/>
      <c r="G690" s="78"/>
      <c r="H690" s="81"/>
      <c r="I690" s="78"/>
      <c r="J690" s="78"/>
      <c r="K690" s="78"/>
      <c r="L690" s="78"/>
      <c r="M690" s="81"/>
      <c r="N690" s="76"/>
      <c r="O690" s="82"/>
      <c r="P690" s="80"/>
      <c r="Q690" s="83"/>
      <c r="R690" s="80"/>
      <c r="S690" s="80"/>
      <c r="T690" s="80"/>
      <c r="U690" s="83"/>
      <c r="V690" s="80"/>
      <c r="W690" s="83"/>
      <c r="X690" s="80"/>
      <c r="Y690" s="80"/>
      <c r="Z690" s="80"/>
      <c r="AA690" s="80"/>
      <c r="AB690" s="80"/>
      <c r="AC690" s="80"/>
      <c r="AD690" s="80"/>
      <c r="AE690" s="80"/>
    </row>
    <row r="691" spans="1:31" x14ac:dyDescent="0.25">
      <c r="A691" s="76"/>
      <c r="B691" s="76"/>
      <c r="C691" s="77"/>
      <c r="D691" s="78"/>
      <c r="E691" s="79"/>
      <c r="F691" s="80"/>
      <c r="G691" s="78"/>
      <c r="H691" s="81"/>
      <c r="I691" s="78"/>
      <c r="J691" s="78"/>
      <c r="K691" s="78"/>
      <c r="L691" s="78"/>
      <c r="M691" s="81"/>
      <c r="N691" s="76"/>
      <c r="O691" s="82"/>
      <c r="P691" s="80"/>
      <c r="Q691" s="83"/>
      <c r="R691" s="80"/>
      <c r="S691" s="80"/>
      <c r="T691" s="80"/>
      <c r="U691" s="83"/>
      <c r="V691" s="80"/>
      <c r="W691" s="83"/>
      <c r="X691" s="80"/>
      <c r="Y691" s="80"/>
      <c r="Z691" s="80"/>
      <c r="AA691" s="80"/>
      <c r="AB691" s="80"/>
      <c r="AC691" s="80"/>
      <c r="AD691" s="80"/>
      <c r="AE691" s="80"/>
    </row>
    <row r="692" spans="1:31" x14ac:dyDescent="0.25">
      <c r="A692" s="76"/>
      <c r="B692" s="76"/>
      <c r="C692" s="77"/>
      <c r="D692" s="78"/>
      <c r="E692" s="79"/>
      <c r="F692" s="80"/>
      <c r="G692" s="78"/>
      <c r="H692" s="81"/>
      <c r="I692" s="78"/>
      <c r="J692" s="78"/>
      <c r="K692" s="78"/>
      <c r="L692" s="78"/>
      <c r="M692" s="81"/>
      <c r="N692" s="76"/>
      <c r="O692" s="82"/>
      <c r="P692" s="80"/>
      <c r="Q692" s="83"/>
      <c r="R692" s="80"/>
      <c r="S692" s="80"/>
      <c r="T692" s="80"/>
      <c r="U692" s="83"/>
      <c r="V692" s="80"/>
      <c r="W692" s="83"/>
      <c r="X692" s="80"/>
      <c r="Y692" s="80"/>
      <c r="Z692" s="80"/>
      <c r="AA692" s="80"/>
      <c r="AB692" s="80"/>
      <c r="AC692" s="80"/>
      <c r="AD692" s="80"/>
      <c r="AE692" s="80"/>
    </row>
    <row r="693" spans="1:31" x14ac:dyDescent="0.25">
      <c r="A693" s="76"/>
      <c r="B693" s="76"/>
      <c r="C693" s="77"/>
      <c r="D693" s="78"/>
      <c r="E693" s="79"/>
      <c r="F693" s="80"/>
      <c r="G693" s="78"/>
      <c r="H693" s="81"/>
      <c r="I693" s="78"/>
      <c r="J693" s="78"/>
      <c r="K693" s="78"/>
      <c r="L693" s="78"/>
      <c r="M693" s="81"/>
      <c r="N693" s="76"/>
      <c r="O693" s="82"/>
      <c r="P693" s="80"/>
      <c r="Q693" s="83"/>
      <c r="R693" s="80"/>
      <c r="S693" s="80"/>
      <c r="T693" s="80"/>
      <c r="U693" s="83"/>
      <c r="V693" s="80"/>
      <c r="W693" s="83"/>
      <c r="X693" s="80"/>
      <c r="Y693" s="80"/>
      <c r="Z693" s="80"/>
      <c r="AA693" s="80"/>
      <c r="AB693" s="80"/>
      <c r="AC693" s="80"/>
      <c r="AD693" s="80"/>
      <c r="AE693" s="80"/>
    </row>
    <row r="694" spans="1:31" x14ac:dyDescent="0.25">
      <c r="A694" s="76"/>
      <c r="B694" s="76"/>
      <c r="C694" s="77"/>
      <c r="D694" s="78"/>
      <c r="E694" s="79"/>
      <c r="F694" s="80"/>
      <c r="G694" s="78"/>
      <c r="H694" s="81"/>
      <c r="I694" s="78"/>
      <c r="J694" s="78"/>
      <c r="K694" s="78"/>
      <c r="L694" s="78"/>
      <c r="M694" s="81"/>
      <c r="N694" s="76"/>
      <c r="O694" s="82"/>
      <c r="P694" s="80"/>
      <c r="Q694" s="83"/>
      <c r="R694" s="80"/>
      <c r="S694" s="80"/>
      <c r="T694" s="80"/>
      <c r="U694" s="83"/>
      <c r="V694" s="80"/>
      <c r="W694" s="83"/>
      <c r="X694" s="80"/>
      <c r="Y694" s="80"/>
      <c r="Z694" s="80"/>
      <c r="AA694" s="80"/>
      <c r="AB694" s="80"/>
      <c r="AC694" s="80"/>
      <c r="AD694" s="80"/>
      <c r="AE694" s="80"/>
    </row>
    <row r="695" spans="1:31" x14ac:dyDescent="0.25">
      <c r="A695" s="76"/>
      <c r="B695" s="76"/>
      <c r="C695" s="77"/>
      <c r="D695" s="78"/>
      <c r="E695" s="79"/>
      <c r="F695" s="80"/>
      <c r="G695" s="78"/>
      <c r="H695" s="81"/>
      <c r="I695" s="78"/>
      <c r="J695" s="78"/>
      <c r="K695" s="78"/>
      <c r="L695" s="78"/>
      <c r="M695" s="81"/>
      <c r="N695" s="76"/>
      <c r="O695" s="82"/>
      <c r="P695" s="80"/>
      <c r="Q695" s="83"/>
      <c r="R695" s="80"/>
      <c r="S695" s="80"/>
      <c r="T695" s="80"/>
      <c r="U695" s="83"/>
      <c r="V695" s="80"/>
      <c r="W695" s="83"/>
      <c r="X695" s="80"/>
      <c r="Y695" s="80"/>
      <c r="Z695" s="80"/>
      <c r="AA695" s="80"/>
      <c r="AB695" s="80"/>
      <c r="AC695" s="80"/>
      <c r="AD695" s="80"/>
      <c r="AE695" s="80"/>
    </row>
    <row r="696" spans="1:31" x14ac:dyDescent="0.25">
      <c r="A696" s="76"/>
      <c r="B696" s="76"/>
      <c r="C696" s="77"/>
      <c r="D696" s="78"/>
      <c r="E696" s="79"/>
      <c r="F696" s="80"/>
      <c r="G696" s="78"/>
      <c r="H696" s="81"/>
      <c r="I696" s="78"/>
      <c r="J696" s="78"/>
      <c r="K696" s="78"/>
      <c r="L696" s="78"/>
      <c r="M696" s="81"/>
      <c r="N696" s="76"/>
      <c r="O696" s="82"/>
      <c r="P696" s="80"/>
      <c r="Q696" s="83"/>
      <c r="R696" s="80"/>
      <c r="S696" s="80"/>
      <c r="T696" s="80"/>
      <c r="U696" s="83"/>
      <c r="V696" s="80"/>
      <c r="W696" s="83"/>
      <c r="X696" s="80"/>
      <c r="Y696" s="80"/>
      <c r="Z696" s="80"/>
      <c r="AA696" s="80"/>
      <c r="AB696" s="80"/>
      <c r="AC696" s="80"/>
      <c r="AD696" s="80"/>
      <c r="AE696" s="80"/>
    </row>
    <row r="697" spans="1:31" x14ac:dyDescent="0.25">
      <c r="A697" s="76"/>
      <c r="B697" s="76"/>
      <c r="C697" s="77"/>
      <c r="D697" s="78"/>
      <c r="E697" s="79"/>
      <c r="F697" s="80"/>
      <c r="G697" s="78"/>
      <c r="H697" s="81"/>
      <c r="I697" s="78"/>
      <c r="J697" s="78"/>
      <c r="K697" s="78"/>
      <c r="L697" s="78"/>
      <c r="M697" s="81"/>
      <c r="N697" s="76"/>
      <c r="O697" s="82"/>
      <c r="P697" s="80"/>
      <c r="Q697" s="83"/>
      <c r="R697" s="80"/>
      <c r="S697" s="80"/>
      <c r="T697" s="80"/>
      <c r="U697" s="83"/>
      <c r="V697" s="80"/>
      <c r="W697" s="83"/>
      <c r="X697" s="80"/>
      <c r="Y697" s="80"/>
      <c r="Z697" s="80"/>
      <c r="AA697" s="80"/>
      <c r="AB697" s="80"/>
      <c r="AC697" s="80"/>
      <c r="AD697" s="80"/>
      <c r="AE697" s="80"/>
    </row>
    <row r="698" spans="1:31" x14ac:dyDescent="0.25">
      <c r="A698" s="76"/>
      <c r="B698" s="76"/>
      <c r="C698" s="77"/>
      <c r="D698" s="78"/>
      <c r="E698" s="79"/>
      <c r="F698" s="80"/>
      <c r="G698" s="78"/>
      <c r="H698" s="81"/>
      <c r="I698" s="78"/>
      <c r="J698" s="78"/>
      <c r="K698" s="78"/>
      <c r="L698" s="78"/>
      <c r="M698" s="81"/>
      <c r="N698" s="76"/>
      <c r="O698" s="82"/>
      <c r="P698" s="80"/>
      <c r="Q698" s="83"/>
      <c r="R698" s="80"/>
      <c r="S698" s="80"/>
      <c r="T698" s="80"/>
      <c r="U698" s="83"/>
      <c r="V698" s="80"/>
      <c r="W698" s="83"/>
      <c r="X698" s="80"/>
      <c r="Y698" s="80"/>
      <c r="Z698" s="80"/>
      <c r="AA698" s="80"/>
      <c r="AB698" s="80"/>
      <c r="AC698" s="80"/>
      <c r="AD698" s="80"/>
      <c r="AE698" s="80"/>
    </row>
    <row r="699" spans="1:31" x14ac:dyDescent="0.25">
      <c r="A699" s="76"/>
      <c r="B699" s="76"/>
      <c r="C699" s="77"/>
      <c r="D699" s="78"/>
      <c r="E699" s="79"/>
      <c r="F699" s="80"/>
      <c r="G699" s="78"/>
      <c r="H699" s="81"/>
      <c r="I699" s="78"/>
      <c r="J699" s="78"/>
      <c r="K699" s="78"/>
      <c r="L699" s="78"/>
      <c r="M699" s="81"/>
      <c r="N699" s="76"/>
      <c r="O699" s="82"/>
      <c r="P699" s="80"/>
      <c r="Q699" s="83"/>
      <c r="R699" s="80"/>
      <c r="S699" s="80"/>
      <c r="T699" s="80"/>
      <c r="U699" s="83"/>
      <c r="V699" s="80"/>
      <c r="W699" s="83"/>
      <c r="X699" s="80"/>
      <c r="Y699" s="80"/>
      <c r="Z699" s="80"/>
      <c r="AA699" s="80"/>
      <c r="AB699" s="80"/>
      <c r="AC699" s="80"/>
      <c r="AD699" s="80"/>
      <c r="AE699" s="80"/>
    </row>
    <row r="700" spans="1:31" x14ac:dyDescent="0.25">
      <c r="A700" s="76"/>
      <c r="B700" s="76"/>
      <c r="C700" s="77"/>
      <c r="D700" s="78"/>
      <c r="E700" s="79"/>
      <c r="F700" s="80"/>
      <c r="G700" s="78"/>
      <c r="H700" s="81"/>
      <c r="I700" s="78"/>
      <c r="J700" s="78"/>
      <c r="K700" s="78"/>
      <c r="L700" s="78"/>
      <c r="M700" s="81"/>
      <c r="N700" s="76"/>
      <c r="O700" s="82"/>
      <c r="P700" s="80"/>
      <c r="Q700" s="83"/>
      <c r="R700" s="80"/>
      <c r="S700" s="80"/>
      <c r="T700" s="80"/>
      <c r="U700" s="83"/>
      <c r="V700" s="80"/>
      <c r="W700" s="83"/>
      <c r="X700" s="80"/>
      <c r="Y700" s="80"/>
      <c r="Z700" s="80"/>
      <c r="AA700" s="80"/>
      <c r="AB700" s="80"/>
      <c r="AC700" s="80"/>
      <c r="AD700" s="80"/>
      <c r="AE700" s="80"/>
    </row>
    <row r="701" spans="1:31" x14ac:dyDescent="0.25">
      <c r="A701" s="76"/>
      <c r="B701" s="76"/>
      <c r="C701" s="77"/>
      <c r="D701" s="78"/>
      <c r="E701" s="79"/>
      <c r="F701" s="80"/>
      <c r="G701" s="78"/>
      <c r="H701" s="81"/>
      <c r="I701" s="78"/>
      <c r="J701" s="78"/>
      <c r="K701" s="78"/>
      <c r="L701" s="78"/>
      <c r="M701" s="81"/>
      <c r="N701" s="76"/>
      <c r="O701" s="82"/>
      <c r="P701" s="80"/>
      <c r="Q701" s="83"/>
      <c r="R701" s="80"/>
      <c r="S701" s="80"/>
      <c r="T701" s="80"/>
      <c r="U701" s="83"/>
      <c r="V701" s="80"/>
      <c r="W701" s="83"/>
      <c r="X701" s="80"/>
      <c r="Y701" s="80"/>
      <c r="Z701" s="80"/>
      <c r="AA701" s="80"/>
      <c r="AB701" s="80"/>
      <c r="AC701" s="80"/>
      <c r="AD701" s="80"/>
      <c r="AE701" s="80"/>
    </row>
    <row r="702" spans="1:31" x14ac:dyDescent="0.25">
      <c r="A702" s="76"/>
      <c r="B702" s="76"/>
      <c r="C702" s="77"/>
      <c r="D702" s="78"/>
      <c r="E702" s="79"/>
      <c r="F702" s="80"/>
      <c r="G702" s="78"/>
      <c r="H702" s="81"/>
      <c r="I702" s="78"/>
      <c r="J702" s="78"/>
      <c r="K702" s="78"/>
      <c r="L702" s="78"/>
      <c r="M702" s="81"/>
      <c r="N702" s="76"/>
      <c r="O702" s="82"/>
      <c r="P702" s="80"/>
      <c r="Q702" s="83"/>
      <c r="R702" s="80"/>
      <c r="S702" s="80"/>
      <c r="T702" s="80"/>
      <c r="U702" s="83"/>
      <c r="V702" s="80"/>
      <c r="W702" s="83"/>
      <c r="X702" s="80"/>
      <c r="Y702" s="80"/>
      <c r="Z702" s="80"/>
      <c r="AA702" s="80"/>
      <c r="AB702" s="80"/>
      <c r="AC702" s="80"/>
      <c r="AD702" s="80"/>
      <c r="AE702" s="80"/>
    </row>
    <row r="703" spans="1:31" x14ac:dyDescent="0.25">
      <c r="A703" s="76"/>
      <c r="B703" s="76"/>
      <c r="C703" s="77"/>
      <c r="D703" s="78"/>
      <c r="E703" s="79"/>
      <c r="F703" s="80"/>
      <c r="G703" s="78"/>
      <c r="H703" s="81"/>
      <c r="I703" s="78"/>
      <c r="J703" s="78"/>
      <c r="K703" s="78"/>
      <c r="L703" s="78"/>
      <c r="M703" s="81"/>
      <c r="N703" s="76"/>
      <c r="O703" s="82"/>
      <c r="P703" s="80"/>
      <c r="Q703" s="83"/>
      <c r="R703" s="80"/>
      <c r="S703" s="80"/>
      <c r="T703" s="80"/>
      <c r="U703" s="83"/>
      <c r="V703" s="80"/>
      <c r="W703" s="83"/>
      <c r="X703" s="80"/>
      <c r="Y703" s="80"/>
      <c r="Z703" s="80"/>
      <c r="AA703" s="80"/>
      <c r="AB703" s="80"/>
      <c r="AC703" s="80"/>
      <c r="AD703" s="80"/>
      <c r="AE703" s="80"/>
    </row>
    <row r="704" spans="1:31" x14ac:dyDescent="0.25">
      <c r="A704" s="76"/>
      <c r="B704" s="76"/>
      <c r="C704" s="77"/>
      <c r="D704" s="78"/>
      <c r="E704" s="79"/>
      <c r="F704" s="80"/>
      <c r="G704" s="78"/>
      <c r="H704" s="81"/>
      <c r="I704" s="78"/>
      <c r="J704" s="78"/>
      <c r="K704" s="78"/>
      <c r="L704" s="78"/>
      <c r="M704" s="81"/>
      <c r="N704" s="76"/>
      <c r="O704" s="82"/>
      <c r="P704" s="80"/>
      <c r="Q704" s="83"/>
      <c r="R704" s="80"/>
      <c r="S704" s="80"/>
      <c r="T704" s="80"/>
      <c r="U704" s="83"/>
      <c r="V704" s="80"/>
      <c r="W704" s="83"/>
      <c r="X704" s="80"/>
      <c r="Y704" s="80"/>
      <c r="Z704" s="80"/>
      <c r="AA704" s="80"/>
      <c r="AB704" s="80"/>
      <c r="AC704" s="80"/>
      <c r="AD704" s="80"/>
      <c r="AE704" s="80"/>
    </row>
    <row r="705" spans="1:31" x14ac:dyDescent="0.25">
      <c r="A705" s="76"/>
      <c r="B705" s="76"/>
      <c r="C705" s="77"/>
      <c r="D705" s="78"/>
      <c r="E705" s="79"/>
      <c r="F705" s="80"/>
      <c r="G705" s="78"/>
      <c r="H705" s="81"/>
      <c r="I705" s="78"/>
      <c r="J705" s="78"/>
      <c r="K705" s="78"/>
      <c r="L705" s="78"/>
      <c r="M705" s="81"/>
      <c r="N705" s="76"/>
      <c r="O705" s="82"/>
      <c r="P705" s="80"/>
      <c r="Q705" s="83"/>
      <c r="R705" s="80"/>
      <c r="S705" s="80"/>
      <c r="T705" s="80"/>
      <c r="U705" s="83"/>
      <c r="V705" s="80"/>
      <c r="W705" s="83"/>
      <c r="X705" s="80"/>
      <c r="Y705" s="80"/>
      <c r="Z705" s="80"/>
      <c r="AA705" s="80"/>
      <c r="AB705" s="80"/>
      <c r="AC705" s="80"/>
      <c r="AD705" s="80"/>
      <c r="AE705" s="80"/>
    </row>
    <row r="706" spans="1:31" x14ac:dyDescent="0.25">
      <c r="A706" s="76"/>
      <c r="B706" s="76"/>
      <c r="C706" s="77"/>
      <c r="D706" s="78"/>
      <c r="E706" s="79"/>
      <c r="F706" s="80"/>
      <c r="G706" s="78"/>
      <c r="H706" s="81"/>
      <c r="I706" s="78"/>
      <c r="J706" s="78"/>
      <c r="K706" s="78"/>
      <c r="L706" s="78"/>
      <c r="M706" s="81"/>
      <c r="N706" s="76"/>
      <c r="O706" s="82"/>
      <c r="P706" s="80"/>
      <c r="Q706" s="83"/>
      <c r="R706" s="80"/>
      <c r="S706" s="80"/>
      <c r="T706" s="80"/>
      <c r="U706" s="83"/>
      <c r="V706" s="80"/>
      <c r="W706" s="83"/>
      <c r="X706" s="80"/>
      <c r="Y706" s="80"/>
      <c r="Z706" s="80"/>
      <c r="AA706" s="80"/>
      <c r="AB706" s="80"/>
      <c r="AC706" s="80"/>
      <c r="AD706" s="80"/>
      <c r="AE706" s="80"/>
    </row>
    <row r="707" spans="1:31" x14ac:dyDescent="0.25">
      <c r="A707" s="76"/>
      <c r="B707" s="76"/>
      <c r="C707" s="77"/>
      <c r="D707" s="78"/>
      <c r="E707" s="79"/>
      <c r="F707" s="80"/>
      <c r="G707" s="78"/>
      <c r="H707" s="81"/>
      <c r="I707" s="78"/>
      <c r="J707" s="78"/>
      <c r="K707" s="78"/>
      <c r="L707" s="78"/>
      <c r="M707" s="81"/>
      <c r="N707" s="76"/>
      <c r="O707" s="82"/>
      <c r="P707" s="80"/>
      <c r="Q707" s="83"/>
      <c r="R707" s="80"/>
      <c r="S707" s="80"/>
      <c r="T707" s="80"/>
      <c r="U707" s="83"/>
      <c r="V707" s="80"/>
      <c r="W707" s="83"/>
      <c r="X707" s="80"/>
      <c r="Y707" s="80"/>
      <c r="Z707" s="80"/>
      <c r="AA707" s="80"/>
      <c r="AB707" s="80"/>
      <c r="AC707" s="80"/>
      <c r="AD707" s="80"/>
      <c r="AE707" s="80"/>
    </row>
    <row r="708" spans="1:31" x14ac:dyDescent="0.25">
      <c r="A708" s="76"/>
      <c r="B708" s="76"/>
      <c r="C708" s="77"/>
      <c r="D708" s="78"/>
      <c r="E708" s="79"/>
      <c r="F708" s="80"/>
      <c r="G708" s="78"/>
      <c r="H708" s="81"/>
      <c r="I708" s="78"/>
      <c r="J708" s="78"/>
      <c r="K708" s="78"/>
      <c r="L708" s="78"/>
      <c r="M708" s="81"/>
      <c r="N708" s="76"/>
      <c r="O708" s="82"/>
      <c r="P708" s="80"/>
      <c r="Q708" s="83"/>
      <c r="R708" s="80"/>
      <c r="S708" s="80"/>
      <c r="T708" s="80"/>
      <c r="U708" s="83"/>
      <c r="V708" s="80"/>
      <c r="W708" s="83"/>
      <c r="X708" s="80"/>
      <c r="Y708" s="80"/>
      <c r="Z708" s="80"/>
      <c r="AA708" s="80"/>
      <c r="AB708" s="80"/>
      <c r="AC708" s="80"/>
      <c r="AD708" s="80"/>
      <c r="AE708" s="80"/>
    </row>
    <row r="709" spans="1:31" x14ac:dyDescent="0.25">
      <c r="A709" s="76"/>
      <c r="B709" s="76"/>
      <c r="C709" s="77"/>
      <c r="D709" s="78"/>
      <c r="E709" s="79"/>
      <c r="F709" s="80"/>
      <c r="G709" s="78"/>
      <c r="H709" s="81"/>
      <c r="I709" s="78"/>
      <c r="J709" s="78"/>
      <c r="K709" s="78"/>
      <c r="L709" s="78"/>
      <c r="M709" s="81"/>
      <c r="N709" s="76"/>
      <c r="O709" s="82"/>
      <c r="P709" s="80"/>
      <c r="Q709" s="83"/>
      <c r="R709" s="80"/>
      <c r="S709" s="80"/>
      <c r="T709" s="80"/>
      <c r="U709" s="83"/>
      <c r="V709" s="80"/>
      <c r="W709" s="83"/>
      <c r="X709" s="80"/>
      <c r="Y709" s="80"/>
      <c r="Z709" s="80"/>
      <c r="AA709" s="80"/>
      <c r="AB709" s="80"/>
      <c r="AC709" s="80"/>
      <c r="AD709" s="80"/>
      <c r="AE709" s="80"/>
    </row>
    <row r="710" spans="1:31" x14ac:dyDescent="0.25">
      <c r="A710" s="76"/>
      <c r="B710" s="76"/>
      <c r="C710" s="77"/>
      <c r="D710" s="78"/>
      <c r="E710" s="79"/>
      <c r="F710" s="80"/>
      <c r="G710" s="78"/>
      <c r="H710" s="81"/>
      <c r="I710" s="78"/>
      <c r="J710" s="78"/>
      <c r="K710" s="78"/>
      <c r="L710" s="78"/>
      <c r="M710" s="81"/>
      <c r="N710" s="76"/>
      <c r="O710" s="82"/>
      <c r="P710" s="80"/>
      <c r="Q710" s="83"/>
      <c r="R710" s="80"/>
      <c r="S710" s="80"/>
      <c r="T710" s="80"/>
      <c r="U710" s="83"/>
      <c r="V710" s="80"/>
      <c r="W710" s="83"/>
      <c r="X710" s="80"/>
      <c r="Y710" s="80"/>
      <c r="Z710" s="80"/>
      <c r="AA710" s="80"/>
      <c r="AB710" s="80"/>
      <c r="AC710" s="80"/>
      <c r="AD710" s="80"/>
      <c r="AE710" s="80"/>
    </row>
    <row r="711" spans="1:31" x14ac:dyDescent="0.25">
      <c r="A711" s="76"/>
      <c r="B711" s="76"/>
      <c r="C711" s="77"/>
      <c r="D711" s="78"/>
      <c r="E711" s="79"/>
      <c r="F711" s="80"/>
      <c r="G711" s="78"/>
      <c r="H711" s="81"/>
      <c r="I711" s="78"/>
      <c r="J711" s="78"/>
      <c r="K711" s="78"/>
      <c r="L711" s="78"/>
      <c r="M711" s="81"/>
      <c r="N711" s="76"/>
      <c r="O711" s="82"/>
      <c r="P711" s="80"/>
      <c r="Q711" s="83"/>
      <c r="R711" s="80"/>
      <c r="S711" s="80"/>
      <c r="T711" s="80"/>
      <c r="U711" s="83"/>
      <c r="V711" s="80"/>
      <c r="W711" s="83"/>
      <c r="X711" s="80"/>
      <c r="Y711" s="80"/>
      <c r="Z711" s="80"/>
      <c r="AA711" s="80"/>
      <c r="AB711" s="80"/>
      <c r="AC711" s="80"/>
      <c r="AD711" s="80"/>
      <c r="AE711" s="80"/>
    </row>
    <row r="712" spans="1:31" x14ac:dyDescent="0.25">
      <c r="A712" s="76"/>
      <c r="B712" s="76"/>
      <c r="C712" s="77"/>
      <c r="D712" s="78"/>
      <c r="E712" s="79"/>
      <c r="F712" s="80"/>
      <c r="G712" s="78"/>
      <c r="H712" s="81"/>
      <c r="I712" s="78"/>
      <c r="J712" s="78"/>
      <c r="K712" s="78"/>
      <c r="L712" s="78"/>
      <c r="M712" s="81"/>
      <c r="N712" s="76"/>
      <c r="O712" s="82"/>
      <c r="P712" s="80"/>
      <c r="Q712" s="83"/>
      <c r="R712" s="80"/>
      <c r="S712" s="80"/>
      <c r="T712" s="80"/>
      <c r="U712" s="83"/>
      <c r="V712" s="80"/>
      <c r="W712" s="83"/>
      <c r="X712" s="80"/>
      <c r="Y712" s="80"/>
      <c r="Z712" s="80"/>
      <c r="AA712" s="80"/>
      <c r="AB712" s="80"/>
      <c r="AC712" s="80"/>
      <c r="AD712" s="80"/>
      <c r="AE712" s="80"/>
    </row>
    <row r="713" spans="1:31" x14ac:dyDescent="0.25">
      <c r="A713" s="76"/>
      <c r="B713" s="76"/>
      <c r="C713" s="77"/>
      <c r="D713" s="78"/>
      <c r="E713" s="79"/>
      <c r="F713" s="80"/>
      <c r="G713" s="78"/>
      <c r="H713" s="81"/>
      <c r="I713" s="78"/>
      <c r="J713" s="78"/>
      <c r="K713" s="78"/>
      <c r="L713" s="78"/>
      <c r="M713" s="81"/>
      <c r="N713" s="76"/>
      <c r="O713" s="82"/>
      <c r="P713" s="80"/>
      <c r="Q713" s="83"/>
      <c r="R713" s="80"/>
      <c r="S713" s="80"/>
      <c r="T713" s="80"/>
      <c r="U713" s="83"/>
      <c r="V713" s="80"/>
      <c r="W713" s="83"/>
      <c r="X713" s="80"/>
      <c r="Y713" s="80"/>
      <c r="Z713" s="80"/>
      <c r="AA713" s="80"/>
      <c r="AB713" s="80"/>
      <c r="AC713" s="80"/>
      <c r="AD713" s="80"/>
      <c r="AE713" s="80"/>
    </row>
    <row r="714" spans="1:31" x14ac:dyDescent="0.25">
      <c r="A714" s="76"/>
      <c r="B714" s="76"/>
      <c r="C714" s="77"/>
      <c r="D714" s="78"/>
      <c r="E714" s="79"/>
      <c r="F714" s="80"/>
      <c r="G714" s="78"/>
      <c r="H714" s="81"/>
      <c r="I714" s="78"/>
      <c r="J714" s="78"/>
      <c r="K714" s="78"/>
      <c r="L714" s="78"/>
      <c r="M714" s="81"/>
      <c r="N714" s="76"/>
      <c r="O714" s="82"/>
      <c r="P714" s="80"/>
      <c r="Q714" s="83"/>
      <c r="R714" s="80"/>
      <c r="S714" s="80"/>
      <c r="T714" s="80"/>
      <c r="U714" s="83"/>
      <c r="V714" s="80"/>
      <c r="W714" s="83"/>
      <c r="X714" s="80"/>
      <c r="Y714" s="80"/>
      <c r="Z714" s="80"/>
      <c r="AA714" s="80"/>
      <c r="AB714" s="80"/>
      <c r="AC714" s="80"/>
      <c r="AD714" s="80"/>
      <c r="AE714" s="80"/>
    </row>
    <row r="715" spans="1:31" x14ac:dyDescent="0.25">
      <c r="A715" s="76"/>
      <c r="B715" s="76"/>
      <c r="C715" s="77"/>
      <c r="D715" s="78"/>
      <c r="E715" s="79"/>
      <c r="F715" s="80"/>
      <c r="G715" s="78"/>
      <c r="H715" s="81"/>
      <c r="I715" s="78"/>
      <c r="J715" s="78"/>
      <c r="K715" s="78"/>
      <c r="L715" s="78"/>
      <c r="M715" s="81"/>
      <c r="N715" s="76"/>
      <c r="O715" s="82"/>
      <c r="P715" s="80"/>
      <c r="Q715" s="83"/>
      <c r="R715" s="80"/>
      <c r="S715" s="80"/>
      <c r="T715" s="80"/>
      <c r="U715" s="83"/>
      <c r="V715" s="80"/>
      <c r="W715" s="83"/>
      <c r="X715" s="80"/>
      <c r="Y715" s="80"/>
      <c r="Z715" s="80"/>
      <c r="AA715" s="80"/>
      <c r="AB715" s="80"/>
      <c r="AC715" s="80"/>
      <c r="AD715" s="80"/>
      <c r="AE715" s="80"/>
    </row>
    <row r="716" spans="1:31" x14ac:dyDescent="0.25">
      <c r="A716" s="76"/>
      <c r="B716" s="76"/>
      <c r="C716" s="77"/>
      <c r="D716" s="78"/>
      <c r="E716" s="79"/>
      <c r="F716" s="80"/>
      <c r="G716" s="78"/>
      <c r="H716" s="81"/>
      <c r="I716" s="78"/>
      <c r="J716" s="78"/>
      <c r="K716" s="78"/>
      <c r="L716" s="78"/>
      <c r="M716" s="81"/>
      <c r="N716" s="76"/>
      <c r="O716" s="82"/>
      <c r="P716" s="80"/>
      <c r="Q716" s="83"/>
      <c r="R716" s="80"/>
      <c r="S716" s="80"/>
      <c r="T716" s="80"/>
      <c r="U716" s="83"/>
      <c r="V716" s="80"/>
      <c r="W716" s="83"/>
      <c r="X716" s="80"/>
      <c r="Y716" s="80"/>
      <c r="Z716" s="80"/>
      <c r="AA716" s="80"/>
      <c r="AB716" s="80"/>
      <c r="AC716" s="80"/>
      <c r="AD716" s="80"/>
      <c r="AE716" s="80"/>
    </row>
    <row r="717" spans="1:31" x14ac:dyDescent="0.25">
      <c r="A717" s="76"/>
      <c r="B717" s="76"/>
      <c r="C717" s="77"/>
      <c r="D717" s="78"/>
      <c r="E717" s="79"/>
      <c r="F717" s="80"/>
      <c r="G717" s="78"/>
      <c r="H717" s="81"/>
      <c r="I717" s="78"/>
      <c r="J717" s="78"/>
      <c r="K717" s="78"/>
      <c r="L717" s="78"/>
      <c r="M717" s="81"/>
      <c r="N717" s="76"/>
      <c r="O717" s="82"/>
      <c r="P717" s="80"/>
      <c r="Q717" s="83"/>
      <c r="R717" s="80"/>
      <c r="S717" s="80"/>
      <c r="T717" s="80"/>
      <c r="U717" s="83"/>
      <c r="V717" s="80"/>
      <c r="W717" s="83"/>
      <c r="X717" s="80"/>
      <c r="Y717" s="80"/>
      <c r="Z717" s="80"/>
      <c r="AA717" s="80"/>
      <c r="AB717" s="80"/>
      <c r="AC717" s="80"/>
      <c r="AD717" s="80"/>
      <c r="AE717" s="80"/>
    </row>
    <row r="718" spans="1:31" x14ac:dyDescent="0.25">
      <c r="A718" s="76"/>
      <c r="B718" s="76"/>
      <c r="C718" s="77"/>
      <c r="D718" s="78"/>
      <c r="E718" s="79"/>
      <c r="F718" s="80"/>
      <c r="G718" s="78"/>
      <c r="H718" s="81"/>
      <c r="I718" s="78"/>
      <c r="J718" s="78"/>
      <c r="K718" s="78"/>
      <c r="L718" s="78"/>
      <c r="M718" s="81"/>
      <c r="N718" s="76"/>
      <c r="O718" s="82"/>
      <c r="P718" s="80"/>
      <c r="Q718" s="83"/>
      <c r="R718" s="80"/>
      <c r="S718" s="80"/>
      <c r="T718" s="80"/>
      <c r="U718" s="83"/>
      <c r="V718" s="80"/>
      <c r="W718" s="83"/>
      <c r="X718" s="80"/>
      <c r="Y718" s="80"/>
      <c r="Z718" s="80"/>
      <c r="AA718" s="80"/>
      <c r="AB718" s="80"/>
      <c r="AC718" s="80"/>
      <c r="AD718" s="80"/>
      <c r="AE718" s="80"/>
    </row>
    <row r="719" spans="1:31" x14ac:dyDescent="0.25">
      <c r="A719" s="76"/>
      <c r="B719" s="76"/>
      <c r="C719" s="77"/>
      <c r="D719" s="78"/>
      <c r="E719" s="79"/>
      <c r="F719" s="80"/>
      <c r="G719" s="78"/>
      <c r="H719" s="81"/>
      <c r="I719" s="78"/>
      <c r="J719" s="78"/>
      <c r="K719" s="78"/>
      <c r="L719" s="78"/>
      <c r="M719" s="81"/>
      <c r="N719" s="76"/>
      <c r="O719" s="82"/>
      <c r="P719" s="80"/>
      <c r="Q719" s="83"/>
      <c r="R719" s="80"/>
      <c r="S719" s="80"/>
      <c r="T719" s="80"/>
      <c r="U719" s="83"/>
      <c r="V719" s="80"/>
      <c r="W719" s="83"/>
      <c r="X719" s="80"/>
      <c r="Y719" s="80"/>
      <c r="Z719" s="80"/>
      <c r="AA719" s="80"/>
      <c r="AB719" s="80"/>
      <c r="AC719" s="80"/>
      <c r="AD719" s="80"/>
      <c r="AE719" s="80"/>
    </row>
    <row r="720" spans="1:31" x14ac:dyDescent="0.25">
      <c r="A720" s="76"/>
      <c r="B720" s="76"/>
      <c r="C720" s="77"/>
      <c r="D720" s="78"/>
      <c r="E720" s="79"/>
      <c r="F720" s="80"/>
      <c r="G720" s="78"/>
      <c r="H720" s="81"/>
      <c r="I720" s="78"/>
      <c r="J720" s="78"/>
      <c r="K720" s="78"/>
      <c r="L720" s="78"/>
      <c r="M720" s="81"/>
      <c r="N720" s="76"/>
      <c r="O720" s="82"/>
      <c r="P720" s="80"/>
      <c r="Q720" s="83"/>
      <c r="R720" s="80"/>
      <c r="S720" s="80"/>
      <c r="T720" s="80"/>
      <c r="U720" s="83"/>
      <c r="V720" s="80"/>
      <c r="W720" s="83"/>
      <c r="X720" s="80"/>
      <c r="Y720" s="80"/>
      <c r="Z720" s="80"/>
      <c r="AA720" s="80"/>
      <c r="AB720" s="80"/>
      <c r="AC720" s="80"/>
      <c r="AD720" s="80"/>
      <c r="AE720" s="80"/>
    </row>
    <row r="721" spans="1:31" x14ac:dyDescent="0.25">
      <c r="A721" s="76"/>
      <c r="B721" s="76"/>
      <c r="C721" s="77"/>
      <c r="D721" s="78"/>
      <c r="E721" s="79"/>
      <c r="F721" s="80"/>
      <c r="G721" s="78"/>
      <c r="H721" s="81"/>
      <c r="I721" s="78"/>
      <c r="J721" s="78"/>
      <c r="K721" s="78"/>
      <c r="L721" s="78"/>
      <c r="M721" s="81"/>
      <c r="N721" s="76"/>
      <c r="O721" s="82"/>
      <c r="P721" s="80"/>
      <c r="Q721" s="83"/>
      <c r="R721" s="80"/>
      <c r="S721" s="80"/>
      <c r="T721" s="80"/>
      <c r="U721" s="83"/>
      <c r="V721" s="80"/>
      <c r="W721" s="83"/>
      <c r="X721" s="80"/>
      <c r="Y721" s="80"/>
      <c r="Z721" s="80"/>
      <c r="AA721" s="80"/>
      <c r="AB721" s="80"/>
      <c r="AC721" s="80"/>
      <c r="AD721" s="80"/>
      <c r="AE721" s="80"/>
    </row>
    <row r="722" spans="1:31" x14ac:dyDescent="0.25">
      <c r="A722" s="76"/>
      <c r="B722" s="76"/>
      <c r="C722" s="77"/>
      <c r="D722" s="78"/>
      <c r="E722" s="79"/>
      <c r="F722" s="80"/>
      <c r="G722" s="78"/>
      <c r="H722" s="81"/>
      <c r="I722" s="78"/>
      <c r="J722" s="78"/>
      <c r="K722" s="78"/>
      <c r="L722" s="78"/>
      <c r="M722" s="81"/>
      <c r="N722" s="76"/>
      <c r="O722" s="82"/>
      <c r="P722" s="80"/>
      <c r="Q722" s="83"/>
      <c r="R722" s="80"/>
      <c r="S722" s="80"/>
      <c r="T722" s="80"/>
      <c r="U722" s="83"/>
      <c r="V722" s="80"/>
      <c r="W722" s="83"/>
      <c r="X722" s="80"/>
      <c r="Y722" s="80"/>
      <c r="Z722" s="80"/>
      <c r="AA722" s="80"/>
      <c r="AB722" s="80"/>
      <c r="AC722" s="80"/>
      <c r="AD722" s="80"/>
      <c r="AE722" s="80"/>
    </row>
    <row r="723" spans="1:31" x14ac:dyDescent="0.25">
      <c r="A723" s="76"/>
      <c r="B723" s="76"/>
      <c r="C723" s="77"/>
      <c r="D723" s="78"/>
      <c r="E723" s="79"/>
      <c r="F723" s="80"/>
      <c r="G723" s="78"/>
      <c r="H723" s="81"/>
      <c r="I723" s="78"/>
      <c r="J723" s="78"/>
      <c r="K723" s="78"/>
      <c r="L723" s="78"/>
      <c r="M723" s="81"/>
      <c r="N723" s="76"/>
      <c r="O723" s="82"/>
      <c r="P723" s="80"/>
      <c r="Q723" s="83"/>
      <c r="R723" s="80"/>
      <c r="S723" s="80"/>
      <c r="T723" s="80"/>
      <c r="U723" s="83"/>
      <c r="V723" s="80"/>
      <c r="W723" s="83"/>
      <c r="X723" s="80"/>
      <c r="Y723" s="80"/>
      <c r="Z723" s="80"/>
      <c r="AA723" s="80"/>
      <c r="AB723" s="80"/>
      <c r="AC723" s="80"/>
      <c r="AD723" s="80"/>
      <c r="AE723" s="80"/>
    </row>
    <row r="724" spans="1:31" x14ac:dyDescent="0.25">
      <c r="A724" s="76"/>
      <c r="B724" s="76"/>
      <c r="C724" s="77"/>
      <c r="D724" s="78"/>
      <c r="E724" s="79"/>
      <c r="F724" s="80"/>
      <c r="G724" s="78"/>
      <c r="H724" s="81"/>
      <c r="I724" s="78"/>
      <c r="J724" s="78"/>
      <c r="K724" s="78"/>
      <c r="L724" s="78"/>
      <c r="M724" s="81"/>
      <c r="N724" s="76"/>
      <c r="O724" s="82"/>
      <c r="P724" s="80"/>
      <c r="Q724" s="83"/>
      <c r="R724" s="80"/>
      <c r="S724" s="80"/>
      <c r="T724" s="80"/>
      <c r="U724" s="83"/>
      <c r="V724" s="80"/>
      <c r="W724" s="83"/>
      <c r="X724" s="80"/>
      <c r="Y724" s="80"/>
      <c r="Z724" s="80"/>
      <c r="AA724" s="80"/>
      <c r="AB724" s="80"/>
      <c r="AC724" s="80"/>
      <c r="AD724" s="80"/>
      <c r="AE724" s="80"/>
    </row>
    <row r="725" spans="1:31" x14ac:dyDescent="0.25">
      <c r="A725" s="76"/>
      <c r="B725" s="76"/>
      <c r="C725" s="77"/>
      <c r="D725" s="78"/>
      <c r="E725" s="79"/>
      <c r="F725" s="80"/>
      <c r="G725" s="78"/>
      <c r="H725" s="81"/>
      <c r="I725" s="78"/>
      <c r="J725" s="78"/>
      <c r="K725" s="78"/>
      <c r="L725" s="78"/>
      <c r="M725" s="81"/>
      <c r="N725" s="76"/>
      <c r="O725" s="82"/>
      <c r="P725" s="80"/>
      <c r="Q725" s="83"/>
      <c r="R725" s="80"/>
      <c r="S725" s="80"/>
      <c r="T725" s="80"/>
      <c r="U725" s="83"/>
      <c r="V725" s="80"/>
      <c r="W725" s="83"/>
      <c r="X725" s="80"/>
      <c r="Y725" s="80"/>
      <c r="Z725" s="80"/>
      <c r="AA725" s="80"/>
      <c r="AB725" s="80"/>
      <c r="AC725" s="80"/>
      <c r="AD725" s="80"/>
      <c r="AE725" s="80"/>
    </row>
    <row r="726" spans="1:31" x14ac:dyDescent="0.25">
      <c r="A726" s="76"/>
      <c r="B726" s="76"/>
      <c r="C726" s="77"/>
      <c r="D726" s="78"/>
      <c r="E726" s="79"/>
      <c r="F726" s="80"/>
      <c r="G726" s="78"/>
      <c r="H726" s="81"/>
      <c r="I726" s="78"/>
      <c r="J726" s="78"/>
      <c r="K726" s="78"/>
      <c r="L726" s="78"/>
      <c r="M726" s="81"/>
      <c r="N726" s="76"/>
      <c r="O726" s="82"/>
      <c r="P726" s="80"/>
      <c r="Q726" s="83"/>
      <c r="R726" s="80"/>
      <c r="S726" s="80"/>
      <c r="T726" s="80"/>
      <c r="U726" s="83"/>
      <c r="V726" s="80"/>
      <c r="W726" s="83"/>
      <c r="X726" s="80"/>
      <c r="Y726" s="80"/>
      <c r="Z726" s="80"/>
      <c r="AA726" s="80"/>
      <c r="AB726" s="80"/>
      <c r="AC726" s="80"/>
      <c r="AD726" s="80"/>
      <c r="AE726" s="80"/>
    </row>
    <row r="727" spans="1:31" x14ac:dyDescent="0.25">
      <c r="A727" s="76"/>
      <c r="B727" s="76"/>
      <c r="C727" s="77"/>
      <c r="D727" s="78"/>
      <c r="E727" s="79"/>
      <c r="F727" s="80"/>
      <c r="G727" s="78"/>
      <c r="H727" s="81"/>
      <c r="I727" s="78"/>
      <c r="J727" s="78"/>
      <c r="K727" s="78"/>
      <c r="L727" s="78"/>
      <c r="M727" s="81"/>
      <c r="N727" s="76"/>
      <c r="O727" s="82"/>
      <c r="P727" s="80"/>
      <c r="Q727" s="83"/>
      <c r="R727" s="80"/>
      <c r="S727" s="80"/>
      <c r="T727" s="80"/>
      <c r="U727" s="83"/>
      <c r="V727" s="80"/>
      <c r="W727" s="83"/>
      <c r="X727" s="80"/>
      <c r="Y727" s="80"/>
      <c r="Z727" s="80"/>
      <c r="AA727" s="80"/>
      <c r="AB727" s="80"/>
      <c r="AC727" s="80"/>
      <c r="AD727" s="80"/>
      <c r="AE727" s="80"/>
    </row>
    <row r="728" spans="1:31" x14ac:dyDescent="0.25">
      <c r="A728" s="76"/>
      <c r="B728" s="76"/>
      <c r="C728" s="77"/>
      <c r="D728" s="78"/>
      <c r="E728" s="79"/>
      <c r="F728" s="80"/>
      <c r="G728" s="78"/>
      <c r="H728" s="81"/>
      <c r="I728" s="78"/>
      <c r="J728" s="78"/>
      <c r="K728" s="78"/>
      <c r="L728" s="78"/>
      <c r="M728" s="81"/>
      <c r="N728" s="76"/>
      <c r="O728" s="82"/>
      <c r="P728" s="80"/>
      <c r="Q728" s="83"/>
      <c r="R728" s="80"/>
      <c r="S728" s="80"/>
      <c r="T728" s="80"/>
      <c r="U728" s="83"/>
      <c r="V728" s="80"/>
      <c r="W728" s="83"/>
      <c r="X728" s="80"/>
      <c r="Y728" s="80"/>
      <c r="Z728" s="80"/>
      <c r="AA728" s="80"/>
      <c r="AB728" s="80"/>
      <c r="AC728" s="80"/>
      <c r="AD728" s="80"/>
      <c r="AE728" s="80"/>
    </row>
    <row r="729" spans="1:31" x14ac:dyDescent="0.25">
      <c r="A729" s="76"/>
      <c r="B729" s="76"/>
      <c r="C729" s="77"/>
      <c r="D729" s="78"/>
      <c r="E729" s="79"/>
      <c r="F729" s="80"/>
      <c r="G729" s="78"/>
      <c r="H729" s="81"/>
      <c r="I729" s="78"/>
      <c r="J729" s="78"/>
      <c r="K729" s="78"/>
      <c r="L729" s="78"/>
      <c r="M729" s="81"/>
      <c r="N729" s="76"/>
      <c r="O729" s="82"/>
      <c r="P729" s="80"/>
      <c r="Q729" s="83"/>
      <c r="R729" s="80"/>
      <c r="S729" s="80"/>
      <c r="T729" s="80"/>
      <c r="U729" s="83"/>
      <c r="V729" s="80"/>
      <c r="W729" s="83"/>
      <c r="X729" s="80"/>
      <c r="Y729" s="80"/>
      <c r="Z729" s="80"/>
      <c r="AA729" s="80"/>
      <c r="AB729" s="80"/>
      <c r="AC729" s="80"/>
      <c r="AD729" s="80"/>
      <c r="AE729" s="80"/>
    </row>
    <row r="730" spans="1:31" x14ac:dyDescent="0.25">
      <c r="A730" s="76"/>
      <c r="B730" s="76"/>
      <c r="C730" s="77"/>
      <c r="D730" s="78"/>
      <c r="E730" s="79"/>
      <c r="F730" s="80"/>
      <c r="G730" s="78"/>
      <c r="H730" s="81"/>
      <c r="I730" s="78"/>
      <c r="J730" s="78"/>
      <c r="K730" s="78"/>
      <c r="L730" s="78"/>
      <c r="M730" s="81"/>
      <c r="N730" s="76"/>
      <c r="O730" s="82"/>
      <c r="P730" s="80"/>
      <c r="Q730" s="83"/>
      <c r="R730" s="80"/>
      <c r="S730" s="80"/>
      <c r="T730" s="80"/>
      <c r="U730" s="83"/>
      <c r="V730" s="80"/>
      <c r="W730" s="83"/>
      <c r="X730" s="80"/>
      <c r="Y730" s="80"/>
      <c r="Z730" s="80"/>
      <c r="AA730" s="80"/>
      <c r="AB730" s="80"/>
      <c r="AC730" s="80"/>
      <c r="AD730" s="80"/>
      <c r="AE730" s="80"/>
    </row>
    <row r="731" spans="1:31" x14ac:dyDescent="0.25">
      <c r="A731" s="76"/>
      <c r="B731" s="76"/>
      <c r="C731" s="77"/>
      <c r="D731" s="78"/>
      <c r="E731" s="79"/>
      <c r="F731" s="80"/>
      <c r="G731" s="78"/>
      <c r="H731" s="81"/>
      <c r="I731" s="78"/>
      <c r="J731" s="78"/>
      <c r="K731" s="78"/>
      <c r="L731" s="78"/>
      <c r="M731" s="81"/>
      <c r="N731" s="76"/>
      <c r="O731" s="82"/>
      <c r="P731" s="80"/>
      <c r="Q731" s="83"/>
      <c r="R731" s="80"/>
      <c r="S731" s="80"/>
      <c r="T731" s="80"/>
      <c r="U731" s="83"/>
      <c r="V731" s="80"/>
      <c r="W731" s="83"/>
      <c r="X731" s="80"/>
      <c r="Y731" s="80"/>
      <c r="Z731" s="80"/>
      <c r="AA731" s="80"/>
      <c r="AB731" s="80"/>
      <c r="AC731" s="80"/>
      <c r="AD731" s="80"/>
      <c r="AE731" s="80"/>
    </row>
    <row r="732" spans="1:31" x14ac:dyDescent="0.25">
      <c r="A732" s="76"/>
      <c r="B732" s="76"/>
      <c r="C732" s="77"/>
      <c r="D732" s="78"/>
      <c r="E732" s="79"/>
      <c r="F732" s="80"/>
      <c r="G732" s="78"/>
      <c r="H732" s="81"/>
      <c r="I732" s="78"/>
      <c r="J732" s="78"/>
      <c r="K732" s="78"/>
      <c r="L732" s="78"/>
      <c r="M732" s="81"/>
      <c r="N732" s="76"/>
      <c r="O732" s="82"/>
      <c r="P732" s="80"/>
      <c r="Q732" s="83"/>
      <c r="R732" s="80"/>
      <c r="S732" s="80"/>
      <c r="T732" s="80"/>
      <c r="U732" s="83"/>
      <c r="V732" s="80"/>
      <c r="W732" s="83"/>
      <c r="X732" s="80"/>
      <c r="Y732" s="80"/>
      <c r="Z732" s="80"/>
      <c r="AA732" s="80"/>
      <c r="AB732" s="80"/>
      <c r="AC732" s="80"/>
      <c r="AD732" s="80"/>
      <c r="AE732" s="80"/>
    </row>
    <row r="733" spans="1:31" x14ac:dyDescent="0.25">
      <c r="A733" s="76"/>
      <c r="B733" s="76"/>
      <c r="C733" s="77"/>
      <c r="D733" s="78"/>
      <c r="E733" s="79"/>
      <c r="F733" s="80"/>
      <c r="G733" s="78"/>
      <c r="H733" s="81"/>
      <c r="I733" s="78"/>
      <c r="J733" s="78"/>
      <c r="K733" s="78"/>
      <c r="L733" s="78"/>
      <c r="M733" s="81"/>
      <c r="N733" s="76"/>
      <c r="O733" s="82"/>
      <c r="P733" s="80"/>
      <c r="Q733" s="83"/>
      <c r="R733" s="80"/>
      <c r="S733" s="80"/>
      <c r="T733" s="80"/>
      <c r="U733" s="83"/>
      <c r="V733" s="80"/>
      <c r="W733" s="83"/>
      <c r="X733" s="80"/>
      <c r="Y733" s="80"/>
      <c r="Z733" s="80"/>
      <c r="AA733" s="80"/>
      <c r="AB733" s="80"/>
      <c r="AC733" s="80"/>
      <c r="AD733" s="80"/>
      <c r="AE733" s="80"/>
    </row>
    <row r="734" spans="1:31" x14ac:dyDescent="0.25">
      <c r="A734" s="76"/>
      <c r="B734" s="76"/>
      <c r="C734" s="77"/>
      <c r="D734" s="78"/>
      <c r="E734" s="79"/>
      <c r="F734" s="80"/>
      <c r="G734" s="78"/>
      <c r="H734" s="81"/>
      <c r="I734" s="78"/>
      <c r="J734" s="78"/>
      <c r="K734" s="78"/>
      <c r="L734" s="78"/>
      <c r="M734" s="81"/>
      <c r="N734" s="76"/>
      <c r="O734" s="82"/>
      <c r="P734" s="80"/>
      <c r="Q734" s="83"/>
      <c r="R734" s="80"/>
      <c r="S734" s="80"/>
      <c r="T734" s="80"/>
      <c r="U734" s="83"/>
      <c r="V734" s="80"/>
      <c r="W734" s="83"/>
      <c r="X734" s="80"/>
      <c r="Y734" s="80"/>
      <c r="Z734" s="80"/>
      <c r="AA734" s="80"/>
      <c r="AB734" s="80"/>
      <c r="AC734" s="80"/>
      <c r="AD734" s="80"/>
      <c r="AE734" s="80"/>
    </row>
    <row r="735" spans="1:31" x14ac:dyDescent="0.25">
      <c r="A735" s="76"/>
      <c r="B735" s="76"/>
      <c r="C735" s="77"/>
      <c r="D735" s="78"/>
      <c r="E735" s="79"/>
      <c r="F735" s="80"/>
      <c r="G735" s="78"/>
      <c r="H735" s="81"/>
      <c r="I735" s="78"/>
      <c r="J735" s="78"/>
      <c r="K735" s="78"/>
      <c r="L735" s="78"/>
      <c r="M735" s="81"/>
      <c r="N735" s="76"/>
      <c r="O735" s="82"/>
      <c r="P735" s="80"/>
      <c r="Q735" s="83"/>
      <c r="R735" s="80"/>
      <c r="S735" s="80"/>
      <c r="T735" s="80"/>
      <c r="U735" s="83"/>
      <c r="V735" s="80"/>
      <c r="W735" s="83"/>
      <c r="X735" s="80"/>
      <c r="Y735" s="80"/>
      <c r="Z735" s="80"/>
      <c r="AA735" s="80"/>
      <c r="AB735" s="80"/>
      <c r="AC735" s="80"/>
      <c r="AD735" s="80"/>
      <c r="AE735" s="80"/>
    </row>
    <row r="736" spans="1:31" x14ac:dyDescent="0.25">
      <c r="A736" s="76"/>
      <c r="B736" s="76"/>
      <c r="C736" s="77"/>
      <c r="D736" s="78"/>
      <c r="E736" s="79"/>
      <c r="F736" s="80"/>
      <c r="G736" s="78"/>
      <c r="H736" s="81"/>
      <c r="I736" s="78"/>
      <c r="J736" s="78"/>
      <c r="K736" s="78"/>
      <c r="L736" s="78"/>
      <c r="M736" s="81"/>
      <c r="N736" s="76"/>
      <c r="O736" s="82"/>
      <c r="P736" s="80"/>
      <c r="Q736" s="83"/>
      <c r="R736" s="80"/>
      <c r="S736" s="80"/>
      <c r="T736" s="80"/>
      <c r="U736" s="83"/>
      <c r="V736" s="80"/>
      <c r="W736" s="83"/>
      <c r="X736" s="80"/>
      <c r="Y736" s="80"/>
      <c r="Z736" s="80"/>
      <c r="AA736" s="80"/>
      <c r="AB736" s="80"/>
      <c r="AC736" s="80"/>
      <c r="AD736" s="80"/>
      <c r="AE736" s="80"/>
    </row>
    <row r="737" spans="1:31" x14ac:dyDescent="0.25">
      <c r="A737" s="76"/>
      <c r="B737" s="76"/>
      <c r="C737" s="77"/>
      <c r="D737" s="78"/>
      <c r="E737" s="79"/>
      <c r="F737" s="80"/>
      <c r="G737" s="78"/>
      <c r="H737" s="81"/>
      <c r="I737" s="78"/>
      <c r="J737" s="78"/>
      <c r="K737" s="78"/>
      <c r="L737" s="78"/>
      <c r="M737" s="81"/>
      <c r="N737" s="76"/>
      <c r="O737" s="82"/>
      <c r="P737" s="80"/>
      <c r="Q737" s="83"/>
      <c r="R737" s="80"/>
      <c r="S737" s="80"/>
      <c r="T737" s="80"/>
      <c r="U737" s="83"/>
      <c r="V737" s="80"/>
      <c r="W737" s="83"/>
      <c r="X737" s="80"/>
      <c r="Y737" s="80"/>
      <c r="Z737" s="80"/>
      <c r="AA737" s="80"/>
      <c r="AB737" s="80"/>
      <c r="AC737" s="80"/>
      <c r="AD737" s="80"/>
      <c r="AE737" s="80"/>
    </row>
    <row r="738" spans="1:31" x14ac:dyDescent="0.25">
      <c r="A738" s="76"/>
      <c r="B738" s="76"/>
      <c r="C738" s="77"/>
      <c r="D738" s="78"/>
      <c r="E738" s="79"/>
      <c r="F738" s="80"/>
      <c r="G738" s="78"/>
      <c r="H738" s="81"/>
      <c r="I738" s="78"/>
      <c r="J738" s="78"/>
      <c r="K738" s="78"/>
      <c r="L738" s="78"/>
      <c r="M738" s="81"/>
      <c r="N738" s="76"/>
      <c r="O738" s="82"/>
      <c r="P738" s="80"/>
      <c r="Q738" s="83"/>
      <c r="R738" s="80"/>
      <c r="S738" s="80"/>
      <c r="T738" s="80"/>
      <c r="U738" s="83"/>
      <c r="V738" s="80"/>
      <c r="W738" s="83"/>
      <c r="X738" s="80"/>
      <c r="Y738" s="80"/>
      <c r="Z738" s="80"/>
      <c r="AA738" s="80"/>
      <c r="AB738" s="80"/>
      <c r="AC738" s="80"/>
      <c r="AD738" s="80"/>
      <c r="AE738" s="80"/>
    </row>
    <row r="739" spans="1:31" x14ac:dyDescent="0.25">
      <c r="A739" s="76"/>
      <c r="B739" s="76"/>
      <c r="C739" s="77"/>
      <c r="D739" s="78"/>
      <c r="E739" s="79"/>
      <c r="F739" s="80"/>
      <c r="G739" s="78"/>
      <c r="H739" s="81"/>
      <c r="I739" s="78"/>
      <c r="J739" s="78"/>
      <c r="K739" s="78"/>
      <c r="L739" s="78"/>
      <c r="M739" s="81"/>
      <c r="N739" s="76"/>
      <c r="O739" s="82"/>
      <c r="P739" s="80"/>
      <c r="Q739" s="83"/>
      <c r="R739" s="80"/>
      <c r="S739" s="80"/>
      <c r="T739" s="80"/>
      <c r="U739" s="83"/>
      <c r="V739" s="80"/>
      <c r="W739" s="83"/>
      <c r="X739" s="80"/>
      <c r="Y739" s="80"/>
      <c r="Z739" s="80"/>
      <c r="AA739" s="80"/>
      <c r="AB739" s="80"/>
      <c r="AC739" s="80"/>
      <c r="AD739" s="80"/>
      <c r="AE739" s="80"/>
    </row>
    <row r="740" spans="1:31" x14ac:dyDescent="0.25">
      <c r="A740" s="76"/>
      <c r="B740" s="76"/>
      <c r="C740" s="77"/>
      <c r="D740" s="78"/>
      <c r="E740" s="79"/>
      <c r="F740" s="80"/>
      <c r="G740" s="78"/>
      <c r="H740" s="81"/>
      <c r="I740" s="78"/>
      <c r="J740" s="78"/>
      <c r="K740" s="78"/>
      <c r="L740" s="78"/>
      <c r="M740" s="81"/>
      <c r="N740" s="76"/>
      <c r="O740" s="82"/>
      <c r="P740" s="80"/>
      <c r="Q740" s="83"/>
      <c r="R740" s="80"/>
      <c r="S740" s="80"/>
      <c r="T740" s="80"/>
      <c r="U740" s="83"/>
      <c r="V740" s="80"/>
      <c r="W740" s="83"/>
      <c r="X740" s="80"/>
      <c r="Y740" s="80"/>
      <c r="Z740" s="80"/>
      <c r="AA740" s="80"/>
      <c r="AB740" s="80"/>
      <c r="AC740" s="80"/>
      <c r="AD740" s="80"/>
      <c r="AE740" s="80"/>
    </row>
    <row r="741" spans="1:31" x14ac:dyDescent="0.25">
      <c r="A741" s="76"/>
      <c r="B741" s="76"/>
      <c r="C741" s="77"/>
      <c r="D741" s="78"/>
      <c r="E741" s="79"/>
      <c r="F741" s="80"/>
      <c r="G741" s="78"/>
      <c r="H741" s="81"/>
      <c r="I741" s="78"/>
      <c r="J741" s="78"/>
      <c r="K741" s="78"/>
      <c r="L741" s="78"/>
      <c r="M741" s="81"/>
      <c r="N741" s="76"/>
      <c r="O741" s="82"/>
      <c r="P741" s="80"/>
      <c r="Q741" s="83"/>
      <c r="R741" s="80"/>
      <c r="S741" s="80"/>
      <c r="T741" s="80"/>
      <c r="U741" s="83"/>
      <c r="V741" s="80"/>
      <c r="W741" s="83"/>
      <c r="X741" s="80"/>
      <c r="Y741" s="80"/>
      <c r="Z741" s="80"/>
      <c r="AA741" s="80"/>
      <c r="AB741" s="80"/>
      <c r="AC741" s="80"/>
      <c r="AD741" s="80"/>
      <c r="AE741" s="80"/>
    </row>
    <row r="742" spans="1:31" x14ac:dyDescent="0.25">
      <c r="A742" s="76"/>
      <c r="B742" s="76"/>
      <c r="C742" s="77"/>
      <c r="D742" s="78"/>
      <c r="E742" s="79"/>
      <c r="F742" s="80"/>
      <c r="G742" s="78"/>
      <c r="H742" s="81"/>
      <c r="I742" s="78"/>
      <c r="J742" s="78"/>
      <c r="K742" s="78"/>
      <c r="L742" s="78"/>
      <c r="M742" s="81"/>
      <c r="N742" s="76"/>
      <c r="O742" s="82"/>
      <c r="P742" s="80"/>
      <c r="Q742" s="83"/>
      <c r="R742" s="80"/>
      <c r="S742" s="80"/>
      <c r="T742" s="80"/>
      <c r="U742" s="83"/>
      <c r="V742" s="80"/>
      <c r="W742" s="83"/>
      <c r="X742" s="80"/>
      <c r="Y742" s="80"/>
      <c r="Z742" s="80"/>
      <c r="AA742" s="80"/>
      <c r="AB742" s="80"/>
      <c r="AC742" s="80"/>
      <c r="AD742" s="80"/>
      <c r="AE742" s="80"/>
    </row>
    <row r="743" spans="1:31" x14ac:dyDescent="0.25">
      <c r="A743" s="76"/>
      <c r="B743" s="76"/>
      <c r="C743" s="77"/>
      <c r="D743" s="78"/>
      <c r="E743" s="79"/>
      <c r="F743" s="80"/>
      <c r="G743" s="78"/>
      <c r="H743" s="81"/>
      <c r="I743" s="78"/>
      <c r="J743" s="78"/>
      <c r="K743" s="78"/>
      <c r="L743" s="78"/>
      <c r="M743" s="81"/>
      <c r="N743" s="76"/>
      <c r="O743" s="82"/>
      <c r="P743" s="80"/>
      <c r="Q743" s="83"/>
      <c r="R743" s="80"/>
      <c r="S743" s="80"/>
      <c r="T743" s="80"/>
      <c r="U743" s="83"/>
      <c r="V743" s="80"/>
      <c r="W743" s="83"/>
      <c r="X743" s="80"/>
      <c r="Y743" s="80"/>
      <c r="Z743" s="80"/>
      <c r="AA743" s="80"/>
      <c r="AB743" s="80"/>
      <c r="AC743" s="80"/>
      <c r="AD743" s="80"/>
      <c r="AE743" s="80"/>
    </row>
    <row r="744" spans="1:31" x14ac:dyDescent="0.25">
      <c r="A744" s="76"/>
      <c r="B744" s="76"/>
      <c r="C744" s="77"/>
      <c r="D744" s="78"/>
      <c r="E744" s="79"/>
      <c r="F744" s="80"/>
      <c r="G744" s="78"/>
      <c r="H744" s="81"/>
      <c r="I744" s="78"/>
      <c r="J744" s="78"/>
      <c r="K744" s="78"/>
      <c r="L744" s="78"/>
      <c r="M744" s="81"/>
      <c r="N744" s="76"/>
      <c r="O744" s="82"/>
      <c r="P744" s="80"/>
      <c r="Q744" s="83"/>
      <c r="R744" s="80"/>
      <c r="S744" s="80"/>
      <c r="T744" s="80"/>
      <c r="U744" s="83"/>
      <c r="V744" s="80"/>
      <c r="W744" s="83"/>
      <c r="X744" s="80"/>
      <c r="Y744" s="80"/>
      <c r="Z744" s="80"/>
      <c r="AA744" s="80"/>
      <c r="AB744" s="80"/>
      <c r="AC744" s="80"/>
      <c r="AD744" s="80"/>
      <c r="AE744" s="80"/>
    </row>
    <row r="745" spans="1:31" x14ac:dyDescent="0.25">
      <c r="A745" s="76"/>
      <c r="B745" s="76"/>
      <c r="C745" s="77"/>
      <c r="D745" s="78"/>
      <c r="E745" s="79"/>
      <c r="F745" s="80"/>
      <c r="G745" s="78"/>
      <c r="H745" s="81"/>
      <c r="I745" s="78"/>
      <c r="J745" s="78"/>
      <c r="K745" s="78"/>
      <c r="L745" s="78"/>
      <c r="M745" s="81"/>
      <c r="N745" s="76"/>
      <c r="O745" s="82"/>
      <c r="P745" s="80"/>
      <c r="Q745" s="83"/>
      <c r="R745" s="80"/>
      <c r="S745" s="80"/>
      <c r="T745" s="80"/>
      <c r="U745" s="83"/>
      <c r="V745" s="80"/>
      <c r="W745" s="83"/>
      <c r="X745" s="80"/>
      <c r="Y745" s="80"/>
      <c r="Z745" s="80"/>
      <c r="AA745" s="80"/>
      <c r="AB745" s="80"/>
      <c r="AC745" s="80"/>
      <c r="AD745" s="80"/>
      <c r="AE745" s="80"/>
    </row>
    <row r="746" spans="1:31" x14ac:dyDescent="0.25">
      <c r="A746" s="76"/>
      <c r="B746" s="76"/>
      <c r="C746" s="77"/>
      <c r="D746" s="78"/>
      <c r="E746" s="79"/>
      <c r="F746" s="80"/>
      <c r="G746" s="78"/>
      <c r="H746" s="81"/>
      <c r="I746" s="78"/>
      <c r="J746" s="78"/>
      <c r="K746" s="78"/>
      <c r="L746" s="78"/>
      <c r="M746" s="81"/>
      <c r="N746" s="76"/>
      <c r="O746" s="82"/>
      <c r="P746" s="80"/>
      <c r="Q746" s="83"/>
      <c r="R746" s="80"/>
      <c r="S746" s="80"/>
      <c r="T746" s="80"/>
      <c r="U746" s="83"/>
      <c r="V746" s="80"/>
      <c r="W746" s="83"/>
      <c r="X746" s="80"/>
      <c r="Y746" s="80"/>
      <c r="Z746" s="80"/>
      <c r="AA746" s="80"/>
      <c r="AB746" s="80"/>
      <c r="AC746" s="80"/>
      <c r="AD746" s="80"/>
      <c r="AE746" s="80"/>
    </row>
    <row r="747" spans="1:31" x14ac:dyDescent="0.25">
      <c r="A747" s="76"/>
      <c r="B747" s="76"/>
      <c r="C747" s="77"/>
      <c r="D747" s="78"/>
      <c r="E747" s="79"/>
      <c r="F747" s="80"/>
      <c r="G747" s="78"/>
      <c r="H747" s="81"/>
      <c r="I747" s="78"/>
      <c r="J747" s="78"/>
      <c r="K747" s="78"/>
      <c r="L747" s="78"/>
      <c r="M747" s="81"/>
      <c r="N747" s="76"/>
      <c r="O747" s="82"/>
      <c r="P747" s="80"/>
      <c r="Q747" s="83"/>
      <c r="R747" s="80"/>
      <c r="S747" s="80"/>
      <c r="T747" s="80"/>
      <c r="U747" s="83"/>
      <c r="V747" s="80"/>
      <c r="W747" s="83"/>
      <c r="X747" s="80"/>
      <c r="Y747" s="80"/>
      <c r="Z747" s="80"/>
      <c r="AA747" s="80"/>
      <c r="AB747" s="80"/>
      <c r="AC747" s="80"/>
      <c r="AD747" s="80"/>
      <c r="AE747" s="80"/>
    </row>
    <row r="748" spans="1:31" x14ac:dyDescent="0.25">
      <c r="A748" s="76"/>
      <c r="B748" s="76"/>
      <c r="C748" s="77"/>
      <c r="D748" s="78"/>
      <c r="E748" s="79"/>
      <c r="F748" s="80"/>
      <c r="G748" s="78"/>
      <c r="H748" s="81"/>
      <c r="I748" s="78"/>
      <c r="J748" s="78"/>
      <c r="K748" s="78"/>
      <c r="L748" s="78"/>
      <c r="M748" s="81"/>
      <c r="N748" s="76"/>
      <c r="O748" s="82"/>
      <c r="P748" s="80"/>
      <c r="Q748" s="83"/>
      <c r="R748" s="80"/>
      <c r="S748" s="80"/>
      <c r="T748" s="80"/>
      <c r="U748" s="83"/>
      <c r="V748" s="80"/>
      <c r="W748" s="83"/>
      <c r="X748" s="80"/>
      <c r="Y748" s="80"/>
      <c r="Z748" s="80"/>
      <c r="AA748" s="80"/>
      <c r="AB748" s="80"/>
      <c r="AC748" s="80"/>
      <c r="AD748" s="80"/>
      <c r="AE748" s="80"/>
    </row>
    <row r="749" spans="1:31" x14ac:dyDescent="0.25">
      <c r="A749" s="76"/>
      <c r="B749" s="76"/>
      <c r="C749" s="77"/>
      <c r="D749" s="78"/>
      <c r="E749" s="79"/>
      <c r="F749" s="80"/>
      <c r="G749" s="78"/>
      <c r="H749" s="81"/>
      <c r="I749" s="78"/>
      <c r="J749" s="78"/>
      <c r="K749" s="78"/>
      <c r="L749" s="78"/>
      <c r="M749" s="81"/>
      <c r="N749" s="76"/>
      <c r="O749" s="82"/>
      <c r="P749" s="80"/>
      <c r="Q749" s="83"/>
      <c r="R749" s="80"/>
      <c r="S749" s="80"/>
      <c r="T749" s="80"/>
      <c r="U749" s="83"/>
      <c r="V749" s="80"/>
      <c r="W749" s="83"/>
      <c r="X749" s="80"/>
      <c r="Y749" s="80"/>
      <c r="Z749" s="80"/>
      <c r="AA749" s="80"/>
      <c r="AB749" s="80"/>
      <c r="AC749" s="80"/>
      <c r="AD749" s="80"/>
      <c r="AE749" s="80"/>
    </row>
    <row r="750" spans="1:31" x14ac:dyDescent="0.25">
      <c r="A750" s="76"/>
      <c r="B750" s="76"/>
      <c r="C750" s="77"/>
      <c r="D750" s="78"/>
      <c r="E750" s="79"/>
      <c r="F750" s="80"/>
      <c r="G750" s="78"/>
      <c r="H750" s="81"/>
      <c r="I750" s="78"/>
      <c r="J750" s="78"/>
      <c r="K750" s="78"/>
      <c r="L750" s="78"/>
      <c r="M750" s="81"/>
      <c r="N750" s="76"/>
      <c r="O750" s="82"/>
      <c r="P750" s="80"/>
      <c r="Q750" s="83"/>
      <c r="R750" s="80"/>
      <c r="S750" s="80"/>
      <c r="T750" s="80"/>
      <c r="U750" s="83"/>
      <c r="V750" s="80"/>
      <c r="W750" s="83"/>
      <c r="X750" s="80"/>
      <c r="Y750" s="80"/>
      <c r="Z750" s="80"/>
      <c r="AA750" s="80"/>
      <c r="AB750" s="80"/>
      <c r="AC750" s="80"/>
      <c r="AD750" s="80"/>
      <c r="AE750" s="80"/>
    </row>
    <row r="751" spans="1:31" x14ac:dyDescent="0.25">
      <c r="A751" s="76"/>
      <c r="B751" s="76"/>
      <c r="C751" s="77"/>
      <c r="D751" s="78"/>
      <c r="E751" s="79"/>
      <c r="F751" s="80"/>
      <c r="G751" s="78"/>
      <c r="H751" s="81"/>
      <c r="I751" s="78"/>
      <c r="J751" s="78"/>
      <c r="K751" s="78"/>
      <c r="L751" s="78"/>
      <c r="M751" s="81"/>
      <c r="N751" s="76"/>
      <c r="O751" s="82"/>
      <c r="P751" s="80"/>
      <c r="Q751" s="83"/>
      <c r="R751" s="80"/>
      <c r="S751" s="80"/>
      <c r="T751" s="80"/>
      <c r="U751" s="83"/>
      <c r="V751" s="80"/>
      <c r="W751" s="83"/>
      <c r="X751" s="80"/>
      <c r="Y751" s="80"/>
      <c r="Z751" s="80"/>
      <c r="AA751" s="80"/>
      <c r="AB751" s="80"/>
      <c r="AC751" s="80"/>
      <c r="AD751" s="80"/>
      <c r="AE751" s="80"/>
    </row>
    <row r="752" spans="1:31" x14ac:dyDescent="0.25">
      <c r="A752" s="76"/>
      <c r="B752" s="76"/>
      <c r="C752" s="77"/>
      <c r="D752" s="78"/>
      <c r="E752" s="79"/>
      <c r="F752" s="80"/>
      <c r="G752" s="78"/>
      <c r="H752" s="81"/>
      <c r="I752" s="78"/>
      <c r="J752" s="78"/>
      <c r="K752" s="78"/>
      <c r="L752" s="78"/>
      <c r="M752" s="81"/>
      <c r="N752" s="76"/>
      <c r="O752" s="82"/>
      <c r="P752" s="80"/>
      <c r="Q752" s="83"/>
      <c r="R752" s="80"/>
      <c r="S752" s="80"/>
      <c r="T752" s="80"/>
      <c r="U752" s="83"/>
      <c r="V752" s="80"/>
      <c r="W752" s="83"/>
      <c r="X752" s="80"/>
      <c r="Y752" s="80"/>
      <c r="Z752" s="80"/>
      <c r="AA752" s="80"/>
      <c r="AB752" s="80"/>
      <c r="AC752" s="80"/>
      <c r="AD752" s="80"/>
      <c r="AE752" s="80"/>
    </row>
    <row r="753" spans="1:31" x14ac:dyDescent="0.25">
      <c r="A753" s="76"/>
      <c r="B753" s="76"/>
      <c r="C753" s="77"/>
      <c r="D753" s="78"/>
      <c r="E753" s="79"/>
      <c r="F753" s="80"/>
      <c r="G753" s="78"/>
      <c r="H753" s="81"/>
      <c r="I753" s="78"/>
      <c r="J753" s="78"/>
      <c r="K753" s="78"/>
      <c r="L753" s="78"/>
      <c r="M753" s="81"/>
      <c r="N753" s="76"/>
      <c r="O753" s="82"/>
      <c r="P753" s="80"/>
      <c r="Q753" s="83"/>
      <c r="R753" s="80"/>
      <c r="S753" s="80"/>
      <c r="T753" s="80"/>
      <c r="U753" s="83"/>
      <c r="V753" s="80"/>
      <c r="W753" s="83"/>
      <c r="X753" s="80"/>
      <c r="Y753" s="80"/>
      <c r="Z753" s="80"/>
      <c r="AA753" s="80"/>
      <c r="AB753" s="80"/>
      <c r="AC753" s="80"/>
      <c r="AD753" s="80"/>
      <c r="AE753" s="80"/>
    </row>
    <row r="754" spans="1:31" x14ac:dyDescent="0.25">
      <c r="A754" s="76"/>
      <c r="B754" s="76"/>
      <c r="C754" s="77"/>
      <c r="D754" s="78"/>
      <c r="E754" s="79"/>
      <c r="F754" s="80"/>
      <c r="G754" s="78"/>
      <c r="H754" s="81"/>
      <c r="I754" s="78"/>
      <c r="J754" s="78"/>
      <c r="K754" s="78"/>
      <c r="L754" s="78"/>
      <c r="M754" s="81"/>
      <c r="N754" s="76"/>
      <c r="O754" s="82"/>
      <c r="P754" s="80"/>
      <c r="Q754" s="83"/>
      <c r="R754" s="80"/>
      <c r="S754" s="80"/>
      <c r="T754" s="80"/>
      <c r="U754" s="83"/>
      <c r="V754" s="80"/>
      <c r="W754" s="83"/>
      <c r="X754" s="80"/>
      <c r="Y754" s="80"/>
      <c r="Z754" s="80"/>
      <c r="AA754" s="80"/>
      <c r="AB754" s="80"/>
      <c r="AC754" s="80"/>
      <c r="AD754" s="80"/>
      <c r="AE754" s="80"/>
    </row>
    <row r="755" spans="1:31" x14ac:dyDescent="0.25">
      <c r="A755" s="76"/>
      <c r="B755" s="76"/>
      <c r="C755" s="77"/>
      <c r="D755" s="78"/>
      <c r="E755" s="79"/>
      <c r="F755" s="80"/>
      <c r="G755" s="78"/>
      <c r="H755" s="81"/>
      <c r="I755" s="78"/>
      <c r="J755" s="78"/>
      <c r="K755" s="78"/>
      <c r="L755" s="78"/>
      <c r="M755" s="81"/>
      <c r="N755" s="76"/>
      <c r="O755" s="82"/>
      <c r="P755" s="80"/>
      <c r="Q755" s="83"/>
      <c r="R755" s="80"/>
      <c r="S755" s="80"/>
      <c r="T755" s="80"/>
      <c r="U755" s="83"/>
      <c r="V755" s="80"/>
      <c r="W755" s="83"/>
      <c r="X755" s="80"/>
      <c r="Y755" s="80"/>
      <c r="Z755" s="80"/>
      <c r="AA755" s="80"/>
      <c r="AB755" s="80"/>
      <c r="AC755" s="80"/>
      <c r="AD755" s="80"/>
      <c r="AE755" s="80"/>
    </row>
    <row r="756" spans="1:31" x14ac:dyDescent="0.25">
      <c r="A756" s="76"/>
      <c r="B756" s="76"/>
      <c r="C756" s="77"/>
      <c r="D756" s="78"/>
      <c r="E756" s="79"/>
      <c r="F756" s="80"/>
      <c r="G756" s="78"/>
      <c r="H756" s="81"/>
      <c r="I756" s="78"/>
      <c r="J756" s="78"/>
      <c r="K756" s="78"/>
      <c r="L756" s="78"/>
      <c r="M756" s="81"/>
      <c r="N756" s="76"/>
      <c r="O756" s="82"/>
      <c r="P756" s="80"/>
      <c r="Q756" s="83"/>
      <c r="R756" s="80"/>
      <c r="S756" s="80"/>
      <c r="T756" s="80"/>
      <c r="U756" s="83"/>
      <c r="V756" s="80"/>
      <c r="W756" s="83"/>
      <c r="X756" s="80"/>
      <c r="Y756" s="80"/>
      <c r="Z756" s="80"/>
      <c r="AA756" s="80"/>
      <c r="AB756" s="80"/>
      <c r="AC756" s="80"/>
      <c r="AD756" s="80"/>
      <c r="AE756" s="80"/>
    </row>
    <row r="757" spans="1:31" x14ac:dyDescent="0.25">
      <c r="A757" s="76"/>
      <c r="B757" s="76"/>
      <c r="C757" s="77"/>
      <c r="D757" s="78"/>
      <c r="E757" s="79"/>
      <c r="F757" s="80"/>
      <c r="G757" s="78"/>
      <c r="H757" s="81"/>
      <c r="I757" s="78"/>
      <c r="J757" s="78"/>
      <c r="K757" s="78"/>
      <c r="L757" s="78"/>
      <c r="M757" s="81"/>
      <c r="N757" s="76"/>
      <c r="O757" s="82"/>
      <c r="P757" s="80"/>
      <c r="Q757" s="83"/>
      <c r="R757" s="80"/>
      <c r="S757" s="80"/>
      <c r="T757" s="80"/>
      <c r="U757" s="83"/>
      <c r="V757" s="80"/>
      <c r="W757" s="83"/>
      <c r="X757" s="80"/>
      <c r="Y757" s="80"/>
      <c r="Z757" s="80"/>
      <c r="AA757" s="80"/>
      <c r="AB757" s="80"/>
      <c r="AC757" s="80"/>
      <c r="AD757" s="80"/>
      <c r="AE757" s="80"/>
    </row>
    <row r="758" spans="1:31" x14ac:dyDescent="0.25">
      <c r="A758" s="76"/>
      <c r="B758" s="76"/>
      <c r="C758" s="77"/>
      <c r="D758" s="78"/>
      <c r="E758" s="79"/>
      <c r="F758" s="80"/>
      <c r="G758" s="78"/>
      <c r="H758" s="81"/>
      <c r="I758" s="78"/>
      <c r="J758" s="78"/>
      <c r="K758" s="78"/>
      <c r="L758" s="78"/>
      <c r="M758" s="81"/>
      <c r="N758" s="76"/>
      <c r="O758" s="82"/>
      <c r="P758" s="80"/>
      <c r="Q758" s="83"/>
      <c r="R758" s="80"/>
      <c r="S758" s="80"/>
      <c r="T758" s="80"/>
      <c r="U758" s="83"/>
      <c r="V758" s="80"/>
      <c r="W758" s="83"/>
      <c r="X758" s="80"/>
      <c r="Y758" s="80"/>
      <c r="Z758" s="80"/>
      <c r="AA758" s="80"/>
      <c r="AB758" s="80"/>
      <c r="AC758" s="80"/>
      <c r="AD758" s="80"/>
      <c r="AE758" s="80"/>
    </row>
    <row r="759" spans="1:31" x14ac:dyDescent="0.25">
      <c r="A759" s="76"/>
      <c r="B759" s="76"/>
      <c r="C759" s="77"/>
      <c r="D759" s="78"/>
      <c r="E759" s="79"/>
      <c r="F759" s="80"/>
      <c r="G759" s="78"/>
      <c r="H759" s="81"/>
      <c r="I759" s="78"/>
      <c r="J759" s="78"/>
      <c r="K759" s="78"/>
      <c r="L759" s="78"/>
      <c r="M759" s="81"/>
      <c r="N759" s="76"/>
      <c r="O759" s="82"/>
      <c r="P759" s="80"/>
      <c r="Q759" s="83"/>
      <c r="R759" s="80"/>
      <c r="S759" s="80"/>
      <c r="T759" s="80"/>
      <c r="U759" s="83"/>
      <c r="V759" s="80"/>
      <c r="W759" s="83"/>
      <c r="X759" s="80"/>
      <c r="Y759" s="80"/>
      <c r="Z759" s="80"/>
      <c r="AA759" s="80"/>
      <c r="AB759" s="80"/>
      <c r="AC759" s="80"/>
      <c r="AD759" s="80"/>
      <c r="AE759" s="80"/>
    </row>
    <row r="760" spans="1:31" x14ac:dyDescent="0.25">
      <c r="A760" s="76"/>
      <c r="B760" s="76"/>
      <c r="C760" s="77"/>
      <c r="D760" s="78"/>
      <c r="E760" s="79"/>
      <c r="F760" s="80"/>
      <c r="G760" s="78"/>
      <c r="H760" s="81"/>
      <c r="I760" s="78"/>
      <c r="J760" s="78"/>
      <c r="K760" s="78"/>
      <c r="L760" s="78"/>
      <c r="M760" s="81"/>
      <c r="N760" s="76"/>
      <c r="O760" s="82"/>
      <c r="P760" s="80"/>
      <c r="Q760" s="83"/>
      <c r="R760" s="80"/>
      <c r="S760" s="80"/>
      <c r="T760" s="80"/>
      <c r="U760" s="83"/>
      <c r="V760" s="80"/>
      <c r="W760" s="83"/>
      <c r="X760" s="80"/>
      <c r="Y760" s="80"/>
      <c r="Z760" s="80"/>
      <c r="AA760" s="80"/>
      <c r="AB760" s="80"/>
      <c r="AC760" s="80"/>
      <c r="AD760" s="80"/>
      <c r="AE760" s="80"/>
    </row>
    <row r="761" spans="1:31" x14ac:dyDescent="0.25">
      <c r="A761" s="76"/>
      <c r="B761" s="76"/>
      <c r="C761" s="77"/>
      <c r="D761" s="78"/>
      <c r="E761" s="79"/>
      <c r="F761" s="80"/>
      <c r="G761" s="78"/>
      <c r="H761" s="81"/>
      <c r="I761" s="78"/>
      <c r="J761" s="78"/>
      <c r="K761" s="78"/>
      <c r="L761" s="78"/>
      <c r="M761" s="81"/>
      <c r="N761" s="76"/>
      <c r="O761" s="82"/>
      <c r="P761" s="80"/>
      <c r="Q761" s="83"/>
      <c r="R761" s="80"/>
      <c r="S761" s="80"/>
      <c r="T761" s="80"/>
      <c r="U761" s="83"/>
      <c r="V761" s="80"/>
      <c r="W761" s="83"/>
      <c r="X761" s="80"/>
      <c r="Y761" s="80"/>
      <c r="Z761" s="80"/>
      <c r="AA761" s="80"/>
      <c r="AB761" s="80"/>
      <c r="AC761" s="80"/>
      <c r="AD761" s="80"/>
      <c r="AE761" s="80"/>
    </row>
    <row r="762" spans="1:31" x14ac:dyDescent="0.25">
      <c r="A762" s="76"/>
      <c r="B762" s="76"/>
      <c r="C762" s="77"/>
      <c r="D762" s="78"/>
      <c r="E762" s="79"/>
      <c r="F762" s="80"/>
      <c r="G762" s="78"/>
      <c r="H762" s="81"/>
      <c r="I762" s="78"/>
      <c r="J762" s="78"/>
      <c r="K762" s="78"/>
      <c r="L762" s="78"/>
      <c r="M762" s="81"/>
      <c r="N762" s="76"/>
      <c r="O762" s="82"/>
      <c r="P762" s="80"/>
      <c r="Q762" s="83"/>
      <c r="R762" s="80"/>
      <c r="S762" s="80"/>
      <c r="T762" s="80"/>
      <c r="U762" s="83"/>
      <c r="V762" s="80"/>
      <c r="W762" s="83"/>
      <c r="X762" s="80"/>
      <c r="Y762" s="80"/>
      <c r="Z762" s="80"/>
      <c r="AA762" s="80"/>
      <c r="AB762" s="80"/>
      <c r="AC762" s="80"/>
      <c r="AD762" s="80"/>
      <c r="AE762" s="80"/>
    </row>
    <row r="763" spans="1:31" x14ac:dyDescent="0.25">
      <c r="A763" s="76"/>
      <c r="B763" s="76"/>
      <c r="C763" s="77"/>
      <c r="D763" s="78"/>
      <c r="E763" s="79"/>
      <c r="F763" s="80"/>
      <c r="G763" s="78"/>
      <c r="H763" s="81"/>
      <c r="I763" s="78"/>
      <c r="J763" s="78"/>
      <c r="K763" s="78"/>
      <c r="L763" s="78"/>
      <c r="M763" s="81"/>
      <c r="N763" s="76"/>
      <c r="O763" s="82"/>
      <c r="P763" s="80"/>
      <c r="Q763" s="83"/>
      <c r="R763" s="80"/>
      <c r="S763" s="80"/>
      <c r="T763" s="80"/>
      <c r="U763" s="83"/>
      <c r="V763" s="80"/>
      <c r="W763" s="83"/>
      <c r="X763" s="80"/>
      <c r="Y763" s="80"/>
      <c r="Z763" s="80"/>
      <c r="AA763" s="80"/>
      <c r="AB763" s="80"/>
      <c r="AC763" s="80"/>
      <c r="AD763" s="80"/>
      <c r="AE763" s="80"/>
    </row>
    <row r="764" spans="1:31" x14ac:dyDescent="0.25">
      <c r="A764" s="76"/>
      <c r="B764" s="76"/>
      <c r="C764" s="77"/>
      <c r="D764" s="78"/>
      <c r="E764" s="79"/>
      <c r="F764" s="80"/>
      <c r="G764" s="78"/>
      <c r="H764" s="81"/>
      <c r="I764" s="78"/>
      <c r="J764" s="78"/>
      <c r="K764" s="78"/>
      <c r="L764" s="78"/>
      <c r="M764" s="81"/>
      <c r="N764" s="76"/>
      <c r="O764" s="82"/>
      <c r="P764" s="80"/>
      <c r="Q764" s="83"/>
      <c r="R764" s="80"/>
      <c r="S764" s="80"/>
      <c r="T764" s="80"/>
      <c r="U764" s="83"/>
      <c r="V764" s="80"/>
      <c r="W764" s="83"/>
      <c r="X764" s="80"/>
      <c r="Y764" s="80"/>
      <c r="Z764" s="80"/>
      <c r="AA764" s="80"/>
      <c r="AB764" s="80"/>
      <c r="AC764" s="80"/>
      <c r="AD764" s="80"/>
      <c r="AE764" s="80"/>
    </row>
    <row r="765" spans="1:31" x14ac:dyDescent="0.25">
      <c r="A765" s="76"/>
      <c r="B765" s="76"/>
      <c r="C765" s="77"/>
      <c r="D765" s="78"/>
      <c r="E765" s="79"/>
      <c r="F765" s="80"/>
      <c r="G765" s="78"/>
      <c r="H765" s="81"/>
      <c r="I765" s="78"/>
      <c r="J765" s="78"/>
      <c r="K765" s="78"/>
      <c r="L765" s="78"/>
      <c r="M765" s="81"/>
      <c r="N765" s="76"/>
      <c r="O765" s="82"/>
      <c r="P765" s="80"/>
      <c r="Q765" s="83"/>
      <c r="R765" s="80"/>
      <c r="S765" s="80"/>
      <c r="T765" s="80"/>
      <c r="U765" s="83"/>
      <c r="V765" s="80"/>
      <c r="W765" s="83"/>
      <c r="X765" s="80"/>
      <c r="Y765" s="80"/>
      <c r="Z765" s="80"/>
      <c r="AA765" s="80"/>
      <c r="AB765" s="80"/>
      <c r="AC765" s="80"/>
      <c r="AD765" s="80"/>
      <c r="AE765" s="80"/>
    </row>
    <row r="766" spans="1:31" x14ac:dyDescent="0.25">
      <c r="A766" s="76"/>
      <c r="B766" s="76"/>
      <c r="C766" s="77"/>
      <c r="D766" s="78"/>
      <c r="E766" s="79"/>
      <c r="F766" s="80"/>
      <c r="G766" s="78"/>
      <c r="H766" s="81"/>
      <c r="I766" s="78"/>
      <c r="J766" s="78"/>
      <c r="K766" s="78"/>
      <c r="L766" s="78"/>
      <c r="M766" s="81"/>
      <c r="N766" s="76"/>
      <c r="O766" s="82"/>
      <c r="P766" s="80"/>
      <c r="Q766" s="83"/>
      <c r="R766" s="80"/>
      <c r="S766" s="80"/>
      <c r="T766" s="80"/>
      <c r="U766" s="83"/>
      <c r="V766" s="80"/>
      <c r="W766" s="83"/>
      <c r="X766" s="80"/>
      <c r="Y766" s="80"/>
      <c r="Z766" s="80"/>
      <c r="AA766" s="80"/>
      <c r="AB766" s="80"/>
      <c r="AC766" s="80"/>
      <c r="AD766" s="80"/>
      <c r="AE766" s="80"/>
    </row>
    <row r="767" spans="1:31" x14ac:dyDescent="0.25">
      <c r="A767" s="76"/>
      <c r="B767" s="76"/>
      <c r="C767" s="77"/>
      <c r="D767" s="78"/>
      <c r="E767" s="79"/>
      <c r="F767" s="80"/>
      <c r="G767" s="78"/>
      <c r="H767" s="81"/>
      <c r="I767" s="78"/>
      <c r="J767" s="78"/>
      <c r="K767" s="78"/>
      <c r="L767" s="78"/>
      <c r="M767" s="81"/>
      <c r="N767" s="76"/>
      <c r="O767" s="82"/>
      <c r="P767" s="80"/>
      <c r="Q767" s="83"/>
      <c r="R767" s="80"/>
      <c r="S767" s="80"/>
      <c r="T767" s="80"/>
      <c r="U767" s="83"/>
      <c r="V767" s="80"/>
      <c r="W767" s="83"/>
      <c r="X767" s="80"/>
      <c r="Y767" s="80"/>
      <c r="Z767" s="80"/>
      <c r="AA767" s="80"/>
      <c r="AB767" s="80"/>
      <c r="AC767" s="80"/>
      <c r="AD767" s="80"/>
      <c r="AE767" s="80"/>
    </row>
    <row r="768" spans="1:31" x14ac:dyDescent="0.25">
      <c r="A768" s="76"/>
      <c r="B768" s="76"/>
      <c r="C768" s="77"/>
      <c r="D768" s="78"/>
      <c r="E768" s="79"/>
      <c r="F768" s="80"/>
      <c r="G768" s="78"/>
      <c r="H768" s="81"/>
      <c r="I768" s="78"/>
      <c r="J768" s="78"/>
      <c r="K768" s="78"/>
      <c r="L768" s="78"/>
      <c r="M768" s="81"/>
      <c r="N768" s="76"/>
      <c r="O768" s="82"/>
      <c r="P768" s="80"/>
      <c r="Q768" s="83"/>
      <c r="R768" s="80"/>
      <c r="S768" s="80"/>
      <c r="T768" s="80"/>
      <c r="U768" s="83"/>
      <c r="V768" s="80"/>
      <c r="W768" s="83"/>
      <c r="X768" s="80"/>
      <c r="Y768" s="80"/>
      <c r="Z768" s="80"/>
      <c r="AA768" s="80"/>
      <c r="AB768" s="80"/>
      <c r="AC768" s="80"/>
      <c r="AD768" s="80"/>
      <c r="AE768" s="80"/>
    </row>
    <row r="769" spans="1:31" x14ac:dyDescent="0.25">
      <c r="A769" s="76"/>
      <c r="B769" s="76"/>
      <c r="C769" s="77"/>
      <c r="D769" s="78"/>
      <c r="E769" s="79"/>
      <c r="F769" s="80"/>
      <c r="G769" s="78"/>
      <c r="H769" s="81"/>
      <c r="I769" s="78"/>
      <c r="J769" s="78"/>
      <c r="K769" s="78"/>
      <c r="L769" s="78"/>
      <c r="M769" s="81"/>
      <c r="N769" s="76"/>
      <c r="O769" s="82"/>
      <c r="P769" s="80"/>
      <c r="Q769" s="83"/>
      <c r="R769" s="80"/>
      <c r="S769" s="80"/>
      <c r="T769" s="80"/>
      <c r="U769" s="83"/>
      <c r="V769" s="80"/>
      <c r="W769" s="83"/>
      <c r="X769" s="80"/>
      <c r="Y769" s="80"/>
      <c r="Z769" s="80"/>
      <c r="AA769" s="80"/>
      <c r="AB769" s="80"/>
      <c r="AC769" s="80"/>
      <c r="AD769" s="80"/>
      <c r="AE769" s="80"/>
    </row>
    <row r="770" spans="1:31" x14ac:dyDescent="0.25">
      <c r="A770" s="76"/>
      <c r="B770" s="76"/>
      <c r="C770" s="77"/>
      <c r="D770" s="78"/>
      <c r="E770" s="79"/>
      <c r="F770" s="80"/>
      <c r="G770" s="78"/>
      <c r="H770" s="81"/>
      <c r="I770" s="78"/>
      <c r="J770" s="78"/>
      <c r="K770" s="78"/>
      <c r="L770" s="78"/>
      <c r="M770" s="81"/>
      <c r="N770" s="76"/>
      <c r="O770" s="82"/>
      <c r="P770" s="80"/>
      <c r="Q770" s="83"/>
      <c r="R770" s="80"/>
      <c r="S770" s="80"/>
      <c r="T770" s="80"/>
      <c r="U770" s="83"/>
      <c r="V770" s="80"/>
      <c r="W770" s="83"/>
      <c r="X770" s="80"/>
      <c r="Y770" s="80"/>
      <c r="Z770" s="80"/>
      <c r="AA770" s="80"/>
      <c r="AB770" s="80"/>
      <c r="AC770" s="80"/>
      <c r="AD770" s="80"/>
      <c r="AE770" s="80"/>
    </row>
    <row r="771" spans="1:31" x14ac:dyDescent="0.25">
      <c r="A771" s="76"/>
      <c r="B771" s="76"/>
      <c r="C771" s="77"/>
      <c r="D771" s="78"/>
      <c r="E771" s="79"/>
      <c r="F771" s="80"/>
      <c r="G771" s="78"/>
      <c r="H771" s="81"/>
      <c r="I771" s="78"/>
      <c r="J771" s="78"/>
      <c r="K771" s="78"/>
      <c r="L771" s="78"/>
      <c r="M771" s="81"/>
      <c r="N771" s="76"/>
      <c r="O771" s="82"/>
      <c r="P771" s="80"/>
      <c r="Q771" s="83"/>
      <c r="R771" s="80"/>
      <c r="S771" s="80"/>
      <c r="T771" s="80"/>
      <c r="U771" s="83"/>
      <c r="V771" s="80"/>
      <c r="W771" s="83"/>
      <c r="X771" s="80"/>
      <c r="Y771" s="80"/>
      <c r="Z771" s="80"/>
      <c r="AA771" s="80"/>
      <c r="AB771" s="80"/>
      <c r="AC771" s="80"/>
      <c r="AD771" s="80"/>
      <c r="AE771" s="80"/>
    </row>
    <row r="772" spans="1:31" x14ac:dyDescent="0.25">
      <c r="A772" s="76"/>
      <c r="B772" s="76"/>
      <c r="C772" s="77"/>
      <c r="D772" s="78"/>
      <c r="E772" s="79"/>
      <c r="F772" s="80"/>
      <c r="G772" s="78"/>
      <c r="H772" s="81"/>
      <c r="I772" s="78"/>
      <c r="J772" s="78"/>
      <c r="K772" s="78"/>
      <c r="L772" s="78"/>
      <c r="M772" s="81"/>
      <c r="N772" s="76"/>
      <c r="O772" s="82"/>
      <c r="P772" s="80"/>
      <c r="Q772" s="83"/>
      <c r="R772" s="80"/>
      <c r="S772" s="80"/>
      <c r="T772" s="80"/>
      <c r="U772" s="83"/>
      <c r="V772" s="80"/>
      <c r="W772" s="83"/>
      <c r="X772" s="80"/>
      <c r="Y772" s="80"/>
      <c r="Z772" s="80"/>
      <c r="AA772" s="80"/>
      <c r="AB772" s="80"/>
      <c r="AC772" s="80"/>
      <c r="AD772" s="80"/>
      <c r="AE772" s="80"/>
    </row>
    <row r="773" spans="1:31" x14ac:dyDescent="0.25">
      <c r="A773" s="76"/>
      <c r="B773" s="76"/>
      <c r="C773" s="77"/>
      <c r="D773" s="78"/>
      <c r="E773" s="79"/>
      <c r="F773" s="80"/>
      <c r="G773" s="78"/>
      <c r="H773" s="81"/>
      <c r="I773" s="78"/>
      <c r="J773" s="78"/>
      <c r="K773" s="78"/>
      <c r="L773" s="78"/>
      <c r="M773" s="81"/>
      <c r="N773" s="76"/>
      <c r="O773" s="82"/>
      <c r="P773" s="80"/>
      <c r="Q773" s="83"/>
      <c r="R773" s="80"/>
      <c r="S773" s="80"/>
      <c r="T773" s="80"/>
      <c r="U773" s="83"/>
      <c r="V773" s="80"/>
      <c r="W773" s="83"/>
      <c r="X773" s="80"/>
      <c r="Y773" s="80"/>
      <c r="Z773" s="80"/>
      <c r="AA773" s="80"/>
      <c r="AB773" s="80"/>
      <c r="AC773" s="80"/>
      <c r="AD773" s="80"/>
      <c r="AE773" s="80"/>
    </row>
    <row r="774" spans="1:31" x14ac:dyDescent="0.25">
      <c r="A774" s="76"/>
      <c r="B774" s="76"/>
      <c r="C774" s="77"/>
      <c r="D774" s="78"/>
      <c r="E774" s="79"/>
      <c r="F774" s="80"/>
      <c r="G774" s="78"/>
      <c r="H774" s="81"/>
      <c r="I774" s="78"/>
      <c r="J774" s="78"/>
      <c r="K774" s="78"/>
      <c r="L774" s="78"/>
      <c r="M774" s="81"/>
      <c r="N774" s="76"/>
      <c r="O774" s="82"/>
      <c r="P774" s="80"/>
      <c r="Q774" s="83"/>
      <c r="R774" s="80"/>
      <c r="S774" s="80"/>
      <c r="T774" s="80"/>
      <c r="U774" s="83"/>
      <c r="V774" s="80"/>
      <c r="W774" s="83"/>
      <c r="X774" s="80"/>
      <c r="Y774" s="80"/>
      <c r="Z774" s="80"/>
      <c r="AA774" s="80"/>
      <c r="AB774" s="80"/>
      <c r="AC774" s="80"/>
      <c r="AD774" s="80"/>
      <c r="AE774" s="80"/>
    </row>
    <row r="775" spans="1:31" x14ac:dyDescent="0.25">
      <c r="A775" s="76"/>
      <c r="B775" s="76"/>
      <c r="C775" s="77"/>
      <c r="D775" s="78"/>
      <c r="E775" s="79"/>
      <c r="F775" s="80"/>
      <c r="G775" s="78"/>
      <c r="H775" s="81"/>
      <c r="I775" s="78"/>
      <c r="J775" s="78"/>
      <c r="K775" s="78"/>
      <c r="L775" s="78"/>
      <c r="M775" s="81"/>
      <c r="N775" s="76"/>
      <c r="O775" s="82"/>
      <c r="P775" s="80"/>
      <c r="Q775" s="83"/>
      <c r="R775" s="80"/>
      <c r="S775" s="80"/>
      <c r="T775" s="80"/>
      <c r="U775" s="83"/>
      <c r="V775" s="80"/>
      <c r="W775" s="83"/>
      <c r="X775" s="80"/>
      <c r="Y775" s="80"/>
      <c r="Z775" s="80"/>
      <c r="AA775" s="80"/>
      <c r="AB775" s="80"/>
      <c r="AC775" s="80"/>
      <c r="AD775" s="80"/>
      <c r="AE775" s="80"/>
    </row>
    <row r="776" spans="1:31" x14ac:dyDescent="0.25">
      <c r="A776" s="76"/>
      <c r="B776" s="76"/>
      <c r="C776" s="77"/>
      <c r="D776" s="78"/>
      <c r="E776" s="79"/>
      <c r="F776" s="80"/>
      <c r="G776" s="78"/>
      <c r="H776" s="81"/>
      <c r="I776" s="78"/>
      <c r="J776" s="78"/>
      <c r="K776" s="78"/>
      <c r="L776" s="78"/>
      <c r="M776" s="81"/>
      <c r="N776" s="76"/>
      <c r="O776" s="82"/>
      <c r="P776" s="80"/>
      <c r="Q776" s="83"/>
      <c r="R776" s="80"/>
      <c r="S776" s="80"/>
      <c r="T776" s="80"/>
      <c r="U776" s="83"/>
      <c r="V776" s="80"/>
      <c r="W776" s="83"/>
      <c r="X776" s="80"/>
      <c r="Y776" s="80"/>
      <c r="Z776" s="80"/>
      <c r="AA776" s="80"/>
      <c r="AB776" s="80"/>
      <c r="AC776" s="80"/>
      <c r="AD776" s="80"/>
      <c r="AE776" s="80"/>
    </row>
    <row r="777" spans="1:31" x14ac:dyDescent="0.25">
      <c r="A777" s="76"/>
      <c r="B777" s="76"/>
      <c r="C777" s="77"/>
      <c r="D777" s="78"/>
      <c r="E777" s="79"/>
      <c r="F777" s="80"/>
      <c r="G777" s="78"/>
      <c r="H777" s="81"/>
      <c r="I777" s="78"/>
      <c r="J777" s="78"/>
      <c r="K777" s="78"/>
      <c r="L777" s="78"/>
      <c r="M777" s="81"/>
      <c r="N777" s="76"/>
      <c r="O777" s="82"/>
      <c r="P777" s="80"/>
      <c r="Q777" s="83"/>
      <c r="R777" s="80"/>
      <c r="S777" s="80"/>
      <c r="T777" s="80"/>
      <c r="U777" s="83"/>
      <c r="V777" s="80"/>
      <c r="W777" s="83"/>
      <c r="X777" s="80"/>
      <c r="Y777" s="80"/>
      <c r="Z777" s="80"/>
      <c r="AA777" s="80"/>
      <c r="AB777" s="80"/>
      <c r="AC777" s="80"/>
      <c r="AD777" s="80"/>
      <c r="AE777" s="80"/>
    </row>
    <row r="778" spans="1:31" x14ac:dyDescent="0.25">
      <c r="A778" s="76"/>
      <c r="B778" s="76"/>
      <c r="C778" s="77"/>
      <c r="D778" s="78"/>
      <c r="E778" s="79"/>
      <c r="F778" s="80"/>
      <c r="G778" s="78"/>
      <c r="H778" s="81"/>
      <c r="I778" s="78"/>
      <c r="J778" s="78"/>
      <c r="K778" s="78"/>
      <c r="L778" s="78"/>
      <c r="M778" s="81"/>
      <c r="N778" s="76"/>
      <c r="O778" s="82"/>
      <c r="P778" s="80"/>
      <c r="Q778" s="83"/>
      <c r="R778" s="80"/>
      <c r="S778" s="80"/>
      <c r="T778" s="80"/>
      <c r="U778" s="83"/>
      <c r="V778" s="80"/>
      <c r="W778" s="83"/>
      <c r="X778" s="80"/>
      <c r="Y778" s="80"/>
      <c r="Z778" s="80"/>
      <c r="AA778" s="80"/>
      <c r="AB778" s="80"/>
      <c r="AC778" s="80"/>
      <c r="AD778" s="80"/>
      <c r="AE778" s="80"/>
    </row>
    <row r="779" spans="1:31" x14ac:dyDescent="0.25">
      <c r="A779" s="76"/>
      <c r="B779" s="76"/>
      <c r="C779" s="77"/>
      <c r="D779" s="78"/>
      <c r="E779" s="79"/>
      <c r="F779" s="80"/>
      <c r="G779" s="78"/>
      <c r="H779" s="81"/>
      <c r="I779" s="78"/>
      <c r="J779" s="78"/>
      <c r="K779" s="78"/>
      <c r="L779" s="78"/>
      <c r="M779" s="81"/>
      <c r="N779" s="76"/>
      <c r="O779" s="82"/>
      <c r="P779" s="80"/>
      <c r="Q779" s="83"/>
      <c r="R779" s="80"/>
      <c r="S779" s="80"/>
      <c r="T779" s="80"/>
      <c r="U779" s="83"/>
      <c r="V779" s="80"/>
      <c r="W779" s="83"/>
      <c r="X779" s="80"/>
      <c r="Y779" s="80"/>
      <c r="Z779" s="80"/>
      <c r="AA779" s="80"/>
      <c r="AB779" s="80"/>
      <c r="AC779" s="80"/>
      <c r="AD779" s="80"/>
      <c r="AE779" s="80"/>
    </row>
    <row r="780" spans="1:31" x14ac:dyDescent="0.25">
      <c r="A780" s="76"/>
      <c r="B780" s="76"/>
      <c r="C780" s="77"/>
      <c r="D780" s="78"/>
      <c r="E780" s="79"/>
      <c r="F780" s="80"/>
      <c r="G780" s="78"/>
      <c r="H780" s="81"/>
      <c r="I780" s="78"/>
      <c r="J780" s="78"/>
      <c r="K780" s="78"/>
      <c r="L780" s="78"/>
      <c r="M780" s="81"/>
      <c r="N780" s="76"/>
      <c r="O780" s="82"/>
      <c r="P780" s="80"/>
      <c r="Q780" s="83"/>
      <c r="R780" s="80"/>
      <c r="S780" s="80"/>
      <c r="T780" s="80"/>
      <c r="U780" s="83"/>
      <c r="V780" s="80"/>
      <c r="W780" s="83"/>
      <c r="X780" s="80"/>
      <c r="Y780" s="80"/>
      <c r="Z780" s="80"/>
      <c r="AA780" s="80"/>
      <c r="AB780" s="80"/>
      <c r="AC780" s="80"/>
      <c r="AD780" s="80"/>
      <c r="AE780" s="80"/>
    </row>
    <row r="781" spans="1:31" x14ac:dyDescent="0.25">
      <c r="A781" s="76"/>
      <c r="B781" s="76"/>
      <c r="C781" s="77"/>
      <c r="D781" s="78"/>
      <c r="E781" s="79"/>
      <c r="F781" s="80"/>
      <c r="G781" s="78"/>
      <c r="H781" s="81"/>
      <c r="I781" s="78"/>
      <c r="J781" s="78"/>
      <c r="K781" s="78"/>
      <c r="L781" s="78"/>
      <c r="M781" s="81"/>
      <c r="N781" s="76"/>
      <c r="O781" s="82"/>
      <c r="P781" s="80"/>
      <c r="Q781" s="83"/>
      <c r="R781" s="80"/>
      <c r="S781" s="80"/>
      <c r="T781" s="80"/>
      <c r="U781" s="83"/>
      <c r="V781" s="80"/>
      <c r="W781" s="83"/>
      <c r="X781" s="80"/>
      <c r="Y781" s="80"/>
      <c r="Z781" s="80"/>
      <c r="AA781" s="80"/>
      <c r="AB781" s="80"/>
      <c r="AC781" s="80"/>
      <c r="AD781" s="80"/>
      <c r="AE781" s="80"/>
    </row>
    <row r="782" spans="1:31" x14ac:dyDescent="0.25">
      <c r="A782" s="76"/>
      <c r="B782" s="76"/>
      <c r="C782" s="77"/>
      <c r="D782" s="78"/>
      <c r="E782" s="79"/>
      <c r="F782" s="80"/>
      <c r="G782" s="78"/>
      <c r="H782" s="81"/>
      <c r="I782" s="78"/>
      <c r="J782" s="78"/>
      <c r="K782" s="78"/>
      <c r="L782" s="78"/>
      <c r="M782" s="81"/>
      <c r="N782" s="76"/>
      <c r="O782" s="82"/>
      <c r="P782" s="80"/>
      <c r="Q782" s="83"/>
      <c r="R782" s="80"/>
      <c r="S782" s="80"/>
      <c r="T782" s="80"/>
      <c r="U782" s="83"/>
      <c r="V782" s="80"/>
      <c r="W782" s="83"/>
      <c r="X782" s="80"/>
      <c r="Y782" s="80"/>
      <c r="Z782" s="80"/>
      <c r="AA782" s="80"/>
      <c r="AB782" s="80"/>
      <c r="AC782" s="80"/>
      <c r="AD782" s="80"/>
      <c r="AE782" s="80"/>
    </row>
    <row r="783" spans="1:31" x14ac:dyDescent="0.25">
      <c r="A783" s="76"/>
      <c r="B783" s="76"/>
      <c r="C783" s="77"/>
      <c r="D783" s="78"/>
      <c r="E783" s="79"/>
      <c r="F783" s="80"/>
      <c r="G783" s="78"/>
      <c r="H783" s="81"/>
      <c r="I783" s="78"/>
      <c r="J783" s="78"/>
      <c r="K783" s="78"/>
      <c r="L783" s="78"/>
      <c r="M783" s="81"/>
      <c r="N783" s="76"/>
      <c r="O783" s="82"/>
      <c r="P783" s="80"/>
      <c r="Q783" s="83"/>
      <c r="R783" s="80"/>
      <c r="S783" s="80"/>
      <c r="T783" s="80"/>
      <c r="U783" s="83"/>
      <c r="V783" s="80"/>
      <c r="W783" s="83"/>
      <c r="X783" s="80"/>
      <c r="Y783" s="80"/>
      <c r="Z783" s="80"/>
      <c r="AA783" s="80"/>
      <c r="AB783" s="80"/>
      <c r="AC783" s="80"/>
      <c r="AD783" s="80"/>
      <c r="AE783" s="80"/>
    </row>
    <row r="784" spans="1:31" x14ac:dyDescent="0.25">
      <c r="A784" s="76"/>
      <c r="B784" s="76"/>
      <c r="C784" s="77"/>
      <c r="D784" s="78"/>
      <c r="E784" s="79"/>
      <c r="F784" s="80"/>
      <c r="G784" s="78"/>
      <c r="H784" s="81"/>
      <c r="I784" s="78"/>
      <c r="J784" s="78"/>
      <c r="K784" s="78"/>
      <c r="L784" s="78"/>
      <c r="M784" s="81"/>
      <c r="N784" s="76"/>
      <c r="O784" s="82"/>
      <c r="P784" s="80"/>
      <c r="Q784" s="83"/>
      <c r="R784" s="80"/>
      <c r="S784" s="80"/>
      <c r="T784" s="80"/>
      <c r="U784" s="83"/>
      <c r="V784" s="80"/>
      <c r="W784" s="83"/>
      <c r="X784" s="80"/>
      <c r="Y784" s="80"/>
      <c r="Z784" s="80"/>
      <c r="AA784" s="80"/>
      <c r="AB784" s="80"/>
      <c r="AC784" s="80"/>
      <c r="AD784" s="80"/>
      <c r="AE784" s="80"/>
    </row>
    <row r="785" spans="1:31" x14ac:dyDescent="0.25">
      <c r="A785" s="76"/>
      <c r="B785" s="76"/>
      <c r="C785" s="77"/>
      <c r="D785" s="78"/>
      <c r="E785" s="79"/>
      <c r="F785" s="80"/>
      <c r="G785" s="78"/>
      <c r="H785" s="81"/>
      <c r="I785" s="78"/>
      <c r="J785" s="78"/>
      <c r="K785" s="78"/>
      <c r="L785" s="78"/>
      <c r="M785" s="81"/>
      <c r="N785" s="76"/>
      <c r="O785" s="82"/>
      <c r="P785" s="80"/>
      <c r="Q785" s="83"/>
      <c r="R785" s="80"/>
      <c r="S785" s="80"/>
      <c r="T785" s="80"/>
      <c r="U785" s="83"/>
      <c r="V785" s="80"/>
      <c r="W785" s="83"/>
      <c r="X785" s="80"/>
      <c r="Y785" s="80"/>
      <c r="Z785" s="80"/>
      <c r="AA785" s="80"/>
      <c r="AB785" s="80"/>
      <c r="AC785" s="80"/>
      <c r="AD785" s="80"/>
      <c r="AE785" s="80"/>
    </row>
    <row r="786" spans="1:31" x14ac:dyDescent="0.25">
      <c r="A786" s="76"/>
      <c r="B786" s="76"/>
      <c r="C786" s="77"/>
      <c r="D786" s="78"/>
      <c r="E786" s="79"/>
      <c r="F786" s="80"/>
      <c r="G786" s="78"/>
      <c r="H786" s="81"/>
      <c r="I786" s="78"/>
      <c r="J786" s="78"/>
      <c r="K786" s="78"/>
      <c r="L786" s="78"/>
      <c r="M786" s="81"/>
      <c r="N786" s="76"/>
      <c r="O786" s="82"/>
      <c r="P786" s="80"/>
      <c r="Q786" s="83"/>
      <c r="R786" s="80"/>
      <c r="S786" s="80"/>
      <c r="T786" s="80"/>
      <c r="U786" s="83"/>
      <c r="V786" s="80"/>
      <c r="W786" s="83"/>
      <c r="X786" s="80"/>
      <c r="Y786" s="80"/>
      <c r="Z786" s="80"/>
      <c r="AA786" s="80"/>
      <c r="AB786" s="80"/>
      <c r="AC786" s="80"/>
      <c r="AD786" s="80"/>
      <c r="AE786" s="80"/>
    </row>
    <row r="787" spans="1:31" x14ac:dyDescent="0.25">
      <c r="A787" s="76"/>
      <c r="B787" s="76"/>
      <c r="C787" s="77"/>
      <c r="D787" s="78"/>
      <c r="E787" s="79"/>
      <c r="F787" s="80"/>
      <c r="G787" s="78"/>
      <c r="H787" s="81"/>
      <c r="I787" s="78"/>
      <c r="J787" s="78"/>
      <c r="K787" s="78"/>
      <c r="L787" s="78"/>
      <c r="M787" s="81"/>
      <c r="N787" s="76"/>
      <c r="O787" s="82"/>
      <c r="P787" s="80"/>
      <c r="Q787" s="83"/>
      <c r="R787" s="80"/>
      <c r="S787" s="80"/>
      <c r="T787" s="80"/>
      <c r="U787" s="83"/>
      <c r="V787" s="80"/>
      <c r="W787" s="83"/>
      <c r="X787" s="80"/>
      <c r="Y787" s="80"/>
      <c r="Z787" s="80"/>
      <c r="AA787" s="80"/>
      <c r="AB787" s="80"/>
      <c r="AC787" s="80"/>
      <c r="AD787" s="80"/>
      <c r="AE787" s="80"/>
    </row>
    <row r="788" spans="1:31" x14ac:dyDescent="0.25">
      <c r="A788" s="76"/>
      <c r="B788" s="76"/>
      <c r="C788" s="77"/>
      <c r="D788" s="78"/>
      <c r="E788" s="79"/>
      <c r="F788" s="80"/>
      <c r="G788" s="78"/>
      <c r="H788" s="81"/>
      <c r="I788" s="78"/>
      <c r="J788" s="78"/>
      <c r="K788" s="78"/>
      <c r="L788" s="78"/>
      <c r="M788" s="81"/>
      <c r="N788" s="76"/>
      <c r="O788" s="82"/>
      <c r="P788" s="80"/>
      <c r="Q788" s="83"/>
      <c r="R788" s="80"/>
      <c r="S788" s="80"/>
      <c r="T788" s="80"/>
      <c r="U788" s="83"/>
      <c r="V788" s="80"/>
      <c r="W788" s="83"/>
      <c r="X788" s="80"/>
      <c r="Y788" s="80"/>
      <c r="Z788" s="80"/>
      <c r="AA788" s="80"/>
      <c r="AB788" s="80"/>
      <c r="AC788" s="80"/>
      <c r="AD788" s="80"/>
      <c r="AE788" s="80"/>
    </row>
    <row r="789" spans="1:31" x14ac:dyDescent="0.25">
      <c r="A789" s="76"/>
      <c r="B789" s="76"/>
      <c r="C789" s="77"/>
      <c r="D789" s="78"/>
      <c r="E789" s="79"/>
      <c r="F789" s="80"/>
      <c r="G789" s="78"/>
      <c r="H789" s="81"/>
      <c r="I789" s="78"/>
      <c r="J789" s="78"/>
      <c r="K789" s="78"/>
      <c r="L789" s="78"/>
      <c r="M789" s="81"/>
      <c r="N789" s="76"/>
      <c r="O789" s="82"/>
      <c r="P789" s="80"/>
      <c r="Q789" s="83"/>
      <c r="R789" s="80"/>
      <c r="S789" s="80"/>
      <c r="T789" s="80"/>
      <c r="U789" s="83"/>
      <c r="V789" s="80"/>
      <c r="W789" s="83"/>
      <c r="X789" s="80"/>
      <c r="Y789" s="80"/>
      <c r="Z789" s="80"/>
      <c r="AA789" s="80"/>
      <c r="AB789" s="80"/>
      <c r="AC789" s="80"/>
      <c r="AD789" s="80"/>
      <c r="AE789" s="80"/>
    </row>
    <row r="790" spans="1:31" x14ac:dyDescent="0.25">
      <c r="A790" s="76"/>
      <c r="B790" s="76"/>
      <c r="C790" s="77"/>
      <c r="D790" s="78"/>
      <c r="E790" s="79"/>
      <c r="F790" s="80"/>
      <c r="G790" s="78"/>
      <c r="H790" s="81"/>
      <c r="I790" s="78"/>
      <c r="J790" s="78"/>
      <c r="K790" s="78"/>
      <c r="L790" s="78"/>
      <c r="M790" s="81"/>
      <c r="N790" s="76"/>
      <c r="O790" s="82"/>
      <c r="P790" s="80"/>
      <c r="Q790" s="83"/>
      <c r="R790" s="80"/>
      <c r="S790" s="80"/>
      <c r="T790" s="80"/>
      <c r="U790" s="83"/>
      <c r="V790" s="80"/>
      <c r="W790" s="83"/>
      <c r="X790" s="80"/>
      <c r="Y790" s="80"/>
      <c r="Z790" s="80"/>
      <c r="AA790" s="80"/>
      <c r="AB790" s="80"/>
      <c r="AC790" s="80"/>
      <c r="AD790" s="80"/>
      <c r="AE790" s="80"/>
    </row>
    <row r="791" spans="1:31" x14ac:dyDescent="0.25">
      <c r="A791" s="76"/>
      <c r="B791" s="76"/>
      <c r="C791" s="77"/>
      <c r="D791" s="78"/>
      <c r="E791" s="79"/>
      <c r="F791" s="80"/>
      <c r="G791" s="78"/>
      <c r="H791" s="81"/>
      <c r="I791" s="78"/>
      <c r="J791" s="78"/>
      <c r="K791" s="78"/>
      <c r="L791" s="78"/>
      <c r="M791" s="81"/>
      <c r="N791" s="76"/>
      <c r="O791" s="82"/>
      <c r="P791" s="80"/>
      <c r="Q791" s="83"/>
      <c r="R791" s="80"/>
      <c r="S791" s="80"/>
      <c r="T791" s="80"/>
      <c r="U791" s="83"/>
      <c r="V791" s="80"/>
      <c r="W791" s="83"/>
      <c r="X791" s="80"/>
      <c r="Y791" s="80"/>
      <c r="Z791" s="80"/>
      <c r="AA791" s="80"/>
      <c r="AB791" s="80"/>
      <c r="AC791" s="80"/>
      <c r="AD791" s="80"/>
      <c r="AE791" s="80"/>
    </row>
    <row r="792" spans="1:31" x14ac:dyDescent="0.25">
      <c r="A792" s="76"/>
      <c r="B792" s="76"/>
      <c r="C792" s="77"/>
      <c r="D792" s="78"/>
      <c r="E792" s="79"/>
      <c r="F792" s="80"/>
      <c r="G792" s="78"/>
      <c r="H792" s="81"/>
      <c r="I792" s="78"/>
      <c r="J792" s="78"/>
      <c r="K792" s="78"/>
      <c r="L792" s="78"/>
      <c r="M792" s="81"/>
      <c r="N792" s="76"/>
      <c r="O792" s="82"/>
      <c r="P792" s="80"/>
      <c r="Q792" s="83"/>
      <c r="R792" s="80"/>
      <c r="S792" s="80"/>
      <c r="T792" s="80"/>
      <c r="U792" s="83"/>
      <c r="V792" s="80"/>
      <c r="W792" s="83"/>
      <c r="X792" s="80"/>
      <c r="Y792" s="80"/>
      <c r="Z792" s="80"/>
      <c r="AA792" s="80"/>
      <c r="AB792" s="80"/>
      <c r="AC792" s="80"/>
      <c r="AD792" s="80"/>
      <c r="AE792" s="80"/>
    </row>
    <row r="793" spans="1:31" x14ac:dyDescent="0.25">
      <c r="A793" s="76"/>
      <c r="B793" s="76"/>
      <c r="C793" s="77"/>
      <c r="D793" s="78"/>
      <c r="E793" s="79"/>
      <c r="F793" s="80"/>
      <c r="G793" s="78"/>
      <c r="H793" s="81"/>
      <c r="I793" s="78"/>
      <c r="J793" s="78"/>
      <c r="K793" s="78"/>
      <c r="L793" s="78"/>
      <c r="M793" s="81"/>
      <c r="N793" s="76"/>
      <c r="O793" s="82"/>
      <c r="P793" s="80"/>
      <c r="Q793" s="83"/>
      <c r="R793" s="80"/>
      <c r="S793" s="80"/>
      <c r="T793" s="80"/>
      <c r="U793" s="83"/>
      <c r="V793" s="80"/>
      <c r="W793" s="83"/>
      <c r="X793" s="80"/>
      <c r="Y793" s="80"/>
      <c r="Z793" s="80"/>
      <c r="AA793" s="80"/>
      <c r="AB793" s="80"/>
      <c r="AC793" s="80"/>
      <c r="AD793" s="80"/>
      <c r="AE793" s="80"/>
    </row>
    <row r="794" spans="1:31" x14ac:dyDescent="0.25">
      <c r="A794" s="76"/>
      <c r="B794" s="76"/>
      <c r="C794" s="77"/>
      <c r="D794" s="78"/>
      <c r="E794" s="79"/>
      <c r="F794" s="80"/>
      <c r="G794" s="78"/>
      <c r="H794" s="81"/>
      <c r="I794" s="78"/>
      <c r="J794" s="78"/>
      <c r="K794" s="78"/>
      <c r="L794" s="78"/>
      <c r="M794" s="81"/>
      <c r="N794" s="76"/>
      <c r="O794" s="82"/>
      <c r="P794" s="80"/>
      <c r="Q794" s="83"/>
      <c r="R794" s="80"/>
      <c r="S794" s="80"/>
      <c r="T794" s="80"/>
      <c r="U794" s="83"/>
      <c r="V794" s="80"/>
      <c r="W794" s="83"/>
      <c r="X794" s="80"/>
      <c r="Y794" s="80"/>
      <c r="Z794" s="80"/>
      <c r="AA794" s="80"/>
      <c r="AB794" s="80"/>
      <c r="AC794" s="80"/>
      <c r="AD794" s="80"/>
      <c r="AE794" s="80"/>
    </row>
    <row r="795" spans="1:31" x14ac:dyDescent="0.25">
      <c r="A795" s="76"/>
      <c r="B795" s="76"/>
      <c r="C795" s="77"/>
      <c r="D795" s="78"/>
      <c r="E795" s="79"/>
      <c r="F795" s="80"/>
      <c r="G795" s="78"/>
      <c r="H795" s="81"/>
      <c r="I795" s="78"/>
      <c r="J795" s="78"/>
      <c r="K795" s="78"/>
      <c r="L795" s="78"/>
      <c r="M795" s="81"/>
      <c r="N795" s="76"/>
      <c r="O795" s="82"/>
      <c r="P795" s="80"/>
      <c r="Q795" s="83"/>
      <c r="R795" s="80"/>
      <c r="S795" s="80"/>
      <c r="T795" s="80"/>
      <c r="U795" s="83"/>
      <c r="V795" s="80"/>
      <c r="W795" s="83"/>
      <c r="X795" s="80"/>
      <c r="Y795" s="80"/>
      <c r="Z795" s="80"/>
      <c r="AA795" s="80"/>
      <c r="AB795" s="80"/>
      <c r="AC795" s="80"/>
      <c r="AD795" s="80"/>
      <c r="AE795" s="80"/>
    </row>
    <row r="796" spans="1:31" x14ac:dyDescent="0.25">
      <c r="A796" s="76"/>
      <c r="B796" s="76"/>
      <c r="C796" s="77"/>
      <c r="D796" s="78"/>
      <c r="E796" s="79"/>
      <c r="F796" s="80"/>
      <c r="G796" s="78"/>
      <c r="H796" s="81"/>
      <c r="I796" s="78"/>
      <c r="J796" s="78"/>
      <c r="K796" s="78"/>
      <c r="L796" s="78"/>
      <c r="M796" s="81"/>
      <c r="N796" s="76"/>
      <c r="O796" s="82"/>
      <c r="P796" s="80"/>
      <c r="Q796" s="83"/>
      <c r="R796" s="80"/>
      <c r="S796" s="80"/>
      <c r="T796" s="80"/>
      <c r="U796" s="83"/>
      <c r="V796" s="80"/>
      <c r="W796" s="83"/>
      <c r="X796" s="80"/>
      <c r="Y796" s="80"/>
      <c r="Z796" s="80"/>
      <c r="AA796" s="80"/>
      <c r="AB796" s="80"/>
      <c r="AC796" s="80"/>
      <c r="AD796" s="80"/>
      <c r="AE796" s="80"/>
    </row>
    <row r="797" spans="1:31" x14ac:dyDescent="0.25">
      <c r="A797" s="76"/>
      <c r="B797" s="76"/>
      <c r="C797" s="77"/>
      <c r="D797" s="78"/>
      <c r="E797" s="79"/>
      <c r="F797" s="80"/>
      <c r="G797" s="78"/>
      <c r="H797" s="81"/>
      <c r="I797" s="78"/>
      <c r="J797" s="78"/>
      <c r="K797" s="78"/>
      <c r="L797" s="78"/>
      <c r="M797" s="81"/>
      <c r="N797" s="76"/>
      <c r="O797" s="82"/>
      <c r="P797" s="80"/>
      <c r="Q797" s="83"/>
      <c r="R797" s="80"/>
      <c r="S797" s="80"/>
      <c r="T797" s="80"/>
      <c r="U797" s="83"/>
      <c r="V797" s="80"/>
      <c r="W797" s="83"/>
      <c r="X797" s="80"/>
      <c r="Y797" s="80"/>
      <c r="Z797" s="80"/>
      <c r="AA797" s="80"/>
      <c r="AB797" s="80"/>
      <c r="AC797" s="80"/>
      <c r="AD797" s="80"/>
      <c r="AE797" s="80"/>
    </row>
    <row r="798" spans="1:31" x14ac:dyDescent="0.25">
      <c r="A798" s="76"/>
      <c r="B798" s="76"/>
      <c r="C798" s="77"/>
      <c r="D798" s="78"/>
      <c r="E798" s="79"/>
      <c r="F798" s="80"/>
      <c r="G798" s="78"/>
      <c r="H798" s="81"/>
      <c r="I798" s="78"/>
      <c r="J798" s="78"/>
      <c r="K798" s="78"/>
      <c r="L798" s="78"/>
      <c r="M798" s="81"/>
      <c r="N798" s="76"/>
      <c r="O798" s="82"/>
      <c r="P798" s="80"/>
      <c r="Q798" s="83"/>
      <c r="R798" s="80"/>
      <c r="S798" s="80"/>
      <c r="T798" s="80"/>
      <c r="U798" s="83"/>
      <c r="V798" s="80"/>
      <c r="W798" s="83"/>
      <c r="X798" s="80"/>
      <c r="Y798" s="80"/>
      <c r="Z798" s="80"/>
      <c r="AA798" s="80"/>
      <c r="AB798" s="80"/>
      <c r="AC798" s="80"/>
      <c r="AD798" s="80"/>
      <c r="AE798" s="80"/>
    </row>
    <row r="799" spans="1:31" x14ac:dyDescent="0.25">
      <c r="A799" s="76"/>
      <c r="B799" s="76"/>
      <c r="C799" s="77"/>
      <c r="D799" s="78"/>
      <c r="E799" s="79"/>
      <c r="F799" s="80"/>
      <c r="G799" s="78"/>
      <c r="H799" s="81"/>
      <c r="I799" s="78"/>
      <c r="J799" s="78"/>
      <c r="K799" s="78"/>
      <c r="L799" s="78"/>
      <c r="M799" s="81"/>
      <c r="N799" s="76"/>
      <c r="O799" s="82"/>
      <c r="P799" s="80"/>
      <c r="Q799" s="83"/>
      <c r="R799" s="80"/>
      <c r="S799" s="80"/>
      <c r="T799" s="80"/>
      <c r="U799" s="83"/>
      <c r="V799" s="80"/>
      <c r="W799" s="83"/>
      <c r="X799" s="80"/>
      <c r="Y799" s="80"/>
      <c r="Z799" s="80"/>
      <c r="AA799" s="80"/>
      <c r="AB799" s="80"/>
      <c r="AC799" s="80"/>
      <c r="AD799" s="80"/>
      <c r="AE799" s="80"/>
    </row>
    <row r="800" spans="1:31" x14ac:dyDescent="0.25">
      <c r="A800" s="76"/>
      <c r="B800" s="76"/>
      <c r="C800" s="77"/>
      <c r="D800" s="78"/>
      <c r="E800" s="79"/>
      <c r="F800" s="80"/>
      <c r="G800" s="78"/>
      <c r="H800" s="81"/>
      <c r="I800" s="78"/>
      <c r="J800" s="78"/>
      <c r="K800" s="78"/>
      <c r="L800" s="78"/>
      <c r="M800" s="81"/>
      <c r="N800" s="76"/>
      <c r="O800" s="82"/>
      <c r="P800" s="80"/>
      <c r="Q800" s="83"/>
      <c r="R800" s="80"/>
      <c r="S800" s="80"/>
      <c r="T800" s="80"/>
      <c r="U800" s="83"/>
      <c r="V800" s="80"/>
      <c r="W800" s="83"/>
      <c r="X800" s="80"/>
      <c r="Y800" s="80"/>
      <c r="Z800" s="80"/>
      <c r="AA800" s="80"/>
      <c r="AB800" s="80"/>
      <c r="AC800" s="80"/>
      <c r="AD800" s="80"/>
      <c r="AE800" s="80"/>
    </row>
    <row r="801" spans="1:31" x14ac:dyDescent="0.25">
      <c r="A801" s="76"/>
      <c r="B801" s="76"/>
      <c r="C801" s="77"/>
      <c r="D801" s="78"/>
      <c r="E801" s="79"/>
      <c r="F801" s="80"/>
      <c r="G801" s="78"/>
      <c r="H801" s="81"/>
      <c r="I801" s="78"/>
      <c r="J801" s="78"/>
      <c r="K801" s="78"/>
      <c r="L801" s="78"/>
      <c r="M801" s="81"/>
      <c r="N801" s="76"/>
      <c r="O801" s="82"/>
      <c r="P801" s="80"/>
      <c r="Q801" s="83"/>
      <c r="R801" s="80"/>
      <c r="S801" s="80"/>
      <c r="T801" s="80"/>
      <c r="U801" s="83"/>
      <c r="V801" s="80"/>
      <c r="W801" s="83"/>
      <c r="X801" s="80"/>
      <c r="Y801" s="80"/>
      <c r="Z801" s="80"/>
      <c r="AA801" s="80"/>
      <c r="AB801" s="80"/>
      <c r="AC801" s="80"/>
      <c r="AD801" s="80"/>
      <c r="AE801" s="80"/>
    </row>
    <row r="802" spans="1:31" x14ac:dyDescent="0.25">
      <c r="A802" s="76"/>
      <c r="B802" s="76"/>
      <c r="C802" s="77"/>
      <c r="D802" s="78"/>
      <c r="E802" s="79"/>
      <c r="F802" s="80"/>
      <c r="G802" s="78"/>
      <c r="H802" s="81"/>
      <c r="I802" s="78"/>
      <c r="J802" s="78"/>
      <c r="K802" s="78"/>
      <c r="L802" s="78"/>
      <c r="M802" s="81"/>
      <c r="N802" s="76"/>
      <c r="O802" s="82"/>
      <c r="P802" s="80"/>
      <c r="Q802" s="83"/>
      <c r="R802" s="80"/>
      <c r="S802" s="80"/>
      <c r="T802" s="80"/>
      <c r="U802" s="83"/>
      <c r="V802" s="80"/>
      <c r="W802" s="83"/>
      <c r="X802" s="80"/>
      <c r="Y802" s="80"/>
      <c r="Z802" s="80"/>
      <c r="AA802" s="80"/>
      <c r="AB802" s="80"/>
      <c r="AC802" s="80"/>
      <c r="AD802" s="80"/>
      <c r="AE802" s="80"/>
    </row>
    <row r="803" spans="1:31" x14ac:dyDescent="0.25">
      <c r="A803" s="76"/>
      <c r="B803" s="76"/>
      <c r="C803" s="77"/>
      <c r="D803" s="78"/>
      <c r="E803" s="79"/>
      <c r="F803" s="80"/>
      <c r="G803" s="78"/>
      <c r="H803" s="81"/>
      <c r="I803" s="78"/>
      <c r="J803" s="78"/>
      <c r="K803" s="78"/>
      <c r="L803" s="78"/>
      <c r="M803" s="81"/>
      <c r="N803" s="76"/>
      <c r="O803" s="82"/>
      <c r="P803" s="80"/>
      <c r="Q803" s="83"/>
      <c r="R803" s="80"/>
      <c r="S803" s="80"/>
      <c r="T803" s="80"/>
      <c r="U803" s="83"/>
      <c r="V803" s="80"/>
      <c r="W803" s="83"/>
      <c r="X803" s="80"/>
      <c r="Y803" s="80"/>
      <c r="Z803" s="80"/>
      <c r="AA803" s="80"/>
      <c r="AB803" s="80"/>
      <c r="AC803" s="80"/>
      <c r="AD803" s="80"/>
      <c r="AE803" s="80"/>
    </row>
    <row r="804" spans="1:31" x14ac:dyDescent="0.25">
      <c r="A804" s="76"/>
      <c r="B804" s="76"/>
      <c r="C804" s="77"/>
      <c r="D804" s="78"/>
      <c r="E804" s="79"/>
      <c r="F804" s="80"/>
      <c r="G804" s="78"/>
      <c r="H804" s="81"/>
      <c r="I804" s="78"/>
      <c r="J804" s="78"/>
      <c r="K804" s="78"/>
      <c r="L804" s="78"/>
      <c r="M804" s="81"/>
      <c r="N804" s="76"/>
      <c r="O804" s="82"/>
      <c r="P804" s="80"/>
      <c r="Q804" s="83"/>
      <c r="R804" s="80"/>
      <c r="S804" s="80"/>
      <c r="T804" s="80"/>
      <c r="U804" s="83"/>
      <c r="V804" s="80"/>
      <c r="W804" s="83"/>
      <c r="X804" s="80"/>
      <c r="Y804" s="80"/>
      <c r="Z804" s="80"/>
      <c r="AA804" s="80"/>
      <c r="AB804" s="80"/>
      <c r="AC804" s="80"/>
      <c r="AD804" s="80"/>
      <c r="AE804" s="80"/>
    </row>
    <row r="805" spans="1:31" x14ac:dyDescent="0.25">
      <c r="A805" s="76"/>
      <c r="B805" s="76"/>
      <c r="C805" s="77"/>
      <c r="D805" s="78"/>
      <c r="E805" s="79"/>
      <c r="F805" s="80"/>
      <c r="G805" s="78"/>
      <c r="H805" s="81"/>
      <c r="I805" s="78"/>
      <c r="J805" s="78"/>
      <c r="K805" s="78"/>
      <c r="L805" s="78"/>
      <c r="M805" s="81"/>
      <c r="N805" s="76"/>
      <c r="O805" s="82"/>
      <c r="P805" s="80"/>
      <c r="Q805" s="83"/>
      <c r="R805" s="80"/>
      <c r="S805" s="80"/>
      <c r="T805" s="80"/>
      <c r="U805" s="83"/>
      <c r="V805" s="80"/>
      <c r="W805" s="83"/>
      <c r="X805" s="80"/>
      <c r="Y805" s="80"/>
      <c r="Z805" s="80"/>
      <c r="AA805" s="80"/>
      <c r="AB805" s="80"/>
      <c r="AC805" s="80"/>
      <c r="AD805" s="80"/>
      <c r="AE805" s="80"/>
    </row>
    <row r="806" spans="1:31" x14ac:dyDescent="0.25">
      <c r="A806" s="76"/>
      <c r="B806" s="76"/>
      <c r="C806" s="77"/>
      <c r="D806" s="78"/>
      <c r="E806" s="79"/>
      <c r="F806" s="80"/>
      <c r="G806" s="78"/>
      <c r="H806" s="81"/>
      <c r="I806" s="78"/>
      <c r="J806" s="78"/>
      <c r="K806" s="78"/>
      <c r="L806" s="78"/>
      <c r="M806" s="81"/>
      <c r="N806" s="76"/>
      <c r="O806" s="82"/>
      <c r="P806" s="80"/>
      <c r="Q806" s="83"/>
      <c r="R806" s="80"/>
      <c r="S806" s="80"/>
      <c r="T806" s="80"/>
      <c r="U806" s="83"/>
      <c r="V806" s="80"/>
      <c r="W806" s="83"/>
      <c r="X806" s="80"/>
      <c r="Y806" s="80"/>
      <c r="Z806" s="80"/>
      <c r="AA806" s="80"/>
      <c r="AB806" s="80"/>
      <c r="AC806" s="80"/>
      <c r="AD806" s="80"/>
      <c r="AE806" s="80"/>
    </row>
    <row r="807" spans="1:31" x14ac:dyDescent="0.25">
      <c r="A807" s="76"/>
      <c r="B807" s="76"/>
      <c r="C807" s="77"/>
      <c r="D807" s="78"/>
      <c r="E807" s="79"/>
      <c r="F807" s="80"/>
      <c r="G807" s="78"/>
      <c r="H807" s="81"/>
      <c r="I807" s="78"/>
      <c r="J807" s="78"/>
      <c r="K807" s="78"/>
      <c r="L807" s="78"/>
      <c r="M807" s="81"/>
      <c r="N807" s="76"/>
      <c r="O807" s="82"/>
      <c r="P807" s="80"/>
      <c r="Q807" s="83"/>
      <c r="R807" s="80"/>
      <c r="S807" s="80"/>
      <c r="T807" s="80"/>
      <c r="U807" s="83"/>
      <c r="V807" s="80"/>
      <c r="W807" s="83"/>
      <c r="X807" s="80"/>
      <c r="Y807" s="80"/>
      <c r="Z807" s="80"/>
      <c r="AA807" s="80"/>
      <c r="AB807" s="80"/>
      <c r="AC807" s="80"/>
      <c r="AD807" s="80"/>
      <c r="AE807" s="80"/>
    </row>
    <row r="808" spans="1:31" x14ac:dyDescent="0.25">
      <c r="A808" s="76"/>
      <c r="B808" s="76"/>
      <c r="C808" s="77"/>
      <c r="D808" s="78"/>
      <c r="E808" s="79"/>
      <c r="F808" s="80"/>
      <c r="G808" s="78"/>
      <c r="H808" s="81"/>
      <c r="I808" s="78"/>
      <c r="J808" s="78"/>
      <c r="K808" s="78"/>
      <c r="L808" s="78"/>
      <c r="M808" s="81"/>
      <c r="N808" s="76"/>
      <c r="O808" s="82"/>
      <c r="P808" s="80"/>
      <c r="Q808" s="83"/>
      <c r="R808" s="80"/>
      <c r="S808" s="80"/>
      <c r="T808" s="80"/>
      <c r="U808" s="83"/>
      <c r="V808" s="80"/>
      <c r="W808" s="83"/>
      <c r="X808" s="80"/>
      <c r="Y808" s="80"/>
      <c r="Z808" s="80"/>
      <c r="AA808" s="80"/>
      <c r="AB808" s="80"/>
      <c r="AC808" s="80"/>
      <c r="AD808" s="80"/>
      <c r="AE808" s="80"/>
    </row>
    <row r="809" spans="1:31" x14ac:dyDescent="0.25">
      <c r="A809" s="76"/>
      <c r="B809" s="76"/>
      <c r="C809" s="77"/>
      <c r="D809" s="78"/>
      <c r="E809" s="79"/>
      <c r="F809" s="80"/>
      <c r="G809" s="78"/>
      <c r="H809" s="81"/>
      <c r="I809" s="78"/>
      <c r="J809" s="78"/>
      <c r="K809" s="78"/>
      <c r="L809" s="78"/>
      <c r="M809" s="81"/>
      <c r="N809" s="76"/>
      <c r="O809" s="82"/>
      <c r="P809" s="80"/>
      <c r="Q809" s="83"/>
      <c r="R809" s="80"/>
      <c r="S809" s="80"/>
      <c r="T809" s="80"/>
      <c r="U809" s="83"/>
      <c r="V809" s="80"/>
      <c r="W809" s="83"/>
      <c r="X809" s="80"/>
      <c r="Y809" s="80"/>
      <c r="Z809" s="80"/>
      <c r="AA809" s="80"/>
      <c r="AB809" s="80"/>
      <c r="AC809" s="80"/>
      <c r="AD809" s="80"/>
      <c r="AE809" s="80"/>
    </row>
    <row r="810" spans="1:31" x14ac:dyDescent="0.25">
      <c r="A810" s="76"/>
      <c r="B810" s="76"/>
      <c r="C810" s="77"/>
      <c r="D810" s="78"/>
      <c r="E810" s="79"/>
      <c r="F810" s="80"/>
      <c r="G810" s="78"/>
      <c r="H810" s="81"/>
      <c r="I810" s="78"/>
      <c r="J810" s="78"/>
      <c r="K810" s="78"/>
      <c r="L810" s="78"/>
      <c r="M810" s="81"/>
      <c r="N810" s="76"/>
      <c r="O810" s="82"/>
      <c r="P810" s="80"/>
      <c r="Q810" s="83"/>
      <c r="R810" s="80"/>
      <c r="S810" s="80"/>
      <c r="T810" s="80"/>
      <c r="U810" s="83"/>
      <c r="V810" s="80"/>
      <c r="W810" s="83"/>
      <c r="X810" s="80"/>
      <c r="Y810" s="80"/>
      <c r="Z810" s="80"/>
      <c r="AA810" s="80"/>
      <c r="AB810" s="80"/>
      <c r="AC810" s="80"/>
      <c r="AD810" s="80"/>
      <c r="AE810" s="80"/>
    </row>
    <row r="811" spans="1:31" x14ac:dyDescent="0.25">
      <c r="A811" s="76"/>
      <c r="B811" s="76"/>
      <c r="C811" s="77"/>
      <c r="D811" s="78"/>
      <c r="E811" s="79"/>
      <c r="F811" s="80"/>
      <c r="G811" s="78"/>
      <c r="H811" s="81"/>
      <c r="I811" s="78"/>
      <c r="J811" s="78"/>
      <c r="K811" s="78"/>
      <c r="L811" s="78"/>
      <c r="M811" s="81"/>
      <c r="N811" s="76"/>
      <c r="O811" s="82"/>
      <c r="P811" s="80"/>
      <c r="Q811" s="83"/>
      <c r="R811" s="80"/>
      <c r="S811" s="80"/>
      <c r="T811" s="80"/>
      <c r="U811" s="83"/>
      <c r="V811" s="80"/>
      <c r="W811" s="83"/>
      <c r="X811" s="80"/>
      <c r="Y811" s="80"/>
      <c r="Z811" s="80"/>
      <c r="AA811" s="80"/>
      <c r="AB811" s="80"/>
      <c r="AC811" s="80"/>
      <c r="AD811" s="80"/>
      <c r="AE811" s="80"/>
    </row>
    <row r="812" spans="1:31" x14ac:dyDescent="0.25">
      <c r="A812" s="76"/>
      <c r="B812" s="76"/>
      <c r="C812" s="77"/>
      <c r="D812" s="78"/>
      <c r="E812" s="79"/>
      <c r="F812" s="80"/>
      <c r="G812" s="78"/>
      <c r="H812" s="81"/>
      <c r="I812" s="78"/>
      <c r="J812" s="78"/>
      <c r="K812" s="78"/>
      <c r="L812" s="78"/>
      <c r="M812" s="81"/>
      <c r="N812" s="76"/>
      <c r="O812" s="82"/>
      <c r="P812" s="80"/>
      <c r="Q812" s="83"/>
      <c r="R812" s="80"/>
      <c r="S812" s="80"/>
      <c r="T812" s="80"/>
      <c r="U812" s="83"/>
      <c r="V812" s="80"/>
      <c r="W812" s="83"/>
      <c r="X812" s="80"/>
      <c r="Y812" s="80"/>
      <c r="Z812" s="80"/>
      <c r="AA812" s="80"/>
      <c r="AB812" s="80"/>
      <c r="AC812" s="80"/>
      <c r="AD812" s="80"/>
      <c r="AE812" s="80"/>
    </row>
    <row r="813" spans="1:31" x14ac:dyDescent="0.25">
      <c r="A813" s="76"/>
      <c r="B813" s="76"/>
      <c r="C813" s="77"/>
      <c r="D813" s="78"/>
      <c r="E813" s="79"/>
      <c r="F813" s="80"/>
      <c r="G813" s="78"/>
      <c r="H813" s="81"/>
      <c r="I813" s="78"/>
      <c r="J813" s="78"/>
      <c r="K813" s="78"/>
      <c r="L813" s="78"/>
      <c r="M813" s="81"/>
      <c r="N813" s="76"/>
      <c r="O813" s="82"/>
      <c r="P813" s="80"/>
      <c r="Q813" s="83"/>
      <c r="R813" s="80"/>
      <c r="S813" s="80"/>
      <c r="T813" s="80"/>
      <c r="U813" s="83"/>
      <c r="V813" s="80"/>
      <c r="W813" s="83"/>
      <c r="X813" s="80"/>
      <c r="Y813" s="80"/>
      <c r="Z813" s="80"/>
      <c r="AA813" s="80"/>
      <c r="AB813" s="80"/>
      <c r="AC813" s="80"/>
      <c r="AD813" s="80"/>
      <c r="AE813" s="80"/>
    </row>
    <row r="814" spans="1:31" x14ac:dyDescent="0.25">
      <c r="A814" s="76"/>
      <c r="B814" s="76"/>
      <c r="C814" s="77"/>
      <c r="D814" s="78"/>
      <c r="E814" s="79"/>
      <c r="F814" s="80"/>
      <c r="G814" s="78"/>
      <c r="H814" s="81"/>
      <c r="I814" s="78"/>
      <c r="J814" s="78"/>
      <c r="K814" s="78"/>
      <c r="L814" s="78"/>
      <c r="M814" s="81"/>
      <c r="N814" s="76"/>
      <c r="O814" s="82"/>
      <c r="P814" s="80"/>
      <c r="Q814" s="83"/>
      <c r="R814" s="80"/>
      <c r="S814" s="80"/>
      <c r="T814" s="80"/>
      <c r="U814" s="83"/>
      <c r="V814" s="80"/>
      <c r="W814" s="83"/>
      <c r="X814" s="80"/>
      <c r="Y814" s="80"/>
      <c r="Z814" s="80"/>
      <c r="AA814" s="80"/>
      <c r="AB814" s="80"/>
      <c r="AC814" s="80"/>
      <c r="AD814" s="80"/>
      <c r="AE814" s="80"/>
    </row>
    <row r="815" spans="1:31" x14ac:dyDescent="0.25">
      <c r="A815" s="76"/>
      <c r="B815" s="76"/>
      <c r="C815" s="77"/>
      <c r="D815" s="78"/>
      <c r="E815" s="79"/>
      <c r="F815" s="80"/>
      <c r="G815" s="78"/>
      <c r="H815" s="81"/>
      <c r="I815" s="78"/>
      <c r="J815" s="78"/>
      <c r="K815" s="78"/>
      <c r="L815" s="78"/>
      <c r="M815" s="81"/>
      <c r="N815" s="76"/>
      <c r="O815" s="82"/>
      <c r="P815" s="80"/>
      <c r="Q815" s="83"/>
      <c r="R815" s="80"/>
      <c r="S815" s="80"/>
      <c r="T815" s="80"/>
      <c r="U815" s="83"/>
      <c r="V815" s="80"/>
      <c r="W815" s="83"/>
      <c r="X815" s="80"/>
      <c r="Y815" s="80"/>
      <c r="Z815" s="80"/>
      <c r="AA815" s="80"/>
      <c r="AB815" s="80"/>
      <c r="AC815" s="80"/>
      <c r="AD815" s="80"/>
      <c r="AE815" s="80"/>
    </row>
    <row r="816" spans="1:31" x14ac:dyDescent="0.25">
      <c r="A816" s="76"/>
      <c r="B816" s="76"/>
      <c r="C816" s="77"/>
      <c r="D816" s="78"/>
      <c r="E816" s="79"/>
      <c r="F816" s="80"/>
      <c r="G816" s="78"/>
      <c r="H816" s="81"/>
      <c r="I816" s="78"/>
      <c r="J816" s="78"/>
      <c r="K816" s="78"/>
      <c r="L816" s="78"/>
      <c r="M816" s="81"/>
      <c r="N816" s="76"/>
      <c r="O816" s="82"/>
      <c r="P816" s="80"/>
      <c r="Q816" s="83"/>
      <c r="R816" s="80"/>
      <c r="S816" s="80"/>
      <c r="T816" s="80"/>
      <c r="U816" s="83"/>
      <c r="V816" s="80"/>
      <c r="W816" s="83"/>
      <c r="X816" s="80"/>
      <c r="Y816" s="80"/>
      <c r="Z816" s="80"/>
      <c r="AA816" s="80"/>
      <c r="AB816" s="80"/>
      <c r="AC816" s="80"/>
      <c r="AD816" s="80"/>
      <c r="AE816" s="80"/>
    </row>
    <row r="817" spans="1:31" x14ac:dyDescent="0.25">
      <c r="A817" s="76"/>
      <c r="B817" s="76"/>
      <c r="C817" s="77"/>
      <c r="D817" s="78"/>
      <c r="E817" s="79"/>
      <c r="F817" s="80"/>
      <c r="G817" s="78"/>
      <c r="H817" s="81"/>
      <c r="I817" s="78"/>
      <c r="J817" s="78"/>
      <c r="K817" s="78"/>
      <c r="L817" s="78"/>
      <c r="M817" s="81"/>
      <c r="N817" s="76"/>
      <c r="O817" s="82"/>
      <c r="P817" s="80"/>
      <c r="Q817" s="83"/>
      <c r="R817" s="80"/>
      <c r="S817" s="80"/>
      <c r="T817" s="80"/>
      <c r="U817" s="83"/>
      <c r="V817" s="80"/>
      <c r="W817" s="83"/>
      <c r="X817" s="80"/>
      <c r="Y817" s="80"/>
      <c r="Z817" s="80"/>
      <c r="AA817" s="80"/>
      <c r="AB817" s="80"/>
      <c r="AC817" s="80"/>
      <c r="AD817" s="80"/>
      <c r="AE817" s="80"/>
    </row>
    <row r="818" spans="1:31" x14ac:dyDescent="0.25">
      <c r="A818" s="76"/>
      <c r="B818" s="76"/>
      <c r="C818" s="77"/>
      <c r="D818" s="78"/>
      <c r="E818" s="79"/>
      <c r="F818" s="80"/>
      <c r="G818" s="78"/>
      <c r="H818" s="81"/>
      <c r="I818" s="78"/>
      <c r="J818" s="78"/>
      <c r="K818" s="78"/>
      <c r="L818" s="78"/>
      <c r="M818" s="81"/>
      <c r="N818" s="76"/>
      <c r="O818" s="82"/>
      <c r="P818" s="80"/>
      <c r="Q818" s="83"/>
      <c r="R818" s="80"/>
      <c r="S818" s="80"/>
      <c r="T818" s="80"/>
      <c r="U818" s="83"/>
      <c r="V818" s="80"/>
      <c r="W818" s="83"/>
      <c r="X818" s="80"/>
      <c r="Y818" s="80"/>
      <c r="Z818" s="80"/>
      <c r="AA818" s="80"/>
      <c r="AB818" s="80"/>
      <c r="AC818" s="80"/>
      <c r="AD818" s="80"/>
      <c r="AE818" s="80"/>
    </row>
    <row r="819" spans="1:31" x14ac:dyDescent="0.25">
      <c r="A819" s="76"/>
      <c r="B819" s="76"/>
      <c r="C819" s="77"/>
      <c r="D819" s="78"/>
      <c r="E819" s="79"/>
      <c r="F819" s="80"/>
      <c r="G819" s="78"/>
      <c r="H819" s="81"/>
      <c r="I819" s="78"/>
      <c r="J819" s="78"/>
      <c r="K819" s="78"/>
      <c r="L819" s="78"/>
      <c r="M819" s="81"/>
      <c r="N819" s="76"/>
      <c r="O819" s="82"/>
      <c r="P819" s="80"/>
      <c r="Q819" s="83"/>
      <c r="R819" s="80"/>
      <c r="S819" s="80"/>
      <c r="T819" s="80"/>
      <c r="U819" s="83"/>
      <c r="V819" s="80"/>
      <c r="W819" s="83"/>
      <c r="X819" s="80"/>
      <c r="Y819" s="80"/>
      <c r="Z819" s="80"/>
      <c r="AA819" s="80"/>
      <c r="AB819" s="80"/>
      <c r="AC819" s="80"/>
      <c r="AD819" s="80"/>
      <c r="AE819" s="80"/>
    </row>
    <row r="820" spans="1:31" x14ac:dyDescent="0.25">
      <c r="A820" s="76"/>
      <c r="B820" s="76"/>
      <c r="C820" s="77"/>
      <c r="D820" s="78"/>
      <c r="E820" s="79"/>
      <c r="F820" s="80"/>
      <c r="G820" s="78"/>
      <c r="H820" s="81"/>
      <c r="I820" s="78"/>
      <c r="J820" s="78"/>
      <c r="K820" s="78"/>
      <c r="L820" s="78"/>
      <c r="M820" s="81"/>
      <c r="N820" s="76"/>
      <c r="O820" s="82"/>
      <c r="P820" s="80"/>
      <c r="Q820" s="83"/>
      <c r="R820" s="80"/>
      <c r="S820" s="80"/>
      <c r="T820" s="80"/>
      <c r="U820" s="83"/>
      <c r="V820" s="80"/>
      <c r="W820" s="83"/>
      <c r="X820" s="80"/>
      <c r="Y820" s="80"/>
      <c r="Z820" s="80"/>
      <c r="AA820" s="80"/>
      <c r="AB820" s="80"/>
      <c r="AC820" s="80"/>
      <c r="AD820" s="80"/>
      <c r="AE820" s="80"/>
    </row>
    <row r="821" spans="1:31" x14ac:dyDescent="0.25">
      <c r="A821" s="76"/>
      <c r="B821" s="76"/>
      <c r="C821" s="77"/>
      <c r="D821" s="78"/>
      <c r="E821" s="79"/>
      <c r="F821" s="80"/>
      <c r="G821" s="78"/>
      <c r="H821" s="81"/>
      <c r="I821" s="78"/>
      <c r="J821" s="78"/>
      <c r="K821" s="78"/>
      <c r="L821" s="78"/>
      <c r="M821" s="81"/>
      <c r="N821" s="76"/>
      <c r="O821" s="82"/>
      <c r="P821" s="80"/>
      <c r="Q821" s="83"/>
      <c r="R821" s="80"/>
      <c r="S821" s="80"/>
      <c r="T821" s="80"/>
      <c r="U821" s="83"/>
      <c r="V821" s="80"/>
      <c r="W821" s="83"/>
      <c r="X821" s="80"/>
      <c r="Y821" s="80"/>
      <c r="Z821" s="80"/>
      <c r="AA821" s="80"/>
      <c r="AB821" s="80"/>
      <c r="AC821" s="80"/>
      <c r="AD821" s="80"/>
      <c r="AE821" s="80"/>
    </row>
    <row r="822" spans="1:31" x14ac:dyDescent="0.25">
      <c r="A822" s="76"/>
      <c r="B822" s="76"/>
      <c r="C822" s="77"/>
      <c r="D822" s="78"/>
      <c r="E822" s="79"/>
      <c r="F822" s="80"/>
      <c r="G822" s="78"/>
      <c r="H822" s="81"/>
      <c r="I822" s="78"/>
      <c r="J822" s="78"/>
      <c r="K822" s="78"/>
      <c r="L822" s="78"/>
      <c r="M822" s="81"/>
      <c r="N822" s="76"/>
      <c r="O822" s="82"/>
      <c r="P822" s="80"/>
      <c r="Q822" s="83"/>
      <c r="R822" s="80"/>
      <c r="S822" s="80"/>
      <c r="T822" s="80"/>
      <c r="U822" s="83"/>
      <c r="V822" s="80"/>
      <c r="W822" s="83"/>
      <c r="X822" s="80"/>
      <c r="Y822" s="80"/>
      <c r="Z822" s="80"/>
      <c r="AA822" s="80"/>
      <c r="AB822" s="80"/>
      <c r="AC822" s="80"/>
      <c r="AD822" s="80"/>
      <c r="AE822" s="80"/>
    </row>
    <row r="823" spans="1:31" x14ac:dyDescent="0.25">
      <c r="A823" s="76"/>
      <c r="B823" s="76"/>
      <c r="C823" s="77"/>
      <c r="D823" s="78"/>
      <c r="E823" s="79"/>
      <c r="F823" s="80"/>
      <c r="G823" s="78"/>
      <c r="H823" s="81"/>
      <c r="I823" s="78"/>
      <c r="J823" s="78"/>
      <c r="K823" s="78"/>
      <c r="L823" s="78"/>
      <c r="M823" s="81"/>
      <c r="N823" s="76"/>
      <c r="O823" s="82"/>
      <c r="P823" s="80"/>
      <c r="Q823" s="83"/>
      <c r="R823" s="80"/>
      <c r="S823" s="80"/>
      <c r="T823" s="80"/>
      <c r="U823" s="83"/>
      <c r="V823" s="80"/>
      <c r="W823" s="83"/>
      <c r="X823" s="80"/>
      <c r="Y823" s="80"/>
      <c r="Z823" s="80"/>
      <c r="AA823" s="80"/>
      <c r="AB823" s="80"/>
      <c r="AC823" s="80"/>
      <c r="AD823" s="80"/>
      <c r="AE823" s="80"/>
    </row>
    <row r="824" spans="1:31" x14ac:dyDescent="0.25">
      <c r="A824" s="76"/>
      <c r="B824" s="76"/>
      <c r="C824" s="77"/>
      <c r="D824" s="78"/>
      <c r="E824" s="79"/>
      <c r="F824" s="80"/>
      <c r="G824" s="78"/>
      <c r="H824" s="81"/>
      <c r="I824" s="78"/>
      <c r="J824" s="78"/>
      <c r="K824" s="78"/>
      <c r="L824" s="78"/>
      <c r="M824" s="81"/>
      <c r="N824" s="76"/>
      <c r="O824" s="82"/>
      <c r="P824" s="80"/>
      <c r="Q824" s="83"/>
      <c r="R824" s="80"/>
      <c r="S824" s="80"/>
      <c r="T824" s="80"/>
      <c r="U824" s="83"/>
      <c r="V824" s="80"/>
      <c r="W824" s="83"/>
      <c r="X824" s="80"/>
      <c r="Y824" s="80"/>
      <c r="Z824" s="80"/>
      <c r="AA824" s="80"/>
      <c r="AB824" s="80"/>
      <c r="AC824" s="80"/>
      <c r="AD824" s="80"/>
      <c r="AE824" s="80"/>
    </row>
    <row r="825" spans="1:31" x14ac:dyDescent="0.25">
      <c r="A825" s="76"/>
      <c r="B825" s="76"/>
      <c r="C825" s="77"/>
      <c r="D825" s="78"/>
      <c r="E825" s="79"/>
      <c r="F825" s="80"/>
      <c r="G825" s="78"/>
      <c r="H825" s="81"/>
      <c r="I825" s="78"/>
      <c r="J825" s="78"/>
      <c r="K825" s="78"/>
      <c r="L825" s="78"/>
      <c r="M825" s="81"/>
      <c r="N825" s="76"/>
      <c r="O825" s="82"/>
      <c r="P825" s="80"/>
      <c r="Q825" s="83"/>
      <c r="R825" s="80"/>
      <c r="S825" s="80"/>
      <c r="T825" s="80"/>
      <c r="U825" s="83"/>
      <c r="V825" s="80"/>
      <c r="W825" s="83"/>
      <c r="X825" s="80"/>
      <c r="Y825" s="80"/>
      <c r="Z825" s="80"/>
      <c r="AA825" s="80"/>
      <c r="AB825" s="80"/>
      <c r="AC825" s="80"/>
      <c r="AD825" s="80"/>
      <c r="AE825" s="80"/>
    </row>
    <row r="826" spans="1:31" x14ac:dyDescent="0.25">
      <c r="A826" s="76"/>
      <c r="B826" s="76"/>
      <c r="C826" s="77"/>
      <c r="D826" s="78"/>
      <c r="E826" s="79"/>
      <c r="F826" s="80"/>
      <c r="G826" s="78"/>
      <c r="H826" s="81"/>
      <c r="I826" s="78"/>
      <c r="J826" s="78"/>
      <c r="K826" s="78"/>
      <c r="L826" s="78"/>
      <c r="M826" s="81"/>
      <c r="N826" s="76"/>
      <c r="O826" s="82"/>
      <c r="P826" s="80"/>
      <c r="Q826" s="83"/>
      <c r="R826" s="80"/>
      <c r="S826" s="80"/>
      <c r="T826" s="80"/>
      <c r="U826" s="83"/>
      <c r="V826" s="80"/>
      <c r="W826" s="83"/>
      <c r="X826" s="80"/>
      <c r="Y826" s="80"/>
      <c r="Z826" s="80"/>
      <c r="AA826" s="80"/>
      <c r="AB826" s="80"/>
      <c r="AC826" s="80"/>
      <c r="AD826" s="80"/>
      <c r="AE826" s="80"/>
    </row>
    <row r="827" spans="1:31" x14ac:dyDescent="0.25">
      <c r="A827" s="76"/>
      <c r="B827" s="76"/>
      <c r="C827" s="77"/>
      <c r="D827" s="78"/>
      <c r="E827" s="79"/>
      <c r="F827" s="80"/>
      <c r="G827" s="78"/>
      <c r="H827" s="81"/>
      <c r="I827" s="78"/>
      <c r="J827" s="78"/>
      <c r="K827" s="78"/>
      <c r="L827" s="78"/>
      <c r="M827" s="81"/>
      <c r="N827" s="76"/>
      <c r="O827" s="82"/>
      <c r="P827" s="80"/>
      <c r="Q827" s="83"/>
      <c r="R827" s="80"/>
      <c r="S827" s="80"/>
      <c r="T827" s="80"/>
      <c r="U827" s="83"/>
      <c r="V827" s="80"/>
      <c r="W827" s="83"/>
      <c r="X827" s="80"/>
      <c r="Y827" s="80"/>
      <c r="Z827" s="80"/>
      <c r="AA827" s="80"/>
      <c r="AB827" s="80"/>
      <c r="AC827" s="80"/>
      <c r="AD827" s="80"/>
      <c r="AE827" s="80"/>
    </row>
    <row r="828" spans="1:31" x14ac:dyDescent="0.25">
      <c r="A828" s="76"/>
      <c r="B828" s="76"/>
      <c r="C828" s="77"/>
      <c r="D828" s="78"/>
      <c r="E828" s="79"/>
      <c r="F828" s="80"/>
      <c r="G828" s="78"/>
      <c r="H828" s="81"/>
      <c r="I828" s="78"/>
      <c r="J828" s="78"/>
      <c r="K828" s="78"/>
      <c r="L828" s="78"/>
      <c r="M828" s="81"/>
      <c r="N828" s="76"/>
      <c r="O828" s="82"/>
      <c r="P828" s="80"/>
      <c r="Q828" s="83"/>
      <c r="R828" s="80"/>
      <c r="S828" s="80"/>
      <c r="T828" s="80"/>
      <c r="U828" s="83"/>
      <c r="V828" s="80"/>
      <c r="W828" s="83"/>
      <c r="X828" s="80"/>
      <c r="Y828" s="80"/>
      <c r="Z828" s="80"/>
      <c r="AA828" s="80"/>
      <c r="AB828" s="80"/>
      <c r="AC828" s="80"/>
      <c r="AD828" s="80"/>
      <c r="AE828" s="80"/>
    </row>
    <row r="829" spans="1:31" x14ac:dyDescent="0.25">
      <c r="A829" s="76"/>
      <c r="B829" s="76"/>
      <c r="C829" s="77"/>
      <c r="D829" s="78"/>
      <c r="E829" s="79"/>
      <c r="F829" s="80"/>
      <c r="G829" s="78"/>
      <c r="H829" s="81"/>
      <c r="I829" s="78"/>
      <c r="J829" s="78"/>
      <c r="K829" s="78"/>
      <c r="L829" s="78"/>
      <c r="M829" s="81"/>
      <c r="N829" s="76"/>
      <c r="O829" s="82"/>
      <c r="P829" s="80"/>
      <c r="Q829" s="83"/>
      <c r="R829" s="80"/>
      <c r="S829" s="80"/>
      <c r="T829" s="80"/>
      <c r="U829" s="83"/>
      <c r="V829" s="80"/>
      <c r="W829" s="83"/>
      <c r="X829" s="80"/>
      <c r="Y829" s="80"/>
      <c r="Z829" s="80"/>
      <c r="AA829" s="80"/>
      <c r="AB829" s="80"/>
      <c r="AC829" s="80"/>
      <c r="AD829" s="80"/>
      <c r="AE829" s="80"/>
    </row>
    <row r="830" spans="1:31" x14ac:dyDescent="0.25">
      <c r="A830" s="76"/>
      <c r="B830" s="76"/>
      <c r="C830" s="77"/>
      <c r="D830" s="78"/>
      <c r="E830" s="79"/>
      <c r="F830" s="80"/>
      <c r="G830" s="78"/>
      <c r="H830" s="81"/>
      <c r="I830" s="78"/>
      <c r="J830" s="78"/>
      <c r="K830" s="78"/>
      <c r="L830" s="78"/>
      <c r="M830" s="81"/>
      <c r="N830" s="76"/>
      <c r="O830" s="82"/>
      <c r="P830" s="80"/>
      <c r="Q830" s="83"/>
      <c r="R830" s="80"/>
      <c r="S830" s="80"/>
      <c r="T830" s="80"/>
      <c r="U830" s="83"/>
      <c r="V830" s="80"/>
      <c r="W830" s="83"/>
      <c r="X830" s="80"/>
      <c r="Y830" s="80"/>
      <c r="Z830" s="80"/>
      <c r="AA830" s="80"/>
      <c r="AB830" s="80"/>
      <c r="AC830" s="80"/>
      <c r="AD830" s="80"/>
      <c r="AE830" s="80"/>
    </row>
    <row r="831" spans="1:31" x14ac:dyDescent="0.25">
      <c r="A831" s="76"/>
      <c r="B831" s="76"/>
      <c r="C831" s="77"/>
      <c r="D831" s="78"/>
      <c r="E831" s="79"/>
      <c r="F831" s="80"/>
      <c r="G831" s="78"/>
      <c r="H831" s="81"/>
      <c r="I831" s="78"/>
      <c r="J831" s="78"/>
      <c r="K831" s="78"/>
      <c r="L831" s="78"/>
      <c r="M831" s="81"/>
      <c r="N831" s="76"/>
      <c r="O831" s="82"/>
      <c r="P831" s="80"/>
      <c r="Q831" s="83"/>
      <c r="R831" s="80"/>
      <c r="S831" s="80"/>
      <c r="T831" s="80"/>
      <c r="U831" s="83"/>
      <c r="V831" s="80"/>
      <c r="W831" s="83"/>
      <c r="X831" s="80"/>
      <c r="Y831" s="80"/>
      <c r="Z831" s="80"/>
      <c r="AA831" s="80"/>
      <c r="AB831" s="80"/>
      <c r="AC831" s="80"/>
      <c r="AD831" s="80"/>
      <c r="AE831" s="80"/>
    </row>
    <row r="832" spans="1:31" x14ac:dyDescent="0.25">
      <c r="A832" s="76"/>
      <c r="B832" s="76"/>
      <c r="C832" s="77"/>
      <c r="D832" s="78"/>
      <c r="E832" s="79"/>
      <c r="F832" s="80"/>
      <c r="G832" s="78"/>
      <c r="H832" s="81"/>
      <c r="I832" s="78"/>
      <c r="J832" s="78"/>
      <c r="K832" s="78"/>
      <c r="L832" s="78"/>
      <c r="M832" s="81"/>
      <c r="N832" s="76"/>
      <c r="O832" s="82"/>
      <c r="P832" s="80"/>
      <c r="Q832" s="83"/>
      <c r="R832" s="80"/>
      <c r="S832" s="80"/>
      <c r="T832" s="80"/>
      <c r="U832" s="83"/>
      <c r="V832" s="80"/>
      <c r="W832" s="83"/>
      <c r="X832" s="80"/>
      <c r="Y832" s="80"/>
      <c r="Z832" s="80"/>
      <c r="AA832" s="80"/>
      <c r="AB832" s="80"/>
      <c r="AC832" s="80"/>
      <c r="AD832" s="80"/>
      <c r="AE832" s="80"/>
    </row>
    <row r="833" spans="1:31" x14ac:dyDescent="0.25">
      <c r="A833" s="76"/>
      <c r="B833" s="76"/>
      <c r="C833" s="77"/>
      <c r="D833" s="78"/>
      <c r="E833" s="79"/>
      <c r="F833" s="80"/>
      <c r="G833" s="78"/>
      <c r="H833" s="81"/>
      <c r="I833" s="78"/>
      <c r="J833" s="78"/>
      <c r="K833" s="78"/>
      <c r="L833" s="78"/>
      <c r="M833" s="81"/>
      <c r="N833" s="76"/>
      <c r="O833" s="82"/>
      <c r="P833" s="80"/>
      <c r="Q833" s="83"/>
      <c r="R833" s="80"/>
      <c r="S833" s="80"/>
      <c r="T833" s="80"/>
      <c r="U833" s="83"/>
      <c r="V833" s="80"/>
      <c r="W833" s="83"/>
      <c r="X833" s="80"/>
      <c r="Y833" s="80"/>
      <c r="Z833" s="80"/>
      <c r="AA833" s="80"/>
      <c r="AB833" s="80"/>
      <c r="AC833" s="80"/>
      <c r="AD833" s="80"/>
      <c r="AE833" s="80"/>
    </row>
    <row r="834" spans="1:31" x14ac:dyDescent="0.25">
      <c r="A834" s="76"/>
      <c r="B834" s="76"/>
      <c r="C834" s="77"/>
      <c r="D834" s="78"/>
      <c r="E834" s="79"/>
      <c r="F834" s="80"/>
      <c r="G834" s="78"/>
      <c r="H834" s="81"/>
      <c r="I834" s="78"/>
      <c r="J834" s="78"/>
      <c r="K834" s="78"/>
      <c r="L834" s="78"/>
      <c r="M834" s="81"/>
      <c r="N834" s="76"/>
      <c r="O834" s="82"/>
      <c r="P834" s="80"/>
      <c r="Q834" s="83"/>
      <c r="R834" s="80"/>
      <c r="S834" s="80"/>
      <c r="T834" s="80"/>
      <c r="U834" s="83"/>
      <c r="V834" s="80"/>
      <c r="W834" s="83"/>
      <c r="X834" s="80"/>
      <c r="Y834" s="80"/>
      <c r="Z834" s="80"/>
      <c r="AA834" s="80"/>
      <c r="AB834" s="80"/>
      <c r="AC834" s="80"/>
      <c r="AD834" s="80"/>
      <c r="AE834" s="80"/>
    </row>
    <row r="835" spans="1:31" x14ac:dyDescent="0.25">
      <c r="A835" s="76"/>
      <c r="B835" s="76"/>
      <c r="C835" s="77"/>
      <c r="D835" s="78"/>
      <c r="E835" s="79"/>
      <c r="F835" s="80"/>
      <c r="G835" s="78"/>
      <c r="H835" s="81"/>
      <c r="I835" s="78"/>
      <c r="J835" s="78"/>
      <c r="K835" s="78"/>
      <c r="L835" s="78"/>
      <c r="M835" s="81"/>
      <c r="N835" s="76"/>
      <c r="O835" s="82"/>
      <c r="P835" s="80"/>
      <c r="Q835" s="83"/>
      <c r="R835" s="80"/>
      <c r="S835" s="80"/>
      <c r="T835" s="80"/>
      <c r="U835" s="83"/>
      <c r="V835" s="80"/>
      <c r="W835" s="83"/>
      <c r="X835" s="80"/>
      <c r="Y835" s="80"/>
      <c r="Z835" s="80"/>
      <c r="AA835" s="80"/>
      <c r="AB835" s="80"/>
      <c r="AC835" s="80"/>
      <c r="AD835" s="80"/>
      <c r="AE835" s="80"/>
    </row>
    <row r="836" spans="1:31" x14ac:dyDescent="0.25">
      <c r="A836" s="76"/>
      <c r="B836" s="76"/>
      <c r="C836" s="77"/>
      <c r="D836" s="78"/>
      <c r="E836" s="79"/>
      <c r="F836" s="80"/>
      <c r="G836" s="78"/>
      <c r="H836" s="81"/>
      <c r="I836" s="78"/>
      <c r="J836" s="78"/>
      <c r="K836" s="78"/>
      <c r="L836" s="78"/>
      <c r="M836" s="81"/>
      <c r="N836" s="76"/>
      <c r="O836" s="82"/>
      <c r="P836" s="80"/>
      <c r="Q836" s="83"/>
      <c r="R836" s="80"/>
      <c r="S836" s="80"/>
      <c r="T836" s="80"/>
      <c r="U836" s="83"/>
      <c r="V836" s="80"/>
      <c r="W836" s="83"/>
      <c r="X836" s="80"/>
      <c r="Y836" s="80"/>
      <c r="Z836" s="80"/>
      <c r="AA836" s="80"/>
      <c r="AB836" s="80"/>
      <c r="AC836" s="80"/>
      <c r="AD836" s="80"/>
      <c r="AE836" s="80"/>
    </row>
    <row r="837" spans="1:31" x14ac:dyDescent="0.25">
      <c r="A837" s="76"/>
      <c r="B837" s="76"/>
      <c r="C837" s="77"/>
      <c r="D837" s="78"/>
      <c r="E837" s="79"/>
      <c r="F837" s="80"/>
      <c r="G837" s="78"/>
      <c r="H837" s="81"/>
      <c r="I837" s="78"/>
      <c r="J837" s="78"/>
      <c r="K837" s="78"/>
      <c r="L837" s="78"/>
      <c r="M837" s="81"/>
      <c r="N837" s="76"/>
      <c r="O837" s="82"/>
      <c r="P837" s="80"/>
      <c r="Q837" s="83"/>
      <c r="R837" s="80"/>
      <c r="S837" s="80"/>
      <c r="T837" s="80"/>
      <c r="U837" s="83"/>
      <c r="V837" s="80"/>
      <c r="W837" s="83"/>
      <c r="X837" s="80"/>
      <c r="Y837" s="80"/>
      <c r="Z837" s="80"/>
      <c r="AA837" s="80"/>
      <c r="AB837" s="80"/>
      <c r="AC837" s="80"/>
      <c r="AD837" s="80"/>
      <c r="AE837" s="80"/>
    </row>
    <row r="838" spans="1:31" x14ac:dyDescent="0.25">
      <c r="A838" s="76"/>
      <c r="B838" s="76"/>
      <c r="C838" s="77"/>
      <c r="D838" s="78"/>
      <c r="E838" s="79"/>
      <c r="F838" s="80"/>
      <c r="G838" s="78"/>
      <c r="H838" s="81"/>
      <c r="I838" s="78"/>
      <c r="J838" s="78"/>
      <c r="K838" s="78"/>
      <c r="L838" s="78"/>
      <c r="M838" s="81"/>
      <c r="N838" s="76"/>
      <c r="O838" s="82"/>
      <c r="P838" s="80"/>
      <c r="Q838" s="83"/>
      <c r="R838" s="80"/>
      <c r="S838" s="80"/>
      <c r="T838" s="80"/>
      <c r="U838" s="83"/>
      <c r="V838" s="80"/>
      <c r="W838" s="83"/>
      <c r="X838" s="80"/>
      <c r="Y838" s="80"/>
      <c r="Z838" s="80"/>
      <c r="AA838" s="80"/>
      <c r="AB838" s="80"/>
      <c r="AC838" s="80"/>
      <c r="AD838" s="80"/>
      <c r="AE838" s="80"/>
    </row>
    <row r="839" spans="1:31" x14ac:dyDescent="0.25">
      <c r="A839" s="76"/>
      <c r="B839" s="76"/>
      <c r="C839" s="77"/>
      <c r="D839" s="78"/>
      <c r="E839" s="79"/>
      <c r="F839" s="80"/>
      <c r="G839" s="78"/>
      <c r="H839" s="81"/>
      <c r="I839" s="78"/>
      <c r="J839" s="78"/>
      <c r="K839" s="78"/>
      <c r="L839" s="78"/>
      <c r="M839" s="81"/>
      <c r="N839" s="76"/>
      <c r="O839" s="82"/>
      <c r="P839" s="80"/>
      <c r="Q839" s="83"/>
      <c r="R839" s="80"/>
      <c r="S839" s="80"/>
      <c r="T839" s="80"/>
      <c r="U839" s="83"/>
      <c r="V839" s="80"/>
      <c r="W839" s="83"/>
      <c r="X839" s="80"/>
      <c r="Y839" s="80"/>
      <c r="Z839" s="80"/>
      <c r="AA839" s="80"/>
      <c r="AB839" s="80"/>
      <c r="AC839" s="80"/>
      <c r="AD839" s="80"/>
      <c r="AE839" s="80"/>
    </row>
    <row r="840" spans="1:31" x14ac:dyDescent="0.25">
      <c r="A840" s="76"/>
      <c r="B840" s="76"/>
      <c r="C840" s="77"/>
      <c r="D840" s="78"/>
      <c r="E840" s="79"/>
      <c r="F840" s="80"/>
      <c r="G840" s="78"/>
      <c r="H840" s="81"/>
      <c r="I840" s="78"/>
      <c r="J840" s="78"/>
      <c r="K840" s="78"/>
      <c r="L840" s="78"/>
      <c r="M840" s="81"/>
      <c r="N840" s="76"/>
      <c r="O840" s="82"/>
      <c r="P840" s="80"/>
      <c r="Q840" s="83"/>
      <c r="R840" s="80"/>
      <c r="S840" s="80"/>
      <c r="T840" s="80"/>
      <c r="U840" s="83"/>
      <c r="V840" s="80"/>
      <c r="W840" s="83"/>
      <c r="X840" s="80"/>
      <c r="Y840" s="80"/>
      <c r="Z840" s="80"/>
      <c r="AA840" s="80"/>
      <c r="AB840" s="80"/>
      <c r="AC840" s="80"/>
      <c r="AD840" s="80"/>
      <c r="AE840" s="80"/>
    </row>
    <row r="841" spans="1:31" x14ac:dyDescent="0.25">
      <c r="A841" s="76"/>
      <c r="B841" s="76"/>
      <c r="C841" s="77"/>
      <c r="D841" s="78"/>
      <c r="E841" s="79"/>
      <c r="F841" s="80"/>
      <c r="G841" s="78"/>
      <c r="H841" s="81"/>
      <c r="I841" s="78"/>
      <c r="J841" s="78"/>
      <c r="K841" s="78"/>
      <c r="L841" s="78"/>
      <c r="M841" s="81"/>
      <c r="N841" s="76"/>
      <c r="O841" s="82"/>
      <c r="P841" s="80"/>
      <c r="Q841" s="83"/>
      <c r="R841" s="80"/>
      <c r="S841" s="80"/>
      <c r="T841" s="80"/>
      <c r="U841" s="83"/>
      <c r="V841" s="80"/>
      <c r="W841" s="83"/>
      <c r="X841" s="80"/>
      <c r="Y841" s="80"/>
      <c r="Z841" s="80"/>
      <c r="AA841" s="80"/>
      <c r="AB841" s="80"/>
      <c r="AC841" s="80"/>
      <c r="AD841" s="80"/>
      <c r="AE841" s="80"/>
    </row>
    <row r="842" spans="1:31" x14ac:dyDescent="0.25">
      <c r="A842" s="76"/>
      <c r="B842" s="76"/>
      <c r="C842" s="77"/>
      <c r="D842" s="78"/>
      <c r="E842" s="79"/>
      <c r="F842" s="80"/>
      <c r="G842" s="78"/>
      <c r="H842" s="81"/>
      <c r="I842" s="78"/>
      <c r="J842" s="78"/>
      <c r="K842" s="78"/>
      <c r="L842" s="78"/>
      <c r="M842" s="81"/>
      <c r="N842" s="76"/>
      <c r="O842" s="82"/>
      <c r="P842" s="80"/>
      <c r="Q842" s="83"/>
      <c r="R842" s="80"/>
      <c r="S842" s="80"/>
      <c r="T842" s="80"/>
      <c r="U842" s="83"/>
      <c r="V842" s="80"/>
      <c r="W842" s="83"/>
      <c r="X842" s="80"/>
      <c r="Y842" s="80"/>
      <c r="Z842" s="80"/>
      <c r="AA842" s="80"/>
      <c r="AB842" s="80"/>
      <c r="AC842" s="80"/>
      <c r="AD842" s="80"/>
      <c r="AE842" s="80"/>
    </row>
    <row r="843" spans="1:31" x14ac:dyDescent="0.25">
      <c r="A843" s="76"/>
      <c r="B843" s="76"/>
      <c r="C843" s="77"/>
      <c r="D843" s="78"/>
      <c r="E843" s="79"/>
      <c r="F843" s="80"/>
      <c r="G843" s="78"/>
      <c r="H843" s="81"/>
      <c r="I843" s="78"/>
      <c r="J843" s="78"/>
      <c r="K843" s="78"/>
      <c r="L843" s="78"/>
      <c r="M843" s="81"/>
      <c r="N843" s="76"/>
      <c r="O843" s="82"/>
      <c r="P843" s="80"/>
      <c r="Q843" s="83"/>
      <c r="R843" s="80"/>
      <c r="S843" s="80"/>
      <c r="T843" s="80"/>
      <c r="U843" s="83"/>
      <c r="V843" s="80"/>
      <c r="W843" s="83"/>
      <c r="X843" s="80"/>
      <c r="Y843" s="80"/>
      <c r="Z843" s="80"/>
      <c r="AA843" s="80"/>
      <c r="AB843" s="80"/>
      <c r="AC843" s="80"/>
      <c r="AD843" s="80"/>
      <c r="AE843" s="80"/>
    </row>
    <row r="844" spans="1:31" x14ac:dyDescent="0.25">
      <c r="A844" s="76"/>
      <c r="B844" s="76"/>
      <c r="C844" s="77"/>
      <c r="D844" s="78"/>
      <c r="E844" s="79"/>
      <c r="F844" s="80"/>
      <c r="G844" s="78"/>
      <c r="H844" s="81"/>
      <c r="I844" s="78"/>
      <c r="J844" s="78"/>
      <c r="K844" s="78"/>
      <c r="L844" s="78"/>
      <c r="M844" s="81"/>
      <c r="N844" s="76"/>
      <c r="O844" s="82"/>
      <c r="P844" s="80"/>
      <c r="Q844" s="83"/>
      <c r="R844" s="80"/>
      <c r="S844" s="80"/>
      <c r="T844" s="80"/>
      <c r="U844" s="83"/>
      <c r="V844" s="80"/>
      <c r="W844" s="83"/>
      <c r="X844" s="80"/>
      <c r="Y844" s="80"/>
      <c r="Z844" s="80"/>
      <c r="AA844" s="80"/>
      <c r="AB844" s="80"/>
      <c r="AC844" s="80"/>
      <c r="AD844" s="80"/>
      <c r="AE844" s="80"/>
    </row>
    <row r="845" spans="1:31" x14ac:dyDescent="0.25">
      <c r="A845" s="76"/>
      <c r="B845" s="76"/>
      <c r="C845" s="77"/>
      <c r="D845" s="78"/>
      <c r="E845" s="79"/>
      <c r="F845" s="80"/>
      <c r="G845" s="78"/>
      <c r="H845" s="81"/>
      <c r="I845" s="78"/>
      <c r="J845" s="78"/>
      <c r="K845" s="78"/>
      <c r="L845" s="78"/>
      <c r="M845" s="81"/>
      <c r="N845" s="76"/>
      <c r="O845" s="82"/>
      <c r="P845" s="80"/>
      <c r="Q845" s="83"/>
      <c r="R845" s="80"/>
      <c r="S845" s="80"/>
      <c r="T845" s="80"/>
      <c r="U845" s="83"/>
      <c r="V845" s="80"/>
      <c r="W845" s="83"/>
      <c r="X845" s="80"/>
      <c r="Y845" s="80"/>
      <c r="Z845" s="80"/>
      <c r="AA845" s="80"/>
      <c r="AB845" s="80"/>
      <c r="AC845" s="80"/>
      <c r="AD845" s="80"/>
      <c r="AE845" s="80"/>
    </row>
    <row r="846" spans="1:31" x14ac:dyDescent="0.25">
      <c r="A846" s="76"/>
      <c r="B846" s="76"/>
      <c r="C846" s="77"/>
      <c r="D846" s="78"/>
      <c r="E846" s="79"/>
      <c r="F846" s="80"/>
      <c r="G846" s="78"/>
      <c r="H846" s="81"/>
      <c r="I846" s="78"/>
      <c r="J846" s="78"/>
      <c r="K846" s="78"/>
      <c r="L846" s="78"/>
      <c r="M846" s="81"/>
      <c r="N846" s="76"/>
      <c r="O846" s="82"/>
      <c r="P846" s="80"/>
      <c r="Q846" s="83"/>
      <c r="R846" s="80"/>
      <c r="S846" s="80"/>
      <c r="T846" s="80"/>
      <c r="U846" s="83"/>
      <c r="V846" s="80"/>
      <c r="W846" s="83"/>
      <c r="X846" s="80"/>
      <c r="Y846" s="80"/>
      <c r="Z846" s="80"/>
      <c r="AA846" s="80"/>
      <c r="AB846" s="80"/>
      <c r="AC846" s="80"/>
      <c r="AD846" s="80"/>
      <c r="AE846" s="80"/>
    </row>
    <row r="847" spans="1:31" x14ac:dyDescent="0.25">
      <c r="A847" s="76"/>
      <c r="B847" s="76"/>
      <c r="C847" s="77"/>
      <c r="D847" s="78"/>
      <c r="E847" s="79"/>
      <c r="F847" s="80"/>
      <c r="G847" s="78"/>
      <c r="H847" s="81"/>
      <c r="I847" s="78"/>
      <c r="J847" s="78"/>
      <c r="K847" s="78"/>
      <c r="L847" s="78"/>
      <c r="M847" s="81"/>
      <c r="N847" s="76"/>
      <c r="O847" s="82"/>
      <c r="P847" s="80"/>
      <c r="Q847" s="83"/>
      <c r="R847" s="80"/>
      <c r="S847" s="80"/>
      <c r="T847" s="80"/>
      <c r="U847" s="83"/>
      <c r="V847" s="80"/>
      <c r="W847" s="83"/>
      <c r="X847" s="80"/>
      <c r="Y847" s="80"/>
      <c r="Z847" s="80"/>
      <c r="AA847" s="80"/>
      <c r="AB847" s="80"/>
      <c r="AC847" s="80"/>
      <c r="AD847" s="80"/>
      <c r="AE847" s="80"/>
    </row>
    <row r="848" spans="1:31" x14ac:dyDescent="0.25">
      <c r="A848" s="76"/>
      <c r="B848" s="76"/>
      <c r="C848" s="77"/>
      <c r="D848" s="78"/>
      <c r="E848" s="79"/>
      <c r="F848" s="80"/>
      <c r="G848" s="78"/>
      <c r="H848" s="81"/>
      <c r="I848" s="78"/>
      <c r="J848" s="78"/>
      <c r="K848" s="78"/>
      <c r="L848" s="78"/>
      <c r="M848" s="81"/>
      <c r="N848" s="76"/>
      <c r="O848" s="82"/>
      <c r="P848" s="80"/>
      <c r="Q848" s="83"/>
      <c r="R848" s="80"/>
      <c r="S848" s="80"/>
      <c r="T848" s="80"/>
      <c r="U848" s="83"/>
      <c r="V848" s="80"/>
      <c r="W848" s="83"/>
      <c r="X848" s="80"/>
      <c r="Y848" s="80"/>
      <c r="Z848" s="80"/>
      <c r="AA848" s="80"/>
      <c r="AB848" s="80"/>
      <c r="AC848" s="80"/>
      <c r="AD848" s="80"/>
      <c r="AE848" s="80"/>
    </row>
    <row r="849" spans="1:31" x14ac:dyDescent="0.25">
      <c r="A849" s="76"/>
      <c r="B849" s="76"/>
      <c r="C849" s="77"/>
      <c r="D849" s="78"/>
      <c r="E849" s="79"/>
      <c r="F849" s="80"/>
      <c r="G849" s="78"/>
      <c r="H849" s="81"/>
      <c r="I849" s="78"/>
      <c r="J849" s="78"/>
      <c r="K849" s="78"/>
      <c r="L849" s="78"/>
      <c r="M849" s="81"/>
      <c r="N849" s="76"/>
      <c r="O849" s="82"/>
      <c r="P849" s="80"/>
      <c r="Q849" s="83"/>
      <c r="R849" s="80"/>
      <c r="S849" s="80"/>
      <c r="T849" s="80"/>
      <c r="U849" s="83"/>
      <c r="V849" s="80"/>
      <c r="W849" s="83"/>
      <c r="X849" s="80"/>
      <c r="Y849" s="80"/>
      <c r="Z849" s="80"/>
      <c r="AA849" s="80"/>
      <c r="AB849" s="80"/>
      <c r="AC849" s="80"/>
      <c r="AD849" s="80"/>
      <c r="AE849" s="80"/>
    </row>
    <row r="850" spans="1:31" x14ac:dyDescent="0.25">
      <c r="A850" s="76"/>
      <c r="B850" s="76"/>
      <c r="C850" s="77"/>
      <c r="D850" s="78"/>
      <c r="E850" s="79"/>
      <c r="F850" s="80"/>
      <c r="G850" s="78"/>
      <c r="H850" s="81"/>
      <c r="I850" s="78"/>
      <c r="J850" s="78"/>
      <c r="K850" s="78"/>
      <c r="L850" s="78"/>
      <c r="M850" s="81"/>
      <c r="N850" s="76"/>
      <c r="O850" s="82"/>
      <c r="P850" s="80"/>
      <c r="Q850" s="83"/>
      <c r="R850" s="80"/>
      <c r="S850" s="80"/>
      <c r="T850" s="80"/>
      <c r="U850" s="83"/>
      <c r="V850" s="80"/>
      <c r="W850" s="83"/>
      <c r="X850" s="80"/>
      <c r="Y850" s="80"/>
      <c r="Z850" s="80"/>
      <c r="AA850" s="80"/>
      <c r="AB850" s="80"/>
      <c r="AC850" s="80"/>
      <c r="AD850" s="80"/>
      <c r="AE850" s="80"/>
    </row>
    <row r="851" spans="1:31" x14ac:dyDescent="0.25">
      <c r="A851" s="76"/>
      <c r="B851" s="76"/>
      <c r="C851" s="77"/>
      <c r="D851" s="78"/>
      <c r="E851" s="79"/>
      <c r="F851" s="80"/>
      <c r="G851" s="78"/>
      <c r="H851" s="81"/>
      <c r="I851" s="78"/>
      <c r="J851" s="78"/>
      <c r="K851" s="78"/>
      <c r="L851" s="78"/>
      <c r="M851" s="81"/>
      <c r="N851" s="76"/>
      <c r="O851" s="82"/>
      <c r="P851" s="80"/>
      <c r="Q851" s="83"/>
      <c r="R851" s="80"/>
      <c r="S851" s="80"/>
      <c r="T851" s="80"/>
      <c r="U851" s="83"/>
      <c r="V851" s="80"/>
      <c r="W851" s="83"/>
      <c r="X851" s="80"/>
      <c r="Y851" s="80"/>
      <c r="Z851" s="80"/>
      <c r="AA851" s="80"/>
      <c r="AB851" s="80"/>
      <c r="AC851" s="80"/>
      <c r="AD851" s="80"/>
      <c r="AE851" s="80"/>
    </row>
    <row r="852" spans="1:31" x14ac:dyDescent="0.25">
      <c r="A852" s="76"/>
      <c r="B852" s="76"/>
      <c r="C852" s="77"/>
      <c r="D852" s="78"/>
      <c r="E852" s="79"/>
      <c r="F852" s="80"/>
      <c r="G852" s="78"/>
      <c r="H852" s="81"/>
      <c r="I852" s="78"/>
      <c r="J852" s="78"/>
      <c r="K852" s="78"/>
      <c r="L852" s="78"/>
      <c r="M852" s="81"/>
      <c r="N852" s="76"/>
      <c r="O852" s="82"/>
      <c r="P852" s="80"/>
      <c r="Q852" s="83"/>
      <c r="R852" s="80"/>
      <c r="S852" s="80"/>
      <c r="T852" s="80"/>
      <c r="U852" s="83"/>
      <c r="V852" s="80"/>
      <c r="W852" s="83"/>
      <c r="X852" s="80"/>
      <c r="Y852" s="80"/>
      <c r="Z852" s="80"/>
      <c r="AA852" s="80"/>
      <c r="AB852" s="80"/>
      <c r="AC852" s="80"/>
      <c r="AD852" s="80"/>
      <c r="AE852" s="80"/>
    </row>
    <row r="853" spans="1:31" x14ac:dyDescent="0.25">
      <c r="A853" s="76"/>
      <c r="B853" s="76"/>
      <c r="C853" s="77"/>
      <c r="D853" s="78"/>
      <c r="E853" s="79"/>
      <c r="F853" s="80"/>
      <c r="G853" s="78"/>
      <c r="H853" s="81"/>
      <c r="I853" s="78"/>
      <c r="J853" s="78"/>
      <c r="K853" s="78"/>
      <c r="L853" s="78"/>
      <c r="M853" s="81"/>
      <c r="N853" s="76"/>
      <c r="O853" s="82"/>
      <c r="P853" s="80"/>
      <c r="Q853" s="83"/>
      <c r="R853" s="80"/>
      <c r="S853" s="80"/>
      <c r="T853" s="80"/>
      <c r="U853" s="83"/>
      <c r="V853" s="80"/>
      <c r="W853" s="83"/>
      <c r="X853" s="80"/>
      <c r="Y853" s="80"/>
      <c r="Z853" s="80"/>
      <c r="AA853" s="80"/>
      <c r="AB853" s="80"/>
      <c r="AC853" s="80"/>
      <c r="AD853" s="80"/>
      <c r="AE853" s="80"/>
    </row>
    <row r="854" spans="1:31" x14ac:dyDescent="0.25">
      <c r="A854" s="76"/>
      <c r="B854" s="76"/>
      <c r="C854" s="77"/>
      <c r="D854" s="78"/>
      <c r="E854" s="79"/>
      <c r="F854" s="80"/>
      <c r="G854" s="78"/>
      <c r="H854" s="81"/>
      <c r="I854" s="78"/>
      <c r="J854" s="78"/>
      <c r="K854" s="78"/>
      <c r="L854" s="78"/>
      <c r="M854" s="81"/>
      <c r="N854" s="76"/>
      <c r="O854" s="82"/>
      <c r="P854" s="80"/>
      <c r="Q854" s="83"/>
      <c r="R854" s="80"/>
      <c r="S854" s="80"/>
      <c r="T854" s="80"/>
      <c r="U854" s="83"/>
      <c r="V854" s="80"/>
      <c r="W854" s="83"/>
      <c r="X854" s="80"/>
      <c r="Y854" s="80"/>
      <c r="Z854" s="80"/>
      <c r="AA854" s="80"/>
      <c r="AB854" s="80"/>
      <c r="AC854" s="80"/>
      <c r="AD854" s="80"/>
      <c r="AE854" s="80"/>
    </row>
    <row r="855" spans="1:31" x14ac:dyDescent="0.25">
      <c r="A855" s="76"/>
      <c r="B855" s="76"/>
      <c r="C855" s="77"/>
      <c r="D855" s="78"/>
      <c r="E855" s="79"/>
      <c r="F855" s="80"/>
      <c r="G855" s="78"/>
      <c r="H855" s="81"/>
      <c r="I855" s="78"/>
      <c r="J855" s="78"/>
      <c r="K855" s="78"/>
      <c r="L855" s="78"/>
      <c r="M855" s="81"/>
      <c r="N855" s="76"/>
      <c r="O855" s="82"/>
      <c r="P855" s="80"/>
      <c r="Q855" s="83"/>
      <c r="R855" s="80"/>
      <c r="S855" s="80"/>
      <c r="T855" s="80"/>
      <c r="U855" s="83"/>
      <c r="V855" s="80"/>
      <c r="W855" s="83"/>
      <c r="X855" s="80"/>
      <c r="Y855" s="80"/>
      <c r="Z855" s="80"/>
      <c r="AA855" s="80"/>
      <c r="AB855" s="80"/>
      <c r="AC855" s="80"/>
      <c r="AD855" s="80"/>
      <c r="AE855" s="80"/>
    </row>
    <row r="856" spans="1:31" x14ac:dyDescent="0.25">
      <c r="A856" s="76"/>
      <c r="B856" s="76"/>
      <c r="C856" s="77"/>
      <c r="D856" s="78"/>
      <c r="E856" s="79"/>
      <c r="F856" s="80"/>
      <c r="G856" s="78"/>
      <c r="H856" s="81"/>
      <c r="I856" s="78"/>
      <c r="J856" s="78"/>
      <c r="K856" s="78"/>
      <c r="L856" s="78"/>
      <c r="M856" s="81"/>
      <c r="N856" s="76"/>
      <c r="O856" s="82"/>
      <c r="P856" s="80"/>
      <c r="Q856" s="83"/>
      <c r="R856" s="80"/>
      <c r="S856" s="80"/>
      <c r="T856" s="80"/>
      <c r="U856" s="83"/>
      <c r="V856" s="80"/>
      <c r="W856" s="83"/>
      <c r="X856" s="80"/>
      <c r="Y856" s="80"/>
      <c r="Z856" s="80"/>
      <c r="AA856" s="80"/>
      <c r="AB856" s="80"/>
      <c r="AC856" s="80"/>
      <c r="AD856" s="80"/>
      <c r="AE856" s="80"/>
    </row>
    <row r="857" spans="1:31" x14ac:dyDescent="0.25">
      <c r="A857" s="76"/>
      <c r="B857" s="76"/>
      <c r="C857" s="77"/>
      <c r="D857" s="78"/>
      <c r="E857" s="79"/>
      <c r="F857" s="80"/>
      <c r="G857" s="78"/>
      <c r="H857" s="81"/>
      <c r="I857" s="78"/>
      <c r="J857" s="78"/>
      <c r="K857" s="78"/>
      <c r="L857" s="78"/>
      <c r="M857" s="81"/>
      <c r="N857" s="76"/>
      <c r="O857" s="82"/>
      <c r="P857" s="80"/>
      <c r="Q857" s="83"/>
      <c r="R857" s="80"/>
      <c r="S857" s="80"/>
      <c r="T857" s="80"/>
      <c r="U857" s="83"/>
      <c r="V857" s="80"/>
      <c r="W857" s="83"/>
      <c r="X857" s="80"/>
      <c r="Y857" s="80"/>
      <c r="Z857" s="80"/>
      <c r="AA857" s="80"/>
      <c r="AB857" s="80"/>
      <c r="AC857" s="80"/>
      <c r="AD857" s="80"/>
      <c r="AE857" s="80"/>
    </row>
    <row r="858" spans="1:31" x14ac:dyDescent="0.25">
      <c r="A858" s="76"/>
      <c r="B858" s="76"/>
      <c r="C858" s="77"/>
      <c r="D858" s="78"/>
      <c r="E858" s="79"/>
      <c r="F858" s="80"/>
      <c r="G858" s="78"/>
      <c r="H858" s="81"/>
      <c r="I858" s="78"/>
      <c r="J858" s="78"/>
      <c r="K858" s="78"/>
      <c r="L858" s="78"/>
      <c r="M858" s="81"/>
      <c r="N858" s="76"/>
      <c r="O858" s="82"/>
      <c r="P858" s="80"/>
      <c r="Q858" s="83"/>
      <c r="R858" s="80"/>
      <c r="S858" s="80"/>
      <c r="T858" s="80"/>
      <c r="U858" s="83"/>
      <c r="V858" s="80"/>
      <c r="W858" s="83"/>
      <c r="X858" s="80"/>
      <c r="Y858" s="80"/>
      <c r="Z858" s="80"/>
      <c r="AA858" s="80"/>
      <c r="AB858" s="80"/>
      <c r="AC858" s="80"/>
      <c r="AD858" s="80"/>
      <c r="AE858" s="80"/>
    </row>
    <row r="859" spans="1:31" x14ac:dyDescent="0.25">
      <c r="A859" s="76"/>
      <c r="B859" s="76"/>
      <c r="C859" s="77"/>
      <c r="D859" s="78"/>
      <c r="E859" s="79"/>
      <c r="F859" s="80"/>
      <c r="G859" s="78"/>
      <c r="H859" s="81"/>
      <c r="I859" s="78"/>
      <c r="J859" s="78"/>
      <c r="K859" s="78"/>
      <c r="L859" s="78"/>
      <c r="M859" s="81"/>
      <c r="N859" s="76"/>
      <c r="O859" s="82"/>
      <c r="P859" s="80"/>
      <c r="Q859" s="83"/>
      <c r="R859" s="80"/>
      <c r="S859" s="80"/>
      <c r="T859" s="80"/>
      <c r="U859" s="83"/>
      <c r="V859" s="80"/>
      <c r="W859" s="83"/>
      <c r="X859" s="80"/>
      <c r="Y859" s="80"/>
      <c r="Z859" s="80"/>
      <c r="AA859" s="80"/>
      <c r="AB859" s="80"/>
      <c r="AC859" s="80"/>
      <c r="AD859" s="80"/>
      <c r="AE859" s="80"/>
    </row>
    <row r="860" spans="1:31" x14ac:dyDescent="0.25">
      <c r="A860" s="76"/>
      <c r="B860" s="76"/>
      <c r="C860" s="77"/>
      <c r="D860" s="78"/>
      <c r="E860" s="79"/>
      <c r="F860" s="80"/>
      <c r="G860" s="78"/>
      <c r="H860" s="81"/>
      <c r="I860" s="78"/>
      <c r="J860" s="78"/>
      <c r="K860" s="78"/>
      <c r="L860" s="78"/>
      <c r="M860" s="81"/>
      <c r="N860" s="76"/>
      <c r="O860" s="82"/>
      <c r="P860" s="80"/>
      <c r="Q860" s="83"/>
      <c r="R860" s="80"/>
      <c r="S860" s="80"/>
      <c r="T860" s="80"/>
      <c r="U860" s="83"/>
      <c r="V860" s="80"/>
      <c r="W860" s="83"/>
      <c r="X860" s="80"/>
      <c r="Y860" s="80"/>
      <c r="Z860" s="80"/>
      <c r="AA860" s="80"/>
      <c r="AB860" s="80"/>
      <c r="AC860" s="80"/>
      <c r="AD860" s="80"/>
      <c r="AE860" s="80"/>
    </row>
    <row r="861" spans="1:31" x14ac:dyDescent="0.25">
      <c r="A861" s="76"/>
      <c r="B861" s="76"/>
      <c r="C861" s="77"/>
      <c r="D861" s="78"/>
      <c r="E861" s="79"/>
      <c r="F861" s="80"/>
      <c r="G861" s="78"/>
      <c r="H861" s="81"/>
      <c r="I861" s="78"/>
      <c r="J861" s="78"/>
      <c r="K861" s="78"/>
      <c r="L861" s="78"/>
      <c r="M861" s="81"/>
      <c r="N861" s="76"/>
      <c r="O861" s="82"/>
      <c r="P861" s="80"/>
      <c r="Q861" s="83"/>
      <c r="R861" s="80"/>
      <c r="S861" s="80"/>
      <c r="T861" s="80"/>
      <c r="U861" s="83"/>
      <c r="V861" s="80"/>
      <c r="W861" s="83"/>
      <c r="X861" s="80"/>
      <c r="Y861" s="80"/>
      <c r="Z861" s="80"/>
      <c r="AA861" s="80"/>
      <c r="AB861" s="80"/>
      <c r="AC861" s="80"/>
      <c r="AD861" s="80"/>
      <c r="AE861" s="80"/>
    </row>
    <row r="862" spans="1:31" x14ac:dyDescent="0.25">
      <c r="A862" s="76"/>
      <c r="B862" s="76"/>
      <c r="C862" s="77"/>
      <c r="D862" s="78"/>
      <c r="E862" s="79"/>
      <c r="F862" s="80"/>
      <c r="G862" s="78"/>
      <c r="H862" s="81"/>
      <c r="I862" s="78"/>
      <c r="J862" s="78"/>
      <c r="K862" s="78"/>
      <c r="L862" s="78"/>
      <c r="M862" s="81"/>
      <c r="N862" s="76"/>
      <c r="O862" s="82"/>
      <c r="P862" s="80"/>
      <c r="Q862" s="83"/>
      <c r="R862" s="80"/>
      <c r="S862" s="80"/>
      <c r="T862" s="80"/>
      <c r="U862" s="83"/>
      <c r="V862" s="80"/>
      <c r="W862" s="83"/>
      <c r="X862" s="80"/>
      <c r="Y862" s="80"/>
      <c r="Z862" s="80"/>
      <c r="AA862" s="80"/>
      <c r="AB862" s="80"/>
      <c r="AC862" s="80"/>
      <c r="AD862" s="80"/>
      <c r="AE862" s="80"/>
    </row>
    <row r="863" spans="1:31" x14ac:dyDescent="0.25">
      <c r="A863" s="76"/>
      <c r="B863" s="76"/>
      <c r="C863" s="77"/>
      <c r="D863" s="78"/>
      <c r="E863" s="79"/>
      <c r="F863" s="80"/>
      <c r="G863" s="78"/>
      <c r="H863" s="81"/>
      <c r="I863" s="78"/>
      <c r="J863" s="78"/>
      <c r="K863" s="78"/>
      <c r="L863" s="78"/>
      <c r="M863" s="81"/>
      <c r="N863" s="76"/>
      <c r="O863" s="82"/>
      <c r="P863" s="80"/>
      <c r="Q863" s="83"/>
      <c r="R863" s="80"/>
      <c r="S863" s="80"/>
      <c r="T863" s="80"/>
      <c r="U863" s="83"/>
      <c r="V863" s="80"/>
      <c r="W863" s="83"/>
      <c r="X863" s="80"/>
      <c r="Y863" s="80"/>
      <c r="Z863" s="80"/>
      <c r="AA863" s="80"/>
      <c r="AB863" s="80"/>
      <c r="AC863" s="80"/>
      <c r="AD863" s="80"/>
      <c r="AE863" s="80"/>
    </row>
    <row r="864" spans="1:31" x14ac:dyDescent="0.25">
      <c r="A864" s="76"/>
      <c r="B864" s="76"/>
      <c r="C864" s="77"/>
      <c r="D864" s="78"/>
      <c r="E864" s="79"/>
      <c r="F864" s="80"/>
      <c r="G864" s="78"/>
      <c r="H864" s="81"/>
      <c r="I864" s="78"/>
      <c r="J864" s="78"/>
      <c r="K864" s="78"/>
      <c r="L864" s="78"/>
      <c r="M864" s="81"/>
      <c r="N864" s="76"/>
      <c r="O864" s="82"/>
      <c r="P864" s="80"/>
      <c r="Q864" s="83"/>
      <c r="R864" s="80"/>
      <c r="S864" s="80"/>
      <c r="T864" s="80"/>
      <c r="U864" s="83"/>
      <c r="V864" s="80"/>
      <c r="W864" s="83"/>
      <c r="X864" s="80"/>
      <c r="Y864" s="80"/>
      <c r="Z864" s="80"/>
      <c r="AA864" s="80"/>
      <c r="AB864" s="80"/>
      <c r="AC864" s="80"/>
      <c r="AD864" s="80"/>
      <c r="AE864" s="80"/>
    </row>
    <row r="865" spans="1:31" x14ac:dyDescent="0.25">
      <c r="A865" s="76"/>
      <c r="B865" s="76"/>
      <c r="C865" s="77"/>
      <c r="D865" s="78"/>
      <c r="E865" s="79"/>
      <c r="F865" s="80"/>
      <c r="G865" s="78"/>
      <c r="H865" s="81"/>
      <c r="I865" s="78"/>
      <c r="J865" s="78"/>
      <c r="K865" s="78"/>
      <c r="L865" s="78"/>
      <c r="M865" s="81"/>
      <c r="N865" s="76"/>
      <c r="O865" s="82"/>
      <c r="P865" s="80"/>
      <c r="Q865" s="83"/>
      <c r="R865" s="80"/>
      <c r="S865" s="80"/>
      <c r="T865" s="80"/>
      <c r="U865" s="83"/>
      <c r="V865" s="80"/>
      <c r="W865" s="83"/>
      <c r="X865" s="80"/>
      <c r="Y865" s="80"/>
      <c r="Z865" s="80"/>
      <c r="AA865" s="80"/>
      <c r="AB865" s="80"/>
      <c r="AC865" s="80"/>
      <c r="AD865" s="80"/>
      <c r="AE865" s="80"/>
    </row>
    <row r="866" spans="1:31" x14ac:dyDescent="0.25">
      <c r="A866" s="76"/>
      <c r="B866" s="76"/>
      <c r="C866" s="77"/>
      <c r="D866" s="78"/>
      <c r="E866" s="79"/>
      <c r="F866" s="80"/>
      <c r="G866" s="78"/>
      <c r="H866" s="81"/>
      <c r="I866" s="78"/>
      <c r="J866" s="78"/>
      <c r="K866" s="78"/>
      <c r="L866" s="78"/>
      <c r="M866" s="81"/>
      <c r="N866" s="76"/>
      <c r="O866" s="82"/>
      <c r="P866" s="80"/>
      <c r="Q866" s="83"/>
      <c r="R866" s="80"/>
      <c r="S866" s="80"/>
      <c r="T866" s="80"/>
      <c r="U866" s="83"/>
      <c r="V866" s="80"/>
      <c r="W866" s="83"/>
      <c r="X866" s="80"/>
      <c r="Y866" s="80"/>
      <c r="Z866" s="80"/>
      <c r="AA866" s="80"/>
      <c r="AB866" s="80"/>
      <c r="AC866" s="80"/>
      <c r="AD866" s="80"/>
      <c r="AE866" s="80"/>
    </row>
    <row r="867" spans="1:31" x14ac:dyDescent="0.25">
      <c r="A867" s="76"/>
      <c r="B867" s="76"/>
      <c r="C867" s="77"/>
      <c r="D867" s="78"/>
      <c r="E867" s="79"/>
      <c r="F867" s="80"/>
      <c r="G867" s="78"/>
      <c r="H867" s="81"/>
      <c r="I867" s="78"/>
      <c r="J867" s="78"/>
      <c r="K867" s="78"/>
      <c r="L867" s="78"/>
      <c r="M867" s="81"/>
      <c r="N867" s="76"/>
      <c r="O867" s="82"/>
      <c r="P867" s="80"/>
      <c r="Q867" s="83"/>
      <c r="R867" s="80"/>
      <c r="S867" s="80"/>
      <c r="T867" s="80"/>
      <c r="U867" s="83"/>
      <c r="V867" s="80"/>
      <c r="W867" s="83"/>
      <c r="X867" s="80"/>
      <c r="Y867" s="80"/>
      <c r="Z867" s="80"/>
      <c r="AA867" s="80"/>
      <c r="AB867" s="80"/>
      <c r="AC867" s="80"/>
      <c r="AD867" s="80"/>
      <c r="AE867" s="80"/>
    </row>
    <row r="868" spans="1:31" x14ac:dyDescent="0.25">
      <c r="A868" s="76"/>
      <c r="B868" s="76"/>
      <c r="C868" s="77"/>
      <c r="D868" s="78"/>
      <c r="E868" s="79"/>
      <c r="F868" s="80"/>
      <c r="G868" s="78"/>
      <c r="H868" s="81"/>
      <c r="I868" s="78"/>
      <c r="J868" s="78"/>
      <c r="K868" s="78"/>
      <c r="L868" s="78"/>
      <c r="M868" s="81"/>
      <c r="N868" s="76"/>
      <c r="O868" s="82"/>
      <c r="P868" s="80"/>
      <c r="Q868" s="83"/>
      <c r="R868" s="80"/>
      <c r="S868" s="80"/>
      <c r="T868" s="80"/>
      <c r="U868" s="83"/>
      <c r="V868" s="80"/>
      <c r="W868" s="83"/>
      <c r="X868" s="80"/>
      <c r="Y868" s="80"/>
      <c r="Z868" s="80"/>
      <c r="AA868" s="80"/>
      <c r="AB868" s="80"/>
      <c r="AC868" s="80"/>
      <c r="AD868" s="80"/>
      <c r="AE868" s="80"/>
    </row>
    <row r="869" spans="1:31" x14ac:dyDescent="0.25">
      <c r="A869" s="76"/>
      <c r="B869" s="76"/>
      <c r="C869" s="77"/>
      <c r="D869" s="78"/>
      <c r="E869" s="79"/>
      <c r="F869" s="80"/>
      <c r="G869" s="78"/>
      <c r="H869" s="81"/>
      <c r="I869" s="78"/>
      <c r="J869" s="78"/>
      <c r="K869" s="78"/>
      <c r="L869" s="78"/>
      <c r="M869" s="81"/>
      <c r="N869" s="76"/>
      <c r="O869" s="82"/>
      <c r="P869" s="80"/>
      <c r="Q869" s="83"/>
      <c r="R869" s="80"/>
      <c r="S869" s="80"/>
      <c r="T869" s="80"/>
      <c r="U869" s="83"/>
      <c r="V869" s="80"/>
      <c r="W869" s="83"/>
      <c r="X869" s="80"/>
      <c r="Y869" s="80"/>
      <c r="Z869" s="80"/>
      <c r="AA869" s="80"/>
      <c r="AB869" s="80"/>
      <c r="AC869" s="80"/>
      <c r="AD869" s="80"/>
      <c r="AE869" s="80"/>
    </row>
    <row r="870" spans="1:31" x14ac:dyDescent="0.25">
      <c r="A870" s="76"/>
      <c r="B870" s="76"/>
      <c r="C870" s="77"/>
      <c r="D870" s="78"/>
      <c r="E870" s="79"/>
      <c r="F870" s="80"/>
      <c r="G870" s="78"/>
      <c r="H870" s="81"/>
      <c r="I870" s="78"/>
      <c r="J870" s="78"/>
      <c r="K870" s="78"/>
      <c r="L870" s="78"/>
      <c r="M870" s="81"/>
      <c r="N870" s="76"/>
      <c r="O870" s="82"/>
      <c r="P870" s="80"/>
      <c r="Q870" s="83"/>
      <c r="R870" s="80"/>
      <c r="S870" s="80"/>
      <c r="T870" s="80"/>
      <c r="U870" s="83"/>
      <c r="V870" s="80"/>
      <c r="W870" s="83"/>
      <c r="X870" s="80"/>
      <c r="Y870" s="80"/>
      <c r="Z870" s="80"/>
      <c r="AA870" s="80"/>
      <c r="AB870" s="80"/>
      <c r="AC870" s="80"/>
      <c r="AD870" s="80"/>
      <c r="AE870" s="80"/>
    </row>
    <row r="871" spans="1:31" x14ac:dyDescent="0.25">
      <c r="A871" s="76"/>
      <c r="B871" s="76"/>
      <c r="C871" s="77"/>
      <c r="D871" s="78"/>
      <c r="E871" s="79"/>
      <c r="F871" s="80"/>
      <c r="G871" s="78"/>
      <c r="H871" s="81"/>
      <c r="I871" s="78"/>
      <c r="J871" s="78"/>
      <c r="K871" s="78"/>
      <c r="L871" s="78"/>
      <c r="M871" s="81"/>
      <c r="N871" s="76"/>
      <c r="O871" s="82"/>
      <c r="P871" s="80"/>
      <c r="Q871" s="83"/>
      <c r="R871" s="80"/>
      <c r="S871" s="80"/>
      <c r="T871" s="80"/>
      <c r="U871" s="83"/>
      <c r="V871" s="80"/>
      <c r="W871" s="83"/>
      <c r="X871" s="80"/>
      <c r="Y871" s="80"/>
      <c r="Z871" s="80"/>
      <c r="AA871" s="80"/>
      <c r="AB871" s="80"/>
      <c r="AC871" s="80"/>
      <c r="AD871" s="80"/>
      <c r="AE871" s="80"/>
    </row>
    <row r="872" spans="1:31" x14ac:dyDescent="0.25">
      <c r="A872" s="76"/>
      <c r="B872" s="76"/>
      <c r="C872" s="77"/>
      <c r="D872" s="78"/>
      <c r="E872" s="79"/>
      <c r="F872" s="80"/>
      <c r="G872" s="78"/>
      <c r="H872" s="81"/>
      <c r="I872" s="78"/>
      <c r="J872" s="78"/>
      <c r="K872" s="78"/>
      <c r="L872" s="78"/>
      <c r="M872" s="81"/>
      <c r="N872" s="76"/>
      <c r="O872" s="82"/>
      <c r="P872" s="80"/>
      <c r="Q872" s="83"/>
      <c r="R872" s="80"/>
      <c r="S872" s="80"/>
      <c r="T872" s="80"/>
      <c r="U872" s="83"/>
      <c r="V872" s="80"/>
      <c r="W872" s="83"/>
      <c r="X872" s="80"/>
      <c r="Y872" s="80"/>
      <c r="Z872" s="80"/>
      <c r="AA872" s="80"/>
      <c r="AB872" s="80"/>
      <c r="AC872" s="80"/>
      <c r="AD872" s="80"/>
      <c r="AE872" s="80"/>
    </row>
    <row r="873" spans="1:31" x14ac:dyDescent="0.25">
      <c r="A873" s="76"/>
      <c r="B873" s="76"/>
      <c r="C873" s="77"/>
      <c r="D873" s="78"/>
      <c r="E873" s="79"/>
      <c r="F873" s="80"/>
      <c r="G873" s="78"/>
      <c r="H873" s="81"/>
      <c r="I873" s="78"/>
      <c r="J873" s="78"/>
      <c r="K873" s="78"/>
      <c r="L873" s="78"/>
      <c r="M873" s="81"/>
      <c r="N873" s="76"/>
      <c r="O873" s="82"/>
      <c r="P873" s="80"/>
      <c r="Q873" s="83"/>
      <c r="R873" s="80"/>
      <c r="S873" s="80"/>
      <c r="T873" s="80"/>
      <c r="U873" s="83"/>
      <c r="V873" s="80"/>
      <c r="W873" s="83"/>
      <c r="X873" s="80"/>
      <c r="Y873" s="80"/>
      <c r="Z873" s="80"/>
      <c r="AA873" s="80"/>
      <c r="AB873" s="80"/>
      <c r="AC873" s="80"/>
      <c r="AD873" s="80"/>
      <c r="AE873" s="80"/>
    </row>
    <row r="874" spans="1:31" x14ac:dyDescent="0.25">
      <c r="A874" s="76"/>
      <c r="B874" s="76"/>
      <c r="C874" s="77"/>
      <c r="D874" s="78"/>
      <c r="E874" s="79"/>
      <c r="F874" s="80"/>
      <c r="G874" s="78"/>
      <c r="H874" s="81"/>
      <c r="I874" s="78"/>
      <c r="J874" s="78"/>
      <c r="K874" s="78"/>
      <c r="L874" s="78"/>
      <c r="M874" s="81"/>
      <c r="N874" s="76"/>
      <c r="O874" s="82"/>
      <c r="P874" s="80"/>
      <c r="Q874" s="83"/>
      <c r="R874" s="80"/>
      <c r="S874" s="80"/>
      <c r="T874" s="80"/>
      <c r="U874" s="83"/>
      <c r="V874" s="80"/>
      <c r="W874" s="83"/>
      <c r="X874" s="80"/>
      <c r="Y874" s="80"/>
      <c r="Z874" s="80"/>
      <c r="AA874" s="80"/>
      <c r="AB874" s="80"/>
      <c r="AC874" s="80"/>
      <c r="AD874" s="80"/>
      <c r="AE874" s="80"/>
    </row>
    <row r="875" spans="1:31" x14ac:dyDescent="0.25">
      <c r="A875" s="76"/>
      <c r="B875" s="76"/>
      <c r="C875" s="77"/>
      <c r="D875" s="78"/>
      <c r="E875" s="79"/>
      <c r="F875" s="80"/>
      <c r="G875" s="78"/>
      <c r="H875" s="81"/>
      <c r="I875" s="78"/>
      <c r="J875" s="78"/>
      <c r="K875" s="78"/>
      <c r="L875" s="78"/>
      <c r="M875" s="81"/>
      <c r="N875" s="76"/>
      <c r="O875" s="82"/>
      <c r="P875" s="80"/>
      <c r="Q875" s="83"/>
      <c r="R875" s="80"/>
      <c r="S875" s="80"/>
      <c r="T875" s="80"/>
      <c r="U875" s="83"/>
      <c r="V875" s="80"/>
      <c r="W875" s="83"/>
      <c r="X875" s="80"/>
      <c r="Y875" s="80"/>
      <c r="Z875" s="80"/>
      <c r="AA875" s="80"/>
      <c r="AB875" s="80"/>
      <c r="AC875" s="80"/>
      <c r="AD875" s="80"/>
      <c r="AE875" s="80"/>
    </row>
    <row r="876" spans="1:31" x14ac:dyDescent="0.25">
      <c r="A876" s="76"/>
      <c r="B876" s="76"/>
      <c r="C876" s="77"/>
      <c r="D876" s="78"/>
      <c r="E876" s="79"/>
      <c r="F876" s="80"/>
      <c r="G876" s="78"/>
      <c r="H876" s="81"/>
      <c r="I876" s="78"/>
      <c r="J876" s="78"/>
      <c r="K876" s="78"/>
      <c r="L876" s="78"/>
      <c r="M876" s="81"/>
      <c r="N876" s="76"/>
      <c r="O876" s="82"/>
      <c r="P876" s="80"/>
      <c r="Q876" s="83"/>
      <c r="R876" s="80"/>
      <c r="S876" s="80"/>
      <c r="T876" s="80"/>
      <c r="U876" s="83"/>
      <c r="V876" s="80"/>
      <c r="W876" s="83"/>
      <c r="X876" s="80"/>
      <c r="Y876" s="80"/>
      <c r="Z876" s="80"/>
      <c r="AA876" s="80"/>
      <c r="AB876" s="80"/>
      <c r="AC876" s="80"/>
      <c r="AD876" s="80"/>
      <c r="AE876" s="80"/>
    </row>
    <row r="877" spans="1:31" x14ac:dyDescent="0.25">
      <c r="A877" s="76"/>
      <c r="B877" s="76"/>
      <c r="C877" s="77"/>
      <c r="D877" s="78"/>
      <c r="E877" s="79"/>
      <c r="F877" s="80"/>
      <c r="G877" s="78"/>
      <c r="H877" s="81"/>
      <c r="I877" s="78"/>
      <c r="J877" s="78"/>
      <c r="K877" s="78"/>
      <c r="L877" s="78"/>
      <c r="M877" s="81"/>
      <c r="N877" s="76"/>
      <c r="O877" s="82"/>
      <c r="P877" s="80"/>
      <c r="Q877" s="83"/>
      <c r="R877" s="80"/>
      <c r="S877" s="80"/>
      <c r="T877" s="80"/>
      <c r="U877" s="83"/>
      <c r="V877" s="80"/>
      <c r="W877" s="83"/>
      <c r="X877" s="80"/>
      <c r="Y877" s="80"/>
      <c r="Z877" s="80"/>
      <c r="AA877" s="80"/>
      <c r="AB877" s="80"/>
      <c r="AC877" s="80"/>
      <c r="AD877" s="80"/>
      <c r="AE877" s="80"/>
    </row>
    <row r="878" spans="1:31" x14ac:dyDescent="0.25">
      <c r="A878" s="76"/>
      <c r="B878" s="76"/>
      <c r="C878" s="77"/>
      <c r="D878" s="78"/>
      <c r="E878" s="79"/>
      <c r="F878" s="80"/>
      <c r="G878" s="78"/>
      <c r="H878" s="81"/>
      <c r="I878" s="78"/>
      <c r="J878" s="78"/>
      <c r="K878" s="78"/>
      <c r="L878" s="78"/>
      <c r="M878" s="81"/>
      <c r="N878" s="76"/>
      <c r="O878" s="82"/>
      <c r="P878" s="80"/>
      <c r="Q878" s="83"/>
      <c r="R878" s="80"/>
      <c r="S878" s="80"/>
      <c r="T878" s="80"/>
      <c r="U878" s="83"/>
      <c r="V878" s="80"/>
      <c r="W878" s="83"/>
      <c r="X878" s="80"/>
      <c r="Y878" s="80"/>
      <c r="Z878" s="80"/>
      <c r="AA878" s="80"/>
      <c r="AB878" s="80"/>
      <c r="AC878" s="80"/>
      <c r="AD878" s="80"/>
      <c r="AE878" s="80"/>
    </row>
    <row r="879" spans="1:31" x14ac:dyDescent="0.25">
      <c r="A879" s="76"/>
      <c r="B879" s="76"/>
      <c r="C879" s="77"/>
      <c r="D879" s="78"/>
      <c r="E879" s="79"/>
      <c r="F879" s="80"/>
      <c r="G879" s="78"/>
      <c r="H879" s="81"/>
      <c r="I879" s="78"/>
      <c r="J879" s="78"/>
      <c r="K879" s="78"/>
      <c r="L879" s="78"/>
      <c r="M879" s="81"/>
      <c r="N879" s="76"/>
      <c r="O879" s="82"/>
      <c r="P879" s="80"/>
      <c r="Q879" s="83"/>
      <c r="R879" s="80"/>
      <c r="S879" s="80"/>
      <c r="T879" s="80"/>
      <c r="U879" s="83"/>
      <c r="V879" s="80"/>
      <c r="W879" s="83"/>
      <c r="X879" s="80"/>
      <c r="Y879" s="80"/>
      <c r="Z879" s="80"/>
      <c r="AA879" s="80"/>
      <c r="AB879" s="80"/>
      <c r="AC879" s="80"/>
      <c r="AD879" s="80"/>
      <c r="AE879" s="80"/>
    </row>
    <row r="880" spans="1:31" x14ac:dyDescent="0.25">
      <c r="A880" s="76"/>
      <c r="B880" s="76"/>
      <c r="C880" s="77"/>
      <c r="D880" s="78"/>
      <c r="E880" s="79"/>
      <c r="F880" s="80"/>
      <c r="G880" s="78"/>
      <c r="H880" s="81"/>
      <c r="I880" s="78"/>
      <c r="J880" s="78"/>
      <c r="K880" s="78"/>
      <c r="L880" s="78"/>
      <c r="M880" s="81"/>
      <c r="N880" s="76"/>
      <c r="O880" s="82"/>
      <c r="P880" s="80"/>
      <c r="Q880" s="83"/>
      <c r="R880" s="80"/>
      <c r="S880" s="80"/>
      <c r="T880" s="80"/>
      <c r="U880" s="83"/>
      <c r="V880" s="80"/>
      <c r="W880" s="83"/>
      <c r="X880" s="80"/>
      <c r="Y880" s="80"/>
      <c r="Z880" s="80"/>
      <c r="AA880" s="80"/>
      <c r="AB880" s="80"/>
      <c r="AC880" s="80"/>
      <c r="AD880" s="80"/>
      <c r="AE880" s="80"/>
    </row>
    <row r="881" spans="1:31" x14ac:dyDescent="0.25">
      <c r="A881" s="76"/>
      <c r="B881" s="76"/>
      <c r="C881" s="77"/>
      <c r="D881" s="78"/>
      <c r="E881" s="79"/>
      <c r="F881" s="80"/>
      <c r="G881" s="78"/>
      <c r="H881" s="81"/>
      <c r="I881" s="78"/>
      <c r="J881" s="78"/>
      <c r="K881" s="78"/>
      <c r="L881" s="78"/>
      <c r="M881" s="81"/>
      <c r="N881" s="76"/>
      <c r="O881" s="82"/>
      <c r="P881" s="80"/>
      <c r="Q881" s="83"/>
      <c r="R881" s="80"/>
      <c r="S881" s="80"/>
      <c r="T881" s="80"/>
      <c r="U881" s="83"/>
      <c r="V881" s="80"/>
      <c r="W881" s="83"/>
      <c r="X881" s="80"/>
      <c r="Y881" s="80"/>
      <c r="Z881" s="80"/>
      <c r="AA881" s="80"/>
      <c r="AB881" s="80"/>
      <c r="AC881" s="80"/>
      <c r="AD881" s="80"/>
      <c r="AE881" s="80"/>
    </row>
    <row r="882" spans="1:31" x14ac:dyDescent="0.25">
      <c r="A882" s="76"/>
      <c r="B882" s="76"/>
      <c r="C882" s="77"/>
      <c r="D882" s="78"/>
      <c r="E882" s="79"/>
      <c r="F882" s="80"/>
      <c r="G882" s="78"/>
      <c r="H882" s="81"/>
      <c r="I882" s="78"/>
      <c r="J882" s="78"/>
      <c r="K882" s="78"/>
      <c r="L882" s="78"/>
      <c r="M882" s="81"/>
      <c r="N882" s="76"/>
      <c r="O882" s="82"/>
      <c r="P882" s="80"/>
      <c r="Q882" s="83"/>
      <c r="R882" s="80"/>
      <c r="S882" s="80"/>
      <c r="T882" s="80"/>
      <c r="U882" s="83"/>
      <c r="V882" s="80"/>
      <c r="W882" s="83"/>
      <c r="X882" s="80"/>
      <c r="Y882" s="80"/>
      <c r="Z882" s="80"/>
      <c r="AA882" s="80"/>
      <c r="AB882" s="80"/>
      <c r="AC882" s="80"/>
      <c r="AD882" s="80"/>
      <c r="AE882" s="80"/>
    </row>
    <row r="883" spans="1:31" x14ac:dyDescent="0.25">
      <c r="A883" s="76"/>
      <c r="B883" s="76"/>
      <c r="C883" s="77"/>
      <c r="D883" s="78"/>
      <c r="E883" s="79"/>
      <c r="F883" s="80"/>
      <c r="G883" s="78"/>
      <c r="H883" s="81"/>
      <c r="I883" s="78"/>
      <c r="J883" s="78"/>
      <c r="K883" s="78"/>
      <c r="L883" s="78"/>
      <c r="M883" s="81"/>
      <c r="N883" s="76"/>
      <c r="O883" s="82"/>
      <c r="P883" s="80"/>
      <c r="Q883" s="83"/>
      <c r="R883" s="80"/>
      <c r="S883" s="80"/>
      <c r="T883" s="80"/>
      <c r="U883" s="83"/>
      <c r="V883" s="80"/>
      <c r="W883" s="83"/>
      <c r="X883" s="80"/>
      <c r="Y883" s="80"/>
      <c r="Z883" s="80"/>
      <c r="AA883" s="80"/>
      <c r="AB883" s="80"/>
      <c r="AC883" s="80"/>
      <c r="AD883" s="80"/>
      <c r="AE883" s="80"/>
    </row>
    <row r="884" spans="1:31" x14ac:dyDescent="0.25">
      <c r="A884" s="76"/>
      <c r="B884" s="76"/>
      <c r="C884" s="77"/>
      <c r="D884" s="78"/>
      <c r="E884" s="79"/>
      <c r="F884" s="80"/>
      <c r="G884" s="78"/>
      <c r="H884" s="81"/>
      <c r="I884" s="78"/>
      <c r="J884" s="78"/>
      <c r="K884" s="78"/>
      <c r="L884" s="78"/>
      <c r="M884" s="81"/>
      <c r="N884" s="76"/>
      <c r="O884" s="82"/>
      <c r="P884" s="80"/>
      <c r="Q884" s="83"/>
      <c r="R884" s="80"/>
      <c r="S884" s="80"/>
      <c r="T884" s="80"/>
      <c r="U884" s="83"/>
      <c r="V884" s="80"/>
      <c r="W884" s="83"/>
      <c r="X884" s="80"/>
      <c r="Y884" s="80"/>
      <c r="Z884" s="80"/>
      <c r="AA884" s="80"/>
      <c r="AB884" s="80"/>
      <c r="AC884" s="80"/>
      <c r="AD884" s="80"/>
      <c r="AE884" s="80"/>
    </row>
    <row r="885" spans="1:31" x14ac:dyDescent="0.25">
      <c r="A885" s="76"/>
      <c r="B885" s="76"/>
      <c r="C885" s="77"/>
      <c r="D885" s="78"/>
      <c r="E885" s="79"/>
      <c r="F885" s="80"/>
      <c r="G885" s="78"/>
      <c r="H885" s="81"/>
      <c r="I885" s="78"/>
      <c r="J885" s="78"/>
      <c r="K885" s="78"/>
      <c r="L885" s="78"/>
      <c r="M885" s="81"/>
      <c r="N885" s="76"/>
      <c r="O885" s="82"/>
      <c r="P885" s="80"/>
      <c r="Q885" s="83"/>
      <c r="R885" s="80"/>
      <c r="S885" s="80"/>
      <c r="T885" s="80"/>
      <c r="U885" s="83"/>
      <c r="V885" s="80"/>
      <c r="W885" s="83"/>
      <c r="X885" s="80"/>
      <c r="Y885" s="80"/>
      <c r="Z885" s="80"/>
      <c r="AA885" s="80"/>
      <c r="AB885" s="80"/>
      <c r="AC885" s="80"/>
      <c r="AD885" s="80"/>
      <c r="AE885" s="80"/>
    </row>
    <row r="886" spans="1:31" x14ac:dyDescent="0.25">
      <c r="A886" s="76"/>
      <c r="B886" s="76"/>
      <c r="C886" s="77"/>
      <c r="D886" s="78"/>
      <c r="E886" s="79"/>
      <c r="F886" s="80"/>
      <c r="G886" s="78"/>
      <c r="H886" s="81"/>
      <c r="I886" s="78"/>
      <c r="J886" s="78"/>
      <c r="K886" s="78"/>
      <c r="L886" s="78"/>
      <c r="M886" s="81"/>
      <c r="N886" s="76"/>
      <c r="O886" s="82"/>
      <c r="P886" s="80"/>
      <c r="Q886" s="83"/>
      <c r="R886" s="80"/>
      <c r="S886" s="80"/>
      <c r="T886" s="80"/>
      <c r="U886" s="83"/>
      <c r="V886" s="80"/>
      <c r="W886" s="83"/>
      <c r="X886" s="80"/>
      <c r="Y886" s="80"/>
      <c r="Z886" s="80"/>
      <c r="AA886" s="80"/>
      <c r="AB886" s="80"/>
      <c r="AC886" s="80"/>
      <c r="AD886" s="80"/>
      <c r="AE886" s="80"/>
    </row>
    <row r="887" spans="1:31" x14ac:dyDescent="0.25">
      <c r="A887" s="76"/>
      <c r="B887" s="76"/>
      <c r="C887" s="77"/>
      <c r="D887" s="78"/>
      <c r="E887" s="79"/>
      <c r="F887" s="80"/>
      <c r="G887" s="78"/>
      <c r="H887" s="81"/>
      <c r="I887" s="78"/>
      <c r="J887" s="78"/>
      <c r="K887" s="78"/>
      <c r="L887" s="78"/>
      <c r="M887" s="81"/>
      <c r="N887" s="76"/>
      <c r="O887" s="82"/>
      <c r="P887" s="80"/>
      <c r="Q887" s="83"/>
      <c r="R887" s="80"/>
      <c r="S887" s="80"/>
      <c r="T887" s="80"/>
      <c r="U887" s="83"/>
      <c r="V887" s="80"/>
      <c r="W887" s="83"/>
      <c r="X887" s="80"/>
      <c r="Y887" s="80"/>
      <c r="Z887" s="80"/>
      <c r="AA887" s="80"/>
      <c r="AB887" s="80"/>
      <c r="AC887" s="80"/>
      <c r="AD887" s="80"/>
      <c r="AE887" s="80"/>
    </row>
    <row r="888" spans="1:31" x14ac:dyDescent="0.25">
      <c r="A888" s="76"/>
      <c r="B888" s="76"/>
      <c r="C888" s="77"/>
      <c r="D888" s="78"/>
      <c r="E888" s="79"/>
      <c r="F888" s="80"/>
      <c r="G888" s="78"/>
      <c r="H888" s="81"/>
      <c r="I888" s="78"/>
      <c r="J888" s="78"/>
      <c r="K888" s="78"/>
      <c r="L888" s="78"/>
      <c r="M888" s="81"/>
      <c r="N888" s="76"/>
      <c r="O888" s="82"/>
      <c r="P888" s="80"/>
      <c r="Q888" s="83"/>
      <c r="R888" s="80"/>
      <c r="S888" s="80"/>
      <c r="T888" s="80"/>
      <c r="U888" s="83"/>
      <c r="V888" s="80"/>
      <c r="W888" s="83"/>
      <c r="X888" s="80"/>
      <c r="Y888" s="80"/>
      <c r="Z888" s="80"/>
      <c r="AA888" s="80"/>
      <c r="AB888" s="80"/>
      <c r="AC888" s="80"/>
      <c r="AD888" s="80"/>
      <c r="AE888" s="80"/>
    </row>
    <row r="889" spans="1:31" x14ac:dyDescent="0.25">
      <c r="A889" s="76"/>
      <c r="B889" s="76"/>
      <c r="C889" s="77"/>
      <c r="D889" s="78"/>
      <c r="E889" s="79"/>
      <c r="F889" s="80"/>
      <c r="G889" s="78"/>
      <c r="H889" s="81"/>
      <c r="I889" s="78"/>
      <c r="J889" s="78"/>
      <c r="K889" s="78"/>
      <c r="L889" s="78"/>
      <c r="M889" s="81"/>
      <c r="N889" s="76"/>
      <c r="O889" s="82"/>
      <c r="P889" s="80"/>
      <c r="Q889" s="83"/>
      <c r="R889" s="80"/>
      <c r="S889" s="80"/>
      <c r="T889" s="80"/>
      <c r="U889" s="83"/>
      <c r="V889" s="80"/>
      <c r="W889" s="83"/>
      <c r="X889" s="80"/>
      <c r="Y889" s="80"/>
      <c r="Z889" s="80"/>
      <c r="AA889" s="80"/>
      <c r="AB889" s="80"/>
      <c r="AC889" s="80"/>
      <c r="AD889" s="80"/>
      <c r="AE889" s="80"/>
    </row>
    <row r="890" spans="1:31" x14ac:dyDescent="0.25">
      <c r="A890" s="76"/>
      <c r="B890" s="76"/>
      <c r="C890" s="77"/>
      <c r="D890" s="78"/>
      <c r="E890" s="79"/>
      <c r="F890" s="80"/>
      <c r="G890" s="78"/>
      <c r="H890" s="81"/>
      <c r="I890" s="78"/>
      <c r="J890" s="78"/>
      <c r="K890" s="78"/>
      <c r="L890" s="78"/>
      <c r="M890" s="81"/>
      <c r="N890" s="76"/>
      <c r="O890" s="82"/>
      <c r="P890" s="80"/>
      <c r="Q890" s="83"/>
      <c r="R890" s="80"/>
      <c r="S890" s="80"/>
      <c r="T890" s="80"/>
      <c r="U890" s="83"/>
      <c r="V890" s="80"/>
      <c r="W890" s="83"/>
      <c r="X890" s="80"/>
      <c r="Y890" s="80"/>
      <c r="Z890" s="80"/>
      <c r="AA890" s="80"/>
      <c r="AB890" s="80"/>
      <c r="AC890" s="80"/>
      <c r="AD890" s="80"/>
      <c r="AE890" s="80"/>
    </row>
    <row r="891" spans="1:31" x14ac:dyDescent="0.25">
      <c r="A891" s="76"/>
      <c r="B891" s="76"/>
      <c r="C891" s="77"/>
      <c r="D891" s="78"/>
      <c r="E891" s="79"/>
      <c r="F891" s="80"/>
      <c r="G891" s="78"/>
      <c r="H891" s="81"/>
      <c r="I891" s="78"/>
      <c r="J891" s="78"/>
      <c r="K891" s="78"/>
      <c r="L891" s="78"/>
      <c r="M891" s="81"/>
      <c r="N891" s="76"/>
      <c r="O891" s="82"/>
      <c r="P891" s="80"/>
      <c r="Q891" s="83"/>
      <c r="R891" s="80"/>
      <c r="S891" s="80"/>
      <c r="T891" s="80"/>
      <c r="U891" s="83"/>
      <c r="V891" s="80"/>
      <c r="W891" s="83"/>
      <c r="X891" s="80"/>
      <c r="Y891" s="80"/>
      <c r="Z891" s="80"/>
      <c r="AA891" s="80"/>
      <c r="AB891" s="80"/>
      <c r="AC891" s="80"/>
      <c r="AD891" s="80"/>
      <c r="AE891" s="80"/>
    </row>
    <row r="892" spans="1:31" x14ac:dyDescent="0.25">
      <c r="A892" s="76"/>
      <c r="B892" s="76"/>
      <c r="C892" s="77"/>
      <c r="D892" s="78"/>
      <c r="E892" s="79"/>
      <c r="F892" s="80"/>
      <c r="G892" s="78"/>
      <c r="H892" s="81"/>
      <c r="I892" s="78"/>
      <c r="J892" s="78"/>
      <c r="K892" s="78"/>
      <c r="L892" s="78"/>
      <c r="M892" s="81"/>
      <c r="N892" s="76"/>
      <c r="O892" s="82"/>
      <c r="P892" s="80"/>
      <c r="Q892" s="83"/>
      <c r="R892" s="80"/>
      <c r="S892" s="80"/>
      <c r="T892" s="80"/>
      <c r="U892" s="83"/>
      <c r="V892" s="80"/>
      <c r="W892" s="83"/>
      <c r="X892" s="80"/>
      <c r="Y892" s="80"/>
      <c r="Z892" s="80"/>
      <c r="AA892" s="80"/>
      <c r="AB892" s="80"/>
      <c r="AC892" s="80"/>
      <c r="AD892" s="80"/>
      <c r="AE892" s="80"/>
    </row>
    <row r="893" spans="1:31" x14ac:dyDescent="0.25">
      <c r="A893" s="76"/>
      <c r="B893" s="76"/>
      <c r="C893" s="77"/>
      <c r="D893" s="78"/>
      <c r="E893" s="79"/>
      <c r="F893" s="80"/>
      <c r="G893" s="78"/>
      <c r="H893" s="81"/>
      <c r="I893" s="78"/>
      <c r="J893" s="78"/>
      <c r="K893" s="78"/>
      <c r="L893" s="78"/>
      <c r="M893" s="81"/>
      <c r="N893" s="76"/>
      <c r="O893" s="82"/>
      <c r="P893" s="80"/>
      <c r="Q893" s="83"/>
      <c r="R893" s="80"/>
      <c r="S893" s="80"/>
      <c r="T893" s="80"/>
      <c r="U893" s="83"/>
      <c r="V893" s="80"/>
      <c r="W893" s="83"/>
      <c r="X893" s="80"/>
      <c r="Y893" s="80"/>
      <c r="Z893" s="80"/>
      <c r="AA893" s="80"/>
      <c r="AB893" s="80"/>
      <c r="AC893" s="80"/>
      <c r="AD893" s="80"/>
      <c r="AE893" s="80"/>
    </row>
    <row r="894" spans="1:31" x14ac:dyDescent="0.25">
      <c r="A894" s="76"/>
      <c r="B894" s="76"/>
      <c r="C894" s="77"/>
      <c r="D894" s="78"/>
      <c r="E894" s="79"/>
      <c r="F894" s="80"/>
      <c r="G894" s="78"/>
      <c r="H894" s="81"/>
      <c r="I894" s="78"/>
      <c r="J894" s="78"/>
      <c r="K894" s="78"/>
      <c r="L894" s="78"/>
      <c r="M894" s="81"/>
      <c r="N894" s="76"/>
      <c r="O894" s="82"/>
      <c r="P894" s="80"/>
      <c r="Q894" s="83"/>
      <c r="R894" s="80"/>
      <c r="S894" s="80"/>
      <c r="T894" s="80"/>
      <c r="U894" s="83"/>
      <c r="V894" s="80"/>
      <c r="W894" s="83"/>
      <c r="X894" s="80"/>
      <c r="Y894" s="80"/>
      <c r="Z894" s="80"/>
      <c r="AA894" s="80"/>
      <c r="AB894" s="80"/>
      <c r="AC894" s="80"/>
      <c r="AD894" s="80"/>
      <c r="AE894" s="80"/>
    </row>
    <row r="895" spans="1:31" x14ac:dyDescent="0.25">
      <c r="A895" s="76"/>
      <c r="B895" s="76"/>
      <c r="C895" s="77"/>
      <c r="D895" s="78"/>
      <c r="E895" s="79"/>
      <c r="F895" s="80"/>
      <c r="G895" s="78"/>
      <c r="H895" s="81"/>
      <c r="I895" s="78"/>
      <c r="J895" s="78"/>
      <c r="K895" s="78"/>
      <c r="L895" s="78"/>
      <c r="M895" s="81"/>
      <c r="N895" s="76"/>
      <c r="O895" s="82"/>
      <c r="P895" s="80"/>
      <c r="Q895" s="83"/>
      <c r="R895" s="80"/>
      <c r="S895" s="80"/>
      <c r="T895" s="80"/>
      <c r="U895" s="83"/>
      <c r="V895" s="80"/>
      <c r="W895" s="83"/>
      <c r="X895" s="80"/>
      <c r="Y895" s="80"/>
      <c r="Z895" s="80"/>
      <c r="AA895" s="80"/>
      <c r="AB895" s="80"/>
      <c r="AC895" s="80"/>
      <c r="AD895" s="80"/>
      <c r="AE895" s="80"/>
    </row>
    <row r="896" spans="1:31" x14ac:dyDescent="0.25">
      <c r="A896" s="76"/>
      <c r="B896" s="76"/>
      <c r="C896" s="77"/>
      <c r="D896" s="78"/>
      <c r="E896" s="79"/>
      <c r="F896" s="80"/>
      <c r="G896" s="78"/>
      <c r="H896" s="81"/>
      <c r="I896" s="78"/>
      <c r="J896" s="78"/>
      <c r="K896" s="78"/>
      <c r="L896" s="78"/>
      <c r="M896" s="81"/>
      <c r="N896" s="76"/>
      <c r="O896" s="82"/>
      <c r="P896" s="80"/>
      <c r="Q896" s="83"/>
      <c r="R896" s="80"/>
      <c r="S896" s="80"/>
      <c r="T896" s="80"/>
      <c r="U896" s="83"/>
      <c r="V896" s="80"/>
      <c r="W896" s="83"/>
      <c r="X896" s="80"/>
      <c r="Y896" s="80"/>
      <c r="Z896" s="80"/>
      <c r="AA896" s="80"/>
      <c r="AB896" s="80"/>
      <c r="AC896" s="80"/>
      <c r="AD896" s="80"/>
      <c r="AE896" s="80"/>
    </row>
    <row r="897" spans="1:31" x14ac:dyDescent="0.25">
      <c r="A897" s="76"/>
      <c r="B897" s="76"/>
      <c r="C897" s="77"/>
      <c r="D897" s="78"/>
      <c r="E897" s="79"/>
      <c r="F897" s="80"/>
      <c r="G897" s="78"/>
      <c r="H897" s="81"/>
      <c r="I897" s="78"/>
      <c r="J897" s="78"/>
      <c r="K897" s="78"/>
      <c r="L897" s="78"/>
      <c r="M897" s="81"/>
      <c r="N897" s="76"/>
      <c r="O897" s="82"/>
      <c r="P897" s="80"/>
      <c r="Q897" s="83"/>
      <c r="R897" s="80"/>
      <c r="S897" s="80"/>
      <c r="T897" s="80"/>
      <c r="U897" s="83"/>
      <c r="V897" s="80"/>
      <c r="W897" s="83"/>
      <c r="X897" s="80"/>
      <c r="Y897" s="80"/>
      <c r="Z897" s="80"/>
      <c r="AA897" s="80"/>
      <c r="AB897" s="80"/>
      <c r="AC897" s="80"/>
      <c r="AD897" s="80"/>
      <c r="AE897" s="80"/>
    </row>
    <row r="898" spans="1:31" x14ac:dyDescent="0.25">
      <c r="A898" s="76"/>
      <c r="B898" s="76"/>
      <c r="C898" s="77"/>
      <c r="D898" s="78"/>
      <c r="E898" s="79"/>
      <c r="F898" s="80"/>
      <c r="G898" s="78"/>
      <c r="H898" s="81"/>
      <c r="I898" s="78"/>
      <c r="J898" s="78"/>
      <c r="K898" s="78"/>
      <c r="L898" s="78"/>
      <c r="M898" s="81"/>
      <c r="N898" s="76"/>
      <c r="O898" s="82"/>
      <c r="P898" s="80"/>
      <c r="Q898" s="83"/>
      <c r="R898" s="80"/>
      <c r="S898" s="80"/>
      <c r="T898" s="80"/>
      <c r="U898" s="83"/>
      <c r="V898" s="80"/>
      <c r="W898" s="83"/>
      <c r="X898" s="80"/>
      <c r="Y898" s="80"/>
      <c r="Z898" s="80"/>
      <c r="AA898" s="80"/>
      <c r="AB898" s="80"/>
      <c r="AC898" s="80"/>
      <c r="AD898" s="80"/>
      <c r="AE898" s="80"/>
    </row>
    <row r="899" spans="1:31" x14ac:dyDescent="0.25">
      <c r="A899" s="76"/>
      <c r="B899" s="76"/>
      <c r="C899" s="77"/>
      <c r="D899" s="78"/>
      <c r="E899" s="79"/>
      <c r="F899" s="80"/>
      <c r="G899" s="78"/>
      <c r="H899" s="81"/>
      <c r="I899" s="78"/>
      <c r="J899" s="78"/>
      <c r="K899" s="78"/>
      <c r="L899" s="78"/>
      <c r="M899" s="81"/>
      <c r="N899" s="76"/>
      <c r="O899" s="82"/>
      <c r="P899" s="80"/>
      <c r="Q899" s="83"/>
      <c r="R899" s="80"/>
      <c r="S899" s="80"/>
      <c r="T899" s="80"/>
      <c r="U899" s="83"/>
      <c r="V899" s="80"/>
      <c r="W899" s="83"/>
      <c r="X899" s="80"/>
      <c r="Y899" s="80"/>
      <c r="Z899" s="80"/>
      <c r="AA899" s="80"/>
      <c r="AB899" s="80"/>
      <c r="AC899" s="80"/>
      <c r="AD899" s="80"/>
      <c r="AE899" s="80"/>
    </row>
    <row r="900" spans="1:31" x14ac:dyDescent="0.25">
      <c r="A900" s="76"/>
      <c r="B900" s="76"/>
      <c r="C900" s="77"/>
      <c r="D900" s="78"/>
      <c r="E900" s="79"/>
      <c r="F900" s="80"/>
      <c r="G900" s="78"/>
      <c r="H900" s="81"/>
      <c r="I900" s="78"/>
      <c r="J900" s="78"/>
      <c r="K900" s="78"/>
      <c r="L900" s="78"/>
      <c r="M900" s="81"/>
      <c r="N900" s="76"/>
      <c r="O900" s="82"/>
      <c r="P900" s="80"/>
      <c r="Q900" s="83"/>
      <c r="R900" s="80"/>
      <c r="S900" s="80"/>
      <c r="T900" s="80"/>
      <c r="U900" s="83"/>
      <c r="V900" s="80"/>
      <c r="W900" s="83"/>
      <c r="X900" s="80"/>
      <c r="Y900" s="80"/>
      <c r="Z900" s="80"/>
      <c r="AA900" s="80"/>
      <c r="AB900" s="80"/>
      <c r="AC900" s="80"/>
      <c r="AD900" s="80"/>
      <c r="AE900" s="80"/>
    </row>
    <row r="901" spans="1:31" x14ac:dyDescent="0.25">
      <c r="A901" s="76"/>
      <c r="B901" s="76"/>
      <c r="C901" s="77"/>
      <c r="D901" s="78"/>
      <c r="E901" s="79"/>
      <c r="F901" s="80"/>
      <c r="G901" s="78"/>
      <c r="H901" s="81"/>
      <c r="I901" s="78"/>
      <c r="J901" s="78"/>
      <c r="K901" s="78"/>
      <c r="L901" s="78"/>
      <c r="M901" s="81"/>
      <c r="N901" s="76"/>
      <c r="O901" s="82"/>
      <c r="P901" s="80"/>
      <c r="Q901" s="83"/>
      <c r="R901" s="80"/>
      <c r="S901" s="80"/>
      <c r="T901" s="80"/>
      <c r="U901" s="83"/>
      <c r="V901" s="80"/>
      <c r="W901" s="83"/>
      <c r="X901" s="80"/>
      <c r="Y901" s="80"/>
      <c r="Z901" s="80"/>
      <c r="AA901" s="80"/>
      <c r="AB901" s="80"/>
      <c r="AC901" s="80"/>
      <c r="AD901" s="80"/>
      <c r="AE901" s="80"/>
    </row>
    <row r="902" spans="1:31" x14ac:dyDescent="0.25">
      <c r="A902" s="76"/>
      <c r="B902" s="76"/>
      <c r="C902" s="77"/>
      <c r="D902" s="78"/>
      <c r="E902" s="79"/>
      <c r="F902" s="80"/>
      <c r="G902" s="78"/>
      <c r="H902" s="81"/>
      <c r="I902" s="78"/>
      <c r="J902" s="78"/>
      <c r="K902" s="78"/>
      <c r="L902" s="78"/>
      <c r="M902" s="81"/>
      <c r="N902" s="76"/>
      <c r="O902" s="82"/>
      <c r="P902" s="80"/>
      <c r="Q902" s="83"/>
      <c r="R902" s="80"/>
      <c r="S902" s="80"/>
      <c r="T902" s="80"/>
      <c r="U902" s="83"/>
      <c r="V902" s="80"/>
      <c r="W902" s="83"/>
      <c r="X902" s="80"/>
      <c r="Y902" s="80"/>
      <c r="Z902" s="80"/>
      <c r="AA902" s="80"/>
      <c r="AB902" s="80"/>
      <c r="AC902" s="80"/>
      <c r="AD902" s="80"/>
      <c r="AE902" s="80"/>
    </row>
    <row r="903" spans="1:31" x14ac:dyDescent="0.25">
      <c r="A903" s="76"/>
      <c r="B903" s="76"/>
      <c r="C903" s="77"/>
      <c r="D903" s="78"/>
      <c r="E903" s="79"/>
      <c r="F903" s="80"/>
      <c r="G903" s="78"/>
      <c r="H903" s="81"/>
      <c r="I903" s="78"/>
      <c r="J903" s="78"/>
      <c r="K903" s="78"/>
      <c r="L903" s="78"/>
      <c r="M903" s="81"/>
      <c r="N903" s="76"/>
      <c r="O903" s="82"/>
      <c r="P903" s="80"/>
      <c r="Q903" s="83"/>
      <c r="R903" s="80"/>
      <c r="S903" s="80"/>
      <c r="T903" s="80"/>
      <c r="U903" s="83"/>
      <c r="V903" s="80"/>
      <c r="W903" s="83"/>
      <c r="X903" s="80"/>
      <c r="Y903" s="80"/>
      <c r="Z903" s="80"/>
      <c r="AA903" s="80"/>
      <c r="AB903" s="80"/>
      <c r="AC903" s="80"/>
      <c r="AD903" s="80"/>
      <c r="AE903" s="80"/>
    </row>
    <row r="904" spans="1:31" x14ac:dyDescent="0.25">
      <c r="A904" s="76"/>
      <c r="B904" s="76"/>
      <c r="C904" s="77"/>
      <c r="D904" s="78"/>
      <c r="E904" s="79"/>
      <c r="F904" s="80"/>
      <c r="G904" s="78"/>
      <c r="H904" s="81"/>
      <c r="I904" s="78"/>
      <c r="J904" s="78"/>
      <c r="K904" s="78"/>
      <c r="L904" s="78"/>
      <c r="M904" s="81"/>
      <c r="N904" s="76"/>
      <c r="O904" s="82"/>
      <c r="P904" s="80"/>
      <c r="Q904" s="83"/>
      <c r="R904" s="80"/>
      <c r="S904" s="80"/>
      <c r="T904" s="80"/>
      <c r="U904" s="83"/>
      <c r="V904" s="80"/>
      <c r="W904" s="83"/>
      <c r="X904" s="80"/>
      <c r="Y904" s="80"/>
      <c r="Z904" s="80"/>
      <c r="AA904" s="80"/>
      <c r="AB904" s="80"/>
      <c r="AC904" s="80"/>
      <c r="AD904" s="80"/>
      <c r="AE904" s="80"/>
    </row>
    <row r="905" spans="1:31" x14ac:dyDescent="0.25">
      <c r="A905" s="76"/>
      <c r="B905" s="76"/>
      <c r="C905" s="77"/>
      <c r="D905" s="78"/>
      <c r="E905" s="79"/>
      <c r="F905" s="80"/>
      <c r="G905" s="78"/>
      <c r="H905" s="81"/>
      <c r="I905" s="78"/>
      <c r="J905" s="78"/>
      <c r="K905" s="78"/>
      <c r="L905" s="78"/>
      <c r="M905" s="81"/>
      <c r="N905" s="76"/>
      <c r="O905" s="82"/>
      <c r="P905" s="80"/>
      <c r="Q905" s="83"/>
      <c r="R905" s="80"/>
      <c r="S905" s="80"/>
      <c r="T905" s="80"/>
      <c r="U905" s="83"/>
      <c r="V905" s="80"/>
      <c r="W905" s="83"/>
      <c r="X905" s="80"/>
      <c r="Y905" s="80"/>
      <c r="Z905" s="80"/>
      <c r="AA905" s="80"/>
      <c r="AB905" s="80"/>
      <c r="AC905" s="80"/>
      <c r="AD905" s="80"/>
      <c r="AE905" s="80"/>
    </row>
    <row r="906" spans="1:31" x14ac:dyDescent="0.25">
      <c r="A906" s="76"/>
      <c r="B906" s="76"/>
      <c r="C906" s="77"/>
      <c r="D906" s="78"/>
      <c r="E906" s="79"/>
      <c r="F906" s="80"/>
      <c r="G906" s="78"/>
      <c r="H906" s="81"/>
      <c r="I906" s="78"/>
      <c r="J906" s="78"/>
      <c r="K906" s="78"/>
      <c r="L906" s="78"/>
      <c r="M906" s="81"/>
      <c r="N906" s="76"/>
      <c r="O906" s="82"/>
      <c r="P906" s="80"/>
      <c r="Q906" s="83"/>
      <c r="R906" s="80"/>
      <c r="S906" s="80"/>
      <c r="T906" s="80"/>
      <c r="U906" s="83"/>
      <c r="V906" s="80"/>
      <c r="W906" s="83"/>
      <c r="X906" s="80"/>
      <c r="Y906" s="80"/>
      <c r="Z906" s="80"/>
      <c r="AA906" s="80"/>
      <c r="AB906" s="80"/>
      <c r="AC906" s="80"/>
      <c r="AD906" s="80"/>
      <c r="AE906" s="80"/>
    </row>
    <row r="907" spans="1:31" x14ac:dyDescent="0.25">
      <c r="A907" s="76"/>
      <c r="B907" s="76"/>
      <c r="C907" s="77"/>
      <c r="D907" s="78"/>
      <c r="E907" s="79"/>
      <c r="F907" s="80"/>
      <c r="G907" s="78"/>
      <c r="H907" s="81"/>
      <c r="I907" s="78"/>
      <c r="J907" s="78"/>
      <c r="K907" s="78"/>
      <c r="L907" s="78"/>
      <c r="M907" s="81"/>
      <c r="N907" s="76"/>
      <c r="O907" s="82"/>
      <c r="P907" s="80"/>
      <c r="Q907" s="83"/>
      <c r="R907" s="80"/>
      <c r="S907" s="80"/>
      <c r="T907" s="80"/>
      <c r="U907" s="83"/>
      <c r="V907" s="80"/>
      <c r="W907" s="83"/>
      <c r="X907" s="80"/>
      <c r="Y907" s="80"/>
      <c r="Z907" s="80"/>
      <c r="AA907" s="80"/>
      <c r="AB907" s="80"/>
      <c r="AC907" s="80"/>
      <c r="AD907" s="80"/>
      <c r="AE907" s="80"/>
    </row>
    <row r="908" spans="1:31" x14ac:dyDescent="0.25">
      <c r="A908" s="76"/>
      <c r="B908" s="76"/>
      <c r="C908" s="77"/>
      <c r="D908" s="78"/>
      <c r="E908" s="79"/>
      <c r="F908" s="80"/>
      <c r="G908" s="78"/>
      <c r="H908" s="81"/>
      <c r="I908" s="78"/>
      <c r="J908" s="78"/>
      <c r="K908" s="78"/>
      <c r="L908" s="78"/>
      <c r="M908" s="81"/>
      <c r="N908" s="76"/>
      <c r="O908" s="82"/>
      <c r="P908" s="80"/>
      <c r="Q908" s="83"/>
      <c r="R908" s="80"/>
      <c r="S908" s="80"/>
      <c r="T908" s="80"/>
      <c r="U908" s="83"/>
      <c r="V908" s="80"/>
      <c r="W908" s="83"/>
      <c r="X908" s="80"/>
      <c r="Y908" s="80"/>
      <c r="Z908" s="80"/>
      <c r="AA908" s="80"/>
      <c r="AB908" s="80"/>
      <c r="AC908" s="80"/>
      <c r="AD908" s="80"/>
      <c r="AE908" s="80"/>
    </row>
    <row r="909" spans="1:31" x14ac:dyDescent="0.25">
      <c r="A909" s="76"/>
      <c r="B909" s="76"/>
      <c r="C909" s="77"/>
      <c r="D909" s="78"/>
      <c r="E909" s="79"/>
      <c r="F909" s="80"/>
      <c r="G909" s="78"/>
      <c r="H909" s="81"/>
      <c r="I909" s="78"/>
      <c r="J909" s="78"/>
      <c r="K909" s="78"/>
      <c r="L909" s="78"/>
      <c r="M909" s="81"/>
      <c r="N909" s="76"/>
      <c r="O909" s="82"/>
      <c r="P909" s="80"/>
      <c r="Q909" s="83"/>
      <c r="R909" s="80"/>
      <c r="S909" s="80"/>
      <c r="T909" s="80"/>
      <c r="U909" s="83"/>
      <c r="V909" s="80"/>
      <c r="W909" s="83"/>
      <c r="X909" s="80"/>
      <c r="Y909" s="80"/>
      <c r="Z909" s="80"/>
      <c r="AA909" s="80"/>
      <c r="AB909" s="80"/>
      <c r="AC909" s="80"/>
      <c r="AD909" s="80"/>
      <c r="AE909" s="80"/>
    </row>
    <row r="910" spans="1:31" x14ac:dyDescent="0.25">
      <c r="A910" s="76"/>
      <c r="B910" s="76"/>
      <c r="C910" s="77"/>
      <c r="D910" s="78"/>
      <c r="E910" s="79"/>
      <c r="F910" s="80"/>
      <c r="G910" s="78"/>
      <c r="H910" s="81"/>
      <c r="I910" s="78"/>
      <c r="J910" s="78"/>
      <c r="K910" s="78"/>
      <c r="L910" s="78"/>
      <c r="M910" s="81"/>
      <c r="N910" s="76"/>
      <c r="O910" s="82"/>
      <c r="P910" s="80"/>
      <c r="Q910" s="83"/>
      <c r="R910" s="80"/>
      <c r="S910" s="80"/>
      <c r="T910" s="80"/>
      <c r="U910" s="83"/>
      <c r="V910" s="80"/>
      <c r="W910" s="83"/>
      <c r="X910" s="80"/>
      <c r="Y910" s="80"/>
      <c r="Z910" s="80"/>
      <c r="AA910" s="80"/>
      <c r="AB910" s="80"/>
      <c r="AC910" s="80"/>
      <c r="AD910" s="80"/>
      <c r="AE910" s="80"/>
    </row>
    <row r="911" spans="1:31" x14ac:dyDescent="0.25">
      <c r="A911" s="76"/>
      <c r="B911" s="76"/>
      <c r="C911" s="77"/>
      <c r="D911" s="78"/>
      <c r="E911" s="79"/>
      <c r="F911" s="80"/>
      <c r="G911" s="78"/>
      <c r="H911" s="81"/>
      <c r="I911" s="78"/>
      <c r="J911" s="78"/>
      <c r="K911" s="78"/>
      <c r="L911" s="78"/>
      <c r="M911" s="81"/>
      <c r="N911" s="76"/>
      <c r="O911" s="82"/>
      <c r="P911" s="80"/>
      <c r="Q911" s="83"/>
      <c r="R911" s="80"/>
      <c r="S911" s="80"/>
      <c r="T911" s="80"/>
      <c r="U911" s="83"/>
      <c r="V911" s="80"/>
      <c r="W911" s="83"/>
      <c r="X911" s="80"/>
      <c r="Y911" s="80"/>
      <c r="Z911" s="80"/>
      <c r="AA911" s="80"/>
      <c r="AB911" s="80"/>
      <c r="AC911" s="80"/>
      <c r="AD911" s="80"/>
      <c r="AE911" s="80"/>
    </row>
    <row r="912" spans="1:31" x14ac:dyDescent="0.25">
      <c r="A912" s="76"/>
      <c r="B912" s="76"/>
      <c r="C912" s="77"/>
      <c r="D912" s="78"/>
      <c r="E912" s="79"/>
      <c r="F912" s="80"/>
      <c r="G912" s="78"/>
      <c r="H912" s="81"/>
      <c r="I912" s="78"/>
      <c r="J912" s="78"/>
      <c r="K912" s="78"/>
      <c r="L912" s="78"/>
      <c r="M912" s="81"/>
      <c r="N912" s="76"/>
      <c r="O912" s="82"/>
      <c r="P912" s="80"/>
      <c r="Q912" s="83"/>
      <c r="R912" s="80"/>
      <c r="S912" s="80"/>
      <c r="T912" s="80"/>
      <c r="U912" s="83"/>
      <c r="V912" s="80"/>
      <c r="W912" s="83"/>
      <c r="X912" s="80"/>
      <c r="Y912" s="80"/>
      <c r="Z912" s="80"/>
      <c r="AA912" s="80"/>
      <c r="AB912" s="80"/>
      <c r="AC912" s="80"/>
      <c r="AD912" s="80"/>
      <c r="AE912" s="80"/>
    </row>
    <row r="913" spans="1:31" x14ac:dyDescent="0.25">
      <c r="A913" s="76"/>
      <c r="B913" s="76"/>
      <c r="C913" s="77"/>
      <c r="D913" s="78"/>
      <c r="E913" s="79"/>
      <c r="F913" s="80"/>
      <c r="G913" s="78"/>
      <c r="H913" s="81"/>
      <c r="I913" s="78"/>
      <c r="J913" s="78"/>
      <c r="K913" s="78"/>
      <c r="L913" s="78"/>
      <c r="M913" s="81"/>
      <c r="N913" s="76"/>
      <c r="O913" s="82"/>
      <c r="P913" s="80"/>
      <c r="Q913" s="83"/>
      <c r="R913" s="80"/>
      <c r="S913" s="80"/>
      <c r="T913" s="80"/>
      <c r="U913" s="83"/>
      <c r="V913" s="80"/>
      <c r="W913" s="83"/>
      <c r="X913" s="80"/>
      <c r="Y913" s="80"/>
      <c r="Z913" s="80"/>
      <c r="AA913" s="80"/>
      <c r="AB913" s="80"/>
      <c r="AC913" s="80"/>
      <c r="AD913" s="80"/>
      <c r="AE913" s="80"/>
    </row>
    <row r="914" spans="1:31" x14ac:dyDescent="0.25">
      <c r="A914" s="76"/>
      <c r="B914" s="76"/>
      <c r="C914" s="77"/>
      <c r="D914" s="78"/>
      <c r="E914" s="79"/>
      <c r="F914" s="80"/>
      <c r="G914" s="78"/>
      <c r="H914" s="81"/>
      <c r="I914" s="78"/>
      <c r="J914" s="78"/>
      <c r="K914" s="78"/>
      <c r="L914" s="78"/>
      <c r="M914" s="81"/>
      <c r="N914" s="76"/>
      <c r="O914" s="82"/>
      <c r="P914" s="80"/>
      <c r="Q914" s="83"/>
      <c r="R914" s="80"/>
      <c r="S914" s="80"/>
      <c r="T914" s="80"/>
      <c r="U914" s="83"/>
      <c r="V914" s="80"/>
      <c r="W914" s="83"/>
      <c r="X914" s="80"/>
      <c r="Y914" s="80"/>
      <c r="Z914" s="80"/>
      <c r="AA914" s="80"/>
      <c r="AB914" s="80"/>
      <c r="AC914" s="80"/>
      <c r="AD914" s="80"/>
      <c r="AE914" s="80"/>
    </row>
    <row r="915" spans="1:31" x14ac:dyDescent="0.25">
      <c r="A915" s="76"/>
      <c r="B915" s="76"/>
      <c r="C915" s="77"/>
      <c r="D915" s="78"/>
      <c r="E915" s="79"/>
      <c r="F915" s="80"/>
      <c r="G915" s="78"/>
      <c r="H915" s="81"/>
      <c r="I915" s="78"/>
      <c r="J915" s="78"/>
      <c r="K915" s="78"/>
      <c r="L915" s="78"/>
      <c r="M915" s="81"/>
      <c r="N915" s="76"/>
      <c r="O915" s="82"/>
      <c r="P915" s="80"/>
      <c r="Q915" s="83"/>
      <c r="R915" s="80"/>
      <c r="S915" s="80"/>
      <c r="T915" s="80"/>
      <c r="U915" s="83"/>
      <c r="V915" s="80"/>
      <c r="W915" s="83"/>
      <c r="X915" s="80"/>
      <c r="Y915" s="80"/>
      <c r="Z915" s="80"/>
      <c r="AA915" s="80"/>
      <c r="AB915" s="80"/>
      <c r="AC915" s="80"/>
      <c r="AD915" s="80"/>
      <c r="AE915" s="80"/>
    </row>
    <row r="916" spans="1:31" x14ac:dyDescent="0.25">
      <c r="A916" s="76"/>
      <c r="B916" s="76"/>
      <c r="C916" s="77"/>
      <c r="D916" s="78"/>
      <c r="E916" s="79"/>
      <c r="F916" s="80"/>
      <c r="G916" s="78"/>
      <c r="H916" s="81"/>
      <c r="I916" s="78"/>
      <c r="J916" s="78"/>
      <c r="K916" s="78"/>
      <c r="L916" s="78"/>
      <c r="M916" s="81"/>
      <c r="N916" s="76"/>
      <c r="O916" s="82"/>
      <c r="P916" s="80"/>
      <c r="Q916" s="83"/>
      <c r="R916" s="80"/>
      <c r="S916" s="80"/>
      <c r="T916" s="80"/>
      <c r="U916" s="83"/>
      <c r="V916" s="80"/>
      <c r="W916" s="83"/>
      <c r="X916" s="80"/>
      <c r="Y916" s="80"/>
      <c r="Z916" s="80"/>
      <c r="AA916" s="80"/>
      <c r="AB916" s="80"/>
      <c r="AC916" s="80"/>
      <c r="AD916" s="80"/>
      <c r="AE916" s="80"/>
    </row>
    <row r="917" spans="1:31" x14ac:dyDescent="0.25">
      <c r="A917" s="76"/>
      <c r="B917" s="76"/>
      <c r="C917" s="77"/>
      <c r="D917" s="78"/>
      <c r="E917" s="79"/>
      <c r="F917" s="80"/>
      <c r="G917" s="78"/>
      <c r="H917" s="81"/>
      <c r="I917" s="78"/>
      <c r="J917" s="78"/>
      <c r="K917" s="78"/>
      <c r="L917" s="78"/>
      <c r="M917" s="81"/>
      <c r="N917" s="76"/>
      <c r="O917" s="82"/>
      <c r="P917" s="80"/>
      <c r="Q917" s="83"/>
      <c r="R917" s="80"/>
      <c r="S917" s="80"/>
      <c r="T917" s="80"/>
      <c r="U917" s="83"/>
      <c r="V917" s="80"/>
      <c r="W917" s="83"/>
      <c r="X917" s="80"/>
      <c r="Y917" s="80"/>
      <c r="Z917" s="80"/>
      <c r="AA917" s="80"/>
      <c r="AB917" s="80"/>
      <c r="AC917" s="80"/>
      <c r="AD917" s="80"/>
      <c r="AE917" s="80"/>
    </row>
    <row r="918" spans="1:31" x14ac:dyDescent="0.25">
      <c r="A918" s="76"/>
      <c r="B918" s="76"/>
      <c r="C918" s="77"/>
      <c r="D918" s="78"/>
      <c r="E918" s="79"/>
      <c r="F918" s="80"/>
      <c r="G918" s="78"/>
      <c r="H918" s="81"/>
      <c r="I918" s="78"/>
      <c r="J918" s="78"/>
      <c r="K918" s="78"/>
      <c r="L918" s="78"/>
      <c r="M918" s="81"/>
      <c r="N918" s="76"/>
      <c r="O918" s="82"/>
      <c r="P918" s="80"/>
      <c r="Q918" s="83"/>
      <c r="R918" s="80"/>
      <c r="S918" s="80"/>
      <c r="T918" s="80"/>
      <c r="U918" s="83"/>
      <c r="V918" s="80"/>
      <c r="W918" s="83"/>
      <c r="X918" s="80"/>
      <c r="Y918" s="80"/>
      <c r="Z918" s="80"/>
      <c r="AA918" s="80"/>
      <c r="AB918" s="80"/>
      <c r="AC918" s="80"/>
      <c r="AD918" s="80"/>
      <c r="AE918" s="80"/>
    </row>
    <row r="919" spans="1:31" x14ac:dyDescent="0.25">
      <c r="A919" s="76"/>
      <c r="B919" s="76"/>
      <c r="C919" s="77"/>
      <c r="D919" s="78"/>
      <c r="E919" s="79"/>
      <c r="F919" s="80"/>
      <c r="G919" s="78"/>
      <c r="H919" s="81"/>
      <c r="I919" s="78"/>
      <c r="J919" s="78"/>
      <c r="K919" s="78"/>
      <c r="L919" s="78"/>
      <c r="M919" s="81"/>
      <c r="N919" s="76"/>
      <c r="O919" s="82"/>
      <c r="P919" s="80"/>
      <c r="Q919" s="83"/>
      <c r="R919" s="80"/>
      <c r="S919" s="80"/>
      <c r="T919" s="80"/>
      <c r="U919" s="83"/>
      <c r="V919" s="80"/>
      <c r="W919" s="83"/>
      <c r="X919" s="80"/>
      <c r="Y919" s="80"/>
      <c r="Z919" s="80"/>
      <c r="AA919" s="80"/>
      <c r="AB919" s="80"/>
      <c r="AC919" s="80"/>
      <c r="AD919" s="80"/>
      <c r="AE919" s="80"/>
    </row>
    <row r="920" spans="1:31" x14ac:dyDescent="0.25">
      <c r="A920" s="76"/>
      <c r="B920" s="76"/>
      <c r="C920" s="77"/>
      <c r="D920" s="78"/>
      <c r="E920" s="79"/>
      <c r="F920" s="80"/>
      <c r="G920" s="78"/>
      <c r="H920" s="81"/>
      <c r="I920" s="78"/>
      <c r="J920" s="78"/>
      <c r="K920" s="78"/>
      <c r="L920" s="78"/>
      <c r="M920" s="81"/>
      <c r="N920" s="76"/>
      <c r="O920" s="82"/>
      <c r="P920" s="80"/>
      <c r="Q920" s="83"/>
      <c r="R920" s="80"/>
      <c r="S920" s="80"/>
      <c r="T920" s="80"/>
      <c r="U920" s="83"/>
      <c r="V920" s="80"/>
      <c r="W920" s="83"/>
      <c r="X920" s="80"/>
      <c r="Y920" s="80"/>
      <c r="Z920" s="80"/>
      <c r="AA920" s="80"/>
      <c r="AB920" s="80"/>
      <c r="AC920" s="80"/>
      <c r="AD920" s="80"/>
      <c r="AE920" s="80"/>
    </row>
    <row r="921" spans="1:31" x14ac:dyDescent="0.25">
      <c r="A921" s="76"/>
      <c r="B921" s="76"/>
      <c r="C921" s="77"/>
      <c r="D921" s="78"/>
      <c r="E921" s="79"/>
      <c r="F921" s="80"/>
      <c r="G921" s="78"/>
      <c r="H921" s="81"/>
      <c r="I921" s="78"/>
      <c r="J921" s="78"/>
      <c r="K921" s="78"/>
      <c r="L921" s="78"/>
      <c r="M921" s="81"/>
      <c r="N921" s="76"/>
      <c r="O921" s="82"/>
      <c r="P921" s="80"/>
      <c r="Q921" s="83"/>
      <c r="R921" s="80"/>
      <c r="S921" s="80"/>
      <c r="T921" s="80"/>
      <c r="U921" s="83"/>
      <c r="V921" s="80"/>
      <c r="W921" s="83"/>
      <c r="X921" s="80"/>
      <c r="Y921" s="80"/>
      <c r="Z921" s="80"/>
      <c r="AA921" s="80"/>
      <c r="AB921" s="80"/>
      <c r="AC921" s="80"/>
      <c r="AD921" s="80"/>
      <c r="AE921" s="80"/>
    </row>
    <row r="922" spans="1:31" x14ac:dyDescent="0.25">
      <c r="A922" s="76"/>
      <c r="B922" s="76"/>
      <c r="C922" s="77"/>
      <c r="D922" s="78"/>
      <c r="E922" s="79"/>
      <c r="F922" s="80"/>
      <c r="G922" s="78"/>
      <c r="H922" s="81"/>
      <c r="I922" s="78"/>
      <c r="J922" s="78"/>
      <c r="K922" s="78"/>
      <c r="L922" s="78"/>
      <c r="M922" s="81"/>
      <c r="N922" s="76"/>
      <c r="O922" s="82"/>
      <c r="P922" s="80"/>
      <c r="Q922" s="83"/>
      <c r="R922" s="80"/>
      <c r="S922" s="80"/>
      <c r="T922" s="80"/>
      <c r="U922" s="83"/>
      <c r="V922" s="80"/>
      <c r="W922" s="83"/>
      <c r="X922" s="80"/>
      <c r="Y922" s="80"/>
      <c r="Z922" s="80"/>
      <c r="AA922" s="80"/>
      <c r="AB922" s="80"/>
      <c r="AC922" s="80"/>
      <c r="AD922" s="80"/>
      <c r="AE922" s="80"/>
    </row>
    <row r="923" spans="1:31" x14ac:dyDescent="0.25">
      <c r="A923" s="76"/>
      <c r="B923" s="76"/>
      <c r="C923" s="77"/>
      <c r="D923" s="78"/>
      <c r="E923" s="79"/>
      <c r="F923" s="80"/>
      <c r="G923" s="78"/>
      <c r="H923" s="81"/>
      <c r="I923" s="78"/>
      <c r="J923" s="78"/>
      <c r="K923" s="78"/>
      <c r="L923" s="78"/>
      <c r="M923" s="81"/>
      <c r="N923" s="76"/>
      <c r="O923" s="82"/>
      <c r="P923" s="80"/>
      <c r="Q923" s="83"/>
      <c r="R923" s="80"/>
      <c r="S923" s="80"/>
      <c r="T923" s="80"/>
      <c r="U923" s="83"/>
      <c r="V923" s="80"/>
      <c r="W923" s="83"/>
      <c r="X923" s="80"/>
      <c r="Y923" s="80"/>
      <c r="Z923" s="80"/>
      <c r="AA923" s="80"/>
      <c r="AB923" s="80"/>
      <c r="AC923" s="80"/>
      <c r="AD923" s="80"/>
      <c r="AE923" s="80"/>
    </row>
    <row r="924" spans="1:31" x14ac:dyDescent="0.25">
      <c r="A924" s="76"/>
      <c r="B924" s="76"/>
      <c r="C924" s="77"/>
      <c r="D924" s="78"/>
      <c r="E924" s="79"/>
      <c r="F924" s="80"/>
      <c r="G924" s="78"/>
      <c r="H924" s="81"/>
      <c r="I924" s="78"/>
      <c r="J924" s="78"/>
      <c r="K924" s="78"/>
      <c r="L924" s="78"/>
      <c r="M924" s="81"/>
      <c r="N924" s="76"/>
      <c r="O924" s="82"/>
      <c r="P924" s="80"/>
      <c r="Q924" s="83"/>
      <c r="R924" s="80"/>
      <c r="S924" s="80"/>
      <c r="T924" s="80"/>
      <c r="U924" s="83"/>
      <c r="V924" s="80"/>
      <c r="W924" s="83"/>
      <c r="X924" s="80"/>
      <c r="Y924" s="80"/>
      <c r="Z924" s="80"/>
      <c r="AA924" s="80"/>
      <c r="AB924" s="80"/>
      <c r="AC924" s="80"/>
      <c r="AD924" s="80"/>
      <c r="AE924" s="80"/>
    </row>
    <row r="925" spans="1:31" x14ac:dyDescent="0.25">
      <c r="A925" s="76"/>
      <c r="B925" s="76"/>
      <c r="C925" s="77"/>
      <c r="D925" s="78"/>
      <c r="E925" s="79"/>
      <c r="F925" s="80"/>
      <c r="G925" s="78"/>
      <c r="H925" s="81"/>
      <c r="I925" s="78"/>
      <c r="J925" s="78"/>
      <c r="K925" s="78"/>
      <c r="L925" s="78"/>
      <c r="M925" s="81"/>
      <c r="N925" s="76"/>
      <c r="O925" s="82"/>
      <c r="P925" s="80"/>
      <c r="Q925" s="83"/>
      <c r="R925" s="80"/>
      <c r="S925" s="80"/>
      <c r="T925" s="80"/>
      <c r="U925" s="83"/>
      <c r="V925" s="80"/>
      <c r="W925" s="83"/>
      <c r="X925" s="80"/>
      <c r="Y925" s="80"/>
      <c r="Z925" s="80"/>
      <c r="AA925" s="80"/>
      <c r="AB925" s="80"/>
      <c r="AC925" s="80"/>
      <c r="AD925" s="80"/>
      <c r="AE925" s="80"/>
    </row>
    <row r="926" spans="1:31" x14ac:dyDescent="0.25">
      <c r="A926" s="76"/>
      <c r="B926" s="76"/>
      <c r="C926" s="77"/>
      <c r="D926" s="78"/>
      <c r="E926" s="79"/>
      <c r="F926" s="80"/>
      <c r="G926" s="78"/>
      <c r="H926" s="81"/>
      <c r="I926" s="78"/>
      <c r="J926" s="78"/>
      <c r="K926" s="78"/>
      <c r="L926" s="78"/>
      <c r="M926" s="81"/>
      <c r="N926" s="76"/>
      <c r="O926" s="82"/>
      <c r="P926" s="80"/>
      <c r="Q926" s="83"/>
      <c r="R926" s="80"/>
      <c r="S926" s="80"/>
      <c r="T926" s="80"/>
      <c r="U926" s="83"/>
      <c r="V926" s="80"/>
      <c r="W926" s="83"/>
      <c r="X926" s="80"/>
      <c r="Y926" s="80"/>
      <c r="Z926" s="80"/>
      <c r="AA926" s="80"/>
      <c r="AB926" s="80"/>
      <c r="AC926" s="80"/>
      <c r="AD926" s="80"/>
      <c r="AE926" s="80"/>
    </row>
    <row r="927" spans="1:31" x14ac:dyDescent="0.25">
      <c r="A927" s="76"/>
      <c r="B927" s="76"/>
      <c r="C927" s="77"/>
      <c r="D927" s="78"/>
      <c r="E927" s="79"/>
      <c r="F927" s="80"/>
      <c r="G927" s="78"/>
      <c r="H927" s="81"/>
      <c r="I927" s="78"/>
      <c r="J927" s="78"/>
      <c r="K927" s="78"/>
      <c r="L927" s="78"/>
      <c r="M927" s="81"/>
      <c r="N927" s="76"/>
      <c r="O927" s="82"/>
      <c r="P927" s="80"/>
      <c r="Q927" s="83"/>
      <c r="R927" s="80"/>
      <c r="S927" s="80"/>
      <c r="T927" s="80"/>
      <c r="U927" s="83"/>
      <c r="V927" s="80"/>
      <c r="W927" s="83"/>
      <c r="X927" s="80"/>
      <c r="Y927" s="80"/>
      <c r="Z927" s="80"/>
      <c r="AA927" s="80"/>
      <c r="AB927" s="80"/>
      <c r="AC927" s="80"/>
      <c r="AD927" s="80"/>
      <c r="AE927" s="80"/>
    </row>
    <row r="928" spans="1:31" x14ac:dyDescent="0.25">
      <c r="A928" s="76"/>
      <c r="B928" s="76"/>
      <c r="C928" s="77"/>
      <c r="D928" s="78"/>
      <c r="E928" s="79"/>
      <c r="F928" s="80"/>
      <c r="G928" s="78"/>
      <c r="H928" s="81"/>
      <c r="I928" s="78"/>
      <c r="J928" s="78"/>
      <c r="K928" s="78"/>
      <c r="L928" s="78"/>
      <c r="M928" s="81"/>
      <c r="N928" s="76"/>
      <c r="O928" s="82"/>
      <c r="P928" s="80"/>
      <c r="Q928" s="83"/>
      <c r="R928" s="80"/>
      <c r="S928" s="80"/>
      <c r="T928" s="80"/>
      <c r="U928" s="83"/>
      <c r="V928" s="80"/>
      <c r="W928" s="83"/>
      <c r="X928" s="80"/>
      <c r="Y928" s="80"/>
      <c r="Z928" s="80"/>
      <c r="AA928" s="80"/>
      <c r="AB928" s="80"/>
      <c r="AC928" s="80"/>
      <c r="AD928" s="80"/>
      <c r="AE928" s="80"/>
    </row>
    <row r="929" spans="1:31" x14ac:dyDescent="0.25">
      <c r="A929" s="76"/>
      <c r="B929" s="76"/>
      <c r="C929" s="77"/>
      <c r="D929" s="78"/>
      <c r="E929" s="79"/>
      <c r="F929" s="80"/>
      <c r="G929" s="78"/>
      <c r="H929" s="81"/>
      <c r="I929" s="78"/>
      <c r="J929" s="78"/>
      <c r="K929" s="78"/>
      <c r="L929" s="78"/>
      <c r="M929" s="81"/>
      <c r="N929" s="76"/>
      <c r="O929" s="82"/>
      <c r="P929" s="80"/>
      <c r="Q929" s="83"/>
      <c r="R929" s="80"/>
      <c r="S929" s="80"/>
      <c r="T929" s="80"/>
      <c r="U929" s="83"/>
      <c r="V929" s="80"/>
      <c r="W929" s="83"/>
      <c r="X929" s="80"/>
      <c r="Y929" s="80"/>
      <c r="Z929" s="80"/>
      <c r="AA929" s="80"/>
      <c r="AB929" s="80"/>
      <c r="AC929" s="80"/>
      <c r="AD929" s="80"/>
      <c r="AE929" s="80"/>
    </row>
    <row r="930" spans="1:31" x14ac:dyDescent="0.25">
      <c r="A930" s="76"/>
      <c r="B930" s="76"/>
      <c r="C930" s="77"/>
      <c r="D930" s="78"/>
      <c r="E930" s="79"/>
      <c r="F930" s="80"/>
      <c r="G930" s="78"/>
      <c r="H930" s="81"/>
      <c r="I930" s="78"/>
      <c r="J930" s="78"/>
      <c r="K930" s="78"/>
      <c r="L930" s="78"/>
      <c r="M930" s="81"/>
      <c r="N930" s="76"/>
      <c r="O930" s="82"/>
      <c r="P930" s="80"/>
      <c r="Q930" s="83"/>
      <c r="R930" s="80"/>
      <c r="S930" s="80"/>
      <c r="T930" s="80"/>
      <c r="U930" s="83"/>
      <c r="V930" s="80"/>
      <c r="W930" s="83"/>
      <c r="X930" s="80"/>
      <c r="Y930" s="80"/>
      <c r="Z930" s="80"/>
      <c r="AA930" s="80"/>
      <c r="AB930" s="80"/>
      <c r="AC930" s="80"/>
      <c r="AD930" s="80"/>
      <c r="AE930" s="80"/>
    </row>
    <row r="931" spans="1:31" x14ac:dyDescent="0.25">
      <c r="A931" s="76"/>
      <c r="B931" s="76"/>
      <c r="C931" s="77"/>
      <c r="D931" s="78"/>
      <c r="E931" s="79"/>
      <c r="F931" s="80"/>
      <c r="G931" s="78"/>
      <c r="H931" s="81"/>
      <c r="I931" s="78"/>
      <c r="J931" s="78"/>
      <c r="K931" s="78"/>
      <c r="L931" s="78"/>
      <c r="M931" s="81"/>
      <c r="N931" s="76"/>
      <c r="O931" s="82"/>
      <c r="P931" s="80"/>
      <c r="Q931" s="83"/>
      <c r="R931" s="80"/>
      <c r="S931" s="80"/>
      <c r="T931" s="80"/>
      <c r="U931" s="83"/>
      <c r="V931" s="80"/>
      <c r="W931" s="83"/>
      <c r="X931" s="80"/>
      <c r="Y931" s="80"/>
      <c r="Z931" s="80"/>
      <c r="AA931" s="80"/>
      <c r="AB931" s="80"/>
      <c r="AC931" s="80"/>
      <c r="AD931" s="80"/>
      <c r="AE931" s="80"/>
    </row>
    <row r="932" spans="1:31" x14ac:dyDescent="0.25">
      <c r="A932" s="76"/>
      <c r="B932" s="76"/>
      <c r="C932" s="77"/>
      <c r="D932" s="78"/>
      <c r="E932" s="79"/>
      <c r="F932" s="80"/>
      <c r="G932" s="78"/>
      <c r="H932" s="81"/>
      <c r="I932" s="78"/>
      <c r="J932" s="78"/>
      <c r="K932" s="78"/>
      <c r="L932" s="78"/>
      <c r="M932" s="81"/>
      <c r="N932" s="76"/>
      <c r="O932" s="82"/>
      <c r="P932" s="80"/>
      <c r="Q932" s="83"/>
      <c r="R932" s="80"/>
      <c r="S932" s="80"/>
      <c r="T932" s="80"/>
      <c r="U932" s="83"/>
      <c r="V932" s="80"/>
      <c r="W932" s="83"/>
      <c r="X932" s="80"/>
      <c r="Y932" s="80"/>
      <c r="Z932" s="80"/>
      <c r="AA932" s="80"/>
      <c r="AB932" s="80"/>
      <c r="AC932" s="80"/>
      <c r="AD932" s="80"/>
      <c r="AE932" s="80"/>
    </row>
    <row r="933" spans="1:31" x14ac:dyDescent="0.25">
      <c r="A933" s="76"/>
      <c r="B933" s="76"/>
      <c r="C933" s="77"/>
      <c r="D933" s="78"/>
      <c r="E933" s="79"/>
      <c r="F933" s="80"/>
      <c r="G933" s="78"/>
      <c r="H933" s="81"/>
      <c r="I933" s="78"/>
      <c r="J933" s="78"/>
      <c r="K933" s="78"/>
      <c r="L933" s="78"/>
      <c r="M933" s="81"/>
      <c r="N933" s="76"/>
      <c r="O933" s="82"/>
      <c r="P933" s="80"/>
      <c r="Q933" s="83"/>
      <c r="R933" s="80"/>
      <c r="S933" s="80"/>
      <c r="T933" s="80"/>
      <c r="U933" s="83"/>
      <c r="V933" s="80"/>
      <c r="W933" s="83"/>
      <c r="X933" s="80"/>
      <c r="Y933" s="80"/>
      <c r="Z933" s="80"/>
      <c r="AA933" s="80"/>
      <c r="AB933" s="80"/>
      <c r="AC933" s="80"/>
      <c r="AD933" s="80"/>
      <c r="AE933" s="80"/>
    </row>
    <row r="934" spans="1:31" x14ac:dyDescent="0.25">
      <c r="A934" s="76"/>
      <c r="B934" s="76"/>
      <c r="C934" s="77"/>
      <c r="D934" s="78"/>
      <c r="E934" s="79"/>
      <c r="F934" s="80"/>
      <c r="G934" s="78"/>
      <c r="H934" s="81"/>
      <c r="I934" s="78"/>
      <c r="J934" s="78"/>
      <c r="K934" s="78"/>
      <c r="L934" s="78"/>
      <c r="M934" s="81"/>
      <c r="N934" s="76"/>
      <c r="O934" s="82"/>
      <c r="P934" s="80"/>
      <c r="Q934" s="83"/>
      <c r="R934" s="80"/>
      <c r="S934" s="80"/>
      <c r="T934" s="80"/>
      <c r="U934" s="83"/>
      <c r="V934" s="80"/>
      <c r="W934" s="83"/>
      <c r="X934" s="80"/>
      <c r="Y934" s="80"/>
      <c r="Z934" s="80"/>
      <c r="AA934" s="80"/>
      <c r="AB934" s="80"/>
      <c r="AC934" s="80"/>
      <c r="AD934" s="80"/>
      <c r="AE934" s="80"/>
    </row>
    <row r="935" spans="1:31" x14ac:dyDescent="0.25">
      <c r="A935" s="76"/>
      <c r="B935" s="76"/>
      <c r="C935" s="77"/>
      <c r="D935" s="78"/>
      <c r="E935" s="79"/>
      <c r="F935" s="80"/>
      <c r="G935" s="78"/>
      <c r="H935" s="81"/>
      <c r="I935" s="78"/>
      <c r="J935" s="78"/>
      <c r="K935" s="78"/>
      <c r="L935" s="78"/>
      <c r="M935" s="81"/>
      <c r="N935" s="76"/>
      <c r="O935" s="82"/>
      <c r="P935" s="80"/>
      <c r="Q935" s="83"/>
      <c r="R935" s="80"/>
      <c r="S935" s="80"/>
      <c r="T935" s="80"/>
      <c r="U935" s="83"/>
      <c r="V935" s="80"/>
      <c r="W935" s="83"/>
      <c r="X935" s="80"/>
      <c r="Y935" s="80"/>
      <c r="Z935" s="80"/>
      <c r="AA935" s="80"/>
      <c r="AB935" s="80"/>
      <c r="AC935" s="80"/>
      <c r="AD935" s="80"/>
      <c r="AE935" s="80"/>
    </row>
    <row r="936" spans="1:31" x14ac:dyDescent="0.25">
      <c r="A936" s="76"/>
      <c r="B936" s="76"/>
      <c r="C936" s="77"/>
      <c r="D936" s="78"/>
      <c r="E936" s="79"/>
      <c r="F936" s="80"/>
      <c r="G936" s="78"/>
      <c r="H936" s="81"/>
      <c r="I936" s="78"/>
      <c r="J936" s="78"/>
      <c r="K936" s="78"/>
      <c r="L936" s="78"/>
      <c r="M936" s="81"/>
      <c r="N936" s="76"/>
      <c r="O936" s="82"/>
      <c r="P936" s="80"/>
      <c r="Q936" s="83"/>
      <c r="R936" s="80"/>
      <c r="S936" s="80"/>
      <c r="T936" s="80"/>
      <c r="U936" s="83"/>
      <c r="V936" s="80"/>
      <c r="W936" s="83"/>
      <c r="X936" s="80"/>
      <c r="Y936" s="80"/>
      <c r="Z936" s="80"/>
      <c r="AA936" s="80"/>
      <c r="AB936" s="80"/>
      <c r="AC936" s="80"/>
      <c r="AD936" s="80"/>
      <c r="AE936" s="80"/>
    </row>
    <row r="937" spans="1:31" x14ac:dyDescent="0.25">
      <c r="A937" s="76"/>
      <c r="B937" s="76"/>
      <c r="C937" s="77"/>
      <c r="D937" s="78"/>
      <c r="E937" s="79"/>
      <c r="F937" s="80"/>
      <c r="G937" s="78"/>
      <c r="H937" s="81"/>
      <c r="I937" s="78"/>
      <c r="J937" s="78"/>
      <c r="K937" s="78"/>
      <c r="L937" s="78"/>
      <c r="M937" s="81"/>
      <c r="N937" s="76"/>
      <c r="O937" s="82"/>
      <c r="P937" s="80"/>
      <c r="Q937" s="83"/>
      <c r="R937" s="80"/>
      <c r="S937" s="80"/>
      <c r="T937" s="80"/>
      <c r="U937" s="83"/>
      <c r="V937" s="80"/>
      <c r="W937" s="83"/>
      <c r="X937" s="80"/>
      <c r="Y937" s="80"/>
      <c r="Z937" s="80"/>
      <c r="AA937" s="80"/>
      <c r="AB937" s="80"/>
      <c r="AC937" s="80"/>
      <c r="AD937" s="80"/>
      <c r="AE937" s="80"/>
    </row>
    <row r="938" spans="1:31" x14ac:dyDescent="0.25">
      <c r="A938" s="76"/>
      <c r="B938" s="76"/>
      <c r="C938" s="77"/>
      <c r="D938" s="78"/>
      <c r="E938" s="79"/>
      <c r="F938" s="80"/>
      <c r="G938" s="78"/>
      <c r="H938" s="81"/>
      <c r="I938" s="78"/>
      <c r="J938" s="78"/>
      <c r="K938" s="78"/>
      <c r="L938" s="78"/>
      <c r="M938" s="81"/>
      <c r="N938" s="76"/>
      <c r="O938" s="82"/>
      <c r="P938" s="80"/>
      <c r="Q938" s="83"/>
      <c r="R938" s="80"/>
      <c r="S938" s="80"/>
      <c r="T938" s="80"/>
      <c r="U938" s="83"/>
      <c r="V938" s="80"/>
      <c r="W938" s="83"/>
      <c r="X938" s="80"/>
      <c r="Y938" s="80"/>
      <c r="Z938" s="80"/>
      <c r="AA938" s="80"/>
      <c r="AB938" s="80"/>
      <c r="AC938" s="80"/>
      <c r="AD938" s="80"/>
      <c r="AE938" s="80"/>
    </row>
    <row r="939" spans="1:31" x14ac:dyDescent="0.25">
      <c r="A939" s="76"/>
      <c r="B939" s="76"/>
      <c r="C939" s="77"/>
      <c r="D939" s="78"/>
      <c r="E939" s="79"/>
      <c r="F939" s="80"/>
      <c r="G939" s="78"/>
      <c r="H939" s="81"/>
      <c r="I939" s="78"/>
      <c r="J939" s="78"/>
      <c r="K939" s="78"/>
      <c r="L939" s="78"/>
      <c r="M939" s="81"/>
      <c r="N939" s="76"/>
      <c r="O939" s="82"/>
      <c r="P939" s="80"/>
      <c r="Q939" s="83"/>
      <c r="R939" s="80"/>
      <c r="S939" s="80"/>
      <c r="T939" s="80"/>
      <c r="U939" s="83"/>
      <c r="V939" s="80"/>
      <c r="W939" s="83"/>
      <c r="X939" s="80"/>
      <c r="Y939" s="80"/>
      <c r="Z939" s="80"/>
      <c r="AA939" s="80"/>
      <c r="AB939" s="80"/>
      <c r="AC939" s="80"/>
      <c r="AD939" s="80"/>
      <c r="AE939" s="80"/>
    </row>
    <row r="940" spans="1:31" x14ac:dyDescent="0.25">
      <c r="A940" s="76"/>
      <c r="B940" s="76"/>
      <c r="C940" s="77"/>
      <c r="D940" s="78"/>
      <c r="E940" s="79"/>
      <c r="F940" s="80"/>
      <c r="G940" s="78"/>
      <c r="H940" s="81"/>
      <c r="I940" s="78"/>
      <c r="J940" s="78"/>
      <c r="K940" s="78"/>
      <c r="L940" s="78"/>
      <c r="M940" s="81"/>
      <c r="N940" s="76"/>
      <c r="O940" s="82"/>
      <c r="P940" s="80"/>
      <c r="Q940" s="83"/>
      <c r="R940" s="80"/>
      <c r="S940" s="80"/>
      <c r="T940" s="80"/>
      <c r="U940" s="83"/>
      <c r="V940" s="80"/>
      <c r="W940" s="83"/>
      <c r="X940" s="80"/>
      <c r="Y940" s="80"/>
      <c r="Z940" s="80"/>
      <c r="AA940" s="80"/>
      <c r="AB940" s="80"/>
      <c r="AC940" s="80"/>
      <c r="AD940" s="80"/>
      <c r="AE940" s="80"/>
    </row>
    <row r="941" spans="1:31" x14ac:dyDescent="0.25">
      <c r="A941" s="76"/>
      <c r="B941" s="76"/>
      <c r="C941" s="77"/>
      <c r="D941" s="78"/>
      <c r="E941" s="79"/>
      <c r="F941" s="80"/>
      <c r="G941" s="78"/>
      <c r="H941" s="81"/>
      <c r="I941" s="78"/>
      <c r="J941" s="78"/>
      <c r="K941" s="78"/>
      <c r="L941" s="78"/>
      <c r="M941" s="81"/>
      <c r="N941" s="76"/>
      <c r="O941" s="82"/>
      <c r="P941" s="80"/>
      <c r="Q941" s="83"/>
      <c r="R941" s="80"/>
      <c r="S941" s="80"/>
      <c r="T941" s="80"/>
      <c r="U941" s="83"/>
      <c r="V941" s="80"/>
      <c r="W941" s="83"/>
      <c r="X941" s="80"/>
      <c r="Y941" s="80"/>
      <c r="Z941" s="80"/>
      <c r="AA941" s="80"/>
      <c r="AB941" s="80"/>
      <c r="AC941" s="80"/>
      <c r="AD941" s="80"/>
      <c r="AE941" s="80"/>
    </row>
    <row r="942" spans="1:31" x14ac:dyDescent="0.25">
      <c r="A942" s="76"/>
      <c r="B942" s="76"/>
      <c r="C942" s="77"/>
      <c r="D942" s="78"/>
      <c r="E942" s="79"/>
      <c r="F942" s="80"/>
      <c r="G942" s="78"/>
      <c r="H942" s="81"/>
      <c r="I942" s="78"/>
      <c r="J942" s="78"/>
      <c r="K942" s="78"/>
      <c r="L942" s="78"/>
      <c r="M942" s="81"/>
      <c r="N942" s="76"/>
      <c r="O942" s="82"/>
      <c r="P942" s="80"/>
      <c r="Q942" s="83"/>
      <c r="R942" s="80"/>
      <c r="S942" s="80"/>
      <c r="T942" s="80"/>
      <c r="U942" s="83"/>
      <c r="V942" s="80"/>
      <c r="W942" s="83"/>
      <c r="X942" s="80"/>
      <c r="Y942" s="80"/>
      <c r="Z942" s="80"/>
      <c r="AA942" s="80"/>
      <c r="AB942" s="80"/>
      <c r="AC942" s="80"/>
      <c r="AD942" s="80"/>
      <c r="AE942" s="80"/>
    </row>
    <row r="943" spans="1:31" x14ac:dyDescent="0.25">
      <c r="A943" s="76"/>
      <c r="B943" s="76"/>
      <c r="C943" s="77"/>
      <c r="D943" s="78"/>
      <c r="E943" s="79"/>
      <c r="F943" s="80"/>
      <c r="G943" s="78"/>
      <c r="H943" s="81"/>
      <c r="I943" s="78"/>
      <c r="J943" s="78"/>
      <c r="K943" s="78"/>
      <c r="L943" s="78"/>
      <c r="M943" s="81"/>
      <c r="N943" s="76"/>
      <c r="O943" s="82"/>
      <c r="P943" s="80"/>
      <c r="Q943" s="83"/>
      <c r="R943" s="80"/>
      <c r="S943" s="80"/>
      <c r="T943" s="80"/>
      <c r="U943" s="83"/>
      <c r="V943" s="80"/>
      <c r="W943" s="83"/>
      <c r="X943" s="80"/>
      <c r="Y943" s="80"/>
      <c r="Z943" s="80"/>
      <c r="AA943" s="80"/>
      <c r="AB943" s="80"/>
      <c r="AC943" s="80"/>
      <c r="AD943" s="80"/>
      <c r="AE943" s="80"/>
    </row>
    <row r="944" spans="1:31" x14ac:dyDescent="0.25">
      <c r="A944" s="76"/>
      <c r="B944" s="76"/>
      <c r="C944" s="77"/>
      <c r="D944" s="78"/>
      <c r="E944" s="79"/>
      <c r="F944" s="80"/>
      <c r="G944" s="78"/>
      <c r="H944" s="81"/>
      <c r="I944" s="78"/>
      <c r="J944" s="78"/>
      <c r="K944" s="78"/>
      <c r="L944" s="78"/>
      <c r="M944" s="81"/>
      <c r="N944" s="76"/>
      <c r="O944" s="82"/>
      <c r="P944" s="80"/>
      <c r="Q944" s="83"/>
      <c r="R944" s="80"/>
      <c r="S944" s="80"/>
      <c r="T944" s="80"/>
      <c r="U944" s="83"/>
      <c r="V944" s="80"/>
      <c r="W944" s="83"/>
      <c r="X944" s="80"/>
      <c r="Y944" s="80"/>
      <c r="Z944" s="80"/>
      <c r="AA944" s="80"/>
      <c r="AB944" s="80"/>
      <c r="AC944" s="80"/>
      <c r="AD944" s="80"/>
      <c r="AE944" s="80"/>
    </row>
    <row r="945" spans="1:31" x14ac:dyDescent="0.25">
      <c r="A945" s="76"/>
      <c r="B945" s="76"/>
      <c r="C945" s="77"/>
      <c r="D945" s="78"/>
      <c r="E945" s="79"/>
      <c r="F945" s="80"/>
      <c r="G945" s="78"/>
      <c r="H945" s="81"/>
      <c r="I945" s="78"/>
      <c r="J945" s="78"/>
      <c r="K945" s="78"/>
      <c r="L945" s="78"/>
      <c r="M945" s="81"/>
      <c r="N945" s="76"/>
      <c r="O945" s="82"/>
      <c r="P945" s="80"/>
      <c r="Q945" s="83"/>
      <c r="R945" s="80"/>
      <c r="S945" s="80"/>
      <c r="T945" s="80"/>
      <c r="U945" s="83"/>
      <c r="V945" s="80"/>
      <c r="W945" s="83"/>
      <c r="X945" s="80"/>
      <c r="Y945" s="80"/>
      <c r="Z945" s="80"/>
      <c r="AA945" s="80"/>
      <c r="AB945" s="80"/>
      <c r="AC945" s="80"/>
      <c r="AD945" s="80"/>
      <c r="AE945" s="80"/>
    </row>
    <row r="946" spans="1:31" x14ac:dyDescent="0.25">
      <c r="A946" s="76"/>
      <c r="B946" s="76"/>
      <c r="C946" s="77"/>
      <c r="D946" s="78"/>
      <c r="E946" s="79"/>
      <c r="F946" s="80"/>
      <c r="G946" s="78"/>
      <c r="H946" s="81"/>
      <c r="I946" s="78"/>
      <c r="J946" s="78"/>
      <c r="K946" s="78"/>
      <c r="L946" s="78"/>
      <c r="M946" s="81"/>
      <c r="N946" s="76"/>
      <c r="O946" s="82"/>
      <c r="P946" s="80"/>
      <c r="Q946" s="83"/>
      <c r="R946" s="80"/>
      <c r="S946" s="80"/>
      <c r="T946" s="80"/>
      <c r="U946" s="83"/>
      <c r="V946" s="80"/>
      <c r="W946" s="83"/>
      <c r="X946" s="80"/>
      <c r="Y946" s="80"/>
      <c r="Z946" s="80"/>
      <c r="AA946" s="80"/>
      <c r="AB946" s="80"/>
      <c r="AC946" s="80"/>
      <c r="AD946" s="80"/>
      <c r="AE946" s="80"/>
    </row>
    <row r="947" spans="1:31" x14ac:dyDescent="0.25">
      <c r="A947" s="76"/>
      <c r="B947" s="76"/>
      <c r="C947" s="77"/>
      <c r="D947" s="78"/>
      <c r="E947" s="79"/>
      <c r="F947" s="80"/>
      <c r="G947" s="78"/>
      <c r="H947" s="81"/>
      <c r="I947" s="78"/>
      <c r="J947" s="78"/>
      <c r="K947" s="78"/>
      <c r="L947" s="78"/>
      <c r="M947" s="81"/>
      <c r="N947" s="76"/>
      <c r="O947" s="82"/>
      <c r="P947" s="80"/>
      <c r="Q947" s="83"/>
      <c r="R947" s="80"/>
      <c r="S947" s="80"/>
      <c r="T947" s="80"/>
      <c r="U947" s="83"/>
      <c r="V947" s="80"/>
      <c r="W947" s="83"/>
      <c r="X947" s="80"/>
      <c r="Y947" s="80"/>
      <c r="Z947" s="80"/>
      <c r="AA947" s="80"/>
      <c r="AB947" s="80"/>
      <c r="AC947" s="80"/>
      <c r="AD947" s="80"/>
      <c r="AE947" s="80"/>
    </row>
    <row r="948" spans="1:31" x14ac:dyDescent="0.25">
      <c r="A948" s="76"/>
      <c r="B948" s="76"/>
      <c r="C948" s="77"/>
      <c r="D948" s="78"/>
      <c r="E948" s="79"/>
      <c r="F948" s="80"/>
      <c r="G948" s="78"/>
      <c r="H948" s="81"/>
      <c r="I948" s="78"/>
      <c r="J948" s="78"/>
      <c r="K948" s="78"/>
      <c r="L948" s="78"/>
      <c r="M948" s="81"/>
      <c r="N948" s="76"/>
      <c r="O948" s="82"/>
      <c r="P948" s="80"/>
      <c r="Q948" s="83"/>
      <c r="R948" s="80"/>
      <c r="S948" s="80"/>
      <c r="T948" s="80"/>
      <c r="U948" s="83"/>
      <c r="V948" s="80"/>
      <c r="W948" s="83"/>
      <c r="X948" s="80"/>
      <c r="Y948" s="80"/>
      <c r="Z948" s="80"/>
      <c r="AA948" s="80"/>
      <c r="AB948" s="80"/>
      <c r="AC948" s="80"/>
      <c r="AD948" s="80"/>
      <c r="AE948" s="80"/>
    </row>
    <row r="949" spans="1:31" x14ac:dyDescent="0.25">
      <c r="A949" s="76"/>
      <c r="B949" s="76"/>
      <c r="C949" s="77"/>
      <c r="D949" s="78"/>
      <c r="E949" s="79"/>
      <c r="F949" s="80"/>
      <c r="G949" s="78"/>
      <c r="H949" s="81"/>
      <c r="I949" s="78"/>
      <c r="J949" s="78"/>
      <c r="K949" s="78"/>
      <c r="L949" s="78"/>
      <c r="M949" s="81"/>
      <c r="N949" s="76"/>
      <c r="O949" s="82"/>
      <c r="P949" s="80"/>
      <c r="Q949" s="83"/>
      <c r="R949" s="80"/>
      <c r="S949" s="80"/>
      <c r="T949" s="80"/>
      <c r="U949" s="83"/>
      <c r="V949" s="80"/>
      <c r="W949" s="83"/>
      <c r="X949" s="80"/>
      <c r="Y949" s="80"/>
      <c r="Z949" s="80"/>
      <c r="AA949" s="80"/>
      <c r="AB949" s="80"/>
      <c r="AC949" s="80"/>
      <c r="AD949" s="80"/>
      <c r="AE949" s="80"/>
    </row>
    <row r="950" spans="1:31" x14ac:dyDescent="0.25">
      <c r="A950" s="76"/>
      <c r="B950" s="76"/>
      <c r="C950" s="77"/>
      <c r="D950" s="78"/>
      <c r="E950" s="79"/>
      <c r="F950" s="80"/>
      <c r="G950" s="78"/>
      <c r="H950" s="81"/>
      <c r="I950" s="78"/>
      <c r="J950" s="78"/>
      <c r="K950" s="78"/>
      <c r="L950" s="78"/>
      <c r="M950" s="81"/>
      <c r="N950" s="76"/>
      <c r="O950" s="82"/>
      <c r="P950" s="80"/>
      <c r="Q950" s="83"/>
      <c r="R950" s="80"/>
      <c r="S950" s="80"/>
      <c r="T950" s="80"/>
      <c r="U950" s="83"/>
      <c r="V950" s="80"/>
      <c r="W950" s="83"/>
      <c r="X950" s="80"/>
      <c r="Y950" s="80"/>
      <c r="Z950" s="80"/>
      <c r="AA950" s="80"/>
      <c r="AB950" s="80"/>
      <c r="AC950" s="80"/>
      <c r="AD950" s="80"/>
      <c r="AE950" s="80"/>
    </row>
    <row r="951" spans="1:31" x14ac:dyDescent="0.25">
      <c r="A951" s="76"/>
      <c r="B951" s="76"/>
      <c r="C951" s="77"/>
      <c r="D951" s="78"/>
      <c r="E951" s="79"/>
      <c r="F951" s="80"/>
      <c r="G951" s="78"/>
      <c r="H951" s="81"/>
      <c r="I951" s="78"/>
      <c r="J951" s="78"/>
      <c r="K951" s="78"/>
      <c r="L951" s="78"/>
      <c r="M951" s="81"/>
      <c r="N951" s="76"/>
      <c r="O951" s="82"/>
      <c r="P951" s="80"/>
      <c r="Q951" s="83"/>
      <c r="R951" s="80"/>
      <c r="S951" s="80"/>
      <c r="T951" s="80"/>
      <c r="U951" s="83"/>
      <c r="V951" s="80"/>
      <c r="W951" s="83"/>
      <c r="X951" s="80"/>
      <c r="Y951" s="80"/>
      <c r="Z951" s="80"/>
      <c r="AA951" s="80"/>
      <c r="AB951" s="80"/>
      <c r="AC951" s="80"/>
      <c r="AD951" s="80"/>
      <c r="AE951" s="80"/>
    </row>
    <row r="952" spans="1:31" x14ac:dyDescent="0.25">
      <c r="A952" s="76"/>
      <c r="B952" s="76"/>
      <c r="C952" s="77"/>
      <c r="D952" s="78"/>
      <c r="E952" s="79"/>
      <c r="F952" s="80"/>
      <c r="G952" s="78"/>
      <c r="H952" s="81"/>
      <c r="I952" s="78"/>
      <c r="J952" s="78"/>
      <c r="K952" s="78"/>
      <c r="L952" s="78"/>
      <c r="M952" s="81"/>
      <c r="N952" s="76"/>
      <c r="O952" s="82"/>
      <c r="P952" s="80"/>
      <c r="Q952" s="83"/>
      <c r="R952" s="80"/>
      <c r="S952" s="80"/>
      <c r="T952" s="80"/>
      <c r="U952" s="83"/>
      <c r="V952" s="80"/>
      <c r="W952" s="83"/>
      <c r="X952" s="80"/>
      <c r="Y952" s="80"/>
      <c r="Z952" s="80"/>
      <c r="AA952" s="80"/>
      <c r="AB952" s="80"/>
      <c r="AC952" s="80"/>
      <c r="AD952" s="80"/>
      <c r="AE952" s="80"/>
    </row>
    <row r="953" spans="1:31" x14ac:dyDescent="0.25">
      <c r="A953" s="76"/>
      <c r="B953" s="76"/>
      <c r="C953" s="77"/>
      <c r="D953" s="78"/>
      <c r="E953" s="79"/>
      <c r="F953" s="80"/>
      <c r="G953" s="78"/>
      <c r="H953" s="81"/>
      <c r="I953" s="78"/>
      <c r="J953" s="78"/>
      <c r="K953" s="78"/>
      <c r="L953" s="78"/>
      <c r="M953" s="81"/>
      <c r="N953" s="76"/>
      <c r="O953" s="82"/>
      <c r="P953" s="80"/>
      <c r="Q953" s="83"/>
      <c r="R953" s="80"/>
      <c r="S953" s="80"/>
      <c r="T953" s="80"/>
      <c r="U953" s="83"/>
      <c r="V953" s="80"/>
      <c r="W953" s="83"/>
      <c r="X953" s="80"/>
      <c r="Y953" s="80"/>
      <c r="Z953" s="80"/>
      <c r="AA953" s="80"/>
      <c r="AB953" s="80"/>
      <c r="AC953" s="80"/>
      <c r="AD953" s="80"/>
      <c r="AE953" s="80"/>
    </row>
    <row r="954" spans="1:31" x14ac:dyDescent="0.25">
      <c r="A954" s="76"/>
      <c r="B954" s="76"/>
      <c r="C954" s="77"/>
      <c r="D954" s="78"/>
      <c r="E954" s="79"/>
      <c r="F954" s="80"/>
      <c r="G954" s="78"/>
      <c r="H954" s="81"/>
      <c r="I954" s="78"/>
      <c r="J954" s="78"/>
      <c r="K954" s="78"/>
      <c r="L954" s="78"/>
      <c r="M954" s="81"/>
      <c r="N954" s="76"/>
      <c r="O954" s="82"/>
      <c r="P954" s="80"/>
      <c r="Q954" s="83"/>
      <c r="R954" s="80"/>
      <c r="S954" s="80"/>
      <c r="T954" s="80"/>
      <c r="U954" s="83"/>
      <c r="V954" s="80"/>
      <c r="W954" s="83"/>
      <c r="X954" s="80"/>
      <c r="Y954" s="80"/>
      <c r="Z954" s="80"/>
      <c r="AA954" s="80"/>
      <c r="AB954" s="80"/>
      <c r="AC954" s="80"/>
      <c r="AD954" s="80"/>
      <c r="AE954" s="80"/>
    </row>
    <row r="955" spans="1:31" x14ac:dyDescent="0.25">
      <c r="A955" s="76"/>
      <c r="B955" s="76"/>
      <c r="C955" s="77"/>
      <c r="D955" s="78"/>
      <c r="E955" s="79"/>
      <c r="F955" s="80"/>
      <c r="G955" s="78"/>
      <c r="H955" s="81"/>
      <c r="I955" s="78"/>
      <c r="J955" s="78"/>
      <c r="K955" s="78"/>
      <c r="L955" s="78"/>
      <c r="M955" s="81"/>
      <c r="N955" s="76"/>
      <c r="O955" s="82"/>
      <c r="P955" s="80"/>
      <c r="Q955" s="83"/>
      <c r="R955" s="80"/>
      <c r="S955" s="80"/>
      <c r="T955" s="80"/>
      <c r="U955" s="83"/>
      <c r="V955" s="80"/>
      <c r="W955" s="83"/>
      <c r="X955" s="80"/>
      <c r="Y955" s="80"/>
      <c r="Z955" s="80"/>
      <c r="AA955" s="80"/>
      <c r="AB955" s="80"/>
      <c r="AC955" s="80"/>
      <c r="AD955" s="80"/>
      <c r="AE955" s="80"/>
    </row>
    <row r="956" spans="1:31" x14ac:dyDescent="0.25">
      <c r="A956" s="76"/>
      <c r="B956" s="76"/>
      <c r="C956" s="77"/>
      <c r="D956" s="78"/>
      <c r="E956" s="79"/>
      <c r="F956" s="80"/>
      <c r="G956" s="78"/>
      <c r="H956" s="81"/>
      <c r="I956" s="78"/>
      <c r="J956" s="78"/>
      <c r="K956" s="78"/>
      <c r="L956" s="78"/>
      <c r="M956" s="81"/>
      <c r="N956" s="76"/>
      <c r="O956" s="82"/>
      <c r="P956" s="80"/>
      <c r="Q956" s="83"/>
      <c r="R956" s="80"/>
      <c r="S956" s="80"/>
      <c r="T956" s="80"/>
      <c r="U956" s="83"/>
      <c r="V956" s="80"/>
      <c r="W956" s="83"/>
      <c r="X956" s="80"/>
      <c r="Y956" s="80"/>
      <c r="Z956" s="80"/>
      <c r="AA956" s="80"/>
      <c r="AB956" s="80"/>
      <c r="AC956" s="80"/>
      <c r="AD956" s="80"/>
      <c r="AE956" s="80"/>
    </row>
    <row r="957" spans="1:31" x14ac:dyDescent="0.25">
      <c r="A957" s="76"/>
      <c r="B957" s="76"/>
      <c r="C957" s="77"/>
      <c r="D957" s="78"/>
      <c r="E957" s="79"/>
      <c r="F957" s="80"/>
      <c r="G957" s="78"/>
      <c r="H957" s="81"/>
      <c r="I957" s="78"/>
      <c r="J957" s="78"/>
      <c r="K957" s="78"/>
      <c r="L957" s="78"/>
      <c r="M957" s="81"/>
      <c r="N957" s="76"/>
      <c r="O957" s="82"/>
      <c r="P957" s="80"/>
      <c r="Q957" s="83"/>
      <c r="R957" s="80"/>
      <c r="S957" s="80"/>
      <c r="T957" s="80"/>
      <c r="U957" s="83"/>
      <c r="V957" s="80"/>
      <c r="W957" s="83"/>
      <c r="X957" s="80"/>
      <c r="Y957" s="80"/>
      <c r="Z957" s="80"/>
      <c r="AA957" s="80"/>
      <c r="AB957" s="80"/>
      <c r="AC957" s="80"/>
      <c r="AD957" s="80"/>
      <c r="AE957" s="80"/>
    </row>
    <row r="958" spans="1:31" x14ac:dyDescent="0.25">
      <c r="A958" s="76"/>
      <c r="B958" s="76"/>
      <c r="C958" s="77"/>
      <c r="D958" s="78"/>
      <c r="E958" s="79"/>
      <c r="F958" s="80"/>
      <c r="G958" s="78"/>
      <c r="H958" s="81"/>
      <c r="I958" s="78"/>
      <c r="J958" s="78"/>
      <c r="K958" s="78"/>
      <c r="L958" s="78"/>
      <c r="M958" s="81"/>
      <c r="N958" s="76"/>
      <c r="O958" s="82"/>
      <c r="P958" s="80"/>
      <c r="Q958" s="83"/>
      <c r="R958" s="80"/>
      <c r="S958" s="80"/>
      <c r="T958" s="80"/>
      <c r="U958" s="83"/>
      <c r="V958" s="80"/>
      <c r="W958" s="83"/>
      <c r="X958" s="80"/>
      <c r="Y958" s="80"/>
      <c r="Z958" s="80"/>
      <c r="AA958" s="80"/>
      <c r="AB958" s="80"/>
      <c r="AC958" s="80"/>
      <c r="AD958" s="80"/>
      <c r="AE958" s="80"/>
    </row>
    <row r="959" spans="1:31" x14ac:dyDescent="0.25">
      <c r="A959" s="76"/>
      <c r="B959" s="76"/>
      <c r="C959" s="77"/>
      <c r="D959" s="78"/>
      <c r="E959" s="79"/>
      <c r="F959" s="80"/>
      <c r="G959" s="78"/>
      <c r="H959" s="81"/>
      <c r="I959" s="78"/>
      <c r="J959" s="78"/>
      <c r="K959" s="78"/>
      <c r="L959" s="78"/>
      <c r="M959" s="81"/>
      <c r="N959" s="76"/>
      <c r="O959" s="82"/>
      <c r="P959" s="80"/>
      <c r="Q959" s="83"/>
      <c r="R959" s="80"/>
      <c r="S959" s="80"/>
      <c r="T959" s="80"/>
      <c r="U959" s="83"/>
      <c r="V959" s="80"/>
      <c r="W959" s="83"/>
      <c r="X959" s="80"/>
      <c r="Y959" s="80"/>
      <c r="Z959" s="80"/>
      <c r="AA959" s="80"/>
      <c r="AB959" s="80"/>
      <c r="AC959" s="80"/>
      <c r="AD959" s="80"/>
      <c r="AE959" s="80"/>
    </row>
    <row r="960" spans="1:31" x14ac:dyDescent="0.25">
      <c r="A960" s="76"/>
      <c r="B960" s="76"/>
      <c r="C960" s="77"/>
      <c r="D960" s="78"/>
      <c r="E960" s="79"/>
      <c r="F960" s="80"/>
      <c r="G960" s="78"/>
      <c r="H960" s="81"/>
      <c r="I960" s="78"/>
      <c r="J960" s="78"/>
      <c r="K960" s="78"/>
      <c r="L960" s="78"/>
      <c r="M960" s="81"/>
      <c r="N960" s="76"/>
      <c r="O960" s="82"/>
      <c r="P960" s="80"/>
      <c r="Q960" s="83"/>
      <c r="R960" s="80"/>
      <c r="S960" s="80"/>
      <c r="T960" s="80"/>
      <c r="U960" s="83"/>
      <c r="V960" s="80"/>
      <c r="W960" s="83"/>
      <c r="X960" s="80"/>
      <c r="Y960" s="80"/>
      <c r="Z960" s="80"/>
      <c r="AA960" s="80"/>
      <c r="AB960" s="80"/>
      <c r="AC960" s="80"/>
      <c r="AD960" s="80"/>
      <c r="AE960" s="80"/>
    </row>
    <row r="961" spans="1:31" x14ac:dyDescent="0.25">
      <c r="A961" s="76"/>
      <c r="B961" s="76"/>
      <c r="C961" s="77"/>
      <c r="D961" s="78"/>
      <c r="E961" s="79"/>
      <c r="F961" s="80"/>
      <c r="G961" s="78"/>
      <c r="H961" s="81"/>
      <c r="I961" s="78"/>
      <c r="J961" s="78"/>
      <c r="K961" s="78"/>
      <c r="L961" s="78"/>
      <c r="M961" s="81"/>
      <c r="N961" s="76"/>
      <c r="O961" s="82"/>
      <c r="P961" s="80"/>
      <c r="Q961" s="83"/>
      <c r="R961" s="80"/>
      <c r="S961" s="80"/>
      <c r="T961" s="80"/>
      <c r="U961" s="83"/>
      <c r="V961" s="80"/>
      <c r="W961" s="83"/>
      <c r="X961" s="80"/>
      <c r="Y961" s="80"/>
      <c r="Z961" s="80"/>
      <c r="AA961" s="80"/>
      <c r="AB961" s="80"/>
      <c r="AC961" s="80"/>
      <c r="AD961" s="80"/>
      <c r="AE961" s="80"/>
    </row>
    <row r="962" spans="1:31" x14ac:dyDescent="0.25">
      <c r="A962" s="76"/>
      <c r="B962" s="76"/>
      <c r="C962" s="77"/>
      <c r="D962" s="78"/>
      <c r="E962" s="79"/>
      <c r="F962" s="80"/>
      <c r="G962" s="78"/>
      <c r="H962" s="81"/>
      <c r="I962" s="78"/>
      <c r="J962" s="78"/>
      <c r="K962" s="78"/>
      <c r="L962" s="78"/>
      <c r="M962" s="81"/>
      <c r="N962" s="76"/>
      <c r="O962" s="82"/>
      <c r="P962" s="80"/>
      <c r="Q962" s="83"/>
      <c r="R962" s="80"/>
      <c r="S962" s="80"/>
      <c r="T962" s="80"/>
      <c r="U962" s="83"/>
      <c r="V962" s="80"/>
      <c r="W962" s="83"/>
      <c r="X962" s="80"/>
      <c r="Y962" s="80"/>
      <c r="Z962" s="80"/>
      <c r="AA962" s="80"/>
      <c r="AB962" s="80"/>
      <c r="AC962" s="80"/>
      <c r="AD962" s="80"/>
      <c r="AE962" s="80"/>
    </row>
    <row r="963" spans="1:31" x14ac:dyDescent="0.25">
      <c r="A963" s="76"/>
      <c r="B963" s="76"/>
      <c r="C963" s="77"/>
      <c r="D963" s="78"/>
      <c r="E963" s="79"/>
      <c r="F963" s="80"/>
      <c r="G963" s="78"/>
      <c r="H963" s="81"/>
      <c r="I963" s="78"/>
      <c r="J963" s="78"/>
      <c r="K963" s="78"/>
      <c r="L963" s="78"/>
      <c r="M963" s="81"/>
      <c r="N963" s="76"/>
      <c r="O963" s="82"/>
      <c r="P963" s="80"/>
      <c r="Q963" s="83"/>
      <c r="R963" s="80"/>
      <c r="S963" s="80"/>
      <c r="T963" s="80"/>
      <c r="U963" s="83"/>
      <c r="V963" s="80"/>
      <c r="W963" s="83"/>
      <c r="X963" s="80"/>
      <c r="Y963" s="80"/>
      <c r="Z963" s="80"/>
      <c r="AA963" s="80"/>
      <c r="AB963" s="80"/>
      <c r="AC963" s="80"/>
      <c r="AD963" s="80"/>
      <c r="AE963" s="80"/>
    </row>
    <row r="964" spans="1:31" x14ac:dyDescent="0.25">
      <c r="A964" s="76"/>
      <c r="B964" s="76"/>
      <c r="C964" s="77"/>
      <c r="D964" s="78"/>
      <c r="E964" s="79"/>
      <c r="F964" s="80"/>
      <c r="G964" s="78"/>
      <c r="H964" s="81"/>
      <c r="I964" s="78"/>
      <c r="J964" s="78"/>
      <c r="K964" s="78"/>
      <c r="L964" s="78"/>
      <c r="M964" s="81"/>
      <c r="N964" s="76"/>
      <c r="O964" s="82"/>
      <c r="P964" s="80"/>
      <c r="Q964" s="83"/>
      <c r="R964" s="80"/>
      <c r="S964" s="80"/>
      <c r="T964" s="80"/>
      <c r="U964" s="83"/>
      <c r="V964" s="80"/>
      <c r="W964" s="83"/>
      <c r="X964" s="80"/>
      <c r="Y964" s="80"/>
      <c r="Z964" s="80"/>
      <c r="AA964" s="80"/>
      <c r="AB964" s="80"/>
      <c r="AC964" s="80"/>
      <c r="AD964" s="80"/>
      <c r="AE964" s="80"/>
    </row>
    <row r="965" spans="1:31" x14ac:dyDescent="0.25">
      <c r="A965" s="76"/>
      <c r="B965" s="76"/>
      <c r="C965" s="77"/>
      <c r="D965" s="78"/>
      <c r="E965" s="79"/>
      <c r="F965" s="80"/>
      <c r="G965" s="78"/>
      <c r="H965" s="81"/>
      <c r="I965" s="78"/>
      <c r="J965" s="78"/>
      <c r="K965" s="78"/>
      <c r="L965" s="78"/>
      <c r="M965" s="81"/>
      <c r="N965" s="76"/>
      <c r="O965" s="82"/>
      <c r="P965" s="80"/>
      <c r="Q965" s="83"/>
      <c r="R965" s="80"/>
      <c r="S965" s="80"/>
      <c r="T965" s="80"/>
      <c r="U965" s="83"/>
      <c r="V965" s="80"/>
      <c r="W965" s="83"/>
      <c r="X965" s="80"/>
      <c r="Y965" s="80"/>
      <c r="Z965" s="80"/>
      <c r="AA965" s="80"/>
      <c r="AB965" s="80"/>
      <c r="AC965" s="80"/>
      <c r="AD965" s="80"/>
      <c r="AE965" s="80"/>
    </row>
    <row r="966" spans="1:31" x14ac:dyDescent="0.25">
      <c r="A966" s="76"/>
      <c r="B966" s="76"/>
      <c r="C966" s="77"/>
      <c r="D966" s="78"/>
      <c r="E966" s="79"/>
      <c r="F966" s="80"/>
      <c r="G966" s="78"/>
      <c r="H966" s="81"/>
      <c r="I966" s="78"/>
      <c r="J966" s="78"/>
      <c r="K966" s="78"/>
      <c r="L966" s="78"/>
      <c r="M966" s="81"/>
      <c r="N966" s="76"/>
      <c r="O966" s="82"/>
      <c r="P966" s="80"/>
      <c r="Q966" s="83"/>
      <c r="R966" s="80"/>
      <c r="S966" s="80"/>
      <c r="T966" s="80"/>
      <c r="U966" s="83"/>
      <c r="V966" s="80"/>
      <c r="W966" s="83"/>
      <c r="X966" s="80"/>
      <c r="Y966" s="80"/>
      <c r="Z966" s="80"/>
      <c r="AA966" s="80"/>
      <c r="AB966" s="80"/>
      <c r="AC966" s="80"/>
      <c r="AD966" s="80"/>
      <c r="AE966" s="80"/>
    </row>
    <row r="967" spans="1:31" x14ac:dyDescent="0.25">
      <c r="A967" s="76"/>
      <c r="B967" s="76"/>
      <c r="C967" s="77"/>
      <c r="D967" s="78"/>
      <c r="E967" s="79"/>
      <c r="F967" s="80"/>
      <c r="G967" s="78"/>
      <c r="H967" s="81"/>
      <c r="I967" s="78"/>
      <c r="J967" s="78"/>
      <c r="K967" s="78"/>
      <c r="L967" s="78"/>
      <c r="M967" s="81"/>
      <c r="N967" s="76"/>
      <c r="O967" s="82"/>
      <c r="P967" s="80"/>
      <c r="Q967" s="83"/>
      <c r="R967" s="80"/>
      <c r="S967" s="80"/>
      <c r="T967" s="80"/>
      <c r="U967" s="83"/>
      <c r="V967" s="80"/>
      <c r="W967" s="83"/>
      <c r="X967" s="80"/>
      <c r="Y967" s="80"/>
      <c r="Z967" s="80"/>
      <c r="AA967" s="80"/>
      <c r="AB967" s="80"/>
      <c r="AC967" s="80"/>
      <c r="AD967" s="80"/>
      <c r="AE967" s="80"/>
    </row>
    <row r="968" spans="1:31" x14ac:dyDescent="0.25">
      <c r="A968" s="76"/>
      <c r="B968" s="76"/>
      <c r="C968" s="77"/>
      <c r="D968" s="78"/>
      <c r="E968" s="79"/>
      <c r="F968" s="80"/>
      <c r="G968" s="78"/>
      <c r="H968" s="81"/>
      <c r="I968" s="78"/>
      <c r="J968" s="78"/>
      <c r="K968" s="78"/>
      <c r="L968" s="78"/>
      <c r="M968" s="81"/>
      <c r="N968" s="76"/>
      <c r="O968" s="82"/>
      <c r="P968" s="80"/>
      <c r="Q968" s="83"/>
      <c r="R968" s="80"/>
      <c r="S968" s="80"/>
      <c r="T968" s="80"/>
      <c r="U968" s="83"/>
      <c r="V968" s="80"/>
      <c r="W968" s="83"/>
      <c r="X968" s="80"/>
      <c r="Y968" s="80"/>
      <c r="Z968" s="80"/>
      <c r="AA968" s="80"/>
      <c r="AB968" s="80"/>
      <c r="AC968" s="80"/>
      <c r="AD968" s="80"/>
      <c r="AE968" s="80"/>
    </row>
    <row r="969" spans="1:31" x14ac:dyDescent="0.25">
      <c r="A969" s="76"/>
      <c r="B969" s="76"/>
      <c r="C969" s="77"/>
      <c r="D969" s="78"/>
      <c r="E969" s="79"/>
      <c r="F969" s="80"/>
      <c r="G969" s="78"/>
      <c r="H969" s="81"/>
      <c r="I969" s="78"/>
      <c r="J969" s="78"/>
      <c r="K969" s="78"/>
      <c r="L969" s="78"/>
      <c r="M969" s="81"/>
      <c r="N969" s="76"/>
      <c r="O969" s="82"/>
      <c r="P969" s="80"/>
      <c r="Q969" s="83"/>
      <c r="R969" s="80"/>
      <c r="S969" s="80"/>
      <c r="T969" s="80"/>
      <c r="U969" s="83"/>
      <c r="V969" s="80"/>
      <c r="W969" s="83"/>
      <c r="X969" s="80"/>
      <c r="Y969" s="80"/>
      <c r="Z969" s="80"/>
      <c r="AA969" s="80"/>
      <c r="AB969" s="80"/>
      <c r="AC969" s="80"/>
      <c r="AD969" s="80"/>
      <c r="AE969" s="80"/>
    </row>
    <row r="970" spans="1:31" x14ac:dyDescent="0.25">
      <c r="A970" s="76"/>
      <c r="B970" s="76"/>
      <c r="C970" s="77"/>
      <c r="D970" s="78"/>
      <c r="E970" s="79"/>
      <c r="F970" s="80"/>
      <c r="G970" s="78"/>
      <c r="H970" s="81"/>
      <c r="I970" s="78"/>
      <c r="J970" s="78"/>
      <c r="K970" s="78"/>
      <c r="L970" s="78"/>
      <c r="M970" s="81"/>
      <c r="N970" s="76"/>
      <c r="O970" s="82"/>
      <c r="P970" s="80"/>
      <c r="Q970" s="83"/>
      <c r="R970" s="80"/>
      <c r="S970" s="80"/>
      <c r="T970" s="80"/>
      <c r="U970" s="83"/>
      <c r="V970" s="80"/>
      <c r="W970" s="83"/>
      <c r="X970" s="80"/>
      <c r="Y970" s="80"/>
      <c r="Z970" s="80"/>
      <c r="AA970" s="80"/>
      <c r="AB970" s="80"/>
      <c r="AC970" s="80"/>
      <c r="AD970" s="80"/>
      <c r="AE970" s="80"/>
    </row>
    <row r="971" spans="1:31" x14ac:dyDescent="0.25">
      <c r="A971" s="76"/>
      <c r="B971" s="76"/>
      <c r="C971" s="77"/>
      <c r="D971" s="78"/>
      <c r="E971" s="79"/>
      <c r="F971" s="80"/>
      <c r="G971" s="78"/>
      <c r="H971" s="81"/>
      <c r="I971" s="78"/>
      <c r="J971" s="78"/>
      <c r="K971" s="78"/>
      <c r="L971" s="78"/>
      <c r="M971" s="81"/>
      <c r="N971" s="76"/>
      <c r="O971" s="82"/>
      <c r="P971" s="80"/>
      <c r="Q971" s="83"/>
      <c r="R971" s="80"/>
      <c r="S971" s="80"/>
      <c r="T971" s="80"/>
      <c r="U971" s="83"/>
      <c r="V971" s="80"/>
      <c r="W971" s="83"/>
      <c r="X971" s="80"/>
      <c r="Y971" s="80"/>
      <c r="Z971" s="80"/>
      <c r="AA971" s="80"/>
      <c r="AB971" s="80"/>
      <c r="AC971" s="80"/>
      <c r="AD971" s="80"/>
      <c r="AE971" s="80"/>
    </row>
    <row r="972" spans="1:31" x14ac:dyDescent="0.25">
      <c r="A972" s="76"/>
      <c r="B972" s="76"/>
      <c r="C972" s="77"/>
      <c r="D972" s="78"/>
      <c r="E972" s="79"/>
      <c r="F972" s="80"/>
      <c r="G972" s="78"/>
      <c r="H972" s="81"/>
      <c r="I972" s="78"/>
      <c r="J972" s="78"/>
      <c r="K972" s="78"/>
      <c r="L972" s="78"/>
      <c r="M972" s="81"/>
      <c r="N972" s="76"/>
      <c r="O972" s="82"/>
      <c r="P972" s="80"/>
      <c r="Q972" s="83"/>
      <c r="R972" s="80"/>
      <c r="S972" s="80"/>
      <c r="T972" s="80"/>
      <c r="U972" s="83"/>
      <c r="V972" s="80"/>
      <c r="W972" s="83"/>
      <c r="X972" s="80"/>
      <c r="Y972" s="80"/>
      <c r="Z972" s="80"/>
      <c r="AA972" s="80"/>
      <c r="AB972" s="80"/>
      <c r="AC972" s="80"/>
      <c r="AD972" s="80"/>
      <c r="AE972" s="80"/>
    </row>
    <row r="973" spans="1:31" x14ac:dyDescent="0.25">
      <c r="A973" s="76"/>
      <c r="B973" s="76"/>
      <c r="C973" s="77"/>
      <c r="D973" s="78"/>
      <c r="E973" s="79"/>
      <c r="F973" s="80"/>
      <c r="G973" s="78"/>
      <c r="H973" s="81"/>
      <c r="I973" s="78"/>
      <c r="J973" s="78"/>
      <c r="K973" s="78"/>
      <c r="L973" s="78"/>
      <c r="M973" s="81"/>
      <c r="N973" s="76"/>
      <c r="O973" s="82"/>
      <c r="P973" s="80"/>
      <c r="Q973" s="83"/>
      <c r="R973" s="80"/>
      <c r="S973" s="80"/>
      <c r="T973" s="80"/>
      <c r="U973" s="83"/>
      <c r="V973" s="80"/>
      <c r="W973" s="83"/>
      <c r="X973" s="80"/>
      <c r="Y973" s="80"/>
      <c r="Z973" s="80"/>
      <c r="AA973" s="80"/>
      <c r="AB973" s="80"/>
      <c r="AC973" s="80"/>
      <c r="AD973" s="80"/>
      <c r="AE973" s="80"/>
    </row>
    <row r="974" spans="1:31" x14ac:dyDescent="0.25">
      <c r="A974" s="76"/>
      <c r="B974" s="76"/>
      <c r="C974" s="77"/>
      <c r="D974" s="78"/>
      <c r="E974" s="79"/>
      <c r="F974" s="80"/>
      <c r="G974" s="78"/>
      <c r="H974" s="81"/>
      <c r="I974" s="78"/>
      <c r="J974" s="78"/>
      <c r="K974" s="78"/>
      <c r="L974" s="78"/>
      <c r="M974" s="81"/>
      <c r="N974" s="76"/>
      <c r="O974" s="82"/>
      <c r="P974" s="80"/>
      <c r="Q974" s="83"/>
      <c r="R974" s="80"/>
      <c r="S974" s="80"/>
      <c r="T974" s="80"/>
      <c r="U974" s="83"/>
      <c r="V974" s="80"/>
      <c r="W974" s="83"/>
      <c r="X974" s="80"/>
      <c r="Y974" s="80"/>
      <c r="Z974" s="80"/>
      <c r="AA974" s="80"/>
      <c r="AB974" s="80"/>
      <c r="AC974" s="80"/>
      <c r="AD974" s="80"/>
      <c r="AE974" s="80"/>
    </row>
    <row r="975" spans="1:31" x14ac:dyDescent="0.25">
      <c r="A975" s="76"/>
      <c r="B975" s="76"/>
      <c r="C975" s="77"/>
      <c r="D975" s="78"/>
      <c r="E975" s="79"/>
      <c r="F975" s="80"/>
      <c r="G975" s="78"/>
      <c r="H975" s="81"/>
      <c r="I975" s="78"/>
      <c r="J975" s="78"/>
      <c r="K975" s="78"/>
      <c r="L975" s="78"/>
      <c r="M975" s="81"/>
      <c r="N975" s="76"/>
      <c r="O975" s="82"/>
      <c r="P975" s="80"/>
      <c r="Q975" s="83"/>
      <c r="R975" s="80"/>
      <c r="S975" s="80"/>
      <c r="T975" s="80"/>
      <c r="U975" s="83"/>
      <c r="V975" s="80"/>
      <c r="W975" s="83"/>
      <c r="X975" s="80"/>
      <c r="Y975" s="80"/>
      <c r="Z975" s="80"/>
      <c r="AA975" s="80"/>
      <c r="AB975" s="80"/>
      <c r="AC975" s="80"/>
      <c r="AD975" s="80"/>
      <c r="AE975" s="80"/>
    </row>
    <row r="976" spans="1:31" x14ac:dyDescent="0.25">
      <c r="A976" s="76"/>
      <c r="B976" s="76"/>
      <c r="C976" s="77"/>
      <c r="D976" s="78"/>
      <c r="E976" s="79"/>
      <c r="F976" s="80"/>
      <c r="G976" s="78"/>
      <c r="H976" s="81"/>
      <c r="I976" s="78"/>
      <c r="J976" s="78"/>
      <c r="K976" s="78"/>
      <c r="L976" s="78"/>
      <c r="M976" s="81"/>
      <c r="N976" s="76"/>
      <c r="O976" s="82"/>
      <c r="P976" s="80"/>
      <c r="Q976" s="83"/>
      <c r="R976" s="80"/>
      <c r="S976" s="80"/>
      <c r="T976" s="80"/>
      <c r="U976" s="83"/>
      <c r="V976" s="80"/>
      <c r="W976" s="83"/>
      <c r="X976" s="80"/>
      <c r="Y976" s="80"/>
      <c r="Z976" s="80"/>
      <c r="AA976" s="80"/>
      <c r="AB976" s="80"/>
      <c r="AC976" s="80"/>
      <c r="AD976" s="80"/>
      <c r="AE976" s="80"/>
    </row>
    <row r="977" spans="1:31" x14ac:dyDescent="0.25">
      <c r="A977" s="76"/>
      <c r="B977" s="76"/>
      <c r="C977" s="77"/>
      <c r="D977" s="78"/>
      <c r="E977" s="79"/>
      <c r="F977" s="80"/>
      <c r="G977" s="78"/>
      <c r="H977" s="81"/>
      <c r="I977" s="78"/>
      <c r="J977" s="78"/>
      <c r="K977" s="78"/>
      <c r="L977" s="78"/>
      <c r="M977" s="81"/>
      <c r="N977" s="76"/>
      <c r="O977" s="82"/>
      <c r="P977" s="80"/>
      <c r="Q977" s="83"/>
      <c r="R977" s="80"/>
      <c r="S977" s="80"/>
      <c r="T977" s="80"/>
      <c r="U977" s="83"/>
      <c r="V977" s="80"/>
      <c r="W977" s="83"/>
      <c r="X977" s="80"/>
      <c r="Y977" s="80"/>
      <c r="Z977" s="80"/>
      <c r="AA977" s="80"/>
      <c r="AB977" s="80"/>
      <c r="AC977" s="80"/>
      <c r="AD977" s="80"/>
      <c r="AE977" s="80"/>
    </row>
    <row r="978" spans="1:31" x14ac:dyDescent="0.25">
      <c r="A978" s="76"/>
      <c r="B978" s="76"/>
      <c r="C978" s="77"/>
      <c r="D978" s="78"/>
      <c r="E978" s="79"/>
      <c r="F978" s="80"/>
      <c r="G978" s="78"/>
      <c r="H978" s="81"/>
      <c r="I978" s="78"/>
      <c r="J978" s="78"/>
      <c r="K978" s="78"/>
      <c r="L978" s="78"/>
      <c r="M978" s="81"/>
      <c r="N978" s="76"/>
      <c r="O978" s="82"/>
      <c r="P978" s="80"/>
      <c r="Q978" s="83"/>
      <c r="R978" s="80"/>
      <c r="S978" s="80"/>
      <c r="T978" s="80"/>
      <c r="U978" s="83"/>
      <c r="V978" s="80"/>
      <c r="W978" s="83"/>
      <c r="X978" s="80"/>
      <c r="Y978" s="80"/>
      <c r="Z978" s="80"/>
      <c r="AA978" s="80"/>
      <c r="AB978" s="80"/>
      <c r="AC978" s="80"/>
      <c r="AD978" s="80"/>
      <c r="AE978" s="80"/>
    </row>
    <row r="979" spans="1:31" x14ac:dyDescent="0.25">
      <c r="A979" s="76"/>
      <c r="B979" s="76"/>
      <c r="C979" s="77"/>
      <c r="D979" s="78"/>
      <c r="E979" s="79"/>
      <c r="F979" s="80"/>
      <c r="G979" s="78"/>
      <c r="H979" s="81"/>
      <c r="I979" s="78"/>
      <c r="J979" s="78"/>
      <c r="K979" s="78"/>
      <c r="L979" s="78"/>
      <c r="M979" s="81"/>
      <c r="N979" s="76"/>
      <c r="O979" s="82"/>
      <c r="P979" s="80"/>
      <c r="Q979" s="83"/>
      <c r="R979" s="80"/>
      <c r="S979" s="80"/>
      <c r="T979" s="80"/>
      <c r="U979" s="83"/>
      <c r="V979" s="80"/>
      <c r="W979" s="83"/>
      <c r="X979" s="80"/>
      <c r="Y979" s="80"/>
      <c r="Z979" s="80"/>
      <c r="AA979" s="80"/>
      <c r="AB979" s="80"/>
      <c r="AC979" s="80"/>
      <c r="AD979" s="80"/>
      <c r="AE979" s="80"/>
    </row>
    <row r="980" spans="1:31" x14ac:dyDescent="0.25">
      <c r="A980" s="76"/>
      <c r="B980" s="76"/>
      <c r="C980" s="77"/>
      <c r="D980" s="78"/>
      <c r="E980" s="79"/>
      <c r="F980" s="80"/>
      <c r="G980" s="78"/>
      <c r="H980" s="81"/>
      <c r="I980" s="78"/>
      <c r="J980" s="78"/>
      <c r="K980" s="78"/>
      <c r="L980" s="78"/>
      <c r="M980" s="81"/>
      <c r="N980" s="76"/>
      <c r="O980" s="82"/>
      <c r="P980" s="80"/>
      <c r="Q980" s="83"/>
      <c r="R980" s="80"/>
      <c r="S980" s="80"/>
      <c r="T980" s="80"/>
      <c r="U980" s="83"/>
      <c r="V980" s="80"/>
      <c r="W980" s="83"/>
      <c r="X980" s="80"/>
      <c r="Y980" s="80"/>
      <c r="Z980" s="80"/>
      <c r="AA980" s="80"/>
      <c r="AB980" s="80"/>
      <c r="AC980" s="80"/>
      <c r="AD980" s="80"/>
      <c r="AE980" s="80"/>
    </row>
    <row r="981" spans="1:31" x14ac:dyDescent="0.25">
      <c r="A981" s="76"/>
      <c r="B981" s="76"/>
      <c r="C981" s="77"/>
      <c r="D981" s="78"/>
      <c r="E981" s="79"/>
      <c r="F981" s="80"/>
      <c r="G981" s="78"/>
      <c r="H981" s="81"/>
      <c r="I981" s="78"/>
      <c r="J981" s="78"/>
      <c r="K981" s="78"/>
      <c r="L981" s="78"/>
      <c r="M981" s="81"/>
      <c r="N981" s="76"/>
      <c r="O981" s="82"/>
      <c r="P981" s="80"/>
      <c r="Q981" s="83"/>
      <c r="R981" s="80"/>
      <c r="S981" s="80"/>
      <c r="T981" s="80"/>
      <c r="U981" s="83"/>
      <c r="V981" s="80"/>
      <c r="W981" s="83"/>
      <c r="X981" s="80"/>
      <c r="Y981" s="80"/>
      <c r="Z981" s="80"/>
      <c r="AA981" s="80"/>
      <c r="AB981" s="80"/>
      <c r="AC981" s="80"/>
      <c r="AD981" s="80"/>
      <c r="AE981" s="80"/>
    </row>
    <row r="982" spans="1:31" x14ac:dyDescent="0.25">
      <c r="A982" s="76"/>
      <c r="B982" s="76"/>
      <c r="C982" s="77"/>
      <c r="D982" s="78"/>
      <c r="E982" s="79"/>
      <c r="F982" s="80"/>
      <c r="G982" s="78"/>
      <c r="H982" s="81"/>
      <c r="I982" s="78"/>
      <c r="J982" s="78"/>
      <c r="K982" s="78"/>
      <c r="L982" s="78"/>
      <c r="M982" s="81"/>
      <c r="N982" s="76"/>
      <c r="O982" s="82"/>
      <c r="P982" s="80"/>
      <c r="Q982" s="83"/>
      <c r="R982" s="80"/>
      <c r="S982" s="80"/>
      <c r="T982" s="80"/>
      <c r="U982" s="83"/>
      <c r="V982" s="80"/>
      <c r="W982" s="83"/>
      <c r="X982" s="80"/>
      <c r="Y982" s="80"/>
      <c r="Z982" s="80"/>
      <c r="AA982" s="80"/>
      <c r="AB982" s="80"/>
      <c r="AC982" s="80"/>
      <c r="AD982" s="80"/>
      <c r="AE982" s="80"/>
    </row>
    <row r="983" spans="1:31" x14ac:dyDescent="0.25">
      <c r="A983" s="76"/>
      <c r="B983" s="76"/>
      <c r="C983" s="77"/>
      <c r="D983" s="78"/>
      <c r="E983" s="79"/>
      <c r="F983" s="80"/>
      <c r="G983" s="78"/>
      <c r="H983" s="81"/>
      <c r="I983" s="78"/>
      <c r="J983" s="78"/>
      <c r="K983" s="78"/>
      <c r="L983" s="78"/>
      <c r="M983" s="81"/>
      <c r="N983" s="76"/>
      <c r="O983" s="82"/>
      <c r="P983" s="80"/>
      <c r="Q983" s="83"/>
      <c r="R983" s="80"/>
      <c r="S983" s="80"/>
      <c r="T983" s="80"/>
      <c r="U983" s="83"/>
      <c r="V983" s="80"/>
      <c r="W983" s="83"/>
      <c r="X983" s="80"/>
      <c r="Y983" s="80"/>
      <c r="Z983" s="80"/>
      <c r="AA983" s="80"/>
      <c r="AB983" s="80"/>
      <c r="AC983" s="80"/>
      <c r="AD983" s="80"/>
      <c r="AE983" s="80"/>
    </row>
    <row r="984" spans="1:31" x14ac:dyDescent="0.25">
      <c r="A984" s="76"/>
      <c r="B984" s="76"/>
      <c r="C984" s="77"/>
      <c r="D984" s="78"/>
      <c r="E984" s="79"/>
      <c r="F984" s="80"/>
      <c r="G984" s="78"/>
      <c r="H984" s="81"/>
      <c r="I984" s="78"/>
      <c r="J984" s="78"/>
      <c r="K984" s="78"/>
      <c r="L984" s="78"/>
      <c r="M984" s="81"/>
      <c r="N984" s="76"/>
      <c r="O984" s="82"/>
      <c r="P984" s="80"/>
      <c r="Q984" s="83"/>
      <c r="R984" s="80"/>
      <c r="S984" s="80"/>
      <c r="T984" s="80"/>
      <c r="U984" s="83"/>
      <c r="V984" s="80"/>
      <c r="W984" s="83"/>
      <c r="X984" s="80"/>
      <c r="Y984" s="80"/>
      <c r="Z984" s="80"/>
      <c r="AA984" s="80"/>
      <c r="AB984" s="80"/>
      <c r="AC984" s="80"/>
      <c r="AD984" s="80"/>
      <c r="AE984" s="80"/>
    </row>
    <row r="985" spans="1:31" x14ac:dyDescent="0.25">
      <c r="A985" s="76"/>
      <c r="B985" s="76"/>
      <c r="C985" s="77"/>
      <c r="D985" s="78"/>
      <c r="E985" s="79"/>
      <c r="F985" s="80"/>
      <c r="G985" s="78"/>
      <c r="H985" s="81"/>
      <c r="I985" s="78"/>
      <c r="J985" s="78"/>
      <c r="K985" s="78"/>
      <c r="L985" s="78"/>
      <c r="M985" s="81"/>
      <c r="N985" s="76"/>
      <c r="O985" s="82"/>
      <c r="P985" s="80"/>
      <c r="Q985" s="83"/>
      <c r="R985" s="80"/>
      <c r="S985" s="80"/>
      <c r="T985" s="80"/>
      <c r="U985" s="83"/>
      <c r="V985" s="80"/>
      <c r="W985" s="83"/>
      <c r="X985" s="80"/>
      <c r="Y985" s="80"/>
      <c r="Z985" s="80"/>
      <c r="AA985" s="80"/>
      <c r="AB985" s="80"/>
      <c r="AC985" s="80"/>
      <c r="AD985" s="80"/>
      <c r="AE985" s="80"/>
    </row>
    <row r="986" spans="1:31" x14ac:dyDescent="0.25">
      <c r="A986" s="76"/>
      <c r="B986" s="76"/>
      <c r="C986" s="77"/>
      <c r="D986" s="78"/>
      <c r="E986" s="79"/>
      <c r="F986" s="80"/>
      <c r="G986" s="78"/>
      <c r="H986" s="81"/>
      <c r="I986" s="78"/>
      <c r="J986" s="78"/>
      <c r="K986" s="78"/>
      <c r="L986" s="78"/>
      <c r="M986" s="81"/>
      <c r="N986" s="76"/>
      <c r="O986" s="82"/>
      <c r="P986" s="80"/>
      <c r="Q986" s="83"/>
      <c r="R986" s="80"/>
      <c r="S986" s="80"/>
      <c r="T986" s="80"/>
      <c r="U986" s="83"/>
      <c r="V986" s="80"/>
      <c r="W986" s="83"/>
      <c r="X986" s="80"/>
      <c r="Y986" s="80"/>
      <c r="Z986" s="80"/>
      <c r="AA986" s="80"/>
      <c r="AB986" s="80"/>
      <c r="AC986" s="80"/>
      <c r="AD986" s="80"/>
      <c r="AE986" s="80"/>
    </row>
    <row r="987" spans="1:31" x14ac:dyDescent="0.25">
      <c r="A987" s="76"/>
      <c r="B987" s="76"/>
      <c r="C987" s="77"/>
      <c r="D987" s="78"/>
      <c r="E987" s="79"/>
      <c r="F987" s="80"/>
      <c r="G987" s="78"/>
      <c r="H987" s="81"/>
      <c r="I987" s="78"/>
      <c r="J987" s="78"/>
      <c r="K987" s="78"/>
      <c r="L987" s="78"/>
      <c r="M987" s="81"/>
      <c r="N987" s="76"/>
      <c r="O987" s="82"/>
      <c r="P987" s="80"/>
      <c r="Q987" s="83"/>
      <c r="R987" s="80"/>
      <c r="S987" s="80"/>
      <c r="T987" s="80"/>
      <c r="U987" s="83"/>
      <c r="V987" s="80"/>
      <c r="W987" s="83"/>
      <c r="X987" s="80"/>
      <c r="Y987" s="80"/>
      <c r="Z987" s="80"/>
      <c r="AA987" s="80"/>
      <c r="AB987" s="80"/>
      <c r="AC987" s="80"/>
      <c r="AD987" s="80"/>
      <c r="AE987" s="80"/>
    </row>
    <row r="988" spans="1:31" x14ac:dyDescent="0.25">
      <c r="A988" s="76"/>
      <c r="B988" s="76"/>
      <c r="C988" s="77"/>
      <c r="D988" s="78"/>
      <c r="E988" s="79"/>
      <c r="F988" s="80"/>
      <c r="G988" s="78"/>
      <c r="H988" s="81"/>
      <c r="I988" s="78"/>
      <c r="J988" s="78"/>
      <c r="K988" s="78"/>
      <c r="L988" s="78"/>
      <c r="M988" s="81"/>
      <c r="N988" s="76"/>
      <c r="O988" s="82"/>
      <c r="P988" s="80"/>
      <c r="Q988" s="83"/>
      <c r="R988" s="80"/>
      <c r="S988" s="80"/>
      <c r="T988" s="80"/>
      <c r="U988" s="83"/>
      <c r="V988" s="80"/>
      <c r="W988" s="83"/>
      <c r="X988" s="80"/>
      <c r="Y988" s="80"/>
      <c r="Z988" s="80"/>
      <c r="AA988" s="80"/>
      <c r="AB988" s="80"/>
      <c r="AC988" s="80"/>
      <c r="AD988" s="80"/>
      <c r="AE988" s="80"/>
    </row>
    <row r="989" spans="1:31" x14ac:dyDescent="0.25">
      <c r="A989" s="76"/>
      <c r="B989" s="76"/>
      <c r="C989" s="77"/>
      <c r="D989" s="78"/>
      <c r="E989" s="79"/>
      <c r="F989" s="80"/>
      <c r="G989" s="78"/>
      <c r="H989" s="81"/>
      <c r="I989" s="78"/>
      <c r="J989" s="78"/>
      <c r="K989" s="78"/>
      <c r="L989" s="78"/>
      <c r="M989" s="81"/>
      <c r="N989" s="76"/>
      <c r="O989" s="82"/>
      <c r="P989" s="80"/>
      <c r="Q989" s="83"/>
      <c r="R989" s="80"/>
      <c r="S989" s="80"/>
      <c r="T989" s="80"/>
      <c r="U989" s="83"/>
      <c r="V989" s="80"/>
      <c r="W989" s="83"/>
      <c r="X989" s="80"/>
      <c r="Y989" s="80"/>
      <c r="Z989" s="80"/>
      <c r="AA989" s="80"/>
      <c r="AB989" s="80"/>
      <c r="AC989" s="80"/>
      <c r="AD989" s="80"/>
      <c r="AE989" s="80"/>
    </row>
    <row r="990" spans="1:31" x14ac:dyDescent="0.25">
      <c r="A990" s="76"/>
      <c r="B990" s="76"/>
      <c r="C990" s="77"/>
      <c r="D990" s="78"/>
      <c r="E990" s="79"/>
      <c r="F990" s="80"/>
      <c r="G990" s="78"/>
      <c r="H990" s="81"/>
      <c r="I990" s="78"/>
      <c r="J990" s="78"/>
      <c r="K990" s="78"/>
      <c r="L990" s="78"/>
      <c r="M990" s="81"/>
      <c r="N990" s="76"/>
      <c r="O990" s="82"/>
      <c r="P990" s="80"/>
      <c r="Q990" s="83"/>
      <c r="R990" s="80"/>
      <c r="S990" s="80"/>
      <c r="T990" s="80"/>
      <c r="U990" s="83"/>
      <c r="V990" s="80"/>
      <c r="W990" s="83"/>
      <c r="X990" s="80"/>
      <c r="Y990" s="80"/>
      <c r="Z990" s="80"/>
      <c r="AA990" s="80"/>
      <c r="AB990" s="80"/>
      <c r="AC990" s="80"/>
      <c r="AD990" s="80"/>
      <c r="AE990" s="80"/>
    </row>
    <row r="991" spans="1:31" x14ac:dyDescent="0.25">
      <c r="A991" s="76"/>
      <c r="B991" s="76"/>
      <c r="C991" s="77"/>
      <c r="D991" s="78"/>
      <c r="E991" s="79"/>
      <c r="F991" s="80"/>
      <c r="G991" s="78"/>
      <c r="H991" s="81"/>
      <c r="I991" s="78"/>
      <c r="J991" s="78"/>
      <c r="K991" s="78"/>
      <c r="L991" s="78"/>
      <c r="M991" s="81"/>
      <c r="N991" s="76"/>
      <c r="O991" s="82"/>
      <c r="P991" s="80"/>
      <c r="Q991" s="83"/>
      <c r="R991" s="80"/>
      <c r="S991" s="80"/>
      <c r="T991" s="80"/>
      <c r="U991" s="83"/>
      <c r="V991" s="80"/>
      <c r="W991" s="83"/>
      <c r="X991" s="80"/>
      <c r="Y991" s="80"/>
      <c r="Z991" s="80"/>
      <c r="AA991" s="80"/>
      <c r="AB991" s="80"/>
      <c r="AC991" s="80"/>
      <c r="AD991" s="80"/>
      <c r="AE991" s="80"/>
    </row>
    <row r="992" spans="1:31" x14ac:dyDescent="0.25">
      <c r="A992" s="76"/>
      <c r="B992" s="76"/>
      <c r="C992" s="77"/>
      <c r="D992" s="78"/>
      <c r="E992" s="79"/>
      <c r="F992" s="80"/>
      <c r="G992" s="78"/>
      <c r="H992" s="81"/>
      <c r="I992" s="78"/>
      <c r="J992" s="78"/>
      <c r="K992" s="78"/>
      <c r="L992" s="78"/>
      <c r="M992" s="81"/>
      <c r="N992" s="76"/>
      <c r="O992" s="82"/>
      <c r="P992" s="80"/>
      <c r="Q992" s="83"/>
      <c r="R992" s="80"/>
      <c r="S992" s="80"/>
      <c r="T992" s="80"/>
      <c r="U992" s="83"/>
      <c r="V992" s="80"/>
      <c r="W992" s="83"/>
      <c r="X992" s="80"/>
      <c r="Y992" s="80"/>
      <c r="Z992" s="80"/>
      <c r="AA992" s="80"/>
      <c r="AB992" s="80"/>
      <c r="AC992" s="80"/>
      <c r="AD992" s="80"/>
      <c r="AE992" s="80"/>
    </row>
    <row r="993" spans="1:31" x14ac:dyDescent="0.25">
      <c r="A993" s="76"/>
      <c r="B993" s="76"/>
      <c r="C993" s="77"/>
      <c r="D993" s="78"/>
      <c r="E993" s="79"/>
      <c r="F993" s="80"/>
      <c r="G993" s="78"/>
      <c r="H993" s="81"/>
      <c r="I993" s="78"/>
      <c r="J993" s="78"/>
      <c r="K993" s="78"/>
      <c r="L993" s="78"/>
      <c r="M993" s="81"/>
      <c r="N993" s="76"/>
      <c r="O993" s="82"/>
      <c r="P993" s="80"/>
      <c r="Q993" s="83"/>
      <c r="R993" s="80"/>
      <c r="S993" s="80"/>
      <c r="T993" s="80"/>
      <c r="U993" s="83"/>
      <c r="V993" s="80"/>
      <c r="W993" s="83"/>
      <c r="X993" s="80"/>
      <c r="Y993" s="80"/>
      <c r="Z993" s="80"/>
      <c r="AA993" s="80"/>
      <c r="AB993" s="80"/>
      <c r="AC993" s="80"/>
      <c r="AD993" s="80"/>
      <c r="AE993" s="80"/>
    </row>
    <row r="994" spans="1:31" x14ac:dyDescent="0.25">
      <c r="A994" s="76"/>
      <c r="B994" s="76"/>
      <c r="C994" s="77"/>
      <c r="D994" s="78"/>
      <c r="E994" s="79"/>
      <c r="F994" s="80"/>
      <c r="G994" s="78"/>
      <c r="H994" s="81"/>
      <c r="I994" s="78"/>
      <c r="J994" s="78"/>
      <c r="K994" s="78"/>
      <c r="L994" s="78"/>
      <c r="M994" s="81"/>
      <c r="N994" s="76"/>
      <c r="O994" s="82"/>
      <c r="P994" s="80"/>
      <c r="Q994" s="83"/>
      <c r="R994" s="80"/>
      <c r="S994" s="80"/>
      <c r="T994" s="80"/>
      <c r="U994" s="83"/>
      <c r="V994" s="80"/>
      <c r="W994" s="83"/>
      <c r="X994" s="80"/>
      <c r="Y994" s="80"/>
      <c r="Z994" s="80"/>
      <c r="AA994" s="80"/>
      <c r="AB994" s="80"/>
      <c r="AC994" s="80"/>
      <c r="AD994" s="80"/>
      <c r="AE994" s="80"/>
    </row>
    <row r="995" spans="1:31" x14ac:dyDescent="0.25">
      <c r="A995" s="76"/>
      <c r="B995" s="76"/>
      <c r="C995" s="77"/>
      <c r="D995" s="78"/>
      <c r="E995" s="79"/>
      <c r="F995" s="80"/>
      <c r="G995" s="78"/>
      <c r="H995" s="81"/>
      <c r="I995" s="78"/>
      <c r="J995" s="78"/>
      <c r="K995" s="78"/>
      <c r="L995" s="78"/>
      <c r="M995" s="81"/>
      <c r="N995" s="76"/>
      <c r="O995" s="82"/>
      <c r="P995" s="80"/>
      <c r="Q995" s="83"/>
      <c r="R995" s="80"/>
      <c r="S995" s="80"/>
      <c r="T995" s="80"/>
      <c r="U995" s="83"/>
      <c r="V995" s="80"/>
      <c r="W995" s="83"/>
      <c r="X995" s="80"/>
      <c r="Y995" s="80"/>
      <c r="Z995" s="80"/>
      <c r="AA995" s="80"/>
      <c r="AB995" s="80"/>
      <c r="AC995" s="80"/>
      <c r="AD995" s="80"/>
      <c r="AE995" s="80"/>
    </row>
    <row r="996" spans="1:31" x14ac:dyDescent="0.25">
      <c r="A996" s="76"/>
      <c r="B996" s="76"/>
      <c r="C996" s="77"/>
      <c r="D996" s="78"/>
      <c r="E996" s="79"/>
      <c r="F996" s="80"/>
      <c r="G996" s="78"/>
      <c r="H996" s="81"/>
      <c r="I996" s="78"/>
      <c r="J996" s="78"/>
      <c r="K996" s="78"/>
      <c r="L996" s="78"/>
      <c r="M996" s="81"/>
      <c r="N996" s="76"/>
      <c r="O996" s="82"/>
      <c r="P996" s="80"/>
      <c r="Q996" s="83"/>
      <c r="R996" s="80"/>
      <c r="S996" s="80"/>
      <c r="T996" s="80"/>
      <c r="U996" s="83"/>
      <c r="V996" s="80"/>
      <c r="W996" s="83"/>
      <c r="X996" s="80"/>
      <c r="Y996" s="80"/>
      <c r="Z996" s="80"/>
      <c r="AA996" s="80"/>
      <c r="AB996" s="80"/>
      <c r="AC996" s="80"/>
      <c r="AD996" s="80"/>
      <c r="AE996" s="80"/>
    </row>
    <row r="997" spans="1:31" x14ac:dyDescent="0.25">
      <c r="A997" s="76"/>
      <c r="B997" s="76"/>
      <c r="C997" s="77"/>
      <c r="D997" s="78"/>
      <c r="E997" s="79"/>
      <c r="F997" s="80"/>
      <c r="G997" s="78"/>
      <c r="H997" s="81"/>
      <c r="I997" s="78"/>
      <c r="J997" s="78"/>
      <c r="K997" s="78"/>
      <c r="L997" s="78"/>
      <c r="M997" s="81"/>
      <c r="N997" s="76"/>
      <c r="O997" s="82"/>
      <c r="P997" s="80"/>
      <c r="Q997" s="83"/>
      <c r="R997" s="80"/>
      <c r="S997" s="80"/>
      <c r="T997" s="80"/>
      <c r="U997" s="83"/>
      <c r="V997" s="80"/>
      <c r="W997" s="83"/>
      <c r="X997" s="80"/>
      <c r="Y997" s="80"/>
      <c r="Z997" s="80"/>
      <c r="AA997" s="80"/>
      <c r="AB997" s="80"/>
      <c r="AC997" s="80"/>
      <c r="AD997" s="80"/>
      <c r="AE997" s="80"/>
    </row>
    <row r="998" spans="1:31" x14ac:dyDescent="0.25">
      <c r="A998" s="76"/>
      <c r="B998" s="76"/>
      <c r="C998" s="77"/>
      <c r="D998" s="78"/>
      <c r="E998" s="79"/>
      <c r="F998" s="80"/>
      <c r="G998" s="78"/>
      <c r="H998" s="81"/>
      <c r="I998" s="78"/>
      <c r="J998" s="78"/>
      <c r="K998" s="78"/>
      <c r="L998" s="78"/>
      <c r="M998" s="81"/>
      <c r="N998" s="76"/>
      <c r="O998" s="82"/>
      <c r="P998" s="80"/>
      <c r="Q998" s="83"/>
      <c r="R998" s="80"/>
      <c r="S998" s="80"/>
      <c r="T998" s="80"/>
      <c r="U998" s="83"/>
      <c r="V998" s="80"/>
      <c r="W998" s="83"/>
      <c r="X998" s="80"/>
      <c r="Y998" s="80"/>
      <c r="Z998" s="80"/>
      <c r="AA998" s="80"/>
      <c r="AB998" s="80"/>
      <c r="AC998" s="80"/>
      <c r="AD998" s="80"/>
      <c r="AE998" s="80"/>
    </row>
    <row r="999" spans="1:31" x14ac:dyDescent="0.25">
      <c r="A999" s="76"/>
      <c r="B999" s="76"/>
      <c r="C999" s="77"/>
      <c r="D999" s="78"/>
      <c r="E999" s="79"/>
      <c r="F999" s="80"/>
      <c r="G999" s="78"/>
      <c r="H999" s="81"/>
      <c r="I999" s="78"/>
      <c r="J999" s="78"/>
      <c r="K999" s="78"/>
      <c r="L999" s="78"/>
      <c r="M999" s="81"/>
      <c r="N999" s="76"/>
      <c r="O999" s="82"/>
      <c r="P999" s="80"/>
      <c r="Q999" s="83"/>
      <c r="R999" s="80"/>
      <c r="S999" s="80"/>
      <c r="T999" s="80"/>
      <c r="U999" s="83"/>
      <c r="V999" s="80"/>
      <c r="W999" s="83"/>
      <c r="X999" s="80"/>
      <c r="Y999" s="80"/>
      <c r="Z999" s="80"/>
      <c r="AA999" s="80"/>
      <c r="AB999" s="80"/>
      <c r="AC999" s="80"/>
      <c r="AD999" s="80"/>
      <c r="AE999" s="80"/>
    </row>
    <row r="1000" spans="1:31" x14ac:dyDescent="0.25">
      <c r="A1000" s="76"/>
      <c r="B1000" s="76"/>
      <c r="C1000" s="77"/>
      <c r="D1000" s="78"/>
      <c r="E1000" s="79"/>
      <c r="F1000" s="80"/>
      <c r="G1000" s="78"/>
      <c r="H1000" s="81"/>
      <c r="I1000" s="78"/>
      <c r="J1000" s="78"/>
      <c r="K1000" s="78"/>
      <c r="L1000" s="78"/>
      <c r="M1000" s="81"/>
      <c r="N1000" s="76"/>
      <c r="O1000" s="82"/>
      <c r="P1000" s="80"/>
      <c r="Q1000" s="83"/>
      <c r="R1000" s="80"/>
      <c r="S1000" s="80"/>
      <c r="T1000" s="80"/>
      <c r="U1000" s="83"/>
      <c r="V1000" s="80"/>
      <c r="W1000" s="83"/>
      <c r="X1000" s="80"/>
      <c r="Y1000" s="80"/>
      <c r="Z1000" s="80"/>
      <c r="AA1000" s="80"/>
      <c r="AB1000" s="80"/>
      <c r="AC1000" s="80"/>
      <c r="AD1000" s="80"/>
      <c r="AE1000" s="80"/>
    </row>
    <row r="1001" spans="1:31" x14ac:dyDescent="0.25">
      <c r="A1001" s="76"/>
      <c r="B1001" s="76"/>
      <c r="C1001" s="77"/>
      <c r="D1001" s="78"/>
      <c r="E1001" s="79"/>
      <c r="F1001" s="80"/>
      <c r="G1001" s="78"/>
      <c r="H1001" s="81"/>
      <c r="I1001" s="78"/>
      <c r="J1001" s="78"/>
      <c r="K1001" s="78"/>
      <c r="L1001" s="78"/>
      <c r="M1001" s="81"/>
      <c r="N1001" s="76"/>
      <c r="O1001" s="82"/>
      <c r="P1001" s="80"/>
      <c r="Q1001" s="83"/>
      <c r="R1001" s="80"/>
      <c r="S1001" s="80"/>
      <c r="T1001" s="80"/>
      <c r="U1001" s="83"/>
      <c r="V1001" s="80"/>
      <c r="W1001" s="83"/>
      <c r="X1001" s="80"/>
      <c r="Y1001" s="80"/>
      <c r="Z1001" s="80"/>
      <c r="AA1001" s="80"/>
      <c r="AB1001" s="80"/>
      <c r="AC1001" s="80"/>
      <c r="AD1001" s="80"/>
      <c r="AE1001" s="80"/>
    </row>
    <row r="1002" spans="1:31" x14ac:dyDescent="0.25">
      <c r="A1002" s="76"/>
      <c r="B1002" s="76"/>
      <c r="C1002" s="77"/>
      <c r="D1002" s="78"/>
      <c r="E1002" s="79"/>
      <c r="F1002" s="80"/>
      <c r="G1002" s="78"/>
      <c r="H1002" s="81"/>
      <c r="I1002" s="78"/>
      <c r="J1002" s="78"/>
      <c r="K1002" s="78"/>
      <c r="L1002" s="78"/>
      <c r="M1002" s="81"/>
      <c r="N1002" s="76"/>
      <c r="O1002" s="82"/>
      <c r="P1002" s="80"/>
      <c r="Q1002" s="83"/>
      <c r="R1002" s="80"/>
      <c r="S1002" s="80"/>
      <c r="T1002" s="80"/>
      <c r="U1002" s="83"/>
      <c r="V1002" s="80"/>
      <c r="W1002" s="83"/>
      <c r="X1002" s="80"/>
      <c r="Y1002" s="80"/>
      <c r="Z1002" s="80"/>
      <c r="AA1002" s="80"/>
      <c r="AB1002" s="80"/>
      <c r="AC1002" s="80"/>
      <c r="AD1002" s="80"/>
      <c r="AE1002" s="80"/>
    </row>
    <row r="1003" spans="1:31" x14ac:dyDescent="0.25">
      <c r="A1003" s="76"/>
      <c r="B1003" s="76"/>
      <c r="C1003" s="77"/>
      <c r="D1003" s="78"/>
      <c r="E1003" s="79"/>
      <c r="F1003" s="80"/>
      <c r="G1003" s="78"/>
      <c r="H1003" s="81"/>
      <c r="I1003" s="78"/>
      <c r="J1003" s="78"/>
      <c r="K1003" s="78"/>
      <c r="L1003" s="78"/>
      <c r="M1003" s="81"/>
      <c r="N1003" s="76"/>
      <c r="O1003" s="82"/>
      <c r="P1003" s="80"/>
      <c r="Q1003" s="83"/>
      <c r="R1003" s="80"/>
      <c r="S1003" s="80"/>
      <c r="T1003" s="80"/>
      <c r="U1003" s="83"/>
      <c r="V1003" s="80"/>
      <c r="W1003" s="83"/>
      <c r="X1003" s="80"/>
      <c r="Y1003" s="80"/>
      <c r="Z1003" s="80"/>
      <c r="AA1003" s="80"/>
      <c r="AB1003" s="80"/>
      <c r="AC1003" s="80"/>
      <c r="AD1003" s="80"/>
      <c r="AE1003" s="80"/>
    </row>
    <row r="1004" spans="1:31" x14ac:dyDescent="0.25">
      <c r="A1004" s="76"/>
      <c r="B1004" s="76"/>
      <c r="C1004" s="77"/>
      <c r="D1004" s="78"/>
      <c r="E1004" s="79"/>
      <c r="F1004" s="80"/>
      <c r="G1004" s="78"/>
      <c r="H1004" s="81"/>
      <c r="I1004" s="78"/>
      <c r="J1004" s="78"/>
      <c r="K1004" s="78"/>
      <c r="L1004" s="78"/>
      <c r="M1004" s="81"/>
      <c r="N1004" s="76"/>
      <c r="O1004" s="82"/>
      <c r="P1004" s="80"/>
      <c r="Q1004" s="83"/>
      <c r="R1004" s="80"/>
      <c r="S1004" s="80"/>
      <c r="T1004" s="80"/>
      <c r="U1004" s="83"/>
      <c r="V1004" s="80"/>
      <c r="W1004" s="83"/>
      <c r="X1004" s="80"/>
      <c r="Y1004" s="80"/>
      <c r="Z1004" s="80"/>
      <c r="AA1004" s="80"/>
      <c r="AB1004" s="80"/>
      <c r="AC1004" s="80"/>
      <c r="AD1004" s="80"/>
      <c r="AE1004" s="80"/>
    </row>
    <row r="1005" spans="1:31" x14ac:dyDescent="0.25">
      <c r="A1005" s="76"/>
      <c r="B1005" s="76"/>
      <c r="C1005" s="77"/>
      <c r="D1005" s="78"/>
      <c r="E1005" s="79"/>
      <c r="F1005" s="80"/>
      <c r="G1005" s="78"/>
      <c r="H1005" s="81"/>
      <c r="I1005" s="78"/>
      <c r="J1005" s="78"/>
      <c r="K1005" s="78"/>
      <c r="L1005" s="78"/>
      <c r="M1005" s="81"/>
      <c r="N1005" s="76"/>
      <c r="O1005" s="82"/>
      <c r="P1005" s="80"/>
      <c r="Q1005" s="83"/>
      <c r="R1005" s="80"/>
      <c r="S1005" s="80"/>
      <c r="T1005" s="80"/>
      <c r="U1005" s="83"/>
      <c r="V1005" s="80"/>
      <c r="W1005" s="83"/>
      <c r="X1005" s="80"/>
      <c r="Y1005" s="80"/>
      <c r="Z1005" s="80"/>
      <c r="AA1005" s="80"/>
      <c r="AB1005" s="80"/>
      <c r="AC1005" s="80"/>
      <c r="AD1005" s="80"/>
      <c r="AE1005" s="80"/>
    </row>
    <row r="1006" spans="1:31" x14ac:dyDescent="0.25">
      <c r="A1006" s="76"/>
      <c r="B1006" s="76"/>
      <c r="C1006" s="77"/>
      <c r="D1006" s="78"/>
      <c r="E1006" s="79"/>
      <c r="F1006" s="80"/>
      <c r="G1006" s="78"/>
      <c r="H1006" s="81"/>
      <c r="I1006" s="78"/>
      <c r="J1006" s="78"/>
      <c r="K1006" s="78"/>
      <c r="L1006" s="78"/>
      <c r="M1006" s="81"/>
      <c r="N1006" s="76"/>
      <c r="O1006" s="82"/>
      <c r="P1006" s="80"/>
      <c r="Q1006" s="83"/>
      <c r="R1006" s="80"/>
      <c r="S1006" s="80"/>
      <c r="T1006" s="80"/>
      <c r="U1006" s="83"/>
      <c r="V1006" s="80"/>
      <c r="W1006" s="83"/>
      <c r="X1006" s="80"/>
      <c r="Y1006" s="80"/>
      <c r="Z1006" s="80"/>
      <c r="AA1006" s="80"/>
      <c r="AB1006" s="80"/>
      <c r="AC1006" s="80"/>
      <c r="AD1006" s="80"/>
      <c r="AE1006" s="80"/>
    </row>
    <row r="1007" spans="1:31" x14ac:dyDescent="0.25">
      <c r="A1007" s="76"/>
      <c r="B1007" s="76"/>
      <c r="C1007" s="77"/>
      <c r="D1007" s="78"/>
      <c r="E1007" s="79"/>
      <c r="F1007" s="80"/>
      <c r="G1007" s="78"/>
      <c r="H1007" s="81"/>
      <c r="I1007" s="78"/>
      <c r="J1007" s="78"/>
      <c r="K1007" s="78"/>
      <c r="L1007" s="78"/>
      <c r="M1007" s="81"/>
      <c r="N1007" s="76"/>
      <c r="O1007" s="82"/>
      <c r="P1007" s="80"/>
      <c r="Q1007" s="83"/>
      <c r="R1007" s="80"/>
      <c r="S1007" s="80"/>
      <c r="T1007" s="80"/>
      <c r="U1007" s="83"/>
      <c r="V1007" s="80"/>
      <c r="W1007" s="83"/>
      <c r="X1007" s="80"/>
      <c r="Y1007" s="80"/>
      <c r="Z1007" s="80"/>
      <c r="AA1007" s="80"/>
      <c r="AB1007" s="80"/>
      <c r="AC1007" s="80"/>
      <c r="AD1007" s="80"/>
      <c r="AE1007" s="80"/>
    </row>
    <row r="1008" spans="1:31" x14ac:dyDescent="0.25">
      <c r="A1008" s="76"/>
      <c r="B1008" s="76"/>
      <c r="C1008" s="77"/>
      <c r="D1008" s="78"/>
      <c r="E1008" s="79"/>
      <c r="F1008" s="80"/>
      <c r="G1008" s="78"/>
      <c r="H1008" s="81"/>
      <c r="I1008" s="78"/>
      <c r="J1008" s="78"/>
      <c r="K1008" s="78"/>
      <c r="L1008" s="78"/>
      <c r="M1008" s="81"/>
      <c r="N1008" s="76"/>
      <c r="O1008" s="82"/>
      <c r="P1008" s="80"/>
      <c r="Q1008" s="83"/>
      <c r="R1008" s="80"/>
      <c r="S1008" s="80"/>
      <c r="T1008" s="80"/>
      <c r="U1008" s="83"/>
      <c r="V1008" s="80"/>
      <c r="W1008" s="83"/>
      <c r="X1008" s="80"/>
      <c r="Y1008" s="80"/>
      <c r="Z1008" s="80"/>
      <c r="AA1008" s="80"/>
      <c r="AB1008" s="80"/>
      <c r="AC1008" s="80"/>
      <c r="AD1008" s="80"/>
      <c r="AE1008" s="80"/>
    </row>
    <row r="1009" spans="1:31" x14ac:dyDescent="0.25">
      <c r="A1009" s="76"/>
      <c r="B1009" s="76"/>
      <c r="C1009" s="77"/>
      <c r="D1009" s="78"/>
      <c r="E1009" s="79"/>
      <c r="F1009" s="80"/>
      <c r="G1009" s="78"/>
      <c r="H1009" s="81"/>
      <c r="I1009" s="78"/>
      <c r="J1009" s="78"/>
      <c r="K1009" s="78"/>
      <c r="L1009" s="78"/>
      <c r="M1009" s="81"/>
      <c r="N1009" s="76"/>
      <c r="O1009" s="82"/>
      <c r="P1009" s="80"/>
      <c r="Q1009" s="83"/>
      <c r="R1009" s="80"/>
      <c r="S1009" s="80"/>
      <c r="T1009" s="80"/>
      <c r="U1009" s="83"/>
      <c r="V1009" s="80"/>
      <c r="W1009" s="83"/>
      <c r="X1009" s="80"/>
      <c r="Y1009" s="80"/>
      <c r="Z1009" s="80"/>
      <c r="AA1009" s="80"/>
      <c r="AB1009" s="80"/>
      <c r="AC1009" s="80"/>
      <c r="AD1009" s="80"/>
      <c r="AE1009" s="80"/>
    </row>
    <row r="1010" spans="1:31" x14ac:dyDescent="0.25">
      <c r="A1010" s="76"/>
      <c r="B1010" s="76"/>
      <c r="C1010" s="77"/>
      <c r="D1010" s="78"/>
      <c r="E1010" s="79"/>
      <c r="F1010" s="80"/>
      <c r="G1010" s="78"/>
      <c r="H1010" s="81"/>
      <c r="I1010" s="78"/>
      <c r="J1010" s="78"/>
      <c r="K1010" s="78"/>
      <c r="L1010" s="78"/>
      <c r="M1010" s="81"/>
      <c r="N1010" s="76"/>
      <c r="O1010" s="82"/>
      <c r="P1010" s="80"/>
      <c r="Q1010" s="83"/>
      <c r="R1010" s="80"/>
      <c r="S1010" s="80"/>
      <c r="T1010" s="80"/>
      <c r="U1010" s="83"/>
      <c r="V1010" s="80"/>
      <c r="W1010" s="83"/>
      <c r="X1010" s="80"/>
      <c r="Y1010" s="80"/>
      <c r="Z1010" s="80"/>
      <c r="AA1010" s="80"/>
      <c r="AB1010" s="80"/>
      <c r="AC1010" s="80"/>
      <c r="AD1010" s="80"/>
      <c r="AE1010" s="80"/>
    </row>
    <row r="1011" spans="1:31" x14ac:dyDescent="0.25">
      <c r="A1011" s="76"/>
      <c r="B1011" s="76"/>
      <c r="C1011" s="77"/>
      <c r="D1011" s="78"/>
      <c r="E1011" s="79"/>
      <c r="F1011" s="80"/>
      <c r="G1011" s="78"/>
      <c r="H1011" s="81"/>
      <c r="I1011" s="78"/>
      <c r="J1011" s="78"/>
      <c r="K1011" s="78"/>
      <c r="L1011" s="78"/>
      <c r="M1011" s="81"/>
      <c r="N1011" s="76"/>
      <c r="O1011" s="82"/>
      <c r="P1011" s="80"/>
      <c r="Q1011" s="83"/>
      <c r="R1011" s="80"/>
      <c r="S1011" s="80"/>
      <c r="T1011" s="80"/>
      <c r="U1011" s="83"/>
      <c r="V1011" s="80"/>
      <c r="W1011" s="83"/>
      <c r="X1011" s="80"/>
      <c r="Y1011" s="80"/>
      <c r="Z1011" s="80"/>
      <c r="AA1011" s="80"/>
      <c r="AB1011" s="80"/>
      <c r="AC1011" s="80"/>
      <c r="AD1011" s="80"/>
      <c r="AE1011" s="80"/>
    </row>
    <row r="1012" spans="1:31" x14ac:dyDescent="0.25">
      <c r="A1012" s="76"/>
      <c r="B1012" s="76"/>
      <c r="C1012" s="77"/>
      <c r="D1012" s="78"/>
      <c r="E1012" s="79"/>
      <c r="F1012" s="80"/>
      <c r="G1012" s="78"/>
      <c r="H1012" s="81"/>
      <c r="I1012" s="78"/>
      <c r="J1012" s="78"/>
      <c r="K1012" s="78"/>
      <c r="L1012" s="78"/>
      <c r="M1012" s="81"/>
      <c r="N1012" s="76"/>
      <c r="O1012" s="82"/>
      <c r="P1012" s="80"/>
      <c r="Q1012" s="83"/>
      <c r="R1012" s="80"/>
      <c r="S1012" s="80"/>
      <c r="T1012" s="80"/>
      <c r="U1012" s="83"/>
      <c r="V1012" s="80"/>
      <c r="W1012" s="83"/>
      <c r="X1012" s="80"/>
      <c r="Y1012" s="80"/>
      <c r="Z1012" s="80"/>
      <c r="AA1012" s="80"/>
      <c r="AB1012" s="80"/>
      <c r="AC1012" s="80"/>
      <c r="AD1012" s="80"/>
      <c r="AE1012" s="80"/>
    </row>
    <row r="1013" spans="1:31" x14ac:dyDescent="0.25">
      <c r="A1013" s="76"/>
      <c r="B1013" s="76"/>
      <c r="C1013" s="77"/>
      <c r="D1013" s="78"/>
      <c r="E1013" s="79"/>
      <c r="F1013" s="80"/>
      <c r="G1013" s="78"/>
      <c r="H1013" s="81"/>
      <c r="I1013" s="78"/>
      <c r="J1013" s="78"/>
      <c r="K1013" s="78"/>
      <c r="L1013" s="78"/>
      <c r="M1013" s="81"/>
      <c r="N1013" s="76"/>
      <c r="O1013" s="82"/>
      <c r="P1013" s="80"/>
      <c r="Q1013" s="83"/>
      <c r="R1013" s="80"/>
      <c r="S1013" s="80"/>
      <c r="T1013" s="80"/>
      <c r="U1013" s="83"/>
      <c r="V1013" s="80"/>
      <c r="W1013" s="83"/>
      <c r="X1013" s="80"/>
      <c r="Y1013" s="80"/>
      <c r="Z1013" s="80"/>
      <c r="AA1013" s="80"/>
      <c r="AB1013" s="80"/>
      <c r="AC1013" s="80"/>
      <c r="AD1013" s="80"/>
      <c r="AE1013" s="80"/>
    </row>
    <row r="1014" spans="1:31" x14ac:dyDescent="0.25">
      <c r="A1014" s="76"/>
      <c r="B1014" s="76"/>
      <c r="C1014" s="77"/>
      <c r="D1014" s="78"/>
      <c r="E1014" s="79"/>
      <c r="F1014" s="80"/>
      <c r="G1014" s="78"/>
      <c r="H1014" s="81"/>
      <c r="I1014" s="78"/>
      <c r="J1014" s="78"/>
      <c r="K1014" s="78"/>
      <c r="L1014" s="78"/>
      <c r="M1014" s="81"/>
      <c r="N1014" s="76"/>
      <c r="O1014" s="82"/>
      <c r="P1014" s="80"/>
      <c r="Q1014" s="83"/>
      <c r="R1014" s="80"/>
      <c r="S1014" s="80"/>
      <c r="T1014" s="80"/>
      <c r="U1014" s="83"/>
      <c r="V1014" s="80"/>
      <c r="W1014" s="83"/>
      <c r="X1014" s="80"/>
      <c r="Y1014" s="80"/>
      <c r="Z1014" s="80"/>
      <c r="AA1014" s="80"/>
      <c r="AB1014" s="80"/>
      <c r="AC1014" s="80"/>
      <c r="AD1014" s="80"/>
      <c r="AE1014" s="80"/>
    </row>
    <row r="1015" spans="1:31" x14ac:dyDescent="0.25">
      <c r="A1015" s="76"/>
      <c r="B1015" s="76"/>
      <c r="C1015" s="77"/>
      <c r="D1015" s="78"/>
      <c r="E1015" s="79"/>
      <c r="F1015" s="80"/>
      <c r="G1015" s="78"/>
      <c r="H1015" s="81"/>
      <c r="I1015" s="78"/>
      <c r="J1015" s="78"/>
      <c r="K1015" s="78"/>
      <c r="L1015" s="78"/>
      <c r="M1015" s="81"/>
      <c r="N1015" s="76"/>
      <c r="O1015" s="82"/>
      <c r="P1015" s="80"/>
      <c r="Q1015" s="83"/>
      <c r="R1015" s="80"/>
      <c r="S1015" s="80"/>
      <c r="T1015" s="80"/>
      <c r="U1015" s="83"/>
      <c r="V1015" s="80"/>
      <c r="W1015" s="83"/>
      <c r="X1015" s="80"/>
      <c r="Y1015" s="80"/>
      <c r="Z1015" s="80"/>
      <c r="AA1015" s="80"/>
      <c r="AB1015" s="80"/>
      <c r="AC1015" s="80"/>
      <c r="AD1015" s="80"/>
      <c r="AE1015" s="80"/>
    </row>
    <row r="1016" spans="1:31" x14ac:dyDescent="0.25">
      <c r="A1016" s="76"/>
      <c r="B1016" s="76"/>
      <c r="C1016" s="77"/>
      <c r="D1016" s="78"/>
      <c r="E1016" s="79"/>
      <c r="F1016" s="80"/>
      <c r="G1016" s="78"/>
      <c r="H1016" s="81"/>
      <c r="I1016" s="78"/>
      <c r="J1016" s="78"/>
      <c r="K1016" s="78"/>
      <c r="L1016" s="78"/>
      <c r="M1016" s="81"/>
      <c r="N1016" s="76"/>
      <c r="O1016" s="82"/>
      <c r="P1016" s="80"/>
      <c r="Q1016" s="83"/>
      <c r="R1016" s="80"/>
      <c r="S1016" s="80"/>
      <c r="T1016" s="80"/>
      <c r="U1016" s="83"/>
      <c r="V1016" s="80"/>
      <c r="W1016" s="83"/>
      <c r="X1016" s="80"/>
      <c r="Y1016" s="80"/>
      <c r="Z1016" s="80"/>
      <c r="AA1016" s="80"/>
      <c r="AB1016" s="80"/>
      <c r="AC1016" s="80"/>
      <c r="AD1016" s="80"/>
      <c r="AE1016" s="80"/>
    </row>
    <row r="1017" spans="1:31" x14ac:dyDescent="0.25">
      <c r="A1017" s="76"/>
      <c r="B1017" s="76"/>
      <c r="C1017" s="77"/>
      <c r="D1017" s="78"/>
      <c r="E1017" s="79"/>
      <c r="F1017" s="80"/>
      <c r="G1017" s="78"/>
      <c r="H1017" s="81"/>
      <c r="I1017" s="78"/>
      <c r="J1017" s="78"/>
      <c r="K1017" s="78"/>
      <c r="L1017" s="78"/>
      <c r="M1017" s="81"/>
      <c r="N1017" s="76"/>
      <c r="O1017" s="82"/>
      <c r="P1017" s="80"/>
      <c r="Q1017" s="83"/>
      <c r="R1017" s="80"/>
      <c r="S1017" s="80"/>
      <c r="T1017" s="80"/>
      <c r="U1017" s="83"/>
      <c r="V1017" s="80"/>
      <c r="W1017" s="83"/>
      <c r="X1017" s="80"/>
      <c r="Y1017" s="80"/>
      <c r="Z1017" s="80"/>
      <c r="AA1017" s="80"/>
      <c r="AB1017" s="80"/>
      <c r="AC1017" s="80"/>
      <c r="AD1017" s="80"/>
      <c r="AE1017" s="80"/>
    </row>
    <row r="1018" spans="1:31" x14ac:dyDescent="0.25">
      <c r="A1018" s="76"/>
      <c r="B1018" s="76"/>
      <c r="C1018" s="77"/>
      <c r="D1018" s="78"/>
      <c r="E1018" s="79"/>
      <c r="F1018" s="80"/>
      <c r="G1018" s="78"/>
      <c r="H1018" s="81"/>
      <c r="I1018" s="78"/>
      <c r="J1018" s="78"/>
      <c r="K1018" s="78"/>
      <c r="L1018" s="78"/>
      <c r="M1018" s="81"/>
      <c r="N1018" s="76"/>
      <c r="O1018" s="82"/>
      <c r="P1018" s="80"/>
      <c r="Q1018" s="83"/>
      <c r="R1018" s="80"/>
      <c r="S1018" s="80"/>
      <c r="T1018" s="80"/>
      <c r="U1018" s="83"/>
      <c r="V1018" s="80"/>
      <c r="W1018" s="83"/>
      <c r="X1018" s="80"/>
      <c r="Y1018" s="80"/>
      <c r="Z1018" s="80"/>
      <c r="AA1018" s="80"/>
      <c r="AB1018" s="80"/>
      <c r="AC1018" s="80"/>
      <c r="AD1018" s="80"/>
      <c r="AE1018" s="80"/>
    </row>
    <row r="1019" spans="1:31" x14ac:dyDescent="0.25">
      <c r="A1019" s="76"/>
      <c r="B1019" s="76"/>
      <c r="C1019" s="77"/>
      <c r="D1019" s="78"/>
      <c r="E1019" s="79"/>
      <c r="F1019" s="80"/>
      <c r="G1019" s="78"/>
      <c r="H1019" s="81"/>
      <c r="I1019" s="78"/>
      <c r="J1019" s="78"/>
      <c r="K1019" s="78"/>
      <c r="L1019" s="78"/>
      <c r="M1019" s="81"/>
      <c r="N1019" s="76"/>
      <c r="O1019" s="82"/>
      <c r="P1019" s="80"/>
      <c r="Q1019" s="83"/>
      <c r="R1019" s="80"/>
      <c r="S1019" s="80"/>
      <c r="T1019" s="80"/>
      <c r="U1019" s="83"/>
      <c r="V1019" s="80"/>
      <c r="W1019" s="83"/>
      <c r="X1019" s="80"/>
      <c r="Y1019" s="80"/>
      <c r="Z1019" s="80"/>
      <c r="AA1019" s="80"/>
      <c r="AB1019" s="80"/>
      <c r="AC1019" s="80"/>
      <c r="AD1019" s="80"/>
      <c r="AE1019" s="80"/>
    </row>
    <row r="1020" spans="1:31" x14ac:dyDescent="0.25">
      <c r="A1020" s="76"/>
      <c r="B1020" s="76"/>
      <c r="C1020" s="77"/>
      <c r="D1020" s="78"/>
      <c r="E1020" s="79"/>
      <c r="F1020" s="80"/>
      <c r="G1020" s="78"/>
      <c r="H1020" s="81"/>
      <c r="I1020" s="78"/>
      <c r="J1020" s="78"/>
      <c r="K1020" s="78"/>
      <c r="L1020" s="78"/>
      <c r="M1020" s="81"/>
      <c r="N1020" s="76"/>
      <c r="O1020" s="82"/>
      <c r="P1020" s="80"/>
      <c r="Q1020" s="83"/>
      <c r="R1020" s="80"/>
      <c r="S1020" s="80"/>
      <c r="T1020" s="80"/>
      <c r="U1020" s="83"/>
      <c r="V1020" s="80"/>
      <c r="W1020" s="83"/>
      <c r="X1020" s="80"/>
      <c r="Y1020" s="80"/>
      <c r="Z1020" s="80"/>
      <c r="AA1020" s="80"/>
      <c r="AB1020" s="80"/>
      <c r="AC1020" s="80"/>
      <c r="AD1020" s="80"/>
      <c r="AE1020" s="80"/>
    </row>
    <row r="1021" spans="1:31" x14ac:dyDescent="0.25">
      <c r="A1021" s="76"/>
      <c r="B1021" s="76"/>
      <c r="C1021" s="77"/>
      <c r="D1021" s="78"/>
      <c r="E1021" s="79"/>
      <c r="F1021" s="80"/>
      <c r="G1021" s="78"/>
      <c r="H1021" s="81"/>
      <c r="I1021" s="78"/>
      <c r="J1021" s="78"/>
      <c r="K1021" s="78"/>
      <c r="L1021" s="78"/>
      <c r="M1021" s="81"/>
      <c r="N1021" s="76"/>
      <c r="O1021" s="82"/>
      <c r="P1021" s="80"/>
      <c r="Q1021" s="83"/>
      <c r="R1021" s="80"/>
      <c r="S1021" s="80"/>
      <c r="T1021" s="80"/>
      <c r="U1021" s="83"/>
      <c r="V1021" s="80"/>
      <c r="W1021" s="83"/>
      <c r="X1021" s="80"/>
      <c r="Y1021" s="80"/>
      <c r="Z1021" s="80"/>
      <c r="AA1021" s="80"/>
      <c r="AB1021" s="80"/>
      <c r="AC1021" s="80"/>
      <c r="AD1021" s="80"/>
      <c r="AE1021" s="80"/>
    </row>
    <row r="1022" spans="1:31" x14ac:dyDescent="0.25">
      <c r="A1022" s="76"/>
      <c r="B1022" s="76"/>
      <c r="C1022" s="77"/>
      <c r="D1022" s="78"/>
      <c r="E1022" s="79"/>
      <c r="F1022" s="80"/>
      <c r="G1022" s="78"/>
      <c r="H1022" s="81"/>
      <c r="I1022" s="78"/>
      <c r="J1022" s="78"/>
      <c r="K1022" s="78"/>
      <c r="L1022" s="78"/>
      <c r="M1022" s="81"/>
      <c r="N1022" s="76"/>
      <c r="O1022" s="82"/>
      <c r="P1022" s="80"/>
      <c r="Q1022" s="83"/>
      <c r="R1022" s="80"/>
      <c r="S1022" s="80"/>
      <c r="T1022" s="80"/>
      <c r="U1022" s="83"/>
      <c r="V1022" s="80"/>
      <c r="W1022" s="83"/>
      <c r="X1022" s="80"/>
      <c r="Y1022" s="80"/>
      <c r="Z1022" s="80"/>
      <c r="AA1022" s="80"/>
      <c r="AB1022" s="80"/>
      <c r="AC1022" s="80"/>
      <c r="AD1022" s="80"/>
      <c r="AE1022" s="80"/>
    </row>
    <row r="1023" spans="1:31" x14ac:dyDescent="0.25">
      <c r="A1023" s="76"/>
      <c r="B1023" s="76"/>
      <c r="C1023" s="77"/>
      <c r="D1023" s="78"/>
      <c r="E1023" s="79"/>
      <c r="F1023" s="80"/>
      <c r="G1023" s="78"/>
      <c r="H1023" s="81"/>
      <c r="I1023" s="78"/>
      <c r="J1023" s="78"/>
      <c r="K1023" s="78"/>
      <c r="L1023" s="78"/>
      <c r="M1023" s="81"/>
      <c r="N1023" s="76"/>
      <c r="O1023" s="82"/>
      <c r="P1023" s="80"/>
      <c r="Q1023" s="83"/>
      <c r="R1023" s="80"/>
      <c r="S1023" s="80"/>
      <c r="T1023" s="80"/>
      <c r="U1023" s="83"/>
      <c r="V1023" s="80"/>
      <c r="W1023" s="83"/>
      <c r="X1023" s="80"/>
      <c r="Y1023" s="80"/>
      <c r="Z1023" s="80"/>
      <c r="AA1023" s="80"/>
      <c r="AB1023" s="80"/>
      <c r="AC1023" s="80"/>
      <c r="AD1023" s="80"/>
      <c r="AE1023" s="80"/>
    </row>
    <row r="1024" spans="1:31" x14ac:dyDescent="0.25">
      <c r="A1024" s="76"/>
      <c r="B1024" s="76"/>
      <c r="C1024" s="77"/>
      <c r="D1024" s="78"/>
      <c r="E1024" s="79"/>
      <c r="F1024" s="80"/>
      <c r="G1024" s="78"/>
      <c r="H1024" s="81"/>
      <c r="I1024" s="78"/>
      <c r="J1024" s="78"/>
      <c r="K1024" s="78"/>
      <c r="L1024" s="78"/>
      <c r="M1024" s="81"/>
      <c r="N1024" s="76"/>
      <c r="O1024" s="82"/>
      <c r="P1024" s="80"/>
      <c r="Q1024" s="83"/>
      <c r="R1024" s="80"/>
      <c r="S1024" s="80"/>
      <c r="T1024" s="80"/>
      <c r="U1024" s="83"/>
      <c r="V1024" s="80"/>
      <c r="W1024" s="83"/>
      <c r="X1024" s="80"/>
      <c r="Y1024" s="80"/>
      <c r="Z1024" s="80"/>
      <c r="AA1024" s="80"/>
      <c r="AB1024" s="80"/>
      <c r="AC1024" s="80"/>
      <c r="AD1024" s="80"/>
      <c r="AE1024" s="80"/>
    </row>
    <row r="1025" spans="1:31" x14ac:dyDescent="0.25">
      <c r="A1025" s="76"/>
      <c r="B1025" s="76"/>
      <c r="C1025" s="77"/>
      <c r="D1025" s="78"/>
      <c r="E1025" s="79"/>
      <c r="F1025" s="80"/>
      <c r="G1025" s="78"/>
      <c r="H1025" s="81"/>
      <c r="I1025" s="78"/>
      <c r="J1025" s="78"/>
      <c r="K1025" s="78"/>
      <c r="L1025" s="78"/>
      <c r="M1025" s="81"/>
      <c r="N1025" s="76"/>
      <c r="O1025" s="82"/>
      <c r="P1025" s="80"/>
      <c r="Q1025" s="83"/>
      <c r="R1025" s="80"/>
      <c r="S1025" s="80"/>
      <c r="T1025" s="80"/>
      <c r="U1025" s="83"/>
      <c r="V1025" s="80"/>
      <c r="W1025" s="83"/>
      <c r="X1025" s="80"/>
      <c r="Y1025" s="80"/>
      <c r="Z1025" s="80"/>
      <c r="AA1025" s="80"/>
      <c r="AB1025" s="80"/>
      <c r="AC1025" s="80"/>
      <c r="AD1025" s="80"/>
      <c r="AE1025" s="80"/>
    </row>
    <row r="1026" spans="1:31" x14ac:dyDescent="0.25">
      <c r="A1026" s="76"/>
      <c r="B1026" s="76"/>
      <c r="C1026" s="77"/>
      <c r="D1026" s="78"/>
      <c r="E1026" s="79"/>
      <c r="F1026" s="80"/>
      <c r="G1026" s="78"/>
      <c r="H1026" s="81"/>
      <c r="I1026" s="78"/>
      <c r="J1026" s="78"/>
      <c r="K1026" s="78"/>
      <c r="L1026" s="78"/>
      <c r="M1026" s="81"/>
      <c r="N1026" s="76"/>
      <c r="O1026" s="82"/>
      <c r="P1026" s="80"/>
      <c r="Q1026" s="83"/>
      <c r="R1026" s="80"/>
      <c r="S1026" s="80"/>
      <c r="T1026" s="80"/>
      <c r="U1026" s="83"/>
      <c r="V1026" s="80"/>
      <c r="W1026" s="83"/>
      <c r="X1026" s="80"/>
      <c r="Y1026" s="80"/>
      <c r="Z1026" s="80"/>
      <c r="AA1026" s="80"/>
      <c r="AB1026" s="80"/>
      <c r="AC1026" s="80"/>
      <c r="AD1026" s="80"/>
      <c r="AE1026" s="80"/>
    </row>
    <row r="1027" spans="1:31" x14ac:dyDescent="0.25">
      <c r="A1027" s="76"/>
      <c r="B1027" s="76"/>
      <c r="C1027" s="77"/>
      <c r="D1027" s="78"/>
      <c r="E1027" s="79"/>
      <c r="F1027" s="80"/>
      <c r="G1027" s="78"/>
      <c r="H1027" s="81"/>
      <c r="I1027" s="78"/>
      <c r="J1027" s="78"/>
      <c r="K1027" s="78"/>
      <c r="L1027" s="78"/>
      <c r="M1027" s="81"/>
      <c r="N1027" s="76"/>
      <c r="O1027" s="82"/>
      <c r="P1027" s="80"/>
      <c r="Q1027" s="83"/>
      <c r="R1027" s="80"/>
      <c r="S1027" s="80"/>
      <c r="T1027" s="80"/>
      <c r="U1027" s="83"/>
      <c r="V1027" s="80"/>
      <c r="W1027" s="83"/>
      <c r="X1027" s="80"/>
      <c r="Y1027" s="80"/>
      <c r="Z1027" s="80"/>
      <c r="AA1027" s="80"/>
      <c r="AB1027" s="80"/>
      <c r="AC1027" s="80"/>
      <c r="AD1027" s="80"/>
      <c r="AE1027" s="80"/>
    </row>
    <row r="1028" spans="1:31" x14ac:dyDescent="0.25">
      <c r="A1028" s="76"/>
      <c r="B1028" s="76"/>
      <c r="C1028" s="77"/>
      <c r="D1028" s="78"/>
      <c r="E1028" s="79"/>
      <c r="F1028" s="80"/>
      <c r="G1028" s="78"/>
      <c r="H1028" s="81"/>
      <c r="I1028" s="78"/>
      <c r="J1028" s="78"/>
      <c r="K1028" s="78"/>
      <c r="L1028" s="78"/>
      <c r="M1028" s="81"/>
      <c r="N1028" s="76"/>
      <c r="O1028" s="82"/>
      <c r="P1028" s="80"/>
      <c r="Q1028" s="83"/>
      <c r="R1028" s="80"/>
      <c r="S1028" s="80"/>
      <c r="T1028" s="80"/>
      <c r="U1028" s="83"/>
      <c r="V1028" s="80"/>
      <c r="W1028" s="83"/>
      <c r="X1028" s="80"/>
      <c r="Y1028" s="80"/>
      <c r="Z1028" s="80"/>
      <c r="AA1028" s="80"/>
      <c r="AB1028" s="80"/>
      <c r="AC1028" s="80"/>
      <c r="AD1028" s="80"/>
      <c r="AE1028" s="80"/>
    </row>
    <row r="1029" spans="1:31" x14ac:dyDescent="0.25">
      <c r="A1029" s="76"/>
      <c r="B1029" s="76"/>
      <c r="C1029" s="77"/>
      <c r="D1029" s="78"/>
      <c r="E1029" s="79"/>
      <c r="F1029" s="80"/>
      <c r="G1029" s="78"/>
      <c r="H1029" s="81"/>
      <c r="I1029" s="78"/>
      <c r="J1029" s="78"/>
      <c r="K1029" s="78"/>
      <c r="L1029" s="78"/>
      <c r="M1029" s="81"/>
      <c r="N1029" s="76"/>
      <c r="O1029" s="82"/>
      <c r="P1029" s="80"/>
      <c r="Q1029" s="83"/>
      <c r="R1029" s="80"/>
      <c r="S1029" s="80"/>
      <c r="T1029" s="80"/>
      <c r="U1029" s="83"/>
      <c r="V1029" s="80"/>
      <c r="W1029" s="83"/>
      <c r="X1029" s="80"/>
      <c r="Y1029" s="80"/>
      <c r="Z1029" s="80"/>
      <c r="AA1029" s="80"/>
      <c r="AB1029" s="80"/>
      <c r="AC1029" s="80"/>
      <c r="AD1029" s="80"/>
      <c r="AE1029" s="80"/>
    </row>
    <row r="1030" spans="1:31" x14ac:dyDescent="0.25">
      <c r="A1030" s="76"/>
      <c r="B1030" s="76"/>
      <c r="C1030" s="77"/>
      <c r="D1030" s="78"/>
      <c r="E1030" s="79"/>
      <c r="F1030" s="80"/>
      <c r="G1030" s="78"/>
      <c r="H1030" s="81"/>
      <c r="I1030" s="78"/>
      <c r="J1030" s="78"/>
      <c r="K1030" s="78"/>
      <c r="L1030" s="78"/>
      <c r="M1030" s="81"/>
      <c r="N1030" s="76"/>
      <c r="O1030" s="82"/>
      <c r="P1030" s="80"/>
      <c r="Q1030" s="83"/>
      <c r="R1030" s="80"/>
      <c r="S1030" s="80"/>
      <c r="T1030" s="80"/>
      <c r="U1030" s="83"/>
      <c r="V1030" s="80"/>
      <c r="W1030" s="83"/>
      <c r="X1030" s="80"/>
      <c r="Y1030" s="80"/>
      <c r="Z1030" s="80"/>
      <c r="AA1030" s="80"/>
      <c r="AB1030" s="80"/>
      <c r="AC1030" s="80"/>
      <c r="AD1030" s="80"/>
      <c r="AE1030" s="80"/>
    </row>
    <row r="1031" spans="1:31" x14ac:dyDescent="0.25">
      <c r="A1031" s="76"/>
      <c r="B1031" s="76"/>
      <c r="C1031" s="77"/>
      <c r="D1031" s="78"/>
      <c r="E1031" s="79"/>
      <c r="F1031" s="80"/>
      <c r="G1031" s="78"/>
      <c r="H1031" s="81"/>
      <c r="I1031" s="78"/>
      <c r="J1031" s="78"/>
      <c r="K1031" s="78"/>
      <c r="L1031" s="78"/>
      <c r="M1031" s="81"/>
      <c r="N1031" s="76"/>
      <c r="O1031" s="82"/>
      <c r="P1031" s="80"/>
      <c r="Q1031" s="83"/>
      <c r="R1031" s="80"/>
      <c r="S1031" s="80"/>
      <c r="T1031" s="80"/>
      <c r="U1031" s="83"/>
      <c r="V1031" s="80"/>
      <c r="W1031" s="83"/>
      <c r="X1031" s="80"/>
      <c r="Y1031" s="80"/>
      <c r="Z1031" s="80"/>
      <c r="AA1031" s="80"/>
      <c r="AB1031" s="80"/>
      <c r="AC1031" s="80"/>
      <c r="AD1031" s="80"/>
      <c r="AE1031" s="80"/>
    </row>
    <row r="1032" spans="1:31" x14ac:dyDescent="0.25">
      <c r="A1032" s="76"/>
      <c r="B1032" s="76"/>
      <c r="C1032" s="77"/>
      <c r="D1032" s="78"/>
      <c r="E1032" s="79"/>
      <c r="F1032" s="80"/>
      <c r="G1032" s="78"/>
      <c r="H1032" s="81"/>
      <c r="I1032" s="78"/>
      <c r="J1032" s="78"/>
      <c r="K1032" s="78"/>
      <c r="L1032" s="78"/>
      <c r="M1032" s="81"/>
      <c r="N1032" s="76"/>
      <c r="O1032" s="82"/>
      <c r="P1032" s="80"/>
      <c r="Q1032" s="83"/>
      <c r="R1032" s="80"/>
      <c r="S1032" s="80"/>
      <c r="T1032" s="80"/>
      <c r="U1032" s="83"/>
      <c r="V1032" s="80"/>
      <c r="W1032" s="83"/>
      <c r="X1032" s="80"/>
      <c r="Y1032" s="80"/>
      <c r="Z1032" s="80"/>
      <c r="AA1032" s="80"/>
      <c r="AB1032" s="80"/>
      <c r="AC1032" s="80"/>
      <c r="AD1032" s="80"/>
      <c r="AE1032" s="80"/>
    </row>
    <row r="1033" spans="1:31" x14ac:dyDescent="0.25">
      <c r="A1033" s="76"/>
      <c r="B1033" s="76"/>
      <c r="C1033" s="77"/>
      <c r="D1033" s="78"/>
      <c r="E1033" s="79"/>
      <c r="F1033" s="80"/>
      <c r="G1033" s="78"/>
      <c r="H1033" s="81"/>
      <c r="I1033" s="78"/>
      <c r="J1033" s="78"/>
      <c r="K1033" s="78"/>
      <c r="L1033" s="78"/>
      <c r="M1033" s="81"/>
      <c r="N1033" s="76"/>
      <c r="O1033" s="82"/>
      <c r="P1033" s="80"/>
      <c r="Q1033" s="83"/>
      <c r="R1033" s="80"/>
      <c r="S1033" s="80"/>
      <c r="T1033" s="80"/>
      <c r="U1033" s="83"/>
      <c r="V1033" s="80"/>
      <c r="W1033" s="83"/>
      <c r="X1033" s="80"/>
      <c r="Y1033" s="80"/>
      <c r="Z1033" s="80"/>
      <c r="AA1033" s="80"/>
      <c r="AB1033" s="80"/>
      <c r="AC1033" s="80"/>
      <c r="AD1033" s="80"/>
      <c r="AE1033" s="80"/>
    </row>
    <row r="1034" spans="1:31" x14ac:dyDescent="0.25">
      <c r="A1034" s="76"/>
      <c r="B1034" s="76"/>
      <c r="C1034" s="77"/>
      <c r="D1034" s="78"/>
      <c r="E1034" s="79"/>
      <c r="F1034" s="80"/>
      <c r="G1034" s="78"/>
      <c r="H1034" s="81"/>
      <c r="I1034" s="78"/>
      <c r="J1034" s="78"/>
      <c r="K1034" s="78"/>
      <c r="L1034" s="78"/>
      <c r="M1034" s="81"/>
      <c r="N1034" s="76"/>
      <c r="O1034" s="82"/>
      <c r="P1034" s="80"/>
      <c r="Q1034" s="83"/>
      <c r="R1034" s="80"/>
      <c r="S1034" s="80"/>
      <c r="T1034" s="80"/>
      <c r="U1034" s="83"/>
      <c r="V1034" s="80"/>
      <c r="W1034" s="83"/>
      <c r="X1034" s="80"/>
      <c r="Y1034" s="80"/>
      <c r="Z1034" s="80"/>
      <c r="AA1034" s="80"/>
      <c r="AB1034" s="80"/>
      <c r="AC1034" s="80"/>
      <c r="AD1034" s="80"/>
      <c r="AE1034" s="80"/>
    </row>
    <row r="1035" spans="1:31" x14ac:dyDescent="0.25">
      <c r="A1035" s="76"/>
      <c r="B1035" s="76"/>
      <c r="C1035" s="77"/>
      <c r="D1035" s="78"/>
      <c r="E1035" s="79"/>
      <c r="F1035" s="80"/>
      <c r="G1035" s="78"/>
      <c r="H1035" s="81"/>
      <c r="I1035" s="78"/>
      <c r="J1035" s="78"/>
      <c r="K1035" s="78"/>
      <c r="L1035" s="78"/>
      <c r="M1035" s="81"/>
      <c r="N1035" s="76"/>
      <c r="O1035" s="82"/>
      <c r="P1035" s="80"/>
      <c r="Q1035" s="83"/>
      <c r="R1035" s="80"/>
      <c r="S1035" s="80"/>
      <c r="T1035" s="80"/>
      <c r="U1035" s="83"/>
      <c r="V1035" s="80"/>
      <c r="W1035" s="83"/>
      <c r="X1035" s="80"/>
      <c r="Y1035" s="80"/>
      <c r="Z1035" s="80"/>
      <c r="AA1035" s="80"/>
      <c r="AB1035" s="80"/>
      <c r="AC1035" s="80"/>
      <c r="AD1035" s="80"/>
      <c r="AE1035" s="80"/>
    </row>
    <row r="1036" spans="1:31" x14ac:dyDescent="0.25">
      <c r="A1036" s="76"/>
      <c r="B1036" s="76"/>
      <c r="C1036" s="77"/>
      <c r="D1036" s="78"/>
      <c r="E1036" s="79"/>
      <c r="F1036" s="80"/>
      <c r="G1036" s="78"/>
      <c r="H1036" s="81"/>
      <c r="I1036" s="78"/>
      <c r="J1036" s="78"/>
      <c r="K1036" s="78"/>
      <c r="L1036" s="78"/>
      <c r="M1036" s="81"/>
      <c r="N1036" s="76"/>
      <c r="O1036" s="82"/>
      <c r="P1036" s="80"/>
      <c r="Q1036" s="83"/>
      <c r="R1036" s="80"/>
      <c r="S1036" s="80"/>
      <c r="T1036" s="80"/>
      <c r="U1036" s="83"/>
      <c r="V1036" s="80"/>
      <c r="W1036" s="83"/>
      <c r="X1036" s="80"/>
      <c r="Y1036" s="80"/>
      <c r="Z1036" s="80"/>
      <c r="AA1036" s="80"/>
      <c r="AB1036" s="80"/>
      <c r="AC1036" s="80"/>
      <c r="AD1036" s="80"/>
      <c r="AE1036" s="80"/>
    </row>
    <row r="1037" spans="1:31" x14ac:dyDescent="0.25">
      <c r="A1037" s="76"/>
      <c r="B1037" s="76"/>
      <c r="C1037" s="77"/>
      <c r="D1037" s="78"/>
      <c r="E1037" s="79"/>
      <c r="F1037" s="80"/>
      <c r="G1037" s="78"/>
      <c r="H1037" s="81"/>
      <c r="I1037" s="78"/>
      <c r="J1037" s="78"/>
      <c r="K1037" s="78"/>
      <c r="L1037" s="78"/>
      <c r="M1037" s="81"/>
      <c r="N1037" s="76"/>
      <c r="O1037" s="82"/>
      <c r="P1037" s="80"/>
      <c r="Q1037" s="83"/>
      <c r="R1037" s="80"/>
      <c r="S1037" s="80"/>
      <c r="T1037" s="80"/>
      <c r="U1037" s="83"/>
      <c r="V1037" s="80"/>
      <c r="W1037" s="83"/>
      <c r="X1037" s="80"/>
      <c r="Y1037" s="80"/>
      <c r="Z1037" s="80"/>
      <c r="AA1037" s="80"/>
      <c r="AB1037" s="80"/>
      <c r="AC1037" s="80"/>
      <c r="AD1037" s="80"/>
      <c r="AE1037" s="80"/>
    </row>
    <row r="1038" spans="1:31" x14ac:dyDescent="0.25">
      <c r="A1038" s="76"/>
      <c r="B1038" s="76"/>
      <c r="C1038" s="77"/>
      <c r="D1038" s="78"/>
      <c r="E1038" s="79"/>
      <c r="F1038" s="80"/>
      <c r="G1038" s="78"/>
      <c r="H1038" s="81"/>
      <c r="I1038" s="78"/>
      <c r="J1038" s="78"/>
      <c r="K1038" s="78"/>
      <c r="L1038" s="78"/>
      <c r="M1038" s="81"/>
      <c r="N1038" s="76"/>
      <c r="O1038" s="82"/>
      <c r="P1038" s="80"/>
      <c r="Q1038" s="83"/>
      <c r="R1038" s="80"/>
      <c r="S1038" s="80"/>
      <c r="T1038" s="80"/>
      <c r="U1038" s="83"/>
      <c r="V1038" s="80"/>
      <c r="W1038" s="83"/>
      <c r="X1038" s="80"/>
      <c r="Y1038" s="80"/>
      <c r="Z1038" s="80"/>
      <c r="AA1038" s="80"/>
      <c r="AB1038" s="80"/>
      <c r="AC1038" s="80"/>
      <c r="AD1038" s="80"/>
      <c r="AE1038" s="80"/>
    </row>
    <row r="1039" spans="1:31" x14ac:dyDescent="0.25">
      <c r="A1039" s="76"/>
      <c r="B1039" s="76"/>
      <c r="C1039" s="77"/>
      <c r="D1039" s="78"/>
      <c r="E1039" s="79"/>
      <c r="F1039" s="80"/>
      <c r="G1039" s="78"/>
      <c r="H1039" s="81"/>
      <c r="I1039" s="78"/>
      <c r="J1039" s="78"/>
      <c r="K1039" s="78"/>
      <c r="L1039" s="78"/>
      <c r="M1039" s="81"/>
      <c r="N1039" s="76"/>
      <c r="O1039" s="82"/>
      <c r="P1039" s="80"/>
      <c r="Q1039" s="83"/>
      <c r="R1039" s="80"/>
      <c r="S1039" s="80"/>
      <c r="T1039" s="80"/>
      <c r="U1039" s="83"/>
      <c r="V1039" s="80"/>
      <c r="W1039" s="83"/>
      <c r="X1039" s="80"/>
      <c r="Y1039" s="80"/>
      <c r="Z1039" s="80"/>
      <c r="AA1039" s="80"/>
      <c r="AB1039" s="80"/>
      <c r="AC1039" s="80"/>
      <c r="AD1039" s="80"/>
      <c r="AE1039" s="80"/>
    </row>
    <row r="1040" spans="1:31" x14ac:dyDescent="0.25">
      <c r="A1040" s="76"/>
      <c r="B1040" s="76"/>
      <c r="C1040" s="77"/>
      <c r="D1040" s="78"/>
      <c r="E1040" s="79"/>
      <c r="F1040" s="80"/>
      <c r="G1040" s="78"/>
      <c r="H1040" s="81"/>
      <c r="I1040" s="78"/>
      <c r="J1040" s="78"/>
      <c r="K1040" s="78"/>
      <c r="L1040" s="78"/>
      <c r="M1040" s="81"/>
      <c r="N1040" s="76"/>
      <c r="O1040" s="82"/>
      <c r="P1040" s="80"/>
      <c r="Q1040" s="83"/>
      <c r="R1040" s="80"/>
      <c r="S1040" s="80"/>
      <c r="T1040" s="80"/>
      <c r="U1040" s="83"/>
      <c r="V1040" s="80"/>
      <c r="W1040" s="83"/>
      <c r="X1040" s="80"/>
      <c r="Y1040" s="80"/>
      <c r="Z1040" s="80"/>
      <c r="AA1040" s="80"/>
      <c r="AB1040" s="80"/>
      <c r="AC1040" s="80"/>
      <c r="AD1040" s="80"/>
      <c r="AE1040" s="80"/>
    </row>
    <row r="1041" spans="1:31" x14ac:dyDescent="0.25">
      <c r="A1041" s="76"/>
      <c r="B1041" s="76"/>
      <c r="C1041" s="77"/>
      <c r="D1041" s="78"/>
      <c r="E1041" s="79"/>
      <c r="F1041" s="80"/>
      <c r="G1041" s="78"/>
      <c r="H1041" s="81"/>
      <c r="I1041" s="78"/>
      <c r="J1041" s="78"/>
      <c r="K1041" s="78"/>
      <c r="L1041" s="78"/>
      <c r="M1041" s="81"/>
      <c r="N1041" s="76"/>
      <c r="O1041" s="82"/>
      <c r="P1041" s="80"/>
      <c r="Q1041" s="83"/>
      <c r="R1041" s="80"/>
      <c r="S1041" s="80"/>
      <c r="T1041" s="80"/>
      <c r="U1041" s="83"/>
      <c r="V1041" s="80"/>
      <c r="W1041" s="83"/>
      <c r="X1041" s="80"/>
      <c r="Y1041" s="80"/>
      <c r="Z1041" s="80"/>
      <c r="AA1041" s="80"/>
      <c r="AB1041" s="80"/>
      <c r="AC1041" s="80"/>
      <c r="AD1041" s="80"/>
      <c r="AE1041" s="80"/>
    </row>
    <row r="1042" spans="1:31" x14ac:dyDescent="0.25">
      <c r="A1042" s="76"/>
      <c r="B1042" s="76"/>
      <c r="C1042" s="77"/>
      <c r="D1042" s="78"/>
      <c r="E1042" s="79"/>
      <c r="F1042" s="80"/>
      <c r="G1042" s="78"/>
      <c r="H1042" s="81"/>
      <c r="I1042" s="78"/>
      <c r="J1042" s="78"/>
      <c r="K1042" s="78"/>
      <c r="L1042" s="78"/>
      <c r="M1042" s="81"/>
      <c r="N1042" s="76"/>
      <c r="O1042" s="82"/>
      <c r="P1042" s="80"/>
      <c r="Q1042" s="83"/>
      <c r="R1042" s="80"/>
      <c r="S1042" s="80"/>
      <c r="T1042" s="80"/>
      <c r="U1042" s="83"/>
      <c r="V1042" s="80"/>
      <c r="W1042" s="83"/>
      <c r="X1042" s="80"/>
      <c r="Y1042" s="80"/>
      <c r="Z1042" s="80"/>
      <c r="AA1042" s="80"/>
      <c r="AB1042" s="80"/>
      <c r="AC1042" s="80"/>
      <c r="AD1042" s="80"/>
      <c r="AE1042" s="80"/>
    </row>
    <row r="1043" spans="1:31" x14ac:dyDescent="0.25">
      <c r="A1043" s="76"/>
      <c r="B1043" s="76"/>
      <c r="C1043" s="77"/>
      <c r="D1043" s="78"/>
      <c r="E1043" s="79"/>
      <c r="F1043" s="80"/>
      <c r="G1043" s="78"/>
      <c r="H1043" s="81"/>
      <c r="I1043" s="78"/>
      <c r="J1043" s="78"/>
      <c r="K1043" s="78"/>
      <c r="L1043" s="78"/>
      <c r="M1043" s="81"/>
      <c r="N1043" s="76"/>
      <c r="O1043" s="82"/>
      <c r="P1043" s="80"/>
      <c r="Q1043" s="83"/>
      <c r="R1043" s="80"/>
      <c r="S1043" s="80"/>
      <c r="T1043" s="80"/>
      <c r="U1043" s="83"/>
      <c r="V1043" s="80"/>
      <c r="W1043" s="83"/>
      <c r="X1043" s="80"/>
      <c r="Y1043" s="80"/>
      <c r="Z1043" s="80"/>
      <c r="AA1043" s="80"/>
      <c r="AB1043" s="80"/>
      <c r="AC1043" s="80"/>
      <c r="AD1043" s="80"/>
      <c r="AE1043" s="80"/>
    </row>
    <row r="1044" spans="1:31" x14ac:dyDescent="0.25">
      <c r="A1044" s="76"/>
      <c r="B1044" s="76"/>
      <c r="C1044" s="77"/>
      <c r="D1044" s="78"/>
      <c r="E1044" s="79"/>
      <c r="F1044" s="80"/>
      <c r="G1044" s="78"/>
      <c r="H1044" s="81"/>
      <c r="I1044" s="78"/>
      <c r="J1044" s="78"/>
      <c r="K1044" s="78"/>
      <c r="L1044" s="78"/>
      <c r="M1044" s="81"/>
      <c r="N1044" s="76"/>
      <c r="O1044" s="82"/>
      <c r="P1044" s="80"/>
      <c r="Q1044" s="83"/>
      <c r="R1044" s="80"/>
      <c r="S1044" s="80"/>
      <c r="T1044" s="80"/>
      <c r="U1044" s="83"/>
      <c r="V1044" s="80"/>
      <c r="W1044" s="83"/>
      <c r="X1044" s="80"/>
      <c r="Y1044" s="80"/>
      <c r="Z1044" s="80"/>
      <c r="AA1044" s="80"/>
      <c r="AB1044" s="80"/>
      <c r="AC1044" s="80"/>
      <c r="AD1044" s="80"/>
      <c r="AE1044" s="80"/>
    </row>
    <row r="1045" spans="1:31" x14ac:dyDescent="0.25">
      <c r="A1045" s="76"/>
      <c r="B1045" s="76"/>
      <c r="C1045" s="77"/>
      <c r="D1045" s="78"/>
      <c r="E1045" s="79"/>
      <c r="F1045" s="80"/>
      <c r="G1045" s="78"/>
      <c r="H1045" s="81"/>
      <c r="I1045" s="78"/>
      <c r="J1045" s="78"/>
      <c r="K1045" s="78"/>
      <c r="L1045" s="78"/>
      <c r="M1045" s="81"/>
      <c r="N1045" s="76"/>
      <c r="O1045" s="82"/>
      <c r="P1045" s="80"/>
      <c r="Q1045" s="83"/>
      <c r="R1045" s="80"/>
      <c r="S1045" s="80"/>
      <c r="T1045" s="80"/>
      <c r="U1045" s="83"/>
      <c r="V1045" s="80"/>
      <c r="W1045" s="83"/>
      <c r="X1045" s="80"/>
      <c r="Y1045" s="80"/>
      <c r="Z1045" s="80"/>
      <c r="AA1045" s="80"/>
      <c r="AB1045" s="80"/>
      <c r="AC1045" s="80"/>
      <c r="AD1045" s="80"/>
      <c r="AE1045" s="80"/>
    </row>
    <row r="1046" spans="1:31" x14ac:dyDescent="0.25">
      <c r="A1046" s="76"/>
      <c r="B1046" s="76"/>
      <c r="C1046" s="77"/>
      <c r="D1046" s="78"/>
      <c r="E1046" s="79"/>
      <c r="F1046" s="80"/>
      <c r="G1046" s="78"/>
      <c r="H1046" s="81"/>
      <c r="I1046" s="78"/>
      <c r="J1046" s="78"/>
      <c r="K1046" s="78"/>
      <c r="L1046" s="78"/>
      <c r="M1046" s="81"/>
      <c r="N1046" s="76"/>
      <c r="O1046" s="82"/>
      <c r="P1046" s="80"/>
      <c r="Q1046" s="83"/>
      <c r="R1046" s="80"/>
      <c r="S1046" s="80"/>
      <c r="T1046" s="80"/>
      <c r="U1046" s="83"/>
      <c r="V1046" s="80"/>
      <c r="W1046" s="83"/>
      <c r="X1046" s="80"/>
      <c r="Y1046" s="80"/>
      <c r="Z1046" s="80"/>
      <c r="AA1046" s="80"/>
      <c r="AB1046" s="80"/>
      <c r="AC1046" s="80"/>
      <c r="AD1046" s="80"/>
      <c r="AE1046" s="80"/>
    </row>
    <row r="1047" spans="1:31" x14ac:dyDescent="0.25">
      <c r="A1047" s="76"/>
      <c r="B1047" s="76"/>
      <c r="C1047" s="77"/>
      <c r="D1047" s="78"/>
      <c r="E1047" s="79"/>
      <c r="F1047" s="80"/>
      <c r="G1047" s="78"/>
      <c r="H1047" s="81"/>
      <c r="I1047" s="78"/>
      <c r="J1047" s="78"/>
      <c r="K1047" s="78"/>
      <c r="L1047" s="78"/>
      <c r="M1047" s="81"/>
      <c r="N1047" s="76"/>
      <c r="O1047" s="82"/>
      <c r="P1047" s="80"/>
      <c r="Q1047" s="83"/>
      <c r="R1047" s="80"/>
      <c r="S1047" s="80"/>
      <c r="T1047" s="80"/>
      <c r="U1047" s="83"/>
      <c r="V1047" s="80"/>
      <c r="W1047" s="83"/>
      <c r="X1047" s="80"/>
      <c r="Y1047" s="80"/>
      <c r="Z1047" s="80"/>
      <c r="AA1047" s="80"/>
      <c r="AB1047" s="80"/>
      <c r="AC1047" s="80"/>
      <c r="AD1047" s="80"/>
      <c r="AE1047" s="80"/>
    </row>
    <row r="1048" spans="1:31" x14ac:dyDescent="0.25">
      <c r="A1048" s="76"/>
      <c r="B1048" s="76"/>
      <c r="C1048" s="77"/>
      <c r="D1048" s="78"/>
      <c r="E1048" s="79"/>
      <c r="F1048" s="80"/>
      <c r="G1048" s="78"/>
      <c r="H1048" s="81"/>
      <c r="I1048" s="78"/>
      <c r="J1048" s="78"/>
      <c r="K1048" s="78"/>
      <c r="L1048" s="78"/>
      <c r="M1048" s="81"/>
      <c r="N1048" s="76"/>
      <c r="O1048" s="82"/>
      <c r="P1048" s="80"/>
      <c r="Q1048" s="83"/>
      <c r="R1048" s="80"/>
      <c r="S1048" s="80"/>
      <c r="T1048" s="80"/>
      <c r="U1048" s="83"/>
      <c r="V1048" s="80"/>
      <c r="W1048" s="83"/>
      <c r="X1048" s="80"/>
      <c r="Y1048" s="80"/>
      <c r="Z1048" s="80"/>
      <c r="AA1048" s="80"/>
      <c r="AB1048" s="80"/>
      <c r="AC1048" s="80"/>
      <c r="AD1048" s="80"/>
      <c r="AE1048" s="80"/>
    </row>
    <row r="1049" spans="1:31" x14ac:dyDescent="0.25">
      <c r="A1049" s="76"/>
      <c r="B1049" s="76"/>
      <c r="C1049" s="77"/>
      <c r="D1049" s="78"/>
      <c r="E1049" s="79"/>
      <c r="F1049" s="80"/>
      <c r="G1049" s="78"/>
      <c r="H1049" s="81"/>
      <c r="I1049" s="78"/>
      <c r="J1049" s="78"/>
      <c r="K1049" s="78"/>
      <c r="L1049" s="78"/>
      <c r="M1049" s="81"/>
      <c r="N1049" s="76"/>
      <c r="O1049" s="82"/>
      <c r="P1049" s="80"/>
      <c r="Q1049" s="83"/>
      <c r="R1049" s="80"/>
      <c r="S1049" s="80"/>
      <c r="T1049" s="80"/>
      <c r="U1049" s="83"/>
      <c r="V1049" s="80"/>
      <c r="W1049" s="83"/>
      <c r="X1049" s="80"/>
      <c r="Y1049" s="80"/>
      <c r="Z1049" s="80"/>
      <c r="AA1049" s="80"/>
      <c r="AB1049" s="80"/>
      <c r="AC1049" s="80"/>
      <c r="AD1049" s="80"/>
      <c r="AE1049" s="80"/>
    </row>
    <row r="1050" spans="1:31" x14ac:dyDescent="0.25">
      <c r="A1050" s="76"/>
      <c r="B1050" s="76"/>
      <c r="C1050" s="77"/>
      <c r="D1050" s="78"/>
      <c r="E1050" s="79"/>
      <c r="F1050" s="80"/>
      <c r="G1050" s="78"/>
      <c r="H1050" s="81"/>
      <c r="I1050" s="78"/>
      <c r="J1050" s="78"/>
      <c r="K1050" s="78"/>
      <c r="L1050" s="78"/>
      <c r="M1050" s="81"/>
      <c r="N1050" s="76"/>
      <c r="O1050" s="82"/>
      <c r="P1050" s="80"/>
      <c r="Q1050" s="83"/>
      <c r="R1050" s="80"/>
      <c r="S1050" s="80"/>
      <c r="T1050" s="80"/>
      <c r="U1050" s="83"/>
      <c r="V1050" s="80"/>
      <c r="W1050" s="83"/>
      <c r="X1050" s="80"/>
      <c r="Y1050" s="80"/>
      <c r="Z1050" s="80"/>
      <c r="AA1050" s="80"/>
      <c r="AB1050" s="80"/>
      <c r="AC1050" s="80"/>
      <c r="AD1050" s="80"/>
      <c r="AE1050" s="80"/>
    </row>
    <row r="1051" spans="1:31" x14ac:dyDescent="0.25">
      <c r="A1051" s="76"/>
      <c r="B1051" s="76"/>
      <c r="C1051" s="77"/>
      <c r="D1051" s="78"/>
      <c r="E1051" s="79"/>
      <c r="F1051" s="80"/>
      <c r="G1051" s="78"/>
      <c r="H1051" s="81"/>
      <c r="I1051" s="78"/>
      <c r="J1051" s="78"/>
      <c r="K1051" s="78"/>
      <c r="L1051" s="78"/>
      <c r="M1051" s="81"/>
      <c r="N1051" s="76"/>
      <c r="O1051" s="82"/>
      <c r="P1051" s="80"/>
      <c r="Q1051" s="83"/>
      <c r="R1051" s="80"/>
      <c r="S1051" s="80"/>
      <c r="T1051" s="80"/>
      <c r="U1051" s="83"/>
      <c r="V1051" s="80"/>
      <c r="W1051" s="83"/>
      <c r="X1051" s="80"/>
      <c r="Y1051" s="80"/>
      <c r="Z1051" s="80"/>
      <c r="AA1051" s="80"/>
      <c r="AB1051" s="80"/>
      <c r="AC1051" s="80"/>
      <c r="AD1051" s="80"/>
      <c r="AE1051" s="80"/>
    </row>
    <row r="1052" spans="1:31" x14ac:dyDescent="0.25">
      <c r="A1052" s="76"/>
      <c r="B1052" s="76"/>
      <c r="C1052" s="77"/>
      <c r="D1052" s="78"/>
      <c r="E1052" s="79"/>
      <c r="F1052" s="80"/>
      <c r="G1052" s="78"/>
      <c r="H1052" s="81"/>
      <c r="I1052" s="78"/>
      <c r="J1052" s="78"/>
      <c r="K1052" s="78"/>
      <c r="L1052" s="78"/>
      <c r="M1052" s="81"/>
      <c r="N1052" s="76"/>
      <c r="O1052" s="82"/>
      <c r="P1052" s="80"/>
      <c r="Q1052" s="83"/>
      <c r="R1052" s="80"/>
      <c r="S1052" s="80"/>
      <c r="T1052" s="80"/>
      <c r="U1052" s="83"/>
      <c r="V1052" s="80"/>
      <c r="W1052" s="83"/>
      <c r="X1052" s="80"/>
      <c r="Y1052" s="80"/>
      <c r="Z1052" s="80"/>
      <c r="AA1052" s="80"/>
      <c r="AB1052" s="80"/>
      <c r="AC1052" s="80"/>
      <c r="AD1052" s="80"/>
      <c r="AE1052" s="80"/>
    </row>
    <row r="1053" spans="1:31" x14ac:dyDescent="0.25">
      <c r="A1053" s="76"/>
      <c r="B1053" s="76"/>
      <c r="C1053" s="77"/>
      <c r="D1053" s="78"/>
      <c r="E1053" s="79"/>
      <c r="F1053" s="80"/>
      <c r="G1053" s="78"/>
      <c r="H1053" s="81"/>
      <c r="I1053" s="78"/>
      <c r="J1053" s="78"/>
      <c r="K1053" s="78"/>
      <c r="L1053" s="78"/>
      <c r="M1053" s="81"/>
      <c r="N1053" s="76"/>
      <c r="O1053" s="82"/>
      <c r="P1053" s="80"/>
      <c r="Q1053" s="83"/>
      <c r="R1053" s="80"/>
      <c r="S1053" s="80"/>
      <c r="T1053" s="80"/>
      <c r="U1053" s="83"/>
      <c r="V1053" s="80"/>
      <c r="W1053" s="83"/>
      <c r="X1053" s="80"/>
      <c r="Y1053" s="80"/>
      <c r="Z1053" s="80"/>
      <c r="AA1053" s="80"/>
      <c r="AB1053" s="80"/>
      <c r="AC1053" s="80"/>
      <c r="AD1053" s="80"/>
      <c r="AE1053" s="80"/>
    </row>
    <row r="1054" spans="1:31" x14ac:dyDescent="0.25">
      <c r="A1054" s="76"/>
      <c r="B1054" s="76"/>
      <c r="C1054" s="77"/>
      <c r="D1054" s="78"/>
      <c r="E1054" s="79"/>
      <c r="F1054" s="80"/>
      <c r="G1054" s="78"/>
      <c r="H1054" s="81"/>
      <c r="I1054" s="78"/>
      <c r="J1054" s="78"/>
      <c r="K1054" s="78"/>
      <c r="L1054" s="78"/>
      <c r="M1054" s="81"/>
      <c r="N1054" s="76"/>
      <c r="O1054" s="82"/>
      <c r="P1054" s="80"/>
      <c r="Q1054" s="83"/>
      <c r="R1054" s="80"/>
      <c r="S1054" s="80"/>
      <c r="T1054" s="80"/>
      <c r="U1054" s="83"/>
      <c r="V1054" s="80"/>
      <c r="W1054" s="83"/>
      <c r="X1054" s="80"/>
      <c r="Y1054" s="80"/>
      <c r="Z1054" s="80"/>
      <c r="AA1054" s="80"/>
      <c r="AB1054" s="80"/>
      <c r="AC1054" s="80"/>
      <c r="AD1054" s="80"/>
      <c r="AE1054" s="80"/>
    </row>
    <row r="1055" spans="1:31" x14ac:dyDescent="0.25">
      <c r="A1055" s="76"/>
      <c r="B1055" s="76"/>
      <c r="C1055" s="77"/>
      <c r="D1055" s="78"/>
      <c r="E1055" s="79"/>
      <c r="F1055" s="80"/>
      <c r="G1055" s="78"/>
      <c r="H1055" s="81"/>
      <c r="I1055" s="78"/>
      <c r="J1055" s="78"/>
      <c r="K1055" s="78"/>
      <c r="L1055" s="78"/>
      <c r="M1055" s="81"/>
      <c r="N1055" s="76"/>
      <c r="O1055" s="82"/>
      <c r="P1055" s="80"/>
      <c r="Q1055" s="83"/>
      <c r="R1055" s="80"/>
      <c r="S1055" s="80"/>
      <c r="T1055" s="80"/>
      <c r="U1055" s="83"/>
      <c r="V1055" s="80"/>
      <c r="W1055" s="83"/>
      <c r="X1055" s="80"/>
      <c r="Y1055" s="80"/>
      <c r="Z1055" s="80"/>
      <c r="AA1055" s="80"/>
      <c r="AB1055" s="80"/>
      <c r="AC1055" s="80"/>
      <c r="AD1055" s="80"/>
      <c r="AE1055" s="80"/>
    </row>
    <row r="1056" spans="1:31" x14ac:dyDescent="0.25">
      <c r="A1056" s="76"/>
      <c r="B1056" s="76"/>
      <c r="C1056" s="77"/>
      <c r="D1056" s="78"/>
      <c r="E1056" s="79"/>
      <c r="F1056" s="80"/>
      <c r="G1056" s="78"/>
      <c r="H1056" s="81"/>
      <c r="I1056" s="78"/>
      <c r="J1056" s="78"/>
      <c r="K1056" s="78"/>
      <c r="L1056" s="78"/>
      <c r="M1056" s="81"/>
      <c r="N1056" s="76"/>
      <c r="O1056" s="82"/>
      <c r="P1056" s="80"/>
      <c r="Q1056" s="83"/>
      <c r="R1056" s="80"/>
      <c r="S1056" s="80"/>
      <c r="T1056" s="80"/>
      <c r="U1056" s="83"/>
      <c r="V1056" s="80"/>
      <c r="W1056" s="83"/>
      <c r="X1056" s="80"/>
      <c r="Y1056" s="80"/>
      <c r="Z1056" s="80"/>
      <c r="AA1056" s="80"/>
      <c r="AB1056" s="80"/>
      <c r="AC1056" s="80"/>
      <c r="AD1056" s="80"/>
      <c r="AE1056" s="80"/>
    </row>
    <row r="1057" spans="1:31" x14ac:dyDescent="0.25">
      <c r="A1057" s="76"/>
      <c r="B1057" s="76"/>
      <c r="C1057" s="77"/>
      <c r="D1057" s="78"/>
      <c r="E1057" s="79"/>
      <c r="F1057" s="80"/>
      <c r="G1057" s="78"/>
      <c r="H1057" s="81"/>
      <c r="I1057" s="78"/>
      <c r="J1057" s="78"/>
      <c r="K1057" s="78"/>
      <c r="L1057" s="78"/>
      <c r="M1057" s="81"/>
      <c r="N1057" s="76"/>
      <c r="O1057" s="82"/>
      <c r="P1057" s="80"/>
      <c r="Q1057" s="83"/>
      <c r="R1057" s="80"/>
      <c r="S1057" s="80"/>
      <c r="T1057" s="80"/>
      <c r="U1057" s="83"/>
      <c r="V1057" s="80"/>
      <c r="W1057" s="83"/>
      <c r="X1057" s="80"/>
      <c r="Y1057" s="80"/>
      <c r="Z1057" s="80"/>
      <c r="AA1057" s="80"/>
      <c r="AB1057" s="80"/>
      <c r="AC1057" s="80"/>
      <c r="AD1057" s="80"/>
      <c r="AE1057" s="80"/>
    </row>
    <row r="1058" spans="1:31" x14ac:dyDescent="0.25">
      <c r="A1058" s="76"/>
      <c r="B1058" s="76"/>
      <c r="C1058" s="77"/>
      <c r="D1058" s="78"/>
      <c r="E1058" s="79"/>
      <c r="F1058" s="80"/>
      <c r="G1058" s="78"/>
      <c r="H1058" s="81"/>
      <c r="I1058" s="78"/>
      <c r="J1058" s="78"/>
      <c r="K1058" s="78"/>
      <c r="L1058" s="78"/>
      <c r="M1058" s="81"/>
      <c r="N1058" s="76"/>
      <c r="O1058" s="82"/>
      <c r="P1058" s="80"/>
      <c r="Q1058" s="83"/>
      <c r="R1058" s="80"/>
      <c r="S1058" s="80"/>
      <c r="T1058" s="80"/>
      <c r="U1058" s="83"/>
      <c r="V1058" s="80"/>
      <c r="W1058" s="83"/>
      <c r="X1058" s="80"/>
      <c r="Y1058" s="80"/>
      <c r="Z1058" s="80"/>
      <c r="AA1058" s="80"/>
      <c r="AB1058" s="80"/>
      <c r="AC1058" s="80"/>
      <c r="AD1058" s="80"/>
      <c r="AE1058" s="80"/>
    </row>
    <row r="1059" spans="1:31" x14ac:dyDescent="0.25">
      <c r="A1059" s="76"/>
      <c r="B1059" s="76"/>
      <c r="C1059" s="77"/>
      <c r="D1059" s="78"/>
      <c r="E1059" s="79"/>
      <c r="F1059" s="80"/>
      <c r="G1059" s="78"/>
      <c r="H1059" s="81"/>
      <c r="I1059" s="78"/>
      <c r="J1059" s="78"/>
      <c r="K1059" s="78"/>
      <c r="L1059" s="78"/>
      <c r="M1059" s="81"/>
      <c r="N1059" s="76"/>
      <c r="O1059" s="82"/>
      <c r="P1059" s="80"/>
      <c r="Q1059" s="83"/>
      <c r="R1059" s="80"/>
      <c r="S1059" s="80"/>
      <c r="T1059" s="80"/>
      <c r="U1059" s="83"/>
      <c r="V1059" s="80"/>
      <c r="W1059" s="83"/>
      <c r="X1059" s="80"/>
      <c r="Y1059" s="80"/>
      <c r="Z1059" s="80"/>
      <c r="AA1059" s="80"/>
      <c r="AB1059" s="80"/>
      <c r="AC1059" s="80"/>
      <c r="AD1059" s="80"/>
      <c r="AE1059" s="80"/>
    </row>
    <row r="1060" spans="1:31" x14ac:dyDescent="0.25">
      <c r="A1060" s="76"/>
      <c r="B1060" s="76"/>
      <c r="C1060" s="77"/>
      <c r="D1060" s="78"/>
      <c r="E1060" s="79"/>
      <c r="F1060" s="80"/>
      <c r="G1060" s="78"/>
      <c r="H1060" s="81"/>
      <c r="I1060" s="78"/>
      <c r="J1060" s="78"/>
      <c r="K1060" s="78"/>
      <c r="L1060" s="78"/>
      <c r="M1060" s="81"/>
      <c r="N1060" s="76"/>
      <c r="O1060" s="82"/>
      <c r="P1060" s="80"/>
      <c r="Q1060" s="83"/>
      <c r="R1060" s="80"/>
      <c r="S1060" s="80"/>
      <c r="T1060" s="80"/>
      <c r="U1060" s="83"/>
      <c r="V1060" s="80"/>
      <c r="W1060" s="83"/>
      <c r="X1060" s="80"/>
      <c r="Y1060" s="80"/>
      <c r="Z1060" s="80"/>
      <c r="AA1060" s="80"/>
      <c r="AB1060" s="80"/>
      <c r="AC1060" s="80"/>
      <c r="AD1060" s="80"/>
      <c r="AE1060" s="80"/>
    </row>
    <row r="1061" spans="1:31" x14ac:dyDescent="0.25">
      <c r="A1061" s="76"/>
      <c r="B1061" s="76"/>
      <c r="C1061" s="77"/>
      <c r="D1061" s="78"/>
      <c r="E1061" s="79"/>
      <c r="F1061" s="80"/>
      <c r="G1061" s="78"/>
      <c r="H1061" s="81"/>
      <c r="I1061" s="78"/>
      <c r="J1061" s="78"/>
      <c r="K1061" s="78"/>
      <c r="L1061" s="78"/>
      <c r="M1061" s="81"/>
      <c r="N1061" s="76"/>
      <c r="O1061" s="82"/>
      <c r="P1061" s="80"/>
      <c r="Q1061" s="83"/>
      <c r="R1061" s="80"/>
      <c r="S1061" s="80"/>
      <c r="T1061" s="80"/>
      <c r="U1061" s="83"/>
      <c r="V1061" s="80"/>
      <c r="W1061" s="83"/>
      <c r="X1061" s="80"/>
      <c r="Y1061" s="80"/>
      <c r="Z1061" s="80"/>
      <c r="AA1061" s="80"/>
      <c r="AB1061" s="80"/>
      <c r="AC1061" s="80"/>
      <c r="AD1061" s="80"/>
      <c r="AE1061" s="80"/>
    </row>
    <row r="1062" spans="1:31" x14ac:dyDescent="0.25">
      <c r="A1062" s="76"/>
      <c r="B1062" s="76"/>
      <c r="C1062" s="77"/>
      <c r="D1062" s="78"/>
      <c r="E1062" s="79"/>
      <c r="F1062" s="80"/>
      <c r="G1062" s="78"/>
      <c r="H1062" s="81"/>
      <c r="I1062" s="78"/>
      <c r="J1062" s="78"/>
      <c r="K1062" s="78"/>
      <c r="L1062" s="78"/>
      <c r="M1062" s="81"/>
      <c r="N1062" s="76"/>
      <c r="O1062" s="82"/>
      <c r="P1062" s="80"/>
      <c r="Q1062" s="83"/>
      <c r="R1062" s="80"/>
      <c r="S1062" s="80"/>
      <c r="T1062" s="80"/>
      <c r="U1062" s="83"/>
      <c r="V1062" s="80"/>
      <c r="W1062" s="83"/>
      <c r="X1062" s="80"/>
      <c r="Y1062" s="80"/>
      <c r="Z1062" s="80"/>
      <c r="AA1062" s="80"/>
      <c r="AB1062" s="80"/>
      <c r="AC1062" s="80"/>
      <c r="AD1062" s="80"/>
      <c r="AE1062" s="80"/>
    </row>
    <row r="1063" spans="1:31" x14ac:dyDescent="0.25">
      <c r="A1063" s="76"/>
      <c r="B1063" s="76"/>
      <c r="C1063" s="77"/>
      <c r="D1063" s="78"/>
      <c r="E1063" s="79"/>
      <c r="F1063" s="80"/>
      <c r="G1063" s="78"/>
      <c r="H1063" s="81"/>
      <c r="I1063" s="78"/>
      <c r="J1063" s="78"/>
      <c r="K1063" s="78"/>
      <c r="L1063" s="78"/>
      <c r="M1063" s="81"/>
      <c r="N1063" s="76"/>
      <c r="O1063" s="82"/>
      <c r="P1063" s="80"/>
      <c r="Q1063" s="83"/>
      <c r="R1063" s="80"/>
      <c r="S1063" s="80"/>
      <c r="T1063" s="80"/>
      <c r="U1063" s="83"/>
      <c r="V1063" s="80"/>
      <c r="W1063" s="83"/>
      <c r="X1063" s="80"/>
      <c r="Y1063" s="80"/>
      <c r="Z1063" s="80"/>
      <c r="AA1063" s="80"/>
      <c r="AB1063" s="80"/>
      <c r="AC1063" s="80"/>
      <c r="AD1063" s="80"/>
      <c r="AE1063" s="80"/>
    </row>
    <row r="1064" spans="1:31" x14ac:dyDescent="0.25">
      <c r="A1064" s="76"/>
      <c r="B1064" s="76"/>
      <c r="C1064" s="77"/>
      <c r="D1064" s="78"/>
      <c r="E1064" s="79"/>
      <c r="F1064" s="80"/>
      <c r="G1064" s="78"/>
      <c r="H1064" s="81"/>
      <c r="I1064" s="78"/>
      <c r="J1064" s="78"/>
      <c r="K1064" s="78"/>
      <c r="L1064" s="78"/>
      <c r="M1064" s="81"/>
      <c r="N1064" s="76"/>
      <c r="O1064" s="82"/>
      <c r="P1064" s="80"/>
      <c r="Q1064" s="83"/>
      <c r="R1064" s="80"/>
      <c r="S1064" s="80"/>
      <c r="T1064" s="80"/>
      <c r="U1064" s="83"/>
      <c r="V1064" s="80"/>
      <c r="W1064" s="83"/>
      <c r="X1064" s="80"/>
      <c r="Y1064" s="80"/>
      <c r="Z1064" s="80"/>
      <c r="AA1064" s="80"/>
      <c r="AB1064" s="80"/>
      <c r="AC1064" s="80"/>
      <c r="AD1064" s="80"/>
      <c r="AE1064" s="80"/>
    </row>
    <row r="1065" spans="1:31" x14ac:dyDescent="0.25">
      <c r="A1065" s="76"/>
      <c r="B1065" s="76"/>
      <c r="C1065" s="77"/>
      <c r="D1065" s="78"/>
      <c r="E1065" s="79"/>
      <c r="F1065" s="80"/>
      <c r="G1065" s="78"/>
      <c r="H1065" s="81"/>
      <c r="I1065" s="78"/>
      <c r="J1065" s="78"/>
      <c r="K1065" s="78"/>
      <c r="L1065" s="78"/>
      <c r="M1065" s="81"/>
      <c r="N1065" s="76"/>
      <c r="O1065" s="82"/>
      <c r="P1065" s="80"/>
      <c r="Q1065" s="83"/>
      <c r="R1065" s="80"/>
      <c r="S1065" s="80"/>
      <c r="T1065" s="80"/>
      <c r="U1065" s="83"/>
      <c r="V1065" s="80"/>
      <c r="W1065" s="83"/>
      <c r="X1065" s="80"/>
      <c r="Y1065" s="80"/>
      <c r="Z1065" s="80"/>
      <c r="AA1065" s="80"/>
      <c r="AB1065" s="80"/>
      <c r="AC1065" s="80"/>
      <c r="AD1065" s="80"/>
      <c r="AE1065" s="80"/>
    </row>
    <row r="1066" spans="1:31" x14ac:dyDescent="0.25">
      <c r="A1066" s="76"/>
      <c r="B1066" s="76"/>
      <c r="C1066" s="77"/>
      <c r="D1066" s="78"/>
      <c r="E1066" s="79"/>
      <c r="F1066" s="80"/>
      <c r="G1066" s="78"/>
      <c r="H1066" s="81"/>
      <c r="I1066" s="78"/>
      <c r="J1066" s="78"/>
      <c r="K1066" s="78"/>
      <c r="L1066" s="78"/>
      <c r="M1066" s="81"/>
      <c r="N1066" s="76"/>
      <c r="O1066" s="82"/>
      <c r="P1066" s="80"/>
      <c r="Q1066" s="83"/>
      <c r="R1066" s="80"/>
      <c r="S1066" s="80"/>
      <c r="T1066" s="80"/>
      <c r="U1066" s="83"/>
      <c r="V1066" s="80"/>
      <c r="W1066" s="83"/>
      <c r="X1066" s="80"/>
      <c r="Y1066" s="80"/>
      <c r="Z1066" s="80"/>
      <c r="AA1066" s="80"/>
      <c r="AB1066" s="80"/>
      <c r="AC1066" s="80"/>
      <c r="AD1066" s="80"/>
      <c r="AE1066" s="80"/>
    </row>
    <row r="1067" spans="1:31" x14ac:dyDescent="0.25">
      <c r="A1067" s="76"/>
      <c r="B1067" s="76"/>
      <c r="C1067" s="77"/>
      <c r="D1067" s="78"/>
      <c r="E1067" s="79"/>
      <c r="F1067" s="80"/>
      <c r="G1067" s="78"/>
      <c r="H1067" s="81"/>
      <c r="I1067" s="78"/>
      <c r="J1067" s="78"/>
      <c r="K1067" s="78"/>
      <c r="L1067" s="78"/>
      <c r="M1067" s="81"/>
      <c r="N1067" s="76"/>
      <c r="O1067" s="82"/>
      <c r="P1067" s="80"/>
      <c r="Q1067" s="83"/>
      <c r="R1067" s="80"/>
      <c r="S1067" s="80"/>
      <c r="T1067" s="80"/>
      <c r="U1067" s="83"/>
      <c r="V1067" s="80"/>
      <c r="W1067" s="83"/>
      <c r="X1067" s="80"/>
      <c r="Y1067" s="80"/>
      <c r="Z1067" s="80"/>
      <c r="AA1067" s="80"/>
      <c r="AB1067" s="80"/>
      <c r="AC1067" s="80"/>
      <c r="AD1067" s="80"/>
      <c r="AE1067" s="80"/>
    </row>
    <row r="1068" spans="1:31" x14ac:dyDescent="0.25">
      <c r="A1068" s="76"/>
      <c r="B1068" s="76"/>
      <c r="C1068" s="77"/>
      <c r="D1068" s="78"/>
      <c r="E1068" s="79"/>
      <c r="F1068" s="80"/>
      <c r="G1068" s="78"/>
      <c r="H1068" s="81"/>
      <c r="I1068" s="78"/>
      <c r="J1068" s="78"/>
      <c r="K1068" s="78"/>
      <c r="L1068" s="78"/>
      <c r="M1068" s="81"/>
      <c r="N1068" s="76"/>
      <c r="O1068" s="82"/>
      <c r="P1068" s="80"/>
      <c r="Q1068" s="83"/>
      <c r="R1068" s="80"/>
      <c r="S1068" s="80"/>
      <c r="T1068" s="80"/>
      <c r="U1068" s="83"/>
      <c r="V1068" s="80"/>
      <c r="W1068" s="83"/>
      <c r="X1068" s="80"/>
      <c r="Y1068" s="80"/>
      <c r="Z1068" s="80"/>
      <c r="AA1068" s="80"/>
      <c r="AB1068" s="80"/>
      <c r="AC1068" s="80"/>
      <c r="AD1068" s="80"/>
      <c r="AE1068" s="80"/>
    </row>
    <row r="1069" spans="1:31" x14ac:dyDescent="0.25">
      <c r="A1069" s="76"/>
      <c r="B1069" s="76"/>
      <c r="C1069" s="77"/>
      <c r="D1069" s="78"/>
      <c r="E1069" s="79"/>
      <c r="F1069" s="80"/>
      <c r="G1069" s="78"/>
      <c r="H1069" s="81"/>
      <c r="I1069" s="78"/>
      <c r="J1069" s="78"/>
      <c r="K1069" s="78"/>
      <c r="L1069" s="78"/>
      <c r="M1069" s="81"/>
      <c r="N1069" s="76"/>
      <c r="O1069" s="82"/>
      <c r="P1069" s="80"/>
      <c r="Q1069" s="83"/>
      <c r="R1069" s="80"/>
      <c r="S1069" s="80"/>
      <c r="T1069" s="80"/>
      <c r="U1069" s="83"/>
      <c r="V1069" s="80"/>
      <c r="W1069" s="83"/>
      <c r="X1069" s="80"/>
      <c r="Y1069" s="80"/>
      <c r="Z1069" s="80"/>
      <c r="AA1069" s="80"/>
      <c r="AB1069" s="80"/>
      <c r="AC1069" s="80"/>
      <c r="AD1069" s="80"/>
      <c r="AE1069" s="80"/>
    </row>
  </sheetData>
  <conditionalFormatting sqref="M1">
    <cfRule type="cellIs" dxfId="12" priority="1" operator="equal">
      <formula>"Caracterizado"</formula>
    </cfRule>
    <cfRule type="cellIs" dxfId="11" priority="3" operator="equal">
      <formula>"Encuestado"</formula>
    </cfRule>
    <cfRule type="containsText" dxfId="10" priority="4" operator="containsText" text="Asignado">
      <formula>NOT(ISERROR(SEARCH(("Asignado"),(M1))))</formula>
    </cfRule>
    <cfRule type="containsText" dxfId="9" priority="5" operator="containsText" text="Beneficiario">
      <formula>NOT(ISERROR(SEARCH(("Beneficiario"),(M1))))</formula>
    </cfRule>
  </conditionalFormatting>
  <conditionalFormatting sqref="O1">
    <cfRule type="cellIs" dxfId="8" priority="2" operator="equal">
      <formula>"Alta"</formula>
    </cfRule>
  </conditionalFormatting>
  <dataValidations count="5">
    <dataValidation type="list" allowBlank="1" showErrorMessage="1" sqref="M2:M163 M165:M234" xr:uid="{00000000-0002-0000-0200-000000000000}">
      <formula1>"Caracterizado,Encuestado,Asignado,Preasignado,Inactivo"</formula1>
    </dataValidation>
    <dataValidation type="list" allowBlank="1" showErrorMessage="1" sqref="F2:F163 F165:F234" xr:uid="{00000000-0002-0000-0200-000001000000}">
      <formula1>"La Virgen,Calle Nueva,Colinas de Jerusalén ,La Paz,Cosecheros,Reversadero,Torre 11,Ventanales,Bombillo Rojo,Iglesia San Cirilo,Los Pinos,Guadalupe,Don Osvaldo,La escuelita,Ventanales,La cancha,Don Ramón,Las marraneras,La caballeriza"</formula1>
    </dataValidation>
    <dataValidation type="list" allowBlank="1" showErrorMessage="1" sqref="P2:P163 R2:R163 T2:T163 V2:V163 X2:X163 P165:P234 R165:R234 T165:T234 V165:V234 X165:X234" xr:uid="{00000000-0002-0000-0200-000002000000}">
      <formula1>"Construido,Asignado,No asignable"</formula1>
    </dataValidation>
    <dataValidation type="list" allowBlank="1" showErrorMessage="1" sqref="E2:E163 E165:E234" xr:uid="{00000000-0002-0000-0200-000003000000}">
      <formula1>"Granizal,La Honda,La Nueva Jerusalén"</formula1>
    </dataValidation>
    <dataValidation type="list" allowBlank="1" showErrorMessage="1" sqref="O2:O163 O165:O234" xr:uid="{00000000-0002-0000-0200-000004000000}">
      <formula1>"Alta,Media Baja,Baja,Media Alta,Sin definir,1,2,3"</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Z98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6" customWidth="1"/>
    <col min="2" max="2" width="15.42578125" customWidth="1"/>
    <col min="3" max="3" width="17.7109375" customWidth="1"/>
    <col min="4" max="4" width="18.28515625" customWidth="1"/>
    <col min="10" max="10" width="14" customWidth="1"/>
    <col min="11" max="11" width="14.42578125" customWidth="1"/>
    <col min="12" max="12" width="13.85546875" customWidth="1"/>
    <col min="13" max="13" width="19.140625" customWidth="1"/>
    <col min="14" max="14" width="30.7109375" customWidth="1"/>
    <col min="18" max="18" width="16.140625" customWidth="1"/>
    <col min="21" max="24" width="32.85546875" customWidth="1"/>
    <col min="25" max="25" width="25" customWidth="1"/>
  </cols>
  <sheetData>
    <row r="1" spans="1:26" ht="45" x14ac:dyDescent="0.2">
      <c r="A1" s="86" t="s">
        <v>2585</v>
      </c>
      <c r="B1" s="86" t="s">
        <v>2581</v>
      </c>
      <c r="C1" s="86" t="s">
        <v>2594</v>
      </c>
      <c r="D1" s="86" t="s">
        <v>3186</v>
      </c>
      <c r="E1" s="86" t="s">
        <v>3187</v>
      </c>
      <c r="F1" s="86" t="s">
        <v>3188</v>
      </c>
      <c r="G1" s="86" t="s">
        <v>3189</v>
      </c>
      <c r="H1" s="86" t="s">
        <v>3190</v>
      </c>
      <c r="I1" s="86" t="s">
        <v>2583</v>
      </c>
      <c r="J1" s="86" t="s">
        <v>2584</v>
      </c>
      <c r="K1" s="86" t="s">
        <v>2588</v>
      </c>
      <c r="L1" s="87" t="s">
        <v>2589</v>
      </c>
      <c r="M1" s="86" t="s">
        <v>2586</v>
      </c>
      <c r="N1" s="86" t="s">
        <v>2587</v>
      </c>
      <c r="O1" s="86" t="s">
        <v>3191</v>
      </c>
      <c r="P1" s="86" t="s">
        <v>3192</v>
      </c>
      <c r="Q1" s="86" t="s">
        <v>3193</v>
      </c>
      <c r="R1" s="86" t="s">
        <v>3194</v>
      </c>
      <c r="S1" s="88" t="s">
        <v>3195</v>
      </c>
      <c r="T1" s="86" t="s">
        <v>2593</v>
      </c>
      <c r="U1" s="86" t="s">
        <v>3196</v>
      </c>
      <c r="V1" s="86" t="s">
        <v>3197</v>
      </c>
      <c r="W1" s="86" t="s">
        <v>3198</v>
      </c>
      <c r="X1" s="86" t="s">
        <v>3199</v>
      </c>
      <c r="Y1" s="86" t="s">
        <v>3200</v>
      </c>
    </row>
    <row r="2" spans="1:26" ht="41.25" customHeight="1" x14ac:dyDescent="0.2">
      <c r="A2" s="89" t="s">
        <v>493</v>
      </c>
      <c r="B2" s="90"/>
      <c r="C2" s="91"/>
      <c r="D2" s="92">
        <v>44429</v>
      </c>
      <c r="E2" s="93" t="s">
        <v>3201</v>
      </c>
      <c r="F2" s="93" t="s">
        <v>3202</v>
      </c>
      <c r="G2" s="93" t="s">
        <v>3203</v>
      </c>
      <c r="H2" s="93"/>
      <c r="I2" s="94"/>
      <c r="J2" s="95"/>
      <c r="K2" s="93"/>
      <c r="L2" s="96"/>
      <c r="M2" s="93"/>
      <c r="N2" s="93"/>
      <c r="O2" s="97"/>
      <c r="P2" s="97"/>
      <c r="Q2" s="97"/>
      <c r="R2" s="98" t="s">
        <v>3204</v>
      </c>
      <c r="S2" s="97"/>
      <c r="T2" s="93" t="s">
        <v>2646</v>
      </c>
      <c r="U2" s="91" t="s">
        <v>3205</v>
      </c>
      <c r="V2" s="99"/>
      <c r="W2" s="99"/>
      <c r="X2" s="91"/>
      <c r="Y2" s="91" t="s">
        <v>3206</v>
      </c>
    </row>
    <row r="3" spans="1:26" ht="41.25" hidden="1" customHeight="1" x14ac:dyDescent="0.2">
      <c r="A3" s="89" t="s">
        <v>493</v>
      </c>
      <c r="B3" s="90">
        <v>44703</v>
      </c>
      <c r="C3" s="99"/>
      <c r="D3" s="91"/>
      <c r="E3" s="93" t="s">
        <v>2924</v>
      </c>
      <c r="F3" s="93" t="s">
        <v>3207</v>
      </c>
      <c r="G3" s="93" t="s">
        <v>3208</v>
      </c>
      <c r="H3" s="93"/>
      <c r="I3" s="94"/>
      <c r="J3" s="95">
        <v>3045984463</v>
      </c>
      <c r="K3" s="93"/>
      <c r="L3" s="96"/>
      <c r="M3" s="93" t="s">
        <v>656</v>
      </c>
      <c r="N3" s="93" t="s">
        <v>744</v>
      </c>
      <c r="O3" s="97"/>
      <c r="P3" s="97"/>
      <c r="Q3" s="97"/>
      <c r="R3" s="98" t="s">
        <v>3209</v>
      </c>
      <c r="S3" s="97" t="s">
        <v>2841</v>
      </c>
      <c r="T3" s="93" t="s">
        <v>2613</v>
      </c>
      <c r="U3" s="91" t="s">
        <v>3210</v>
      </c>
      <c r="V3" s="99"/>
      <c r="W3" s="99"/>
      <c r="X3" s="91"/>
      <c r="Y3" s="91" t="s">
        <v>3211</v>
      </c>
    </row>
    <row r="4" spans="1:26" ht="41.25" hidden="1" customHeight="1" x14ac:dyDescent="0.2">
      <c r="A4" s="89" t="s">
        <v>493</v>
      </c>
      <c r="B4" s="90">
        <v>44703</v>
      </c>
      <c r="C4" s="99"/>
      <c r="D4" s="91"/>
      <c r="E4" s="93" t="s">
        <v>3212</v>
      </c>
      <c r="F4" s="93"/>
      <c r="G4" s="93" t="s">
        <v>3203</v>
      </c>
      <c r="H4" s="93"/>
      <c r="I4" s="94"/>
      <c r="J4" s="95">
        <v>3027416506</v>
      </c>
      <c r="K4" s="93"/>
      <c r="L4" s="96"/>
      <c r="M4" s="93" t="s">
        <v>656</v>
      </c>
      <c r="N4" s="93" t="s">
        <v>656</v>
      </c>
      <c r="O4" s="97"/>
      <c r="P4" s="97"/>
      <c r="Q4" s="97"/>
      <c r="R4" s="98" t="s">
        <v>3209</v>
      </c>
      <c r="S4" s="97" t="s">
        <v>2841</v>
      </c>
      <c r="T4" s="93" t="s">
        <v>2613</v>
      </c>
      <c r="U4" s="91" t="s">
        <v>755</v>
      </c>
      <c r="V4" s="99" t="s">
        <v>3213</v>
      </c>
      <c r="W4" s="99"/>
      <c r="X4" s="91"/>
      <c r="Y4" s="91" t="s">
        <v>3211</v>
      </c>
      <c r="Z4" s="100"/>
    </row>
    <row r="5" spans="1:26" ht="41.25" hidden="1" customHeight="1" x14ac:dyDescent="0.2">
      <c r="A5" s="89" t="s">
        <v>493</v>
      </c>
      <c r="B5" s="90">
        <v>44765</v>
      </c>
      <c r="C5" s="99"/>
      <c r="D5" s="99"/>
      <c r="E5" s="93" t="s">
        <v>3214</v>
      </c>
      <c r="F5" s="93" t="s">
        <v>3215</v>
      </c>
      <c r="G5" s="93" t="s">
        <v>3216</v>
      </c>
      <c r="H5" s="93"/>
      <c r="I5" s="94"/>
      <c r="J5" s="95">
        <v>3235849116</v>
      </c>
      <c r="K5" s="93" t="s">
        <v>3009</v>
      </c>
      <c r="L5" s="96">
        <v>3226590339</v>
      </c>
      <c r="M5" s="93" t="s">
        <v>656</v>
      </c>
      <c r="N5" s="93" t="s">
        <v>606</v>
      </c>
      <c r="O5" s="97"/>
      <c r="P5" s="97"/>
      <c r="Q5" s="97"/>
      <c r="R5" s="98" t="s">
        <v>3209</v>
      </c>
      <c r="S5" s="97" t="s">
        <v>2841</v>
      </c>
      <c r="T5" s="93" t="s">
        <v>2613</v>
      </c>
      <c r="U5" s="91"/>
      <c r="V5" s="99"/>
      <c r="W5" s="99"/>
      <c r="X5" s="91" t="s">
        <v>3217</v>
      </c>
      <c r="Y5" s="91" t="s">
        <v>3206</v>
      </c>
    </row>
    <row r="6" spans="1:26" ht="41.25" hidden="1" customHeight="1" x14ac:dyDescent="0.2">
      <c r="A6" s="89" t="s">
        <v>493</v>
      </c>
      <c r="B6" s="90">
        <v>44765</v>
      </c>
      <c r="C6" s="99"/>
      <c r="D6" s="99"/>
      <c r="E6" s="93" t="s">
        <v>3050</v>
      </c>
      <c r="F6" s="93"/>
      <c r="G6" s="93"/>
      <c r="H6" s="93"/>
      <c r="I6" s="94"/>
      <c r="J6" s="95">
        <v>3016699775</v>
      </c>
      <c r="K6" s="93"/>
      <c r="L6" s="96"/>
      <c r="M6" s="93" t="s">
        <v>656</v>
      </c>
      <c r="N6" s="93" t="s">
        <v>3218</v>
      </c>
      <c r="O6" s="97"/>
      <c r="P6" s="97"/>
      <c r="Q6" s="97"/>
      <c r="R6" s="98" t="s">
        <v>3209</v>
      </c>
      <c r="S6" s="97" t="s">
        <v>2841</v>
      </c>
      <c r="T6" s="93" t="s">
        <v>2613</v>
      </c>
      <c r="U6" s="91"/>
      <c r="V6" s="99"/>
      <c r="W6" s="99"/>
      <c r="X6" s="91"/>
      <c r="Y6" s="91" t="s">
        <v>3206</v>
      </c>
    </row>
    <row r="7" spans="1:26" ht="41.25" hidden="1" customHeight="1" x14ac:dyDescent="0.2">
      <c r="A7" s="89" t="s">
        <v>493</v>
      </c>
      <c r="B7" s="90">
        <v>44772</v>
      </c>
      <c r="C7" s="99"/>
      <c r="D7" s="99"/>
      <c r="E7" s="93" t="s">
        <v>2924</v>
      </c>
      <c r="F7" s="93"/>
      <c r="G7" s="93"/>
      <c r="H7" s="93"/>
      <c r="I7" s="94"/>
      <c r="J7" s="95">
        <v>3216396747</v>
      </c>
      <c r="K7" s="93"/>
      <c r="L7" s="96"/>
      <c r="M7" s="93" t="s">
        <v>656</v>
      </c>
      <c r="N7" s="93" t="s">
        <v>3218</v>
      </c>
      <c r="O7" s="97"/>
      <c r="P7" s="97"/>
      <c r="Q7" s="97"/>
      <c r="R7" s="98" t="s">
        <v>3209</v>
      </c>
      <c r="S7" s="97" t="s">
        <v>2841</v>
      </c>
      <c r="T7" s="93" t="s">
        <v>2613</v>
      </c>
      <c r="U7" s="91"/>
      <c r="V7" s="99"/>
      <c r="W7" s="99"/>
      <c r="X7" s="91"/>
      <c r="Y7" s="91" t="s">
        <v>3206</v>
      </c>
    </row>
    <row r="8" spans="1:26" ht="41.25" hidden="1" customHeight="1" x14ac:dyDescent="0.2">
      <c r="A8" s="89" t="s">
        <v>493</v>
      </c>
      <c r="B8" s="90">
        <v>44772</v>
      </c>
      <c r="C8" s="99"/>
      <c r="D8" s="99"/>
      <c r="E8" s="93" t="s">
        <v>3219</v>
      </c>
      <c r="F8" s="93"/>
      <c r="G8" s="93" t="s">
        <v>3220</v>
      </c>
      <c r="H8" s="93"/>
      <c r="I8" s="94"/>
      <c r="J8" s="95">
        <v>3148211852</v>
      </c>
      <c r="K8" s="93" t="s">
        <v>3032</v>
      </c>
      <c r="L8" s="96">
        <v>3148211852</v>
      </c>
      <c r="M8" s="93" t="s">
        <v>1039</v>
      </c>
      <c r="N8" s="93" t="s">
        <v>1039</v>
      </c>
      <c r="O8" s="97"/>
      <c r="P8" s="97"/>
      <c r="Q8" s="97"/>
      <c r="R8" s="98" t="s">
        <v>3209</v>
      </c>
      <c r="S8" s="97" t="s">
        <v>2841</v>
      </c>
      <c r="T8" s="93" t="s">
        <v>2613</v>
      </c>
      <c r="U8" s="91"/>
      <c r="V8" s="99"/>
      <c r="W8" s="99"/>
      <c r="X8" s="91"/>
      <c r="Y8" s="91" t="s">
        <v>3206</v>
      </c>
    </row>
    <row r="9" spans="1:26" ht="41.25" hidden="1" customHeight="1" x14ac:dyDescent="0.2">
      <c r="A9" s="89" t="s">
        <v>493</v>
      </c>
      <c r="B9" s="90">
        <v>44779</v>
      </c>
      <c r="C9" s="99"/>
      <c r="D9" s="99"/>
      <c r="E9" s="93" t="s">
        <v>3221</v>
      </c>
      <c r="F9" s="93" t="s">
        <v>3222</v>
      </c>
      <c r="G9" s="93" t="s">
        <v>3223</v>
      </c>
      <c r="H9" s="93"/>
      <c r="I9" s="94"/>
      <c r="J9" s="95">
        <v>3216071362</v>
      </c>
      <c r="K9" s="93" t="s">
        <v>750</v>
      </c>
      <c r="L9" s="96">
        <v>3136008255</v>
      </c>
      <c r="M9" s="93" t="s">
        <v>748</v>
      </c>
      <c r="N9" s="93" t="s">
        <v>748</v>
      </c>
      <c r="O9" s="97"/>
      <c r="P9" s="97"/>
      <c r="Q9" s="97"/>
      <c r="R9" s="98" t="s">
        <v>3209</v>
      </c>
      <c r="S9" s="97" t="s">
        <v>2841</v>
      </c>
      <c r="T9" s="93" t="s">
        <v>2613</v>
      </c>
      <c r="U9" s="91" t="s">
        <v>3224</v>
      </c>
      <c r="V9" s="99" t="s">
        <v>3225</v>
      </c>
      <c r="W9" s="99"/>
      <c r="X9" s="91"/>
      <c r="Y9" s="91" t="s">
        <v>3206</v>
      </c>
    </row>
    <row r="10" spans="1:26" ht="41.25" hidden="1" customHeight="1" x14ac:dyDescent="0.2">
      <c r="A10" s="89" t="s">
        <v>493</v>
      </c>
      <c r="B10" s="90">
        <v>44779</v>
      </c>
      <c r="C10" s="99"/>
      <c r="D10" s="99"/>
      <c r="E10" s="93" t="s">
        <v>3226</v>
      </c>
      <c r="F10" s="93" t="s">
        <v>3227</v>
      </c>
      <c r="G10" s="93" t="s">
        <v>3228</v>
      </c>
      <c r="H10" s="93"/>
      <c r="I10" s="94"/>
      <c r="J10" s="95">
        <v>3007378377</v>
      </c>
      <c r="K10" s="93"/>
      <c r="L10" s="96">
        <v>3246296014</v>
      </c>
      <c r="M10" s="93" t="s">
        <v>164</v>
      </c>
      <c r="N10" s="93"/>
      <c r="O10" s="97"/>
      <c r="P10" s="97"/>
      <c r="Q10" s="97"/>
      <c r="R10" s="98" t="s">
        <v>3209</v>
      </c>
      <c r="S10" s="97" t="s">
        <v>2841</v>
      </c>
      <c r="T10" s="93" t="s">
        <v>2613</v>
      </c>
      <c r="U10" s="91"/>
      <c r="V10" s="99"/>
      <c r="W10" s="99"/>
      <c r="X10" s="91"/>
      <c r="Y10" s="91" t="s">
        <v>3206</v>
      </c>
    </row>
    <row r="11" spans="1:26" ht="41.25" hidden="1" customHeight="1" x14ac:dyDescent="0.2">
      <c r="A11" s="89" t="s">
        <v>493</v>
      </c>
      <c r="B11" s="90">
        <v>44779</v>
      </c>
      <c r="C11" s="99"/>
      <c r="D11" s="99"/>
      <c r="E11" s="93" t="s">
        <v>3229</v>
      </c>
      <c r="F11" s="93" t="s">
        <v>3230</v>
      </c>
      <c r="G11" s="93" t="s">
        <v>3231</v>
      </c>
      <c r="H11" s="93"/>
      <c r="I11" s="94"/>
      <c r="J11" s="95">
        <v>3017229877</v>
      </c>
      <c r="K11" s="93"/>
      <c r="L11" s="96"/>
      <c r="M11" s="93" t="s">
        <v>656</v>
      </c>
      <c r="N11" s="93" t="s">
        <v>656</v>
      </c>
      <c r="O11" s="97"/>
      <c r="P11" s="97"/>
      <c r="Q11" s="97"/>
      <c r="R11" s="98" t="s">
        <v>3209</v>
      </c>
      <c r="S11" s="97" t="s">
        <v>2841</v>
      </c>
      <c r="T11" s="93" t="s">
        <v>2613</v>
      </c>
      <c r="U11" s="91"/>
      <c r="V11" s="99"/>
      <c r="W11" s="99"/>
      <c r="X11" s="91" t="s">
        <v>765</v>
      </c>
      <c r="Y11" s="91" t="s">
        <v>3206</v>
      </c>
    </row>
    <row r="12" spans="1:26" ht="41.25" hidden="1" customHeight="1" x14ac:dyDescent="0.2">
      <c r="A12" s="89" t="s">
        <v>493</v>
      </c>
      <c r="B12" s="90">
        <v>44779</v>
      </c>
      <c r="C12" s="99"/>
      <c r="D12" s="99"/>
      <c r="E12" s="93" t="s">
        <v>3232</v>
      </c>
      <c r="F12" s="93"/>
      <c r="G12" s="93" t="s">
        <v>3233</v>
      </c>
      <c r="H12" s="93" t="s">
        <v>3234</v>
      </c>
      <c r="I12" s="94">
        <v>21847384</v>
      </c>
      <c r="J12" s="95">
        <v>3177949473</v>
      </c>
      <c r="K12" s="93" t="s">
        <v>731</v>
      </c>
      <c r="L12" s="96">
        <v>3145420762</v>
      </c>
      <c r="M12" s="93" t="s">
        <v>613</v>
      </c>
      <c r="N12" s="93" t="s">
        <v>613</v>
      </c>
      <c r="O12" s="97"/>
      <c r="P12" s="97"/>
      <c r="Q12" s="97"/>
      <c r="R12" s="98" t="s">
        <v>3209</v>
      </c>
      <c r="S12" s="97" t="s">
        <v>2841</v>
      </c>
      <c r="T12" s="93" t="s">
        <v>2613</v>
      </c>
      <c r="U12" s="91" t="s">
        <v>734</v>
      </c>
      <c r="V12" s="99"/>
      <c r="W12" s="99"/>
      <c r="X12" s="91"/>
      <c r="Y12" s="91" t="s">
        <v>3206</v>
      </c>
    </row>
    <row r="13" spans="1:26" ht="41.25" hidden="1" customHeight="1" x14ac:dyDescent="0.2">
      <c r="A13" s="89" t="s">
        <v>493</v>
      </c>
      <c r="B13" s="90">
        <v>44779</v>
      </c>
      <c r="C13" s="99"/>
      <c r="D13" s="99"/>
      <c r="E13" s="93" t="s">
        <v>3235</v>
      </c>
      <c r="F13" s="93"/>
      <c r="G13" s="93" t="s">
        <v>3236</v>
      </c>
      <c r="H13" s="93"/>
      <c r="I13" s="94"/>
      <c r="J13" s="95">
        <v>3113143037</v>
      </c>
      <c r="K13" s="93"/>
      <c r="L13" s="96"/>
      <c r="M13" s="93" t="s">
        <v>3237</v>
      </c>
      <c r="N13" s="93" t="s">
        <v>3237</v>
      </c>
      <c r="O13" s="97"/>
      <c r="P13" s="97"/>
      <c r="Q13" s="97"/>
      <c r="R13" s="98" t="s">
        <v>3209</v>
      </c>
      <c r="S13" s="97" t="s">
        <v>2838</v>
      </c>
      <c r="T13" s="93" t="s">
        <v>2613</v>
      </c>
      <c r="U13" s="91" t="s">
        <v>3238</v>
      </c>
      <c r="V13" s="99"/>
      <c r="W13" s="99"/>
      <c r="X13" s="91" t="s">
        <v>2993</v>
      </c>
      <c r="Y13" s="91" t="s">
        <v>3206</v>
      </c>
    </row>
    <row r="14" spans="1:26" ht="41.25" hidden="1" customHeight="1" x14ac:dyDescent="0.2">
      <c r="A14" s="89" t="s">
        <v>493</v>
      </c>
      <c r="B14" s="90">
        <v>44780</v>
      </c>
      <c r="C14" s="99"/>
      <c r="D14" s="99"/>
      <c r="E14" s="93" t="s">
        <v>3239</v>
      </c>
      <c r="F14" s="93"/>
      <c r="G14" s="93" t="s">
        <v>3240</v>
      </c>
      <c r="H14" s="93"/>
      <c r="I14" s="94"/>
      <c r="J14" s="95"/>
      <c r="K14" s="93" t="s">
        <v>2952</v>
      </c>
      <c r="L14" s="96">
        <v>3015859727</v>
      </c>
      <c r="M14" s="93"/>
      <c r="N14" s="93"/>
      <c r="O14" s="97"/>
      <c r="P14" s="97"/>
      <c r="Q14" s="97"/>
      <c r="R14" s="98" t="s">
        <v>3209</v>
      </c>
      <c r="S14" s="97" t="s">
        <v>2838</v>
      </c>
      <c r="T14" s="93" t="s">
        <v>2613</v>
      </c>
      <c r="U14" s="91"/>
      <c r="V14" s="99"/>
      <c r="W14" s="99"/>
      <c r="X14" s="91"/>
      <c r="Y14" s="91" t="s">
        <v>3206</v>
      </c>
    </row>
    <row r="15" spans="1:26" ht="41.25" hidden="1" customHeight="1" x14ac:dyDescent="0.2">
      <c r="A15" s="89" t="s">
        <v>493</v>
      </c>
      <c r="B15" s="90">
        <v>44782</v>
      </c>
      <c r="C15" s="99"/>
      <c r="D15" s="101"/>
      <c r="E15" s="93" t="s">
        <v>3241</v>
      </c>
      <c r="F15" s="93"/>
      <c r="G15" s="93" t="s">
        <v>3242</v>
      </c>
      <c r="H15" s="93"/>
      <c r="I15" s="94"/>
      <c r="J15" s="95"/>
      <c r="K15" s="93" t="s">
        <v>601</v>
      </c>
      <c r="L15" s="96">
        <v>3104550523</v>
      </c>
      <c r="M15" s="93" t="s">
        <v>598</v>
      </c>
      <c r="N15" s="93" t="s">
        <v>598</v>
      </c>
      <c r="O15" s="97"/>
      <c r="P15" s="97"/>
      <c r="Q15" s="97"/>
      <c r="R15" s="98" t="s">
        <v>3209</v>
      </c>
      <c r="S15" s="97" t="s">
        <v>2841</v>
      </c>
      <c r="T15" s="93" t="s">
        <v>2613</v>
      </c>
      <c r="U15" s="91" t="s">
        <v>3243</v>
      </c>
      <c r="V15" s="99"/>
      <c r="W15" s="99"/>
      <c r="X15" s="91"/>
      <c r="Y15" s="91" t="s">
        <v>3244</v>
      </c>
    </row>
    <row r="16" spans="1:26" ht="41.25" hidden="1" customHeight="1" x14ac:dyDescent="0.2">
      <c r="A16" s="89" t="s">
        <v>493</v>
      </c>
      <c r="B16" s="90">
        <v>44836</v>
      </c>
      <c r="C16" s="99"/>
      <c r="D16" s="99"/>
      <c r="E16" s="93" t="s">
        <v>3245</v>
      </c>
      <c r="F16" s="93" t="s">
        <v>3246</v>
      </c>
      <c r="G16" s="93" t="s">
        <v>3247</v>
      </c>
      <c r="H16" s="93"/>
      <c r="I16" s="94"/>
      <c r="J16" s="95">
        <v>3164956539</v>
      </c>
      <c r="K16" s="93" t="s">
        <v>447</v>
      </c>
      <c r="L16" s="96">
        <v>3209075217</v>
      </c>
      <c r="M16" s="93" t="s">
        <v>2128</v>
      </c>
      <c r="N16" s="93" t="s">
        <v>2128</v>
      </c>
      <c r="O16" s="97"/>
      <c r="P16" s="97"/>
      <c r="Q16" s="97"/>
      <c r="R16" s="98" t="s">
        <v>2648</v>
      </c>
      <c r="S16" s="97" t="s">
        <v>2841</v>
      </c>
      <c r="T16" s="93" t="s">
        <v>2613</v>
      </c>
      <c r="U16" s="91" t="s">
        <v>3248</v>
      </c>
      <c r="V16" s="99"/>
      <c r="W16" s="99"/>
      <c r="X16" s="91"/>
      <c r="Y16" s="91" t="s">
        <v>3206</v>
      </c>
    </row>
    <row r="17" spans="1:25" ht="41.25" hidden="1" customHeight="1" x14ac:dyDescent="0.2">
      <c r="A17" s="89" t="s">
        <v>493</v>
      </c>
      <c r="B17" s="90">
        <v>44863</v>
      </c>
      <c r="C17" s="99"/>
      <c r="D17" s="99"/>
      <c r="E17" s="93" t="s">
        <v>3249</v>
      </c>
      <c r="F17" s="93" t="s">
        <v>3250</v>
      </c>
      <c r="G17" s="93" t="s">
        <v>3251</v>
      </c>
      <c r="H17" s="93"/>
      <c r="I17" s="94"/>
      <c r="J17" s="95">
        <v>3012846786</v>
      </c>
      <c r="K17" s="93" t="s">
        <v>505</v>
      </c>
      <c r="L17" s="96">
        <v>3124223154</v>
      </c>
      <c r="M17" s="93" t="s">
        <v>656</v>
      </c>
      <c r="N17" s="93" t="s">
        <v>503</v>
      </c>
      <c r="O17" s="97"/>
      <c r="P17" s="97"/>
      <c r="Q17" s="97"/>
      <c r="R17" s="98" t="s">
        <v>3209</v>
      </c>
      <c r="S17" s="97" t="s">
        <v>2848</v>
      </c>
      <c r="T17" s="93" t="s">
        <v>2613</v>
      </c>
      <c r="U17" s="91"/>
      <c r="V17" s="99"/>
      <c r="W17" s="99"/>
      <c r="X17" s="91" t="s">
        <v>511</v>
      </c>
      <c r="Y17" s="91" t="s">
        <v>3206</v>
      </c>
    </row>
    <row r="18" spans="1:25" ht="41.25" hidden="1" customHeight="1" x14ac:dyDescent="0.2">
      <c r="A18" s="89" t="s">
        <v>493</v>
      </c>
      <c r="B18" s="90">
        <v>44863</v>
      </c>
      <c r="C18" s="99"/>
      <c r="D18" s="99"/>
      <c r="E18" s="93" t="s">
        <v>3252</v>
      </c>
      <c r="F18" s="93" t="s">
        <v>3253</v>
      </c>
      <c r="G18" s="93" t="s">
        <v>3247</v>
      </c>
      <c r="H18" s="93"/>
      <c r="I18" s="94"/>
      <c r="J18" s="95">
        <v>3236069901</v>
      </c>
      <c r="K18" s="93" t="s">
        <v>635</v>
      </c>
      <c r="L18" s="96">
        <v>3145830260</v>
      </c>
      <c r="M18" s="93" t="s">
        <v>633</v>
      </c>
      <c r="N18" s="93" t="s">
        <v>633</v>
      </c>
      <c r="O18" s="97"/>
      <c r="P18" s="97"/>
      <c r="Q18" s="97"/>
      <c r="R18" s="98" t="s">
        <v>3209</v>
      </c>
      <c r="S18" s="97" t="s">
        <v>2841</v>
      </c>
      <c r="T18" s="93" t="s">
        <v>2613</v>
      </c>
      <c r="U18" s="91"/>
      <c r="V18" s="99"/>
      <c r="W18" s="99"/>
      <c r="X18" s="91" t="s">
        <v>2921</v>
      </c>
      <c r="Y18" s="91" t="s">
        <v>3206</v>
      </c>
    </row>
    <row r="19" spans="1:25" ht="41.25" hidden="1" customHeight="1" x14ac:dyDescent="0.2">
      <c r="A19" s="89" t="s">
        <v>493</v>
      </c>
      <c r="B19" s="90">
        <v>44969</v>
      </c>
      <c r="C19" s="99"/>
      <c r="D19" s="99"/>
      <c r="E19" s="93" t="s">
        <v>3254</v>
      </c>
      <c r="F19" s="93" t="s">
        <v>3255</v>
      </c>
      <c r="G19" s="93" t="s">
        <v>3256</v>
      </c>
      <c r="H19" s="93"/>
      <c r="I19" s="94"/>
      <c r="J19" s="95">
        <v>3025490535</v>
      </c>
      <c r="K19" s="93" t="s">
        <v>803</v>
      </c>
      <c r="L19" s="96">
        <v>3242267000</v>
      </c>
      <c r="M19" s="93" t="s">
        <v>801</v>
      </c>
      <c r="N19" s="93"/>
      <c r="O19" s="97"/>
      <c r="P19" s="97"/>
      <c r="Q19" s="97"/>
      <c r="R19" s="98" t="s">
        <v>3209</v>
      </c>
      <c r="S19" s="97" t="s">
        <v>2841</v>
      </c>
      <c r="T19" s="93" t="s">
        <v>2613</v>
      </c>
      <c r="U19" s="91"/>
      <c r="V19" s="99"/>
      <c r="W19" s="99"/>
      <c r="X19" s="91"/>
      <c r="Y19" s="91" t="s">
        <v>3206</v>
      </c>
    </row>
    <row r="20" spans="1:25" ht="41.25" hidden="1" customHeight="1" x14ac:dyDescent="0.2">
      <c r="A20" s="89" t="s">
        <v>493</v>
      </c>
      <c r="B20" s="90">
        <v>44969</v>
      </c>
      <c r="C20" s="99"/>
      <c r="D20" s="99"/>
      <c r="E20" s="93" t="s">
        <v>3257</v>
      </c>
      <c r="F20" s="93"/>
      <c r="G20" s="93" t="s">
        <v>3258</v>
      </c>
      <c r="H20" s="93"/>
      <c r="I20" s="94"/>
      <c r="J20" s="95">
        <v>3225383400</v>
      </c>
      <c r="K20" s="93"/>
      <c r="L20" s="96"/>
      <c r="M20" s="93" t="s">
        <v>1039</v>
      </c>
      <c r="N20" s="93"/>
      <c r="O20" s="97"/>
      <c r="P20" s="97"/>
      <c r="Q20" s="97"/>
      <c r="R20" s="98" t="s">
        <v>3209</v>
      </c>
      <c r="S20" s="97" t="s">
        <v>2841</v>
      </c>
      <c r="T20" s="93" t="s">
        <v>2613</v>
      </c>
      <c r="U20" s="91" t="s">
        <v>3259</v>
      </c>
      <c r="V20" s="99"/>
      <c r="W20" s="99"/>
      <c r="X20" s="91" t="s">
        <v>2959</v>
      </c>
      <c r="Y20" s="91" t="s">
        <v>3206</v>
      </c>
    </row>
    <row r="21" spans="1:25" ht="41.25" hidden="1" customHeight="1" x14ac:dyDescent="0.2">
      <c r="A21" s="89" t="s">
        <v>493</v>
      </c>
      <c r="B21" s="90">
        <v>44982</v>
      </c>
      <c r="C21" s="99"/>
      <c r="D21" s="99"/>
      <c r="E21" s="93" t="s">
        <v>3260</v>
      </c>
      <c r="F21" s="93"/>
      <c r="G21" s="93" t="s">
        <v>3261</v>
      </c>
      <c r="H21" s="93"/>
      <c r="I21" s="94"/>
      <c r="J21" s="95">
        <v>3015474607</v>
      </c>
      <c r="K21" s="93"/>
      <c r="L21" s="96"/>
      <c r="M21" s="93" t="s">
        <v>656</v>
      </c>
      <c r="N21" s="93" t="s">
        <v>3262</v>
      </c>
      <c r="O21" s="97"/>
      <c r="P21" s="97"/>
      <c r="Q21" s="97"/>
      <c r="R21" s="98" t="s">
        <v>2648</v>
      </c>
      <c r="S21" s="97" t="s">
        <v>2841</v>
      </c>
      <c r="T21" s="93" t="s">
        <v>2613</v>
      </c>
      <c r="U21" s="91" t="s">
        <v>3263</v>
      </c>
      <c r="V21" s="99" t="s">
        <v>3264</v>
      </c>
      <c r="W21" s="99"/>
      <c r="X21" s="91"/>
      <c r="Y21" s="91" t="s">
        <v>3244</v>
      </c>
    </row>
    <row r="22" spans="1:25" ht="41.25" hidden="1" customHeight="1" x14ac:dyDescent="0.2">
      <c r="A22" s="89" t="s">
        <v>493</v>
      </c>
      <c r="B22" s="90">
        <v>44982</v>
      </c>
      <c r="C22" s="99"/>
      <c r="D22" s="99"/>
      <c r="E22" s="93" t="s">
        <v>3265</v>
      </c>
      <c r="F22" s="93" t="s">
        <v>3266</v>
      </c>
      <c r="G22" s="93" t="s">
        <v>3251</v>
      </c>
      <c r="H22" s="93" t="s">
        <v>3267</v>
      </c>
      <c r="I22" s="94"/>
      <c r="J22" s="95">
        <v>3125973230</v>
      </c>
      <c r="K22" s="93"/>
      <c r="L22" s="96"/>
      <c r="M22" s="93" t="s">
        <v>613</v>
      </c>
      <c r="N22" s="93"/>
      <c r="O22" s="97"/>
      <c r="P22" s="97"/>
      <c r="Q22" s="97"/>
      <c r="R22" s="98" t="s">
        <v>3209</v>
      </c>
      <c r="S22" s="97" t="s">
        <v>2841</v>
      </c>
      <c r="T22" s="93" t="s">
        <v>2613</v>
      </c>
      <c r="U22" s="91" t="s">
        <v>3268</v>
      </c>
      <c r="V22" s="99"/>
      <c r="W22" s="99"/>
      <c r="X22" s="91"/>
      <c r="Y22" s="91" t="s">
        <v>3206</v>
      </c>
    </row>
    <row r="23" spans="1:25" ht="41.25" hidden="1" customHeight="1" x14ac:dyDescent="0.2">
      <c r="A23" s="89" t="s">
        <v>493</v>
      </c>
      <c r="B23" s="90">
        <v>44982</v>
      </c>
      <c r="C23" s="99"/>
      <c r="D23" s="99"/>
      <c r="E23" s="93" t="s">
        <v>3269</v>
      </c>
      <c r="F23" s="93"/>
      <c r="G23" s="93" t="s">
        <v>3270</v>
      </c>
      <c r="H23" s="93"/>
      <c r="I23" s="94"/>
      <c r="J23" s="95">
        <v>3001495140</v>
      </c>
      <c r="K23" s="93"/>
      <c r="L23" s="96"/>
      <c r="M23" s="93" t="s">
        <v>656</v>
      </c>
      <c r="N23" s="93" t="s">
        <v>3262</v>
      </c>
      <c r="O23" s="97"/>
      <c r="P23" s="97"/>
      <c r="Q23" s="97"/>
      <c r="R23" s="98" t="s">
        <v>3209</v>
      </c>
      <c r="S23" s="97" t="s">
        <v>2841</v>
      </c>
      <c r="T23" s="93" t="s">
        <v>2613</v>
      </c>
      <c r="U23" s="91"/>
      <c r="V23" s="99"/>
      <c r="W23" s="99"/>
      <c r="X23" s="91"/>
      <c r="Y23" s="91" t="s">
        <v>3206</v>
      </c>
    </row>
    <row r="24" spans="1:25" ht="41.25" hidden="1" customHeight="1" x14ac:dyDescent="0.2">
      <c r="A24" s="89" t="s">
        <v>493</v>
      </c>
      <c r="B24" s="90">
        <v>44982</v>
      </c>
      <c r="C24" s="99"/>
      <c r="D24" s="99"/>
      <c r="E24" s="93" t="s">
        <v>3271</v>
      </c>
      <c r="F24" s="93"/>
      <c r="G24" s="93" t="s">
        <v>3272</v>
      </c>
      <c r="H24" s="93"/>
      <c r="I24" s="94"/>
      <c r="J24" s="95">
        <v>3207885735</v>
      </c>
      <c r="K24" s="93"/>
      <c r="L24" s="96"/>
      <c r="M24" s="93" t="s">
        <v>613</v>
      </c>
      <c r="N24" s="93"/>
      <c r="O24" s="97"/>
      <c r="P24" s="97"/>
      <c r="Q24" s="97"/>
      <c r="R24" s="98" t="s">
        <v>3209</v>
      </c>
      <c r="S24" s="97" t="s">
        <v>2841</v>
      </c>
      <c r="T24" s="93" t="s">
        <v>2613</v>
      </c>
      <c r="U24" s="91"/>
      <c r="V24" s="99"/>
      <c r="W24" s="99"/>
      <c r="X24" s="91"/>
      <c r="Y24" s="91" t="s">
        <v>3206</v>
      </c>
    </row>
    <row r="25" spans="1:25" ht="41.25" hidden="1" customHeight="1" x14ac:dyDescent="0.2">
      <c r="A25" s="89" t="s">
        <v>493</v>
      </c>
      <c r="B25" s="90">
        <v>44982</v>
      </c>
      <c r="C25" s="99"/>
      <c r="D25" s="99"/>
      <c r="E25" s="93" t="s">
        <v>3273</v>
      </c>
      <c r="F25" s="93"/>
      <c r="G25" s="93" t="s">
        <v>3274</v>
      </c>
      <c r="H25" s="93"/>
      <c r="I25" s="94"/>
      <c r="J25" s="95">
        <v>3116849696</v>
      </c>
      <c r="K25" s="93"/>
      <c r="L25" s="96"/>
      <c r="M25" s="93" t="s">
        <v>3275</v>
      </c>
      <c r="N25" s="93"/>
      <c r="O25" s="97"/>
      <c r="P25" s="97"/>
      <c r="Q25" s="97"/>
      <c r="R25" s="98" t="s">
        <v>3209</v>
      </c>
      <c r="S25" s="97" t="s">
        <v>2841</v>
      </c>
      <c r="T25" s="93" t="s">
        <v>2613</v>
      </c>
      <c r="U25" s="91" t="s">
        <v>3276</v>
      </c>
      <c r="V25" s="99" t="s">
        <v>3277</v>
      </c>
      <c r="W25" s="99"/>
      <c r="X25" s="91"/>
      <c r="Y25" s="91" t="s">
        <v>3206</v>
      </c>
    </row>
    <row r="26" spans="1:25" ht="41.25" hidden="1" customHeight="1" x14ac:dyDescent="0.2">
      <c r="A26" s="89" t="s">
        <v>493</v>
      </c>
      <c r="B26" s="90">
        <v>44992</v>
      </c>
      <c r="C26" s="99"/>
      <c r="D26" s="99"/>
      <c r="E26" s="93" t="s">
        <v>3278</v>
      </c>
      <c r="F26" s="93"/>
      <c r="G26" s="93" t="s">
        <v>3279</v>
      </c>
      <c r="H26" s="93" t="s">
        <v>3280</v>
      </c>
      <c r="I26" s="94"/>
      <c r="J26" s="95">
        <v>3104362003</v>
      </c>
      <c r="K26" s="93" t="s">
        <v>845</v>
      </c>
      <c r="L26" s="96">
        <v>3122665798</v>
      </c>
      <c r="M26" s="93" t="s">
        <v>843</v>
      </c>
      <c r="N26" s="93"/>
      <c r="O26" s="97"/>
      <c r="P26" s="97"/>
      <c r="Q26" s="97"/>
      <c r="R26" s="98" t="s">
        <v>3209</v>
      </c>
      <c r="S26" s="97" t="s">
        <v>2841</v>
      </c>
      <c r="T26" s="93" t="s">
        <v>2613</v>
      </c>
      <c r="U26" s="91"/>
      <c r="V26" s="99"/>
      <c r="W26" s="99"/>
      <c r="X26" s="91" t="s">
        <v>847</v>
      </c>
      <c r="Y26" s="91" t="s">
        <v>3206</v>
      </c>
    </row>
    <row r="27" spans="1:25" ht="41.25" hidden="1" customHeight="1" x14ac:dyDescent="0.2">
      <c r="A27" s="89" t="s">
        <v>493</v>
      </c>
      <c r="B27" s="90">
        <v>45002</v>
      </c>
      <c r="C27" s="99"/>
      <c r="D27" s="99"/>
      <c r="E27" s="93" t="s">
        <v>3281</v>
      </c>
      <c r="F27" s="93"/>
      <c r="G27" s="93" t="s">
        <v>3282</v>
      </c>
      <c r="H27" s="93" t="s">
        <v>3282</v>
      </c>
      <c r="I27" s="94"/>
      <c r="J27" s="95">
        <v>3057875785</v>
      </c>
      <c r="K27" s="93"/>
      <c r="L27" s="96"/>
      <c r="M27" s="93"/>
      <c r="N27" s="93"/>
      <c r="O27" s="97"/>
      <c r="P27" s="97"/>
      <c r="Q27" s="97"/>
      <c r="R27" s="98" t="s">
        <v>3209</v>
      </c>
      <c r="S27" s="97" t="s">
        <v>2841</v>
      </c>
      <c r="T27" s="93" t="s">
        <v>2613</v>
      </c>
      <c r="U27" s="91"/>
      <c r="V27" s="99"/>
      <c r="W27" s="99"/>
      <c r="X27" s="91"/>
      <c r="Y27" s="91" t="s">
        <v>3206</v>
      </c>
    </row>
    <row r="28" spans="1:25" ht="41.25" hidden="1" customHeight="1" x14ac:dyDescent="0.2">
      <c r="A28" s="89" t="s">
        <v>493</v>
      </c>
      <c r="B28" s="90">
        <v>45002</v>
      </c>
      <c r="C28" s="99"/>
      <c r="D28" s="99"/>
      <c r="E28" s="93" t="s">
        <v>3283</v>
      </c>
      <c r="F28" s="93" t="s">
        <v>3284</v>
      </c>
      <c r="G28" s="93" t="s">
        <v>3272</v>
      </c>
      <c r="H28" s="93"/>
      <c r="I28" s="94"/>
      <c r="J28" s="95">
        <v>3053318301</v>
      </c>
      <c r="K28" s="93"/>
      <c r="L28" s="96"/>
      <c r="M28" s="93"/>
      <c r="N28" s="93"/>
      <c r="O28" s="97"/>
      <c r="P28" s="97"/>
      <c r="Q28" s="97"/>
      <c r="R28" s="98" t="s">
        <v>3209</v>
      </c>
      <c r="S28" s="97" t="s">
        <v>2841</v>
      </c>
      <c r="T28" s="93" t="s">
        <v>2613</v>
      </c>
      <c r="U28" s="91"/>
      <c r="V28" s="99"/>
      <c r="W28" s="99"/>
      <c r="X28" s="91"/>
      <c r="Y28" s="91" t="s">
        <v>3206</v>
      </c>
    </row>
    <row r="29" spans="1:25" ht="41.25" hidden="1" customHeight="1" x14ac:dyDescent="0.2">
      <c r="A29" s="89" t="s">
        <v>493</v>
      </c>
      <c r="B29" s="90">
        <v>45017</v>
      </c>
      <c r="C29" s="99"/>
      <c r="D29" s="99"/>
      <c r="E29" s="93" t="s">
        <v>3285</v>
      </c>
      <c r="F29" s="93"/>
      <c r="G29" s="93" t="s">
        <v>3286</v>
      </c>
      <c r="H29" s="93"/>
      <c r="I29" s="94"/>
      <c r="J29" s="95">
        <v>3226809083</v>
      </c>
      <c r="K29" s="93"/>
      <c r="L29" s="96"/>
      <c r="M29" s="93"/>
      <c r="N29" s="93"/>
      <c r="O29" s="97"/>
      <c r="P29" s="97"/>
      <c r="Q29" s="97"/>
      <c r="R29" s="98" t="s">
        <v>3209</v>
      </c>
      <c r="S29" s="97" t="s">
        <v>2841</v>
      </c>
      <c r="T29" s="93" t="s">
        <v>2613</v>
      </c>
      <c r="U29" s="91"/>
      <c r="V29" s="99"/>
      <c r="W29" s="99"/>
      <c r="X29" s="91"/>
      <c r="Y29" s="91" t="s">
        <v>3206</v>
      </c>
    </row>
    <row r="30" spans="1:25" ht="41.25" hidden="1" customHeight="1" x14ac:dyDescent="0.2">
      <c r="A30" s="89" t="s">
        <v>493</v>
      </c>
      <c r="B30" s="90">
        <v>45017</v>
      </c>
      <c r="C30" s="99"/>
      <c r="D30" s="99"/>
      <c r="E30" s="93" t="s">
        <v>3287</v>
      </c>
      <c r="F30" s="93"/>
      <c r="G30" s="93" t="s">
        <v>3288</v>
      </c>
      <c r="H30" s="93"/>
      <c r="I30" s="94"/>
      <c r="J30" s="95">
        <v>3009635672</v>
      </c>
      <c r="K30" s="93"/>
      <c r="L30" s="96"/>
      <c r="M30" s="93"/>
      <c r="N30" s="93"/>
      <c r="O30" s="97"/>
      <c r="P30" s="97"/>
      <c r="Q30" s="97"/>
      <c r="R30" s="98" t="s">
        <v>3209</v>
      </c>
      <c r="S30" s="97" t="s">
        <v>2841</v>
      </c>
      <c r="T30" s="93" t="s">
        <v>2613</v>
      </c>
      <c r="U30" s="91"/>
      <c r="V30" s="99"/>
      <c r="W30" s="99"/>
      <c r="X30" s="91"/>
      <c r="Y30" s="91" t="s">
        <v>3206</v>
      </c>
    </row>
    <row r="31" spans="1:25" ht="41.25" hidden="1" customHeight="1" x14ac:dyDescent="0.2">
      <c r="A31" s="89" t="s">
        <v>493</v>
      </c>
      <c r="B31" s="90">
        <v>45032</v>
      </c>
      <c r="C31" s="99"/>
      <c r="D31" s="99"/>
      <c r="E31" s="93" t="s">
        <v>3289</v>
      </c>
      <c r="F31" s="93" t="s">
        <v>3221</v>
      </c>
      <c r="G31" s="93" t="s">
        <v>3290</v>
      </c>
      <c r="H31" s="93"/>
      <c r="I31" s="94"/>
      <c r="J31" s="95">
        <v>3203756973</v>
      </c>
      <c r="K31" s="93"/>
      <c r="L31" s="96"/>
      <c r="M31" s="93"/>
      <c r="N31" s="93"/>
      <c r="O31" s="97"/>
      <c r="P31" s="97"/>
      <c r="Q31" s="97"/>
      <c r="R31" s="98" t="s">
        <v>3209</v>
      </c>
      <c r="S31" s="97" t="s">
        <v>2841</v>
      </c>
      <c r="T31" s="93" t="s">
        <v>2613</v>
      </c>
      <c r="U31" s="91"/>
      <c r="V31" s="99"/>
      <c r="W31" s="99"/>
      <c r="X31" s="91"/>
      <c r="Y31" s="91" t="s">
        <v>3206</v>
      </c>
    </row>
    <row r="32" spans="1:25" ht="41.25" hidden="1" customHeight="1" x14ac:dyDescent="0.2">
      <c r="A32" s="89" t="s">
        <v>493</v>
      </c>
      <c r="B32" s="90">
        <v>45039</v>
      </c>
      <c r="C32" s="99"/>
      <c r="D32" s="99"/>
      <c r="E32" s="93" t="s">
        <v>3291</v>
      </c>
      <c r="F32" s="93"/>
      <c r="G32" s="93" t="s">
        <v>3292</v>
      </c>
      <c r="H32" s="93"/>
      <c r="I32" s="94"/>
      <c r="J32" s="95">
        <v>3243301684</v>
      </c>
      <c r="K32" s="93"/>
      <c r="L32" s="96"/>
      <c r="M32" s="93" t="s">
        <v>3293</v>
      </c>
      <c r="N32" s="93"/>
      <c r="O32" s="97"/>
      <c r="P32" s="97"/>
      <c r="Q32" s="97"/>
      <c r="R32" s="98" t="s">
        <v>3209</v>
      </c>
      <c r="S32" s="97" t="s">
        <v>2841</v>
      </c>
      <c r="T32" s="93" t="s">
        <v>2613</v>
      </c>
      <c r="U32" s="91"/>
      <c r="V32" s="99"/>
      <c r="W32" s="99"/>
      <c r="X32" s="91"/>
      <c r="Y32" s="91" t="s">
        <v>3206</v>
      </c>
    </row>
    <row r="33" spans="1:25" ht="41.25" hidden="1" customHeight="1" x14ac:dyDescent="0.2">
      <c r="A33" s="89" t="s">
        <v>493</v>
      </c>
      <c r="B33" s="90">
        <v>45039</v>
      </c>
      <c r="C33" s="99"/>
      <c r="D33" s="99"/>
      <c r="E33" s="93" t="s">
        <v>3294</v>
      </c>
      <c r="F33" s="93"/>
      <c r="G33" s="93" t="s">
        <v>3295</v>
      </c>
      <c r="H33" s="93"/>
      <c r="I33" s="94"/>
      <c r="J33" s="95">
        <v>3023926663</v>
      </c>
      <c r="K33" s="93"/>
      <c r="L33" s="96"/>
      <c r="M33" s="93" t="s">
        <v>656</v>
      </c>
      <c r="N33" s="93"/>
      <c r="O33" s="97"/>
      <c r="P33" s="97"/>
      <c r="Q33" s="97"/>
      <c r="R33" s="98" t="s">
        <v>3209</v>
      </c>
      <c r="S33" s="97" t="s">
        <v>2841</v>
      </c>
      <c r="T33" s="93" t="s">
        <v>2613</v>
      </c>
      <c r="U33" s="91"/>
      <c r="V33" s="99"/>
      <c r="W33" s="99"/>
      <c r="X33" s="91"/>
      <c r="Y33" s="91" t="s">
        <v>3206</v>
      </c>
    </row>
    <row r="34" spans="1:25" ht="41.25" hidden="1" customHeight="1" x14ac:dyDescent="0.2">
      <c r="A34" s="89" t="s">
        <v>493</v>
      </c>
      <c r="B34" s="90">
        <v>45039</v>
      </c>
      <c r="C34" s="99"/>
      <c r="D34" s="99"/>
      <c r="E34" s="93" t="s">
        <v>2948</v>
      </c>
      <c r="F34" s="93"/>
      <c r="G34" s="93"/>
      <c r="H34" s="93"/>
      <c r="I34" s="94"/>
      <c r="J34" s="95">
        <v>3002961411</v>
      </c>
      <c r="K34" s="93"/>
      <c r="L34" s="96"/>
      <c r="M34" s="93"/>
      <c r="N34" s="93"/>
      <c r="O34" s="97"/>
      <c r="P34" s="97"/>
      <c r="Q34" s="97"/>
      <c r="R34" s="98" t="s">
        <v>3209</v>
      </c>
      <c r="S34" s="97" t="s">
        <v>2841</v>
      </c>
      <c r="T34" s="93" t="s">
        <v>2613</v>
      </c>
      <c r="U34" s="91"/>
      <c r="V34" s="99"/>
      <c r="W34" s="99"/>
      <c r="X34" s="91"/>
      <c r="Y34" s="91" t="s">
        <v>3206</v>
      </c>
    </row>
    <row r="35" spans="1:25" ht="41.25" hidden="1" customHeight="1" x14ac:dyDescent="0.2">
      <c r="A35" s="89" t="s">
        <v>493</v>
      </c>
      <c r="B35" s="90">
        <v>45039</v>
      </c>
      <c r="C35" s="99"/>
      <c r="D35" s="99"/>
      <c r="E35" s="93" t="s">
        <v>3214</v>
      </c>
      <c r="F35" s="93" t="s">
        <v>3296</v>
      </c>
      <c r="G35" s="93" t="s">
        <v>3297</v>
      </c>
      <c r="H35" s="93"/>
      <c r="I35" s="94"/>
      <c r="J35" s="95">
        <v>3176744813</v>
      </c>
      <c r="K35" s="93"/>
      <c r="L35" s="96"/>
      <c r="M35" s="93"/>
      <c r="N35" s="93"/>
      <c r="O35" s="97"/>
      <c r="P35" s="97"/>
      <c r="Q35" s="97"/>
      <c r="R35" s="98" t="s">
        <v>3209</v>
      </c>
      <c r="S35" s="97" t="s">
        <v>2841</v>
      </c>
      <c r="T35" s="93" t="s">
        <v>2613</v>
      </c>
      <c r="U35" s="91"/>
      <c r="V35" s="99"/>
      <c r="W35" s="99"/>
      <c r="X35" s="91"/>
      <c r="Y35" s="91" t="s">
        <v>3206</v>
      </c>
    </row>
    <row r="36" spans="1:25" ht="41.25" hidden="1" customHeight="1" x14ac:dyDescent="0.2">
      <c r="A36" s="89" t="s">
        <v>493</v>
      </c>
      <c r="B36" s="90">
        <v>45039</v>
      </c>
      <c r="C36" s="99"/>
      <c r="D36" s="99"/>
      <c r="E36" s="93" t="s">
        <v>3214</v>
      </c>
      <c r="F36" s="93" t="s">
        <v>3298</v>
      </c>
      <c r="G36" s="93" t="s">
        <v>3299</v>
      </c>
      <c r="H36" s="93"/>
      <c r="I36" s="94"/>
      <c r="J36" s="95"/>
      <c r="K36" s="93"/>
      <c r="L36" s="96"/>
      <c r="M36" s="93"/>
      <c r="N36" s="93"/>
      <c r="O36" s="97"/>
      <c r="P36" s="97"/>
      <c r="Q36" s="97"/>
      <c r="R36" s="98" t="s">
        <v>3209</v>
      </c>
      <c r="S36" s="97" t="s">
        <v>2841</v>
      </c>
      <c r="T36" s="93" t="s">
        <v>2613</v>
      </c>
      <c r="U36" s="91"/>
      <c r="V36" s="99"/>
      <c r="W36" s="99"/>
      <c r="X36" s="91"/>
      <c r="Y36" s="91" t="s">
        <v>3206</v>
      </c>
    </row>
    <row r="37" spans="1:25" ht="41.25" hidden="1" customHeight="1" x14ac:dyDescent="0.2">
      <c r="A37" s="89" t="s">
        <v>493</v>
      </c>
      <c r="B37" s="90">
        <v>45041</v>
      </c>
      <c r="C37" s="99"/>
      <c r="D37" s="99"/>
      <c r="E37" s="93" t="s">
        <v>3300</v>
      </c>
      <c r="F37" s="93"/>
      <c r="G37" s="93" t="s">
        <v>3301</v>
      </c>
      <c r="H37" s="93"/>
      <c r="I37" s="94"/>
      <c r="J37" s="95">
        <v>3112762111</v>
      </c>
      <c r="K37" s="93"/>
      <c r="L37" s="96"/>
      <c r="M37" s="93"/>
      <c r="N37" s="93"/>
      <c r="O37" s="97"/>
      <c r="P37" s="97"/>
      <c r="Q37" s="97"/>
      <c r="R37" s="98" t="s">
        <v>3209</v>
      </c>
      <c r="S37" s="97" t="s">
        <v>2841</v>
      </c>
      <c r="T37" s="93" t="s">
        <v>2613</v>
      </c>
      <c r="U37" s="91"/>
      <c r="V37" s="99"/>
      <c r="W37" s="99"/>
      <c r="X37" s="91"/>
      <c r="Y37" s="91" t="s">
        <v>3206</v>
      </c>
    </row>
    <row r="38" spans="1:25" ht="41.25" hidden="1" customHeight="1" x14ac:dyDescent="0.2">
      <c r="A38" s="89" t="s">
        <v>493</v>
      </c>
      <c r="B38" s="90">
        <v>45043</v>
      </c>
      <c r="C38" s="99"/>
      <c r="D38" s="99"/>
      <c r="E38" s="93" t="s">
        <v>3300</v>
      </c>
      <c r="F38" s="93" t="s">
        <v>3302</v>
      </c>
      <c r="G38" s="93"/>
      <c r="H38" s="93"/>
      <c r="I38" s="94"/>
      <c r="J38" s="95">
        <v>3125952150</v>
      </c>
      <c r="K38" s="93"/>
      <c r="L38" s="96"/>
      <c r="M38" s="93"/>
      <c r="N38" s="93"/>
      <c r="O38" s="97"/>
      <c r="P38" s="97"/>
      <c r="Q38" s="97"/>
      <c r="R38" s="98" t="s">
        <v>3209</v>
      </c>
      <c r="S38" s="97" t="s">
        <v>2841</v>
      </c>
      <c r="T38" s="93" t="s">
        <v>2613</v>
      </c>
      <c r="U38" s="91"/>
      <c r="V38" s="99"/>
      <c r="W38" s="99"/>
      <c r="X38" s="91"/>
      <c r="Y38" s="91" t="s">
        <v>3206</v>
      </c>
    </row>
    <row r="39" spans="1:25" ht="41.25" hidden="1" customHeight="1" x14ac:dyDescent="0.2">
      <c r="A39" s="89" t="s">
        <v>493</v>
      </c>
      <c r="B39" s="90">
        <v>45043</v>
      </c>
      <c r="C39" s="99"/>
      <c r="D39" s="99"/>
      <c r="E39" s="93" t="s">
        <v>3246</v>
      </c>
      <c r="F39" s="93" t="s">
        <v>3245</v>
      </c>
      <c r="G39" s="93" t="s">
        <v>3303</v>
      </c>
      <c r="H39" s="93"/>
      <c r="I39" s="94">
        <v>43089725</v>
      </c>
      <c r="J39" s="95">
        <v>3001752269</v>
      </c>
      <c r="K39" s="93"/>
      <c r="L39" s="96"/>
      <c r="M39" s="93"/>
      <c r="N39" s="93"/>
      <c r="O39" s="97"/>
      <c r="P39" s="97"/>
      <c r="Q39" s="97"/>
      <c r="R39" s="98" t="s">
        <v>3209</v>
      </c>
      <c r="S39" s="97"/>
      <c r="T39" s="93" t="s">
        <v>2613</v>
      </c>
      <c r="U39" s="91"/>
      <c r="V39" s="99"/>
      <c r="W39" s="99"/>
      <c r="X39" s="91"/>
      <c r="Y39" s="91" t="s">
        <v>3244</v>
      </c>
    </row>
    <row r="40" spans="1:25" ht="41.25" hidden="1" customHeight="1" x14ac:dyDescent="0.2">
      <c r="A40" s="89" t="s">
        <v>493</v>
      </c>
      <c r="B40" s="90">
        <v>45060</v>
      </c>
      <c r="C40" s="99"/>
      <c r="D40" s="99"/>
      <c r="E40" s="93" t="s">
        <v>3304</v>
      </c>
      <c r="F40" s="93"/>
      <c r="G40" s="93" t="s">
        <v>3305</v>
      </c>
      <c r="H40" s="93"/>
      <c r="I40" s="94"/>
      <c r="J40" s="95">
        <v>3108222145</v>
      </c>
      <c r="K40" s="93"/>
      <c r="L40" s="96"/>
      <c r="M40" s="93"/>
      <c r="N40" s="93" t="s">
        <v>3306</v>
      </c>
      <c r="O40" s="97"/>
      <c r="P40" s="97"/>
      <c r="Q40" s="97"/>
      <c r="R40" s="98" t="s">
        <v>3209</v>
      </c>
      <c r="S40" s="97" t="s">
        <v>2841</v>
      </c>
      <c r="T40" s="93" t="s">
        <v>2613</v>
      </c>
      <c r="U40" s="91"/>
      <c r="V40" s="99"/>
      <c r="W40" s="99"/>
      <c r="X40" s="91"/>
      <c r="Y40" s="91" t="s">
        <v>3206</v>
      </c>
    </row>
    <row r="41" spans="1:25" ht="41.25" hidden="1" customHeight="1" x14ac:dyDescent="0.2">
      <c r="A41" s="89" t="s">
        <v>493</v>
      </c>
      <c r="B41" s="90">
        <v>45122</v>
      </c>
      <c r="C41" s="99"/>
      <c r="D41" s="99"/>
      <c r="E41" s="93" t="s">
        <v>3221</v>
      </c>
      <c r="F41" s="93" t="s">
        <v>3307</v>
      </c>
      <c r="G41" s="93" t="s">
        <v>3308</v>
      </c>
      <c r="H41" s="93"/>
      <c r="I41" s="94"/>
      <c r="J41" s="95">
        <v>3108223302</v>
      </c>
      <c r="K41" s="93"/>
      <c r="L41" s="96"/>
      <c r="M41" s="93" t="s">
        <v>3309</v>
      </c>
      <c r="N41" s="93"/>
      <c r="O41" s="97"/>
      <c r="P41" s="97"/>
      <c r="Q41" s="97"/>
      <c r="R41" s="98" t="s">
        <v>3209</v>
      </c>
      <c r="S41" s="97" t="s">
        <v>2838</v>
      </c>
      <c r="T41" s="93" t="s">
        <v>2613</v>
      </c>
      <c r="U41" s="91"/>
      <c r="V41" s="99"/>
      <c r="W41" s="99"/>
      <c r="X41" s="91" t="s">
        <v>3310</v>
      </c>
      <c r="Y41" s="91" t="s">
        <v>3206</v>
      </c>
    </row>
    <row r="42" spans="1:25" ht="41.25" hidden="1" customHeight="1" x14ac:dyDescent="0.2">
      <c r="A42" s="89" t="s">
        <v>493</v>
      </c>
      <c r="B42" s="90">
        <v>45122</v>
      </c>
      <c r="C42" s="99"/>
      <c r="D42" s="99"/>
      <c r="E42" s="93" t="s">
        <v>3311</v>
      </c>
      <c r="F42" s="93" t="s">
        <v>3282</v>
      </c>
      <c r="G42" s="93" t="s">
        <v>3312</v>
      </c>
      <c r="H42" s="93" t="s">
        <v>3313</v>
      </c>
      <c r="I42" s="94"/>
      <c r="J42" s="95">
        <v>3126730952</v>
      </c>
      <c r="K42" s="93"/>
      <c r="L42" s="96"/>
      <c r="M42" s="93" t="s">
        <v>313</v>
      </c>
      <c r="N42" s="93"/>
      <c r="O42" s="97"/>
      <c r="P42" s="97"/>
      <c r="Q42" s="97"/>
      <c r="R42" s="98" t="s">
        <v>3209</v>
      </c>
      <c r="S42" s="97" t="s">
        <v>2841</v>
      </c>
      <c r="T42" s="93" t="s">
        <v>2613</v>
      </c>
      <c r="U42" s="91"/>
      <c r="V42" s="99"/>
      <c r="W42" s="99"/>
      <c r="X42" s="91" t="s">
        <v>3314</v>
      </c>
      <c r="Y42" s="91" t="s">
        <v>3206</v>
      </c>
    </row>
    <row r="43" spans="1:25" ht="41.25" hidden="1" customHeight="1" x14ac:dyDescent="0.2">
      <c r="A43" s="89" t="s">
        <v>493</v>
      </c>
      <c r="B43" s="90">
        <v>45122</v>
      </c>
      <c r="C43" s="99"/>
      <c r="D43" s="99"/>
      <c r="E43" s="93" t="s">
        <v>3315</v>
      </c>
      <c r="F43" s="93"/>
      <c r="G43" s="93" t="s">
        <v>3316</v>
      </c>
      <c r="H43" s="93"/>
      <c r="I43" s="94"/>
      <c r="J43" s="95">
        <v>3122251144</v>
      </c>
      <c r="K43" s="93" t="s">
        <v>861</v>
      </c>
      <c r="L43" s="96">
        <v>3108223302</v>
      </c>
      <c r="M43" s="93" t="s">
        <v>313</v>
      </c>
      <c r="N43" s="93"/>
      <c r="O43" s="97"/>
      <c r="P43" s="97"/>
      <c r="Q43" s="97"/>
      <c r="R43" s="98" t="s">
        <v>3209</v>
      </c>
      <c r="S43" s="97" t="s">
        <v>2841</v>
      </c>
      <c r="T43" s="93" t="s">
        <v>2613</v>
      </c>
      <c r="U43" s="91"/>
      <c r="V43" s="99"/>
      <c r="W43" s="99"/>
      <c r="X43" s="91" t="s">
        <v>3073</v>
      </c>
      <c r="Y43" s="91" t="s">
        <v>3206</v>
      </c>
    </row>
    <row r="44" spans="1:25" ht="41.25" hidden="1" customHeight="1" x14ac:dyDescent="0.2">
      <c r="A44" s="89" t="s">
        <v>493</v>
      </c>
      <c r="B44" s="90">
        <v>45136</v>
      </c>
      <c r="C44" s="99"/>
      <c r="D44" s="102"/>
      <c r="E44" s="93" t="s">
        <v>3317</v>
      </c>
      <c r="F44" s="93" t="s">
        <v>3318</v>
      </c>
      <c r="G44" s="93" t="s">
        <v>3319</v>
      </c>
      <c r="H44" s="93" t="s">
        <v>3320</v>
      </c>
      <c r="I44" s="94"/>
      <c r="J44" s="95">
        <v>3113458554</v>
      </c>
      <c r="K44" s="93" t="s">
        <v>1066</v>
      </c>
      <c r="L44" s="96">
        <v>3237525192</v>
      </c>
      <c r="M44" s="93" t="s">
        <v>3321</v>
      </c>
      <c r="N44" s="93"/>
      <c r="O44" s="97"/>
      <c r="P44" s="97"/>
      <c r="Q44" s="97"/>
      <c r="R44" s="98" t="s">
        <v>3209</v>
      </c>
      <c r="S44" s="97" t="s">
        <v>2841</v>
      </c>
      <c r="T44" s="93" t="s">
        <v>2613</v>
      </c>
      <c r="U44" s="91"/>
      <c r="V44" s="99"/>
      <c r="W44" s="99"/>
      <c r="X44" s="91"/>
      <c r="Y44" s="91" t="s">
        <v>3206</v>
      </c>
    </row>
    <row r="45" spans="1:25" ht="41.25" hidden="1" customHeight="1" x14ac:dyDescent="0.2">
      <c r="A45" s="89" t="s">
        <v>493</v>
      </c>
      <c r="B45" s="90">
        <v>45136</v>
      </c>
      <c r="C45" s="99"/>
      <c r="D45" s="99"/>
      <c r="E45" s="93" t="s">
        <v>3322</v>
      </c>
      <c r="F45" s="93" t="s">
        <v>3323</v>
      </c>
      <c r="G45" s="93" t="s">
        <v>3324</v>
      </c>
      <c r="H45" s="93" t="s">
        <v>3325</v>
      </c>
      <c r="I45" s="94"/>
      <c r="J45" s="95">
        <v>3245576702</v>
      </c>
      <c r="K45" s="93" t="s">
        <v>2873</v>
      </c>
      <c r="L45" s="96">
        <v>3218191967</v>
      </c>
      <c r="M45" s="93" t="s">
        <v>3326</v>
      </c>
      <c r="N45" s="93"/>
      <c r="O45" s="97"/>
      <c r="P45" s="97"/>
      <c r="Q45" s="97"/>
      <c r="R45" s="98" t="s">
        <v>3209</v>
      </c>
      <c r="S45" s="97" t="s">
        <v>2841</v>
      </c>
      <c r="T45" s="93" t="s">
        <v>2613</v>
      </c>
      <c r="U45" s="91"/>
      <c r="V45" s="99"/>
      <c r="W45" s="99"/>
      <c r="X45" s="91" t="s">
        <v>2874</v>
      </c>
      <c r="Y45" s="91" t="s">
        <v>3206</v>
      </c>
    </row>
    <row r="46" spans="1:25" ht="41.25" hidden="1" customHeight="1" x14ac:dyDescent="0.2">
      <c r="A46" s="89" t="s">
        <v>493</v>
      </c>
      <c r="B46" s="90">
        <v>45136</v>
      </c>
      <c r="C46" s="99"/>
      <c r="D46" s="99"/>
      <c r="E46" s="93" t="s">
        <v>3327</v>
      </c>
      <c r="F46" s="93" t="s">
        <v>3328</v>
      </c>
      <c r="G46" s="93" t="s">
        <v>3329</v>
      </c>
      <c r="H46" s="93" t="s">
        <v>3330</v>
      </c>
      <c r="I46" s="94"/>
      <c r="J46" s="95">
        <v>3042398098</v>
      </c>
      <c r="K46" s="93"/>
      <c r="L46" s="96"/>
      <c r="M46" s="93" t="s">
        <v>1089</v>
      </c>
      <c r="N46" s="93"/>
      <c r="O46" s="97"/>
      <c r="P46" s="97"/>
      <c r="Q46" s="97"/>
      <c r="R46" s="98" t="s">
        <v>3209</v>
      </c>
      <c r="S46" s="97" t="s">
        <v>2841</v>
      </c>
      <c r="T46" s="93" t="s">
        <v>2613</v>
      </c>
      <c r="U46" s="91"/>
      <c r="V46" s="99"/>
      <c r="W46" s="99"/>
      <c r="X46" s="91" t="s">
        <v>2897</v>
      </c>
      <c r="Y46" s="91" t="s">
        <v>3206</v>
      </c>
    </row>
    <row r="47" spans="1:25" ht="41.25" hidden="1" customHeight="1" x14ac:dyDescent="0.2">
      <c r="A47" s="89" t="s">
        <v>493</v>
      </c>
      <c r="B47" s="90">
        <v>45136</v>
      </c>
      <c r="C47" s="99"/>
      <c r="D47" s="99"/>
      <c r="E47" s="93" t="s">
        <v>3331</v>
      </c>
      <c r="F47" s="93" t="s">
        <v>120</v>
      </c>
      <c r="G47" s="93" t="s">
        <v>3332</v>
      </c>
      <c r="H47" s="93"/>
      <c r="I47" s="94"/>
      <c r="J47" s="95">
        <v>3196823566</v>
      </c>
      <c r="K47" s="93"/>
      <c r="L47" s="96"/>
      <c r="M47" s="93" t="s">
        <v>1724</v>
      </c>
      <c r="N47" s="93"/>
      <c r="O47" s="97"/>
      <c r="P47" s="97"/>
      <c r="Q47" s="97"/>
      <c r="R47" s="98" t="s">
        <v>3209</v>
      </c>
      <c r="S47" s="97" t="s">
        <v>2841</v>
      </c>
      <c r="T47" s="93" t="s">
        <v>2613</v>
      </c>
      <c r="U47" s="91"/>
      <c r="V47" s="99"/>
      <c r="W47" s="99"/>
      <c r="X47" s="91"/>
      <c r="Y47" s="91" t="s">
        <v>3206</v>
      </c>
    </row>
    <row r="48" spans="1:25" ht="41.25" hidden="1" customHeight="1" x14ac:dyDescent="0.2">
      <c r="A48" s="89" t="s">
        <v>493</v>
      </c>
      <c r="B48" s="90">
        <v>45136</v>
      </c>
      <c r="C48" s="99"/>
      <c r="D48" s="99"/>
      <c r="E48" s="93" t="s">
        <v>3289</v>
      </c>
      <c r="F48" s="93" t="s">
        <v>3333</v>
      </c>
      <c r="G48" s="93" t="s">
        <v>3334</v>
      </c>
      <c r="H48" s="93" t="s">
        <v>3335</v>
      </c>
      <c r="I48" s="94"/>
      <c r="J48" s="95">
        <v>3135940347</v>
      </c>
      <c r="K48" s="93"/>
      <c r="L48" s="96"/>
      <c r="M48" s="93" t="s">
        <v>3336</v>
      </c>
      <c r="N48" s="93"/>
      <c r="O48" s="97"/>
      <c r="P48" s="97"/>
      <c r="Q48" s="97"/>
      <c r="R48" s="98" t="s">
        <v>3209</v>
      </c>
      <c r="S48" s="97" t="s">
        <v>2841</v>
      </c>
      <c r="T48" s="93" t="s">
        <v>2613</v>
      </c>
      <c r="U48" s="91"/>
      <c r="V48" s="99"/>
      <c r="W48" s="99"/>
      <c r="X48" s="91" t="s">
        <v>2963</v>
      </c>
      <c r="Y48" s="91" t="s">
        <v>3206</v>
      </c>
    </row>
    <row r="49" spans="1:25" ht="41.25" hidden="1" customHeight="1" x14ac:dyDescent="0.2">
      <c r="A49" s="89" t="s">
        <v>493</v>
      </c>
      <c r="B49" s="90">
        <v>45136</v>
      </c>
      <c r="C49" s="99"/>
      <c r="D49" s="102"/>
      <c r="E49" s="93" t="s">
        <v>3214</v>
      </c>
      <c r="F49" s="93" t="s">
        <v>3337</v>
      </c>
      <c r="G49" s="93" t="s">
        <v>3338</v>
      </c>
      <c r="H49" s="93" t="s">
        <v>3308</v>
      </c>
      <c r="I49" s="94"/>
      <c r="J49" s="95">
        <v>3207384352</v>
      </c>
      <c r="K49" s="93" t="s">
        <v>1034</v>
      </c>
      <c r="L49" s="96">
        <v>3013119576</v>
      </c>
      <c r="M49" s="93" t="s">
        <v>494</v>
      </c>
      <c r="N49" s="93"/>
      <c r="O49" s="97"/>
      <c r="P49" s="97"/>
      <c r="Q49" s="97"/>
      <c r="R49" s="98" t="s">
        <v>3209</v>
      </c>
      <c r="S49" s="97" t="s">
        <v>2841</v>
      </c>
      <c r="T49" s="93" t="s">
        <v>2613</v>
      </c>
      <c r="U49" s="91"/>
      <c r="V49" s="99"/>
      <c r="W49" s="99"/>
      <c r="X49" s="91" t="s">
        <v>1037</v>
      </c>
      <c r="Y49" s="91" t="s">
        <v>3206</v>
      </c>
    </row>
    <row r="50" spans="1:25" ht="41.25" hidden="1" customHeight="1" x14ac:dyDescent="0.2">
      <c r="A50" s="89" t="s">
        <v>493</v>
      </c>
      <c r="B50" s="90">
        <v>45136</v>
      </c>
      <c r="C50" s="99"/>
      <c r="D50" s="99"/>
      <c r="E50" s="93" t="s">
        <v>3214</v>
      </c>
      <c r="F50" s="93" t="s">
        <v>3339</v>
      </c>
      <c r="G50" s="93" t="s">
        <v>3340</v>
      </c>
      <c r="H50" s="93" t="s">
        <v>3203</v>
      </c>
      <c r="I50" s="94"/>
      <c r="J50" s="95">
        <v>3135107357</v>
      </c>
      <c r="K50" s="93" t="s">
        <v>1027</v>
      </c>
      <c r="L50" s="96">
        <v>6042811659</v>
      </c>
      <c r="M50" s="93" t="s">
        <v>1025</v>
      </c>
      <c r="N50" s="93"/>
      <c r="O50" s="97"/>
      <c r="P50" s="97"/>
      <c r="Q50" s="97"/>
      <c r="R50" s="98" t="s">
        <v>3209</v>
      </c>
      <c r="S50" s="97" t="s">
        <v>2841</v>
      </c>
      <c r="T50" s="93" t="s">
        <v>2613</v>
      </c>
      <c r="U50" s="91"/>
      <c r="V50" s="99"/>
      <c r="W50" s="99"/>
      <c r="X50" s="91" t="s">
        <v>2996</v>
      </c>
      <c r="Y50" s="91" t="s">
        <v>3206</v>
      </c>
    </row>
    <row r="51" spans="1:25" ht="41.25" hidden="1" customHeight="1" x14ac:dyDescent="0.2">
      <c r="A51" s="89" t="s">
        <v>493</v>
      </c>
      <c r="B51" s="90">
        <v>45165</v>
      </c>
      <c r="C51" s="99"/>
      <c r="D51" s="99"/>
      <c r="E51" s="93" t="s">
        <v>3246</v>
      </c>
      <c r="F51" s="93" t="s">
        <v>3227</v>
      </c>
      <c r="G51" s="93" t="s">
        <v>3341</v>
      </c>
      <c r="H51" s="93" t="s">
        <v>3342</v>
      </c>
      <c r="I51" s="94"/>
      <c r="J51" s="95">
        <v>3126027511</v>
      </c>
      <c r="K51" s="93" t="s">
        <v>1202</v>
      </c>
      <c r="L51" s="96">
        <v>3017229877</v>
      </c>
      <c r="M51" s="93" t="s">
        <v>656</v>
      </c>
      <c r="N51" s="93"/>
      <c r="O51" s="97"/>
      <c r="P51" s="97"/>
      <c r="Q51" s="97"/>
      <c r="R51" s="98" t="s">
        <v>3209</v>
      </c>
      <c r="S51" s="97" t="s">
        <v>2841</v>
      </c>
      <c r="T51" s="93" t="s">
        <v>2613</v>
      </c>
      <c r="U51" s="91"/>
      <c r="V51" s="99"/>
      <c r="W51" s="99"/>
      <c r="X51" s="91"/>
      <c r="Y51" s="91" t="s">
        <v>3206</v>
      </c>
    </row>
    <row r="52" spans="1:25" ht="41.25" hidden="1" customHeight="1" x14ac:dyDescent="0.2">
      <c r="A52" s="89" t="s">
        <v>493</v>
      </c>
      <c r="B52" s="90" t="s">
        <v>3062</v>
      </c>
      <c r="C52" s="99"/>
      <c r="D52" s="99"/>
      <c r="E52" s="93" t="s">
        <v>3343</v>
      </c>
      <c r="F52" s="93" t="s">
        <v>3344</v>
      </c>
      <c r="G52" s="93" t="s">
        <v>3261</v>
      </c>
      <c r="H52" s="93" t="s">
        <v>3345</v>
      </c>
      <c r="I52" s="94"/>
      <c r="J52" s="95">
        <v>3137407613</v>
      </c>
      <c r="K52" s="93" t="s">
        <v>3064</v>
      </c>
      <c r="L52" s="96">
        <v>3223150178</v>
      </c>
      <c r="M52" s="93" t="s">
        <v>272</v>
      </c>
      <c r="N52" s="93" t="s">
        <v>272</v>
      </c>
      <c r="O52" s="97"/>
      <c r="P52" s="97"/>
      <c r="Q52" s="97"/>
      <c r="R52" s="98" t="s">
        <v>3209</v>
      </c>
      <c r="S52" s="97" t="s">
        <v>2841</v>
      </c>
      <c r="T52" s="93" t="s">
        <v>2613</v>
      </c>
      <c r="U52" s="91"/>
      <c r="V52" s="99"/>
      <c r="W52" s="99"/>
      <c r="X52" s="91"/>
      <c r="Y52" s="91" t="s">
        <v>3206</v>
      </c>
    </row>
    <row r="53" spans="1:25" ht="41.25" hidden="1" customHeight="1" x14ac:dyDescent="0.2">
      <c r="A53" s="89" t="s">
        <v>493</v>
      </c>
      <c r="B53" s="90" t="s">
        <v>2949</v>
      </c>
      <c r="C53" s="99"/>
      <c r="D53" s="99"/>
      <c r="E53" s="93" t="s">
        <v>3346</v>
      </c>
      <c r="F53" s="93"/>
      <c r="G53" s="93" t="s">
        <v>3347</v>
      </c>
      <c r="H53" s="93"/>
      <c r="I53" s="94"/>
      <c r="J53" s="95">
        <v>3045894705</v>
      </c>
      <c r="K53" s="93" t="s">
        <v>514</v>
      </c>
      <c r="L53" s="96"/>
      <c r="M53" s="93" t="s">
        <v>199</v>
      </c>
      <c r="N53" s="93" t="s">
        <v>3348</v>
      </c>
      <c r="O53" s="97"/>
      <c r="P53" s="97"/>
      <c r="Q53" s="97"/>
      <c r="R53" s="98" t="s">
        <v>3209</v>
      </c>
      <c r="S53" s="97" t="s">
        <v>2841</v>
      </c>
      <c r="T53" s="93" t="s">
        <v>2613</v>
      </c>
      <c r="U53" s="91"/>
      <c r="V53" s="99"/>
      <c r="W53" s="99"/>
      <c r="X53" s="91"/>
      <c r="Y53" s="91" t="s">
        <v>3206</v>
      </c>
    </row>
    <row r="54" spans="1:25" ht="41.25" customHeight="1" x14ac:dyDescent="0.2">
      <c r="A54" s="89" t="s">
        <v>493</v>
      </c>
      <c r="B54" s="90"/>
      <c r="C54" s="99"/>
      <c r="D54" s="103">
        <v>44429</v>
      </c>
      <c r="E54" s="93" t="s">
        <v>3201</v>
      </c>
      <c r="F54" s="93" t="s">
        <v>3349</v>
      </c>
      <c r="G54" s="93" t="s">
        <v>3350</v>
      </c>
      <c r="H54" s="93"/>
      <c r="I54" s="94"/>
      <c r="J54" s="95"/>
      <c r="K54" s="93"/>
      <c r="L54" s="96"/>
      <c r="M54" s="93"/>
      <c r="N54" s="93"/>
      <c r="O54" s="97"/>
      <c r="P54" s="97"/>
      <c r="Q54" s="97"/>
      <c r="R54" s="98" t="s">
        <v>3204</v>
      </c>
      <c r="S54" s="97"/>
      <c r="T54" s="93" t="s">
        <v>2646</v>
      </c>
      <c r="U54" s="91" t="s">
        <v>3205</v>
      </c>
      <c r="V54" s="99"/>
      <c r="W54" s="99"/>
      <c r="X54" s="91"/>
      <c r="Y54" s="91" t="s">
        <v>3206</v>
      </c>
    </row>
    <row r="55" spans="1:25" ht="41.25" customHeight="1" x14ac:dyDescent="0.2">
      <c r="A55" s="89" t="s">
        <v>493</v>
      </c>
      <c r="B55" s="90"/>
      <c r="C55" s="99"/>
      <c r="D55" s="103">
        <v>44429</v>
      </c>
      <c r="E55" s="93" t="s">
        <v>3351</v>
      </c>
      <c r="F55" s="93"/>
      <c r="G55" s="93" t="s">
        <v>3203</v>
      </c>
      <c r="H55" s="93"/>
      <c r="I55" s="94"/>
      <c r="J55" s="95"/>
      <c r="K55" s="93"/>
      <c r="L55" s="96"/>
      <c r="M55" s="93"/>
      <c r="N55" s="93"/>
      <c r="O55" s="97"/>
      <c r="P55" s="97"/>
      <c r="Q55" s="97"/>
      <c r="R55" s="98" t="s">
        <v>3204</v>
      </c>
      <c r="S55" s="97"/>
      <c r="T55" s="93" t="s">
        <v>2646</v>
      </c>
      <c r="U55" s="91" t="s">
        <v>3205</v>
      </c>
      <c r="V55" s="99"/>
      <c r="W55" s="99"/>
      <c r="X55" s="91"/>
      <c r="Y55" s="91" t="s">
        <v>3206</v>
      </c>
    </row>
    <row r="56" spans="1:25" ht="41.25" customHeight="1" x14ac:dyDescent="0.2">
      <c r="A56" s="89" t="s">
        <v>493</v>
      </c>
      <c r="B56" s="90"/>
      <c r="C56" s="99"/>
      <c r="D56" s="103">
        <v>44429</v>
      </c>
      <c r="E56" s="93" t="s">
        <v>3352</v>
      </c>
      <c r="F56" s="93"/>
      <c r="G56" s="93" t="s">
        <v>3353</v>
      </c>
      <c r="H56" s="93"/>
      <c r="I56" s="94"/>
      <c r="J56" s="95"/>
      <c r="K56" s="93"/>
      <c r="L56" s="96"/>
      <c r="M56" s="93"/>
      <c r="N56" s="93"/>
      <c r="O56" s="97"/>
      <c r="P56" s="97"/>
      <c r="Q56" s="97"/>
      <c r="R56" s="98" t="s">
        <v>3204</v>
      </c>
      <c r="S56" s="97"/>
      <c r="T56" s="93" t="s">
        <v>2646</v>
      </c>
      <c r="U56" s="91" t="s">
        <v>3205</v>
      </c>
      <c r="V56" s="99"/>
      <c r="W56" s="99"/>
      <c r="X56" s="91"/>
      <c r="Y56" s="91" t="s">
        <v>3206</v>
      </c>
    </row>
    <row r="57" spans="1:25" ht="41.25" customHeight="1" x14ac:dyDescent="0.2">
      <c r="A57" s="89" t="s">
        <v>493</v>
      </c>
      <c r="B57" s="90"/>
      <c r="C57" s="99"/>
      <c r="D57" s="103">
        <v>44429</v>
      </c>
      <c r="E57" s="93" t="s">
        <v>3354</v>
      </c>
      <c r="F57" s="93" t="s">
        <v>3355</v>
      </c>
      <c r="G57" s="93" t="s">
        <v>3356</v>
      </c>
      <c r="H57" s="93"/>
      <c r="I57" s="94"/>
      <c r="J57" s="95"/>
      <c r="K57" s="93"/>
      <c r="L57" s="96"/>
      <c r="M57" s="93"/>
      <c r="N57" s="93"/>
      <c r="O57" s="97"/>
      <c r="P57" s="97"/>
      <c r="Q57" s="97"/>
      <c r="R57" s="98" t="s">
        <v>3204</v>
      </c>
      <c r="S57" s="97"/>
      <c r="T57" s="93" t="s">
        <v>2646</v>
      </c>
      <c r="U57" s="91" t="s">
        <v>3205</v>
      </c>
      <c r="V57" s="99"/>
      <c r="W57" s="99"/>
      <c r="X57" s="91"/>
      <c r="Y57" s="91" t="s">
        <v>3206</v>
      </c>
    </row>
    <row r="58" spans="1:25" ht="41.25" customHeight="1" x14ac:dyDescent="0.2">
      <c r="A58" s="89" t="s">
        <v>493</v>
      </c>
      <c r="B58" s="90"/>
      <c r="C58" s="99"/>
      <c r="D58" s="104">
        <v>44506</v>
      </c>
      <c r="E58" s="93" t="s">
        <v>3357</v>
      </c>
      <c r="F58" s="93" t="s">
        <v>3214</v>
      </c>
      <c r="G58" s="93" t="s">
        <v>3358</v>
      </c>
      <c r="H58" s="93"/>
      <c r="I58" s="94"/>
      <c r="J58" s="95"/>
      <c r="K58" s="93"/>
      <c r="L58" s="96"/>
      <c r="M58" s="93"/>
      <c r="N58" s="93"/>
      <c r="O58" s="97"/>
      <c r="P58" s="97"/>
      <c r="Q58" s="97"/>
      <c r="R58" s="98" t="s">
        <v>3204</v>
      </c>
      <c r="S58" s="97"/>
      <c r="T58" s="93" t="s">
        <v>2646</v>
      </c>
      <c r="U58" s="91" t="s">
        <v>3205</v>
      </c>
      <c r="V58" s="99"/>
      <c r="W58" s="99"/>
      <c r="X58" s="91"/>
      <c r="Y58" s="91" t="s">
        <v>3206</v>
      </c>
    </row>
    <row r="59" spans="1:25" ht="41.25" customHeight="1" x14ac:dyDescent="0.2">
      <c r="A59" s="89" t="s">
        <v>493</v>
      </c>
      <c r="B59" s="90"/>
      <c r="C59" s="99"/>
      <c r="D59" s="104">
        <v>44506</v>
      </c>
      <c r="E59" s="93" t="s">
        <v>3359</v>
      </c>
      <c r="F59" s="93"/>
      <c r="G59" s="93" t="s">
        <v>3360</v>
      </c>
      <c r="H59" s="93"/>
      <c r="I59" s="94"/>
      <c r="J59" s="95"/>
      <c r="K59" s="93"/>
      <c r="L59" s="96"/>
      <c r="M59" s="93"/>
      <c r="N59" s="93"/>
      <c r="O59" s="97"/>
      <c r="P59" s="97"/>
      <c r="Q59" s="97"/>
      <c r="R59" s="98" t="s">
        <v>3204</v>
      </c>
      <c r="S59" s="97"/>
      <c r="T59" s="93" t="s">
        <v>2646</v>
      </c>
      <c r="U59" s="91" t="s">
        <v>3205</v>
      </c>
      <c r="V59" s="99"/>
      <c r="W59" s="99"/>
      <c r="X59" s="91"/>
      <c r="Y59" s="91" t="s">
        <v>3206</v>
      </c>
    </row>
    <row r="60" spans="1:25" ht="41.25" customHeight="1" x14ac:dyDescent="0.2">
      <c r="A60" s="89" t="s">
        <v>493</v>
      </c>
      <c r="B60" s="90"/>
      <c r="C60" s="99"/>
      <c r="D60" s="104">
        <v>44506</v>
      </c>
      <c r="E60" s="93" t="s">
        <v>3346</v>
      </c>
      <c r="F60" s="93" t="s">
        <v>3282</v>
      </c>
      <c r="G60" s="93" t="s">
        <v>3361</v>
      </c>
      <c r="H60" s="93"/>
      <c r="I60" s="94"/>
      <c r="J60" s="95"/>
      <c r="K60" s="93"/>
      <c r="L60" s="96"/>
      <c r="M60" s="93"/>
      <c r="N60" s="93"/>
      <c r="O60" s="97"/>
      <c r="P60" s="97"/>
      <c r="Q60" s="97"/>
      <c r="R60" s="98" t="s">
        <v>3204</v>
      </c>
      <c r="S60" s="97"/>
      <c r="T60" s="93" t="s">
        <v>2646</v>
      </c>
      <c r="U60" s="91" t="s">
        <v>3205</v>
      </c>
      <c r="V60" s="99"/>
      <c r="W60" s="99"/>
      <c r="X60" s="91"/>
      <c r="Y60" s="91" t="s">
        <v>3206</v>
      </c>
    </row>
    <row r="61" spans="1:25" ht="41.25" customHeight="1" x14ac:dyDescent="0.2">
      <c r="A61" s="89" t="s">
        <v>493</v>
      </c>
      <c r="B61" s="90"/>
      <c r="C61" s="99"/>
      <c r="D61" s="104">
        <v>44506</v>
      </c>
      <c r="E61" s="93" t="s">
        <v>3362</v>
      </c>
      <c r="F61" s="93"/>
      <c r="G61" s="93" t="s">
        <v>3363</v>
      </c>
      <c r="H61" s="93"/>
      <c r="I61" s="94"/>
      <c r="J61" s="95"/>
      <c r="K61" s="93"/>
      <c r="L61" s="96"/>
      <c r="M61" s="93"/>
      <c r="N61" s="93"/>
      <c r="O61" s="97"/>
      <c r="P61" s="97"/>
      <c r="Q61" s="97"/>
      <c r="R61" s="98" t="s">
        <v>3204</v>
      </c>
      <c r="S61" s="97"/>
      <c r="T61" s="93" t="s">
        <v>2646</v>
      </c>
      <c r="U61" s="91" t="s">
        <v>3205</v>
      </c>
      <c r="V61" s="99"/>
      <c r="W61" s="99"/>
      <c r="X61" s="91"/>
      <c r="Y61" s="91" t="s">
        <v>3206</v>
      </c>
    </row>
    <row r="62" spans="1:25" ht="41.25" customHeight="1" x14ac:dyDescent="0.2">
      <c r="A62" s="89" t="s">
        <v>493</v>
      </c>
      <c r="B62" s="90"/>
      <c r="C62" s="99"/>
      <c r="D62" s="104">
        <v>44506</v>
      </c>
      <c r="E62" s="93" t="s">
        <v>3089</v>
      </c>
      <c r="F62" s="93"/>
      <c r="G62" s="93" t="s">
        <v>3364</v>
      </c>
      <c r="H62" s="93"/>
      <c r="I62" s="94"/>
      <c r="J62" s="95"/>
      <c r="K62" s="93"/>
      <c r="L62" s="96"/>
      <c r="M62" s="93"/>
      <c r="N62" s="93"/>
      <c r="O62" s="97"/>
      <c r="P62" s="97"/>
      <c r="Q62" s="97"/>
      <c r="R62" s="98" t="s">
        <v>3204</v>
      </c>
      <c r="S62" s="97"/>
      <c r="T62" s="93" t="s">
        <v>2646</v>
      </c>
      <c r="U62" s="91" t="s">
        <v>3205</v>
      </c>
      <c r="V62" s="99"/>
      <c r="W62" s="99"/>
      <c r="X62" s="91"/>
      <c r="Y62" s="91" t="s">
        <v>3206</v>
      </c>
    </row>
    <row r="63" spans="1:25" ht="41.25" customHeight="1" x14ac:dyDescent="0.2">
      <c r="A63" s="89" t="s">
        <v>493</v>
      </c>
      <c r="B63" s="90"/>
      <c r="C63" s="99"/>
      <c r="D63" s="104">
        <v>44506</v>
      </c>
      <c r="E63" s="93" t="s">
        <v>3246</v>
      </c>
      <c r="F63" s="93" t="s">
        <v>3365</v>
      </c>
      <c r="G63" s="93" t="s">
        <v>3236</v>
      </c>
      <c r="H63" s="93"/>
      <c r="I63" s="94"/>
      <c r="J63" s="95"/>
      <c r="K63" s="93"/>
      <c r="L63" s="96"/>
      <c r="M63" s="93"/>
      <c r="N63" s="93"/>
      <c r="O63" s="97"/>
      <c r="P63" s="97"/>
      <c r="Q63" s="97"/>
      <c r="R63" s="98" t="s">
        <v>3204</v>
      </c>
      <c r="S63" s="97"/>
      <c r="T63" s="93" t="s">
        <v>2646</v>
      </c>
      <c r="U63" s="91" t="s">
        <v>3205</v>
      </c>
      <c r="V63" s="99"/>
      <c r="W63" s="99"/>
      <c r="X63" s="91"/>
      <c r="Y63" s="91" t="s">
        <v>3366</v>
      </c>
    </row>
    <row r="64" spans="1:25" ht="41.25" customHeight="1" x14ac:dyDescent="0.2">
      <c r="A64" s="89" t="s">
        <v>493</v>
      </c>
      <c r="B64" s="90">
        <v>44772</v>
      </c>
      <c r="C64" s="103">
        <v>44772</v>
      </c>
      <c r="D64" s="104">
        <v>44835</v>
      </c>
      <c r="E64" s="93" t="s">
        <v>3367</v>
      </c>
      <c r="F64" s="93"/>
      <c r="G64" s="93" t="s">
        <v>3368</v>
      </c>
      <c r="H64" s="93"/>
      <c r="I64" s="94">
        <v>1017199665</v>
      </c>
      <c r="J64" s="95">
        <v>3012717803</v>
      </c>
      <c r="K64" s="93"/>
      <c r="L64" s="96"/>
      <c r="M64" s="93" t="s">
        <v>272</v>
      </c>
      <c r="N64" s="93" t="s">
        <v>3369</v>
      </c>
      <c r="O64" s="97"/>
      <c r="P64" s="97"/>
      <c r="Q64" s="97"/>
      <c r="R64" s="98" t="s">
        <v>3204</v>
      </c>
      <c r="S64" s="97" t="s">
        <v>2622</v>
      </c>
      <c r="T64" s="93" t="s">
        <v>2646</v>
      </c>
      <c r="U64" s="91"/>
      <c r="V64" s="99"/>
      <c r="W64" s="99"/>
      <c r="X64" s="91" t="s">
        <v>2904</v>
      </c>
      <c r="Y64" s="91" t="s">
        <v>3206</v>
      </c>
    </row>
    <row r="65" spans="1:25" ht="41.25" customHeight="1" x14ac:dyDescent="0.2">
      <c r="A65" s="89" t="s">
        <v>493</v>
      </c>
      <c r="B65" s="90">
        <v>44772</v>
      </c>
      <c r="C65" s="103">
        <v>44772</v>
      </c>
      <c r="D65" s="105">
        <v>44835</v>
      </c>
      <c r="E65" s="93" t="s">
        <v>3370</v>
      </c>
      <c r="F65" s="93"/>
      <c r="G65" s="93" t="s">
        <v>3247</v>
      </c>
      <c r="H65" s="93"/>
      <c r="I65" s="94">
        <v>50920651</v>
      </c>
      <c r="J65" s="95">
        <v>3148385554</v>
      </c>
      <c r="K65" s="93"/>
      <c r="L65" s="96"/>
      <c r="M65" s="93"/>
      <c r="N65" s="93" t="s">
        <v>3371</v>
      </c>
      <c r="O65" s="98"/>
      <c r="P65" s="98" t="s">
        <v>2648</v>
      </c>
      <c r="Q65" s="98" t="s">
        <v>2648</v>
      </c>
      <c r="R65" s="98" t="s">
        <v>3204</v>
      </c>
      <c r="S65" s="97" t="s">
        <v>2838</v>
      </c>
      <c r="T65" s="93" t="s">
        <v>2646</v>
      </c>
      <c r="U65" s="91" t="s">
        <v>3372</v>
      </c>
      <c r="V65" s="99" t="s">
        <v>3373</v>
      </c>
      <c r="W65" s="99"/>
      <c r="X65" s="91" t="s">
        <v>2907</v>
      </c>
      <c r="Y65" s="91" t="s">
        <v>3374</v>
      </c>
    </row>
    <row r="66" spans="1:25" ht="41.25" customHeight="1" x14ac:dyDescent="0.2">
      <c r="A66" s="89" t="s">
        <v>493</v>
      </c>
      <c r="B66" s="90">
        <v>44779</v>
      </c>
      <c r="C66" s="104">
        <v>44779</v>
      </c>
      <c r="D66" s="104">
        <v>44835</v>
      </c>
      <c r="E66" s="93" t="s">
        <v>635</v>
      </c>
      <c r="F66" s="93" t="s">
        <v>3375</v>
      </c>
      <c r="G66" s="93" t="s">
        <v>3303</v>
      </c>
      <c r="H66" s="93"/>
      <c r="I66" s="94">
        <v>15537475</v>
      </c>
      <c r="J66" s="95">
        <v>3145830260</v>
      </c>
      <c r="K66" s="93"/>
      <c r="L66" s="96"/>
      <c r="M66" s="93" t="s">
        <v>656</v>
      </c>
      <c r="N66" s="93" t="s">
        <v>3376</v>
      </c>
      <c r="O66" s="97"/>
      <c r="P66" s="97"/>
      <c r="Q66" s="97"/>
      <c r="R66" s="98" t="s">
        <v>3204</v>
      </c>
      <c r="S66" s="97" t="s">
        <v>2838</v>
      </c>
      <c r="T66" s="93" t="s">
        <v>2646</v>
      </c>
      <c r="U66" s="91" t="s">
        <v>3377</v>
      </c>
      <c r="V66" s="99"/>
      <c r="W66" s="99"/>
      <c r="X66" s="91"/>
      <c r="Y66" s="91" t="s">
        <v>3206</v>
      </c>
    </row>
    <row r="67" spans="1:25" ht="41.25" customHeight="1" x14ac:dyDescent="0.2">
      <c r="A67" s="89" t="s">
        <v>493</v>
      </c>
      <c r="B67" s="90">
        <v>44779</v>
      </c>
      <c r="C67" s="104">
        <v>44779</v>
      </c>
      <c r="D67" s="104">
        <v>44835</v>
      </c>
      <c r="E67" s="93" t="s">
        <v>3378</v>
      </c>
      <c r="F67" s="93"/>
      <c r="G67" s="93" t="s">
        <v>3312</v>
      </c>
      <c r="H67" s="93" t="s">
        <v>3233</v>
      </c>
      <c r="I67" s="94">
        <v>6459642</v>
      </c>
      <c r="J67" s="95">
        <v>3105265039</v>
      </c>
      <c r="K67" s="93"/>
      <c r="L67" s="96"/>
      <c r="M67" s="93" t="s">
        <v>199</v>
      </c>
      <c r="N67" s="93" t="s">
        <v>3379</v>
      </c>
      <c r="O67" s="97"/>
      <c r="P67" s="97"/>
      <c r="Q67" s="97"/>
      <c r="R67" s="98" t="s">
        <v>3204</v>
      </c>
      <c r="S67" s="97" t="s">
        <v>2622</v>
      </c>
      <c r="T67" s="93" t="s">
        <v>2646</v>
      </c>
      <c r="U67" s="91" t="s">
        <v>3380</v>
      </c>
      <c r="V67" s="99"/>
      <c r="W67" s="99"/>
      <c r="X67" s="91" t="s">
        <v>2882</v>
      </c>
      <c r="Y67" s="91" t="s">
        <v>3206</v>
      </c>
    </row>
    <row r="68" spans="1:25" ht="41.25" customHeight="1" x14ac:dyDescent="0.2">
      <c r="A68" s="89" t="s">
        <v>493</v>
      </c>
      <c r="B68" s="90">
        <v>44779</v>
      </c>
      <c r="C68" s="104">
        <v>44779</v>
      </c>
      <c r="D68" s="104">
        <v>44835</v>
      </c>
      <c r="E68" s="93" t="s">
        <v>3381</v>
      </c>
      <c r="F68" s="93" t="s">
        <v>3382</v>
      </c>
      <c r="G68" s="93" t="s">
        <v>3383</v>
      </c>
      <c r="H68" s="93" t="s">
        <v>3384</v>
      </c>
      <c r="I68" s="94">
        <v>39305766</v>
      </c>
      <c r="J68" s="95">
        <v>3223167626</v>
      </c>
      <c r="K68" s="93"/>
      <c r="L68" s="96"/>
      <c r="M68" s="93" t="s">
        <v>2097</v>
      </c>
      <c r="N68" s="93" t="s">
        <v>2097</v>
      </c>
      <c r="O68" s="97"/>
      <c r="P68" s="97"/>
      <c r="Q68" s="98" t="s">
        <v>3204</v>
      </c>
      <c r="R68" s="98" t="s">
        <v>3204</v>
      </c>
      <c r="S68" s="97" t="s">
        <v>2622</v>
      </c>
      <c r="T68" s="93" t="s">
        <v>2646</v>
      </c>
      <c r="U68" s="91" t="s">
        <v>3385</v>
      </c>
      <c r="V68" s="99"/>
      <c r="W68" s="99"/>
      <c r="X68" s="91" t="s">
        <v>2909</v>
      </c>
      <c r="Y68" s="91" t="s">
        <v>3206</v>
      </c>
    </row>
    <row r="69" spans="1:25" ht="41.25" customHeight="1" x14ac:dyDescent="0.2">
      <c r="A69" s="89" t="s">
        <v>493</v>
      </c>
      <c r="B69" s="90">
        <v>44782</v>
      </c>
      <c r="C69" s="103">
        <v>44772</v>
      </c>
      <c r="D69" s="104">
        <v>44835</v>
      </c>
      <c r="E69" s="93" t="s">
        <v>3386</v>
      </c>
      <c r="F69" s="93" t="s">
        <v>3387</v>
      </c>
      <c r="G69" s="93" t="s">
        <v>3247</v>
      </c>
      <c r="H69" s="93" t="s">
        <v>3233</v>
      </c>
      <c r="I69" s="94">
        <v>43734632</v>
      </c>
      <c r="J69" s="95">
        <v>3162595318</v>
      </c>
      <c r="K69" s="93"/>
      <c r="L69" s="96"/>
      <c r="M69" s="93" t="s">
        <v>272</v>
      </c>
      <c r="N69" s="93" t="s">
        <v>3388</v>
      </c>
      <c r="O69" s="97"/>
      <c r="P69" s="97"/>
      <c r="Q69" s="97"/>
      <c r="R69" s="98" t="s">
        <v>3204</v>
      </c>
      <c r="S69" s="97" t="s">
        <v>2622</v>
      </c>
      <c r="T69" s="93" t="s">
        <v>2646</v>
      </c>
      <c r="U69" s="91" t="s">
        <v>3389</v>
      </c>
      <c r="V69" s="99"/>
      <c r="W69" s="99"/>
      <c r="X69" s="91" t="s">
        <v>2844</v>
      </c>
      <c r="Y69" s="91" t="s">
        <v>3206</v>
      </c>
    </row>
    <row r="70" spans="1:25" ht="41.25" customHeight="1" x14ac:dyDescent="0.2">
      <c r="A70" s="89" t="s">
        <v>493</v>
      </c>
      <c r="B70" s="90">
        <v>44863</v>
      </c>
      <c r="C70" s="104">
        <v>44779</v>
      </c>
      <c r="D70" s="104">
        <v>44835</v>
      </c>
      <c r="E70" s="93" t="s">
        <v>3390</v>
      </c>
      <c r="F70" s="93"/>
      <c r="G70" s="93" t="s">
        <v>3391</v>
      </c>
      <c r="H70" s="93"/>
      <c r="I70" s="94">
        <v>1066571380</v>
      </c>
      <c r="J70" s="95">
        <v>3223175727</v>
      </c>
      <c r="K70" s="93"/>
      <c r="L70" s="96"/>
      <c r="M70" s="93" t="s">
        <v>3392</v>
      </c>
      <c r="N70" s="93" t="s">
        <v>3392</v>
      </c>
      <c r="O70" s="97"/>
      <c r="P70" s="97"/>
      <c r="Q70" s="97"/>
      <c r="R70" s="98" t="s">
        <v>3204</v>
      </c>
      <c r="S70" s="97" t="s">
        <v>2622</v>
      </c>
      <c r="T70" s="93" t="s">
        <v>2646</v>
      </c>
      <c r="U70" s="91"/>
      <c r="V70" s="99"/>
      <c r="W70" s="99"/>
      <c r="X70" s="91" t="s">
        <v>2878</v>
      </c>
      <c r="Y70" s="91" t="s">
        <v>3206</v>
      </c>
    </row>
    <row r="71" spans="1:25" ht="41.25" customHeight="1" x14ac:dyDescent="0.2">
      <c r="A71" s="89" t="s">
        <v>493</v>
      </c>
      <c r="B71" s="90">
        <v>44765</v>
      </c>
      <c r="C71" s="103">
        <v>44765</v>
      </c>
      <c r="D71" s="104">
        <v>44835</v>
      </c>
      <c r="E71" s="93" t="s">
        <v>3393</v>
      </c>
      <c r="F71" s="93" t="s">
        <v>3394</v>
      </c>
      <c r="G71" s="93" t="s">
        <v>3395</v>
      </c>
      <c r="H71" s="93"/>
      <c r="I71" s="94">
        <v>1045522257</v>
      </c>
      <c r="J71" s="95">
        <v>3245799029</v>
      </c>
      <c r="K71" s="93"/>
      <c r="L71" s="96"/>
      <c r="M71" s="93"/>
      <c r="N71" s="93" t="s">
        <v>3396</v>
      </c>
      <c r="O71" s="97"/>
      <c r="P71" s="97"/>
      <c r="Q71" s="98" t="s">
        <v>3204</v>
      </c>
      <c r="R71" s="98" t="s">
        <v>3204</v>
      </c>
      <c r="S71" s="97" t="s">
        <v>2622</v>
      </c>
      <c r="T71" s="93" t="s">
        <v>3397</v>
      </c>
      <c r="U71" s="91"/>
      <c r="V71" s="99"/>
      <c r="W71" s="99"/>
      <c r="X71" s="91" t="s">
        <v>3082</v>
      </c>
      <c r="Y71" s="91" t="s">
        <v>3206</v>
      </c>
    </row>
    <row r="72" spans="1:25" ht="41.25" customHeight="1" x14ac:dyDescent="0.2">
      <c r="A72" s="89" t="s">
        <v>493</v>
      </c>
      <c r="B72" s="90">
        <v>44765</v>
      </c>
      <c r="C72" s="106" t="s">
        <v>3398</v>
      </c>
      <c r="D72" s="103">
        <v>45060</v>
      </c>
      <c r="E72" s="93" t="s">
        <v>3399</v>
      </c>
      <c r="F72" s="93" t="s">
        <v>3400</v>
      </c>
      <c r="G72" s="93" t="s">
        <v>3203</v>
      </c>
      <c r="H72" s="93"/>
      <c r="I72" s="94">
        <v>1152712841</v>
      </c>
      <c r="J72" s="95">
        <v>3106714093</v>
      </c>
      <c r="K72" s="93"/>
      <c r="L72" s="96"/>
      <c r="M72" s="93" t="s">
        <v>1039</v>
      </c>
      <c r="N72" s="93" t="s">
        <v>1039</v>
      </c>
      <c r="O72" s="97"/>
      <c r="P72" s="97"/>
      <c r="Q72" s="97"/>
      <c r="R72" s="98" t="s">
        <v>3209</v>
      </c>
      <c r="S72" s="97" t="s">
        <v>2848</v>
      </c>
      <c r="T72" s="93" t="s">
        <v>2646</v>
      </c>
      <c r="U72" s="91" t="s">
        <v>3401</v>
      </c>
      <c r="V72" s="99" t="s">
        <v>3402</v>
      </c>
      <c r="W72" s="99"/>
      <c r="X72" s="91" t="s">
        <v>3038</v>
      </c>
      <c r="Y72" s="91" t="s">
        <v>3206</v>
      </c>
    </row>
    <row r="73" spans="1:25" ht="41.25" customHeight="1" x14ac:dyDescent="0.2">
      <c r="A73" s="89" t="s">
        <v>493</v>
      </c>
      <c r="B73" s="90">
        <v>44948</v>
      </c>
      <c r="C73" s="103">
        <v>44948</v>
      </c>
      <c r="D73" s="103">
        <v>45060</v>
      </c>
      <c r="E73" s="93" t="s">
        <v>3246</v>
      </c>
      <c r="F73" s="93" t="s">
        <v>3365</v>
      </c>
      <c r="G73" s="93" t="s">
        <v>3236</v>
      </c>
      <c r="H73" s="93" t="s">
        <v>3403</v>
      </c>
      <c r="I73" s="94">
        <v>43101307</v>
      </c>
      <c r="J73" s="95">
        <v>3145206758</v>
      </c>
      <c r="K73" s="93" t="s">
        <v>2987</v>
      </c>
      <c r="L73" s="96">
        <v>3135113919</v>
      </c>
      <c r="M73" s="93" t="s">
        <v>3404</v>
      </c>
      <c r="N73" s="93" t="s">
        <v>3405</v>
      </c>
      <c r="O73" s="97"/>
      <c r="P73" s="97"/>
      <c r="Q73" s="97"/>
      <c r="R73" s="98" t="s">
        <v>3209</v>
      </c>
      <c r="S73" s="97" t="s">
        <v>2622</v>
      </c>
      <c r="T73" s="93" t="s">
        <v>2646</v>
      </c>
      <c r="U73" s="91" t="s">
        <v>3406</v>
      </c>
      <c r="V73" s="99"/>
      <c r="W73" s="99"/>
      <c r="X73" s="91" t="s">
        <v>2988</v>
      </c>
      <c r="Y73" s="91" t="s">
        <v>3206</v>
      </c>
    </row>
    <row r="74" spans="1:25" ht="41.25" customHeight="1" x14ac:dyDescent="0.2">
      <c r="A74" s="89" t="s">
        <v>493</v>
      </c>
      <c r="B74" s="90">
        <v>44948</v>
      </c>
      <c r="C74" s="103">
        <v>44948</v>
      </c>
      <c r="D74" s="103">
        <v>45060</v>
      </c>
      <c r="E74" s="93" t="s">
        <v>3214</v>
      </c>
      <c r="F74" s="93" t="s">
        <v>3407</v>
      </c>
      <c r="G74" s="93" t="s">
        <v>3408</v>
      </c>
      <c r="H74" s="93" t="s">
        <v>3409</v>
      </c>
      <c r="I74" s="94">
        <v>1063282525</v>
      </c>
      <c r="J74" s="95">
        <v>3226056855</v>
      </c>
      <c r="K74" s="93"/>
      <c r="L74" s="96" t="s">
        <v>3000</v>
      </c>
      <c r="M74" s="93" t="s">
        <v>297</v>
      </c>
      <c r="N74" s="93"/>
      <c r="O74" s="97"/>
      <c r="P74" s="97"/>
      <c r="Q74" s="97"/>
      <c r="R74" s="98" t="s">
        <v>3209</v>
      </c>
      <c r="S74" s="97" t="s">
        <v>2838</v>
      </c>
      <c r="T74" s="93" t="s">
        <v>2646</v>
      </c>
      <c r="U74" s="91"/>
      <c r="V74" s="99"/>
      <c r="W74" s="99"/>
      <c r="X74" s="91" t="s">
        <v>3001</v>
      </c>
      <c r="Y74" s="91" t="s">
        <v>3206</v>
      </c>
    </row>
    <row r="75" spans="1:25" ht="41.25" customHeight="1" x14ac:dyDescent="0.2">
      <c r="A75" s="89" t="s">
        <v>493</v>
      </c>
      <c r="B75" s="90">
        <v>45039</v>
      </c>
      <c r="C75" s="103">
        <v>45039</v>
      </c>
      <c r="D75" s="103">
        <v>45060</v>
      </c>
      <c r="E75" s="93" t="s">
        <v>3410</v>
      </c>
      <c r="F75" s="93"/>
      <c r="G75" s="93" t="s">
        <v>3411</v>
      </c>
      <c r="H75" s="93"/>
      <c r="I75" s="94">
        <v>43902744</v>
      </c>
      <c r="J75" s="95">
        <v>3233772897</v>
      </c>
      <c r="K75" s="93"/>
      <c r="L75" s="96"/>
      <c r="M75" s="93" t="s">
        <v>272</v>
      </c>
      <c r="N75" s="93"/>
      <c r="O75" s="97"/>
      <c r="P75" s="97"/>
      <c r="Q75" s="97"/>
      <c r="R75" s="98" t="s">
        <v>3209</v>
      </c>
      <c r="S75" s="97"/>
      <c r="T75" s="93" t="s">
        <v>2646</v>
      </c>
      <c r="U75" s="91"/>
      <c r="V75" s="99"/>
      <c r="W75" s="99"/>
      <c r="X75" s="91" t="s">
        <v>3086</v>
      </c>
      <c r="Y75" s="91" t="s">
        <v>3206</v>
      </c>
    </row>
    <row r="76" spans="1:25" ht="41.25" customHeight="1" x14ac:dyDescent="0.2">
      <c r="A76" s="89" t="s">
        <v>493</v>
      </c>
      <c r="B76" s="90">
        <v>44948</v>
      </c>
      <c r="C76" s="106" t="s">
        <v>3412</v>
      </c>
      <c r="D76" s="104">
        <v>45080</v>
      </c>
      <c r="E76" s="93" t="s">
        <v>3201</v>
      </c>
      <c r="F76" s="93" t="s">
        <v>3089</v>
      </c>
      <c r="G76" s="93" t="s">
        <v>3413</v>
      </c>
      <c r="H76" s="93" t="s">
        <v>3414</v>
      </c>
      <c r="I76" s="94">
        <v>42881987</v>
      </c>
      <c r="J76" s="95">
        <v>3128805147</v>
      </c>
      <c r="K76" s="93"/>
      <c r="L76" s="96"/>
      <c r="M76" s="93"/>
      <c r="N76" s="93" t="s">
        <v>3415</v>
      </c>
      <c r="O76" s="97"/>
      <c r="P76" s="97"/>
      <c r="Q76" s="97"/>
      <c r="R76" s="98" t="s">
        <v>3204</v>
      </c>
      <c r="S76" s="97" t="s">
        <v>2848</v>
      </c>
      <c r="T76" s="93" t="s">
        <v>2646</v>
      </c>
      <c r="U76" s="91" t="s">
        <v>3416</v>
      </c>
      <c r="V76" s="99"/>
      <c r="W76" s="99"/>
      <c r="X76" s="91" t="s">
        <v>2849</v>
      </c>
      <c r="Y76" s="91" t="s">
        <v>3206</v>
      </c>
    </row>
    <row r="77" spans="1:25" ht="41.25" customHeight="1" x14ac:dyDescent="0.2">
      <c r="A77" s="89" t="s">
        <v>493</v>
      </c>
      <c r="B77" s="90">
        <v>44779</v>
      </c>
      <c r="C77" s="104">
        <v>44779</v>
      </c>
      <c r="D77" s="104">
        <v>45116</v>
      </c>
      <c r="E77" s="93" t="s">
        <v>3246</v>
      </c>
      <c r="F77" s="93" t="s">
        <v>3365</v>
      </c>
      <c r="G77" s="93" t="s">
        <v>3417</v>
      </c>
      <c r="H77" s="93" t="s">
        <v>3417</v>
      </c>
      <c r="I77" s="94">
        <v>43519623</v>
      </c>
      <c r="J77" s="95">
        <v>3128143956</v>
      </c>
      <c r="K77" s="93"/>
      <c r="L77" s="96"/>
      <c r="M77" s="93" t="s">
        <v>3418</v>
      </c>
      <c r="N77" s="93" t="s">
        <v>3419</v>
      </c>
      <c r="O77" s="97"/>
      <c r="P77" s="97"/>
      <c r="Q77" s="98" t="s">
        <v>3204</v>
      </c>
      <c r="R77" s="98" t="s">
        <v>3204</v>
      </c>
      <c r="S77" s="97" t="s">
        <v>2622</v>
      </c>
      <c r="T77" s="93" t="s">
        <v>2646</v>
      </c>
      <c r="U77" s="91" t="s">
        <v>3420</v>
      </c>
      <c r="V77" s="99"/>
      <c r="W77" s="99"/>
      <c r="X77" s="91" t="s">
        <v>2985</v>
      </c>
      <c r="Y77" s="91"/>
    </row>
    <row r="78" spans="1:25" ht="41.25" customHeight="1" x14ac:dyDescent="0.2">
      <c r="A78" s="89" t="s">
        <v>493</v>
      </c>
      <c r="B78" s="90"/>
      <c r="C78" s="99"/>
      <c r="D78" s="106" t="s">
        <v>2861</v>
      </c>
      <c r="E78" s="93" t="s">
        <v>3421</v>
      </c>
      <c r="F78" s="93"/>
      <c r="G78" s="93" t="s">
        <v>3223</v>
      </c>
      <c r="H78" s="93"/>
      <c r="I78" s="94"/>
      <c r="J78" s="95"/>
      <c r="K78" s="93"/>
      <c r="L78" s="96"/>
      <c r="M78" s="93"/>
      <c r="N78" s="93"/>
      <c r="O78" s="97"/>
      <c r="P78" s="97"/>
      <c r="Q78" s="97"/>
      <c r="R78" s="98" t="s">
        <v>3204</v>
      </c>
      <c r="S78" s="97"/>
      <c r="T78" s="93" t="s">
        <v>2646</v>
      </c>
      <c r="U78" s="91" t="s">
        <v>3205</v>
      </c>
      <c r="V78" s="99"/>
      <c r="W78" s="99"/>
      <c r="X78" s="91"/>
      <c r="Y78" s="91" t="s">
        <v>3206</v>
      </c>
    </row>
    <row r="79" spans="1:25" ht="41.25" customHeight="1" x14ac:dyDescent="0.2">
      <c r="A79" s="89" t="s">
        <v>493</v>
      </c>
      <c r="B79" s="90"/>
      <c r="C79" s="99"/>
      <c r="D79" s="106" t="s">
        <v>2861</v>
      </c>
      <c r="E79" s="93" t="s">
        <v>3422</v>
      </c>
      <c r="F79" s="93" t="s">
        <v>3423</v>
      </c>
      <c r="G79" s="93" t="s">
        <v>3424</v>
      </c>
      <c r="H79" s="93"/>
      <c r="I79" s="94"/>
      <c r="J79" s="95"/>
      <c r="K79" s="93"/>
      <c r="L79" s="96"/>
      <c r="M79" s="93"/>
      <c r="N79" s="93"/>
      <c r="O79" s="97"/>
      <c r="P79" s="97"/>
      <c r="Q79" s="97"/>
      <c r="R79" s="98" t="s">
        <v>3204</v>
      </c>
      <c r="S79" s="97"/>
      <c r="T79" s="93" t="s">
        <v>2646</v>
      </c>
      <c r="U79" s="91" t="s">
        <v>3205</v>
      </c>
      <c r="V79" s="99"/>
      <c r="W79" s="99"/>
      <c r="X79" s="91"/>
      <c r="Y79" s="91" t="s">
        <v>3206</v>
      </c>
    </row>
    <row r="80" spans="1:25" ht="41.25" customHeight="1" x14ac:dyDescent="0.2">
      <c r="A80" s="89" t="s">
        <v>493</v>
      </c>
      <c r="B80" s="90"/>
      <c r="C80" s="99"/>
      <c r="D80" s="106" t="s">
        <v>2938</v>
      </c>
      <c r="E80" s="93" t="s">
        <v>3425</v>
      </c>
      <c r="F80" s="93" t="s">
        <v>3426</v>
      </c>
      <c r="G80" s="93" t="s">
        <v>3345</v>
      </c>
      <c r="H80" s="93"/>
      <c r="I80" s="94"/>
      <c r="J80" s="95"/>
      <c r="K80" s="93"/>
      <c r="L80" s="96"/>
      <c r="M80" s="93"/>
      <c r="N80" s="93"/>
      <c r="O80" s="97"/>
      <c r="P80" s="97"/>
      <c r="Q80" s="97"/>
      <c r="R80" s="98" t="s">
        <v>3204</v>
      </c>
      <c r="S80" s="97"/>
      <c r="T80" s="93" t="s">
        <v>2646</v>
      </c>
      <c r="U80" s="91" t="s">
        <v>3205</v>
      </c>
      <c r="V80" s="99"/>
      <c r="W80" s="99"/>
      <c r="X80" s="91"/>
      <c r="Y80" s="91" t="s">
        <v>3206</v>
      </c>
    </row>
    <row r="81" spans="1:26" ht="41.25" customHeight="1" x14ac:dyDescent="0.2">
      <c r="A81" s="89" t="s">
        <v>493</v>
      </c>
      <c r="B81" s="90">
        <v>44779</v>
      </c>
      <c r="C81" s="103">
        <v>45039</v>
      </c>
      <c r="D81" s="99"/>
      <c r="E81" s="93" t="s">
        <v>3427</v>
      </c>
      <c r="F81" s="93" t="s">
        <v>3428</v>
      </c>
      <c r="G81" s="93" t="s">
        <v>3303</v>
      </c>
      <c r="H81" s="93"/>
      <c r="I81" s="94">
        <v>98458001</v>
      </c>
      <c r="J81" s="95">
        <v>3123822490</v>
      </c>
      <c r="K81" s="93" t="s">
        <v>519</v>
      </c>
      <c r="L81" s="96">
        <v>3147416259</v>
      </c>
      <c r="M81" s="93" t="s">
        <v>518</v>
      </c>
      <c r="N81" s="93"/>
      <c r="O81" s="97"/>
      <c r="P81" s="97"/>
      <c r="Q81" s="97"/>
      <c r="R81" s="98" t="s">
        <v>2648</v>
      </c>
      <c r="S81" s="97" t="s">
        <v>2622</v>
      </c>
      <c r="T81" s="93" t="s">
        <v>2644</v>
      </c>
      <c r="U81" s="91" t="s">
        <v>3429</v>
      </c>
      <c r="V81" s="99" t="s">
        <v>3430</v>
      </c>
      <c r="W81" s="99"/>
      <c r="X81" s="91" t="s">
        <v>3044</v>
      </c>
      <c r="Y81" s="91" t="s">
        <v>3206</v>
      </c>
    </row>
    <row r="82" spans="1:26" ht="41.25" customHeight="1" x14ac:dyDescent="0.2">
      <c r="A82" s="89" t="s">
        <v>493</v>
      </c>
      <c r="B82" s="90">
        <v>44583</v>
      </c>
      <c r="C82" s="106" t="s">
        <v>3431</v>
      </c>
      <c r="D82" s="99"/>
      <c r="E82" s="93" t="s">
        <v>3432</v>
      </c>
      <c r="F82" s="93"/>
      <c r="G82" s="93" t="s">
        <v>3433</v>
      </c>
      <c r="H82" s="93"/>
      <c r="I82" s="94">
        <v>21476080</v>
      </c>
      <c r="J82" s="95">
        <v>3145049443</v>
      </c>
      <c r="K82" s="93"/>
      <c r="L82" s="96">
        <v>3137053213</v>
      </c>
      <c r="M82" s="93"/>
      <c r="N82" s="93" t="s">
        <v>3434</v>
      </c>
      <c r="O82" s="97"/>
      <c r="P82" s="97"/>
      <c r="Q82" s="98" t="s">
        <v>3204</v>
      </c>
      <c r="R82" s="98" t="s">
        <v>3204</v>
      </c>
      <c r="S82" s="97" t="s">
        <v>2838</v>
      </c>
      <c r="T82" s="93" t="s">
        <v>2646</v>
      </c>
      <c r="U82" s="91" t="s">
        <v>3435</v>
      </c>
      <c r="V82" s="99"/>
      <c r="W82" s="99" t="s">
        <v>3436</v>
      </c>
      <c r="X82" s="91"/>
      <c r="Y82" s="91" t="s">
        <v>3206</v>
      </c>
    </row>
    <row r="83" spans="1:26" ht="41.25" customHeight="1" x14ac:dyDescent="0.2">
      <c r="A83" s="89" t="s">
        <v>493</v>
      </c>
      <c r="B83" s="90">
        <v>44969</v>
      </c>
      <c r="C83" s="103">
        <v>44969</v>
      </c>
      <c r="D83" s="99"/>
      <c r="E83" s="93" t="s">
        <v>3437</v>
      </c>
      <c r="F83" s="93" t="s">
        <v>3282</v>
      </c>
      <c r="G83" s="93" t="s">
        <v>3438</v>
      </c>
      <c r="H83" s="93" t="s">
        <v>3439</v>
      </c>
      <c r="I83" s="94">
        <v>15929401</v>
      </c>
      <c r="J83" s="95">
        <v>3003843051</v>
      </c>
      <c r="K83" s="93" t="s">
        <v>2901</v>
      </c>
      <c r="L83" s="96">
        <v>3003843051</v>
      </c>
      <c r="M83" s="93" t="s">
        <v>656</v>
      </c>
      <c r="N83" s="93" t="s">
        <v>3440</v>
      </c>
      <c r="O83" s="97"/>
      <c r="P83" s="97"/>
      <c r="Q83" s="97"/>
      <c r="R83" s="98" t="s">
        <v>3204</v>
      </c>
      <c r="S83" s="97" t="s">
        <v>2622</v>
      </c>
      <c r="T83" s="93" t="s">
        <v>2646</v>
      </c>
      <c r="U83" s="91"/>
      <c r="V83" s="99"/>
      <c r="W83" s="99"/>
      <c r="X83" s="91" t="s">
        <v>2902</v>
      </c>
      <c r="Y83" s="91" t="s">
        <v>3206</v>
      </c>
    </row>
    <row r="84" spans="1:26" ht="41.25" customHeight="1" x14ac:dyDescent="0.2">
      <c r="A84" s="89" t="s">
        <v>493</v>
      </c>
      <c r="B84" s="90">
        <v>44982</v>
      </c>
      <c r="C84" s="103">
        <v>45032</v>
      </c>
      <c r="D84" s="99"/>
      <c r="E84" s="93" t="s">
        <v>3441</v>
      </c>
      <c r="F84" s="93" t="s">
        <v>3442</v>
      </c>
      <c r="G84" s="93" t="s">
        <v>3411</v>
      </c>
      <c r="H84" s="93" t="s">
        <v>3443</v>
      </c>
      <c r="I84" s="94">
        <v>1216723263</v>
      </c>
      <c r="J84" s="95">
        <v>3116849696</v>
      </c>
      <c r="K84" s="93" t="s">
        <v>2857</v>
      </c>
      <c r="L84" s="96">
        <v>3116849696</v>
      </c>
      <c r="M84" s="93" t="s">
        <v>3444</v>
      </c>
      <c r="N84" s="93"/>
      <c r="O84" s="97"/>
      <c r="P84" s="97"/>
      <c r="Q84" s="98" t="s">
        <v>3204</v>
      </c>
      <c r="R84" s="98" t="s">
        <v>3204</v>
      </c>
      <c r="S84" s="97" t="s">
        <v>2622</v>
      </c>
      <c r="T84" s="93" t="s">
        <v>2646</v>
      </c>
      <c r="U84" s="91"/>
      <c r="V84" s="99"/>
      <c r="W84" s="99"/>
      <c r="X84" s="91" t="s">
        <v>2858</v>
      </c>
      <c r="Y84" s="91" t="s">
        <v>3206</v>
      </c>
    </row>
    <row r="85" spans="1:26" ht="41.25" customHeight="1" x14ac:dyDescent="0.2">
      <c r="A85" s="89" t="s">
        <v>493</v>
      </c>
      <c r="B85" s="90">
        <v>45017</v>
      </c>
      <c r="C85" s="103">
        <v>45165</v>
      </c>
      <c r="D85" s="102"/>
      <c r="E85" s="93" t="s">
        <v>3214</v>
      </c>
      <c r="F85" s="93" t="s">
        <v>3445</v>
      </c>
      <c r="G85" s="93" t="s">
        <v>3320</v>
      </c>
      <c r="H85" s="93" t="s">
        <v>3325</v>
      </c>
      <c r="I85" s="94"/>
      <c r="J85" s="95">
        <v>3148012983</v>
      </c>
      <c r="K85" s="93"/>
      <c r="L85" s="96"/>
      <c r="M85" s="93" t="s">
        <v>3446</v>
      </c>
      <c r="N85" s="93"/>
      <c r="O85" s="107" t="s">
        <v>3204</v>
      </c>
      <c r="P85" s="97"/>
      <c r="Q85" s="107" t="s">
        <v>3204</v>
      </c>
      <c r="R85" s="107" t="s">
        <v>3204</v>
      </c>
      <c r="S85" s="97">
        <v>3</v>
      </c>
      <c r="T85" s="93" t="s">
        <v>2646</v>
      </c>
      <c r="U85" s="91"/>
      <c r="V85" s="99"/>
      <c r="W85" s="99"/>
      <c r="X85" s="91" t="s">
        <v>3005</v>
      </c>
      <c r="Y85" s="91" t="s">
        <v>3447</v>
      </c>
    </row>
    <row r="86" spans="1:26" ht="41.25" customHeight="1" x14ac:dyDescent="0.2">
      <c r="A86" s="89" t="s">
        <v>493</v>
      </c>
      <c r="B86" s="90">
        <v>44779</v>
      </c>
      <c r="C86" s="104">
        <v>44779</v>
      </c>
      <c r="D86" s="99"/>
      <c r="E86" s="93" t="s">
        <v>3357</v>
      </c>
      <c r="F86" s="93" t="s">
        <v>3387</v>
      </c>
      <c r="G86" s="93" t="s">
        <v>3448</v>
      </c>
      <c r="H86" s="93"/>
      <c r="I86" s="94">
        <v>1032252665</v>
      </c>
      <c r="J86" s="95">
        <v>3183337047</v>
      </c>
      <c r="K86" s="93"/>
      <c r="L86" s="96"/>
      <c r="M86" s="93" t="s">
        <v>3449</v>
      </c>
      <c r="N86" s="93" t="s">
        <v>3450</v>
      </c>
      <c r="O86" s="98"/>
      <c r="P86" s="98" t="s">
        <v>3204</v>
      </c>
      <c r="Q86" s="98" t="s">
        <v>3204</v>
      </c>
      <c r="R86" s="107" t="s">
        <v>3209</v>
      </c>
      <c r="S86" s="97" t="s">
        <v>2838</v>
      </c>
      <c r="T86" s="93" t="s">
        <v>3451</v>
      </c>
      <c r="U86" s="91" t="s">
        <v>3452</v>
      </c>
      <c r="V86" s="99"/>
      <c r="W86" s="99"/>
      <c r="X86" s="91" t="s">
        <v>2885</v>
      </c>
      <c r="Y86" s="91" t="s">
        <v>3206</v>
      </c>
    </row>
    <row r="87" spans="1:26" ht="41.25" hidden="1" customHeight="1" x14ac:dyDescent="0.2">
      <c r="A87" s="89" t="s">
        <v>493</v>
      </c>
      <c r="B87" s="90">
        <v>44703</v>
      </c>
      <c r="C87" s="103">
        <v>44703</v>
      </c>
      <c r="D87" s="99"/>
      <c r="E87" s="93" t="s">
        <v>3221</v>
      </c>
      <c r="F87" s="93" t="s">
        <v>3307</v>
      </c>
      <c r="G87" s="93" t="s">
        <v>3439</v>
      </c>
      <c r="H87" s="93" t="s">
        <v>3453</v>
      </c>
      <c r="I87" s="94">
        <v>3650155</v>
      </c>
      <c r="J87" s="95"/>
      <c r="K87" s="93"/>
      <c r="L87" s="96"/>
      <c r="M87" s="93" t="s">
        <v>3454</v>
      </c>
      <c r="N87" s="93" t="s">
        <v>3455</v>
      </c>
      <c r="O87" s="97"/>
      <c r="P87" s="97"/>
      <c r="Q87" s="97"/>
      <c r="R87" s="98" t="s">
        <v>3209</v>
      </c>
      <c r="S87" s="97" t="s">
        <v>2622</v>
      </c>
      <c r="T87" s="93" t="s">
        <v>2610</v>
      </c>
      <c r="U87" s="91"/>
      <c r="V87" s="99"/>
      <c r="W87" s="99"/>
      <c r="X87" s="91"/>
      <c r="Y87" s="91" t="s">
        <v>3456</v>
      </c>
    </row>
    <row r="88" spans="1:26" ht="41.25" hidden="1" customHeight="1" x14ac:dyDescent="0.2">
      <c r="A88" s="89" t="s">
        <v>493</v>
      </c>
      <c r="B88" s="90">
        <v>44703</v>
      </c>
      <c r="C88" s="106" t="s">
        <v>3457</v>
      </c>
      <c r="D88" s="101"/>
      <c r="E88" s="93" t="s">
        <v>3089</v>
      </c>
      <c r="F88" s="93" t="s">
        <v>3458</v>
      </c>
      <c r="G88" s="93" t="s">
        <v>3439</v>
      </c>
      <c r="H88" s="93" t="s">
        <v>3459</v>
      </c>
      <c r="I88" s="94">
        <v>1020458824</v>
      </c>
      <c r="J88" s="95">
        <v>3006890125</v>
      </c>
      <c r="K88" s="93"/>
      <c r="L88" s="96"/>
      <c r="M88" s="93" t="s">
        <v>3454</v>
      </c>
      <c r="N88" s="93" t="s">
        <v>3460</v>
      </c>
      <c r="O88" s="97"/>
      <c r="P88" s="97"/>
      <c r="Q88" s="97"/>
      <c r="R88" s="98" t="s">
        <v>3209</v>
      </c>
      <c r="S88" s="97" t="s">
        <v>2848</v>
      </c>
      <c r="T88" s="93" t="s">
        <v>2610</v>
      </c>
      <c r="U88" s="91" t="s">
        <v>3461</v>
      </c>
      <c r="V88" s="99"/>
      <c r="W88" s="99"/>
      <c r="X88" s="91" t="s">
        <v>2973</v>
      </c>
      <c r="Y88" s="91" t="s">
        <v>3206</v>
      </c>
    </row>
    <row r="89" spans="1:26" ht="41.25" hidden="1" customHeight="1" x14ac:dyDescent="0.2">
      <c r="A89" s="89" t="s">
        <v>493</v>
      </c>
      <c r="B89" s="90">
        <v>44716</v>
      </c>
      <c r="C89" s="104">
        <v>44716</v>
      </c>
      <c r="D89" s="99"/>
      <c r="E89" s="93" t="s">
        <v>3462</v>
      </c>
      <c r="F89" s="93" t="s">
        <v>3463</v>
      </c>
      <c r="G89" s="93" t="s">
        <v>3320</v>
      </c>
      <c r="H89" s="93"/>
      <c r="I89" s="94">
        <v>32104621</v>
      </c>
      <c r="J89" s="95">
        <v>3208552641</v>
      </c>
      <c r="K89" s="93"/>
      <c r="L89" s="96"/>
      <c r="M89" s="93" t="s">
        <v>272</v>
      </c>
      <c r="N89" s="93" t="s">
        <v>3464</v>
      </c>
      <c r="O89" s="97"/>
      <c r="P89" s="97"/>
      <c r="Q89" s="97"/>
      <c r="R89" s="98" t="s">
        <v>2648</v>
      </c>
      <c r="S89" s="97" t="s">
        <v>2622</v>
      </c>
      <c r="T89" s="93" t="s">
        <v>2610</v>
      </c>
      <c r="U89" s="91" t="s">
        <v>3465</v>
      </c>
      <c r="V89" s="99" t="s">
        <v>3466</v>
      </c>
      <c r="W89" s="99"/>
      <c r="X89" s="91" t="s">
        <v>2899</v>
      </c>
      <c r="Y89" s="91" t="s">
        <v>3206</v>
      </c>
    </row>
    <row r="90" spans="1:26" ht="41.25" hidden="1" customHeight="1" x14ac:dyDescent="0.2">
      <c r="A90" s="89" t="s">
        <v>493</v>
      </c>
      <c r="B90" s="90">
        <v>44717</v>
      </c>
      <c r="C90" s="104">
        <v>44717</v>
      </c>
      <c r="D90" s="108"/>
      <c r="E90" s="93" t="s">
        <v>3467</v>
      </c>
      <c r="F90" s="93"/>
      <c r="G90" s="93" t="s">
        <v>3394</v>
      </c>
      <c r="H90" s="93"/>
      <c r="I90" s="94">
        <v>1045511266</v>
      </c>
      <c r="J90" s="95">
        <v>3126254104</v>
      </c>
      <c r="K90" s="93"/>
      <c r="L90" s="96"/>
      <c r="M90" s="93" t="s">
        <v>199</v>
      </c>
      <c r="N90" s="93" t="s">
        <v>3468</v>
      </c>
      <c r="O90" s="97"/>
      <c r="P90" s="97"/>
      <c r="Q90" s="97"/>
      <c r="R90" s="98" t="s">
        <v>2648</v>
      </c>
      <c r="S90" s="97" t="s">
        <v>2848</v>
      </c>
      <c r="T90" s="93" t="s">
        <v>2610</v>
      </c>
      <c r="U90" s="91" t="s">
        <v>3469</v>
      </c>
      <c r="V90" s="99"/>
      <c r="W90" s="99"/>
      <c r="X90" s="91" t="s">
        <v>3072</v>
      </c>
      <c r="Y90" s="91" t="s">
        <v>3206</v>
      </c>
    </row>
    <row r="91" spans="1:26" ht="41.25" hidden="1" customHeight="1" x14ac:dyDescent="0.2">
      <c r="A91" s="89" t="s">
        <v>493</v>
      </c>
      <c r="B91" s="90">
        <v>44738</v>
      </c>
      <c r="C91" s="103">
        <v>44738</v>
      </c>
      <c r="D91" s="99"/>
      <c r="E91" s="93" t="s">
        <v>3470</v>
      </c>
      <c r="F91" s="93" t="s">
        <v>3471</v>
      </c>
      <c r="G91" s="93" t="s">
        <v>3472</v>
      </c>
      <c r="H91" s="93"/>
      <c r="I91" s="94">
        <v>1018226158</v>
      </c>
      <c r="J91" s="95">
        <v>3004776584</v>
      </c>
      <c r="K91" s="93" t="s">
        <v>3089</v>
      </c>
      <c r="L91" s="96">
        <v>3217318759</v>
      </c>
      <c r="M91" s="93" t="s">
        <v>3473</v>
      </c>
      <c r="N91" s="93"/>
      <c r="O91" s="97"/>
      <c r="P91" s="97"/>
      <c r="Q91" s="97"/>
      <c r="R91" s="98" t="s">
        <v>3209</v>
      </c>
      <c r="S91" s="97" t="s">
        <v>2622</v>
      </c>
      <c r="T91" s="93" t="s">
        <v>2610</v>
      </c>
      <c r="U91" s="91" t="s">
        <v>3474</v>
      </c>
      <c r="V91" s="99"/>
      <c r="W91" s="99"/>
      <c r="X91" s="91" t="s">
        <v>3090</v>
      </c>
      <c r="Y91" s="91" t="s">
        <v>3447</v>
      </c>
      <c r="Z91" s="109" t="s">
        <v>3090</v>
      </c>
    </row>
    <row r="92" spans="1:26" ht="41.25" hidden="1" customHeight="1" x14ac:dyDescent="0.2">
      <c r="A92" s="89" t="s">
        <v>493</v>
      </c>
      <c r="B92" s="90">
        <v>44742</v>
      </c>
      <c r="C92" s="104">
        <v>44779</v>
      </c>
      <c r="D92" s="101"/>
      <c r="E92" s="93" t="s">
        <v>3475</v>
      </c>
      <c r="F92" s="93"/>
      <c r="G92" s="93" t="s">
        <v>3216</v>
      </c>
      <c r="H92" s="93"/>
      <c r="I92" s="94">
        <v>43817930</v>
      </c>
      <c r="J92" s="95">
        <v>3215985163</v>
      </c>
      <c r="K92" s="93"/>
      <c r="L92" s="96"/>
      <c r="M92" s="93" t="s">
        <v>1039</v>
      </c>
      <c r="N92" s="93" t="s">
        <v>1039</v>
      </c>
      <c r="O92" s="97"/>
      <c r="P92" s="97"/>
      <c r="Q92" s="97"/>
      <c r="R92" s="98" t="s">
        <v>3209</v>
      </c>
      <c r="S92" s="97" t="s">
        <v>2838</v>
      </c>
      <c r="T92" s="93" t="s">
        <v>2610</v>
      </c>
      <c r="U92" s="91" t="s">
        <v>3476</v>
      </c>
      <c r="V92" s="99" t="s">
        <v>3477</v>
      </c>
      <c r="W92" s="99" t="s">
        <v>3478</v>
      </c>
      <c r="X92" s="91" t="s">
        <v>2961</v>
      </c>
      <c r="Y92" s="91" t="s">
        <v>3206</v>
      </c>
    </row>
    <row r="93" spans="1:26" ht="41.25" hidden="1" customHeight="1" x14ac:dyDescent="0.2">
      <c r="A93" s="89" t="s">
        <v>493</v>
      </c>
      <c r="B93" s="90">
        <v>44757</v>
      </c>
      <c r="C93" s="104">
        <v>44779</v>
      </c>
      <c r="D93" s="99"/>
      <c r="E93" s="93" t="s">
        <v>3229</v>
      </c>
      <c r="F93" s="93" t="s">
        <v>3479</v>
      </c>
      <c r="G93" s="93" t="s">
        <v>3480</v>
      </c>
      <c r="H93" s="93"/>
      <c r="I93" s="94">
        <v>6622064</v>
      </c>
      <c r="J93" s="95">
        <v>3146602926</v>
      </c>
      <c r="K93" s="93"/>
      <c r="L93" s="96"/>
      <c r="M93" s="93" t="s">
        <v>3392</v>
      </c>
      <c r="N93" s="93" t="s">
        <v>3392</v>
      </c>
      <c r="O93" s="97"/>
      <c r="P93" s="97"/>
      <c r="Q93" s="97"/>
      <c r="R93" s="98" t="s">
        <v>2648</v>
      </c>
      <c r="S93" s="97" t="s">
        <v>2622</v>
      </c>
      <c r="T93" s="93" t="s">
        <v>2610</v>
      </c>
      <c r="U93" s="91" t="s">
        <v>3481</v>
      </c>
      <c r="V93" s="99" t="s">
        <v>3482</v>
      </c>
      <c r="W93" s="99" t="s">
        <v>3483</v>
      </c>
      <c r="X93" s="91" t="s">
        <v>2947</v>
      </c>
      <c r="Y93" s="91" t="s">
        <v>3211</v>
      </c>
    </row>
    <row r="94" spans="1:26" ht="41.25" hidden="1" customHeight="1" x14ac:dyDescent="0.2">
      <c r="A94" s="89" t="s">
        <v>493</v>
      </c>
      <c r="B94" s="90">
        <v>44765</v>
      </c>
      <c r="C94" s="103">
        <v>45151</v>
      </c>
      <c r="D94" s="99"/>
      <c r="E94" s="93" t="s">
        <v>3484</v>
      </c>
      <c r="F94" s="93"/>
      <c r="G94" s="93" t="s">
        <v>3485</v>
      </c>
      <c r="H94" s="93"/>
      <c r="I94" s="94">
        <v>71765379</v>
      </c>
      <c r="J94" s="95">
        <v>3016071884</v>
      </c>
      <c r="K94" s="93" t="s">
        <v>580</v>
      </c>
      <c r="L94" s="96">
        <v>3017540769</v>
      </c>
      <c r="M94" s="93" t="s">
        <v>656</v>
      </c>
      <c r="N94" s="93" t="s">
        <v>656</v>
      </c>
      <c r="O94" s="97"/>
      <c r="P94" s="97"/>
      <c r="Q94" s="97"/>
      <c r="R94" s="98" t="s">
        <v>3209</v>
      </c>
      <c r="S94" s="97">
        <v>2</v>
      </c>
      <c r="T94" s="93" t="s">
        <v>2610</v>
      </c>
      <c r="U94" s="91" t="s">
        <v>3486</v>
      </c>
      <c r="V94" s="99" t="s">
        <v>3487</v>
      </c>
      <c r="W94" s="99"/>
      <c r="X94" s="91"/>
      <c r="Y94" s="91" t="s">
        <v>3206</v>
      </c>
    </row>
    <row r="95" spans="1:26" ht="41.25" hidden="1" customHeight="1" x14ac:dyDescent="0.2">
      <c r="A95" s="89" t="s">
        <v>493</v>
      </c>
      <c r="B95" s="90">
        <v>44765</v>
      </c>
      <c r="C95" s="103">
        <v>44765</v>
      </c>
      <c r="D95" s="99"/>
      <c r="E95" s="93" t="s">
        <v>3488</v>
      </c>
      <c r="F95" s="93"/>
      <c r="G95" s="93" t="s">
        <v>3297</v>
      </c>
      <c r="H95" s="93"/>
      <c r="I95" s="94">
        <v>1017177474</v>
      </c>
      <c r="J95" s="95"/>
      <c r="K95" s="93"/>
      <c r="L95" s="96"/>
      <c r="M95" s="93"/>
      <c r="N95" s="93" t="s">
        <v>3489</v>
      </c>
      <c r="O95" s="97"/>
      <c r="P95" s="97"/>
      <c r="Q95" s="97"/>
      <c r="R95" s="98" t="s">
        <v>3209</v>
      </c>
      <c r="S95" s="97" t="s">
        <v>2838</v>
      </c>
      <c r="T95" s="93" t="s">
        <v>2610</v>
      </c>
      <c r="U95" s="91" t="s">
        <v>3490</v>
      </c>
      <c r="V95" s="99"/>
      <c r="W95" s="99"/>
      <c r="X95" s="91" t="s">
        <v>2954</v>
      </c>
      <c r="Y95" s="91" t="s">
        <v>3206</v>
      </c>
    </row>
    <row r="96" spans="1:26" ht="41.25" hidden="1" customHeight="1" x14ac:dyDescent="0.2">
      <c r="A96" s="89" t="s">
        <v>493</v>
      </c>
      <c r="B96" s="90">
        <v>44765</v>
      </c>
      <c r="C96" s="103">
        <v>45165</v>
      </c>
      <c r="D96" s="99"/>
      <c r="E96" s="93" t="s">
        <v>3422</v>
      </c>
      <c r="F96" s="93" t="s">
        <v>3491</v>
      </c>
      <c r="G96" s="93" t="s">
        <v>3492</v>
      </c>
      <c r="H96" s="93"/>
      <c r="I96" s="94">
        <v>43147792</v>
      </c>
      <c r="J96" s="95">
        <v>3243089054</v>
      </c>
      <c r="K96" s="93"/>
      <c r="L96" s="96"/>
      <c r="M96" s="93" t="s">
        <v>656</v>
      </c>
      <c r="N96" s="93" t="s">
        <v>3493</v>
      </c>
      <c r="O96" s="97"/>
      <c r="P96" s="97"/>
      <c r="Q96" s="97"/>
      <c r="R96" s="98" t="s">
        <v>3209</v>
      </c>
      <c r="S96" s="97">
        <v>1</v>
      </c>
      <c r="T96" s="93" t="s">
        <v>2610</v>
      </c>
      <c r="U96" s="91"/>
      <c r="V96" s="99"/>
      <c r="W96" s="99"/>
      <c r="X96" s="91" t="s">
        <v>3018</v>
      </c>
      <c r="Y96" s="91" t="s">
        <v>3206</v>
      </c>
    </row>
    <row r="97" spans="1:25" ht="41.25" hidden="1" customHeight="1" x14ac:dyDescent="0.2">
      <c r="A97" s="89" t="s">
        <v>493</v>
      </c>
      <c r="B97" s="90">
        <v>44765</v>
      </c>
      <c r="C97" s="106" t="s">
        <v>3025</v>
      </c>
      <c r="D97" s="110"/>
      <c r="E97" s="93" t="s">
        <v>3494</v>
      </c>
      <c r="F97" s="93" t="s">
        <v>3495</v>
      </c>
      <c r="G97" s="93" t="s">
        <v>3496</v>
      </c>
      <c r="H97" s="93" t="s">
        <v>3497</v>
      </c>
      <c r="I97" s="94"/>
      <c r="J97" s="95">
        <v>3107778577</v>
      </c>
      <c r="K97" s="93" t="s">
        <v>3023</v>
      </c>
      <c r="L97" s="96" t="s">
        <v>3024</v>
      </c>
      <c r="M97" s="93" t="s">
        <v>272</v>
      </c>
      <c r="N97" s="93" t="s">
        <v>272</v>
      </c>
      <c r="O97" s="97"/>
      <c r="P97" s="97"/>
      <c r="Q97" s="97"/>
      <c r="R97" s="98" t="s">
        <v>3209</v>
      </c>
      <c r="S97" s="97" t="s">
        <v>2841</v>
      </c>
      <c r="T97" s="93" t="s">
        <v>2610</v>
      </c>
      <c r="U97" s="91"/>
      <c r="V97" s="99"/>
      <c r="W97" s="99"/>
      <c r="X97" s="91"/>
      <c r="Y97" s="91" t="s">
        <v>3206</v>
      </c>
    </row>
    <row r="98" spans="1:25" ht="41.25" hidden="1" customHeight="1" x14ac:dyDescent="0.2">
      <c r="A98" s="89" t="s">
        <v>493</v>
      </c>
      <c r="B98" s="90">
        <v>44765</v>
      </c>
      <c r="C98" s="104">
        <v>44779</v>
      </c>
      <c r="D98" s="99"/>
      <c r="E98" s="93" t="s">
        <v>3498</v>
      </c>
      <c r="F98" s="93"/>
      <c r="G98" s="93" t="s">
        <v>3499</v>
      </c>
      <c r="H98" s="93" t="s">
        <v>3500</v>
      </c>
      <c r="I98" s="94">
        <v>1001638622</v>
      </c>
      <c r="J98" s="95">
        <v>3233280458</v>
      </c>
      <c r="K98" s="93"/>
      <c r="L98" s="96"/>
      <c r="M98" s="93" t="s">
        <v>2097</v>
      </c>
      <c r="N98" s="93" t="s">
        <v>3501</v>
      </c>
      <c r="O98" s="97"/>
      <c r="P98" s="97"/>
      <c r="Q98" s="97"/>
      <c r="R98" s="98" t="s">
        <v>3209</v>
      </c>
      <c r="S98" s="97" t="s">
        <v>2848</v>
      </c>
      <c r="T98" s="93" t="s">
        <v>2610</v>
      </c>
      <c r="U98" s="91"/>
      <c r="V98" s="99"/>
      <c r="W98" s="99"/>
      <c r="X98" s="91" t="s">
        <v>3034</v>
      </c>
      <c r="Y98" s="91" t="s">
        <v>3206</v>
      </c>
    </row>
    <row r="99" spans="1:25" ht="41.25" hidden="1" customHeight="1" x14ac:dyDescent="0.2">
      <c r="A99" s="89" t="s">
        <v>493</v>
      </c>
      <c r="B99" s="90">
        <v>44765</v>
      </c>
      <c r="C99" s="103">
        <v>44765</v>
      </c>
      <c r="D99" s="99"/>
      <c r="E99" s="93" t="s">
        <v>3502</v>
      </c>
      <c r="F99" s="93" t="s">
        <v>3382</v>
      </c>
      <c r="G99" s="93" t="s">
        <v>3503</v>
      </c>
      <c r="H99" s="93" t="s">
        <v>3504</v>
      </c>
      <c r="I99" s="94">
        <v>32322308</v>
      </c>
      <c r="J99" s="95">
        <v>3104924279</v>
      </c>
      <c r="K99" s="93"/>
      <c r="L99" s="96"/>
      <c r="M99" s="93"/>
      <c r="N99" s="93" t="s">
        <v>190</v>
      </c>
      <c r="O99" s="97"/>
      <c r="P99" s="97"/>
      <c r="Q99" s="97"/>
      <c r="R99" s="98" t="s">
        <v>3209</v>
      </c>
      <c r="S99" s="97" t="s">
        <v>2622</v>
      </c>
      <c r="T99" s="93" t="s">
        <v>2610</v>
      </c>
      <c r="U99" s="91" t="s">
        <v>3505</v>
      </c>
      <c r="V99" s="99" t="s">
        <v>3506</v>
      </c>
      <c r="W99" s="99"/>
      <c r="X99" s="91" t="s">
        <v>3056</v>
      </c>
      <c r="Y99" s="91" t="s">
        <v>3206</v>
      </c>
    </row>
    <row r="100" spans="1:25" ht="41.25" hidden="1" customHeight="1" x14ac:dyDescent="0.2">
      <c r="A100" s="89" t="s">
        <v>493</v>
      </c>
      <c r="B100" s="90">
        <v>44765</v>
      </c>
      <c r="C100" s="103">
        <v>44772</v>
      </c>
      <c r="D100" s="99"/>
      <c r="E100" s="93" t="s">
        <v>3507</v>
      </c>
      <c r="F100" s="93"/>
      <c r="G100" s="93" t="s">
        <v>3508</v>
      </c>
      <c r="H100" s="93" t="s">
        <v>3509</v>
      </c>
      <c r="I100" s="94">
        <v>32201121</v>
      </c>
      <c r="J100" s="95">
        <v>3106857493</v>
      </c>
      <c r="K100" s="93"/>
      <c r="L100" s="96"/>
      <c r="M100" s="93" t="s">
        <v>656</v>
      </c>
      <c r="N100" s="93" t="s">
        <v>656</v>
      </c>
      <c r="O100" s="97"/>
      <c r="P100" s="97"/>
      <c r="Q100" s="97"/>
      <c r="R100" s="98" t="s">
        <v>3209</v>
      </c>
      <c r="S100" s="97" t="s">
        <v>2656</v>
      </c>
      <c r="T100" s="93" t="s">
        <v>2610</v>
      </c>
      <c r="U100" s="91"/>
      <c r="V100" s="99"/>
      <c r="W100" s="99"/>
      <c r="X100" s="91" t="s">
        <v>3061</v>
      </c>
      <c r="Y100" s="91" t="s">
        <v>3206</v>
      </c>
    </row>
    <row r="101" spans="1:25" ht="41.25" hidden="1" customHeight="1" x14ac:dyDescent="0.2">
      <c r="A101" s="89" t="s">
        <v>493</v>
      </c>
      <c r="B101" s="90">
        <v>44765</v>
      </c>
      <c r="C101" s="103">
        <v>44765</v>
      </c>
      <c r="D101" s="99"/>
      <c r="E101" s="93" t="s">
        <v>3510</v>
      </c>
      <c r="F101" s="93"/>
      <c r="G101" s="93" t="s">
        <v>3236</v>
      </c>
      <c r="H101" s="93" t="s">
        <v>3511</v>
      </c>
      <c r="I101" s="94">
        <v>1128437166</v>
      </c>
      <c r="J101" s="95">
        <v>3108342891</v>
      </c>
      <c r="K101" s="93"/>
      <c r="L101" s="96"/>
      <c r="M101" s="93"/>
      <c r="N101" s="93" t="s">
        <v>3512</v>
      </c>
      <c r="O101" s="97"/>
      <c r="P101" s="97"/>
      <c r="Q101" s="97"/>
      <c r="R101" s="98" t="s">
        <v>3209</v>
      </c>
      <c r="S101" s="97" t="s">
        <v>2838</v>
      </c>
      <c r="T101" s="93" t="s">
        <v>2610</v>
      </c>
      <c r="U101" s="91" t="s">
        <v>3513</v>
      </c>
      <c r="V101" s="99"/>
      <c r="W101" s="99"/>
      <c r="X101" s="91" t="s">
        <v>3066</v>
      </c>
      <c r="Y101" s="91" t="s">
        <v>3206</v>
      </c>
    </row>
    <row r="102" spans="1:25" ht="41.25" hidden="1" customHeight="1" x14ac:dyDescent="0.2">
      <c r="A102" s="89" t="s">
        <v>493</v>
      </c>
      <c r="B102" s="90">
        <v>44765</v>
      </c>
      <c r="C102" s="104">
        <v>44779</v>
      </c>
      <c r="D102" s="99"/>
      <c r="E102" s="93" t="s">
        <v>3514</v>
      </c>
      <c r="F102" s="93"/>
      <c r="G102" s="93" t="s">
        <v>3295</v>
      </c>
      <c r="H102" s="93"/>
      <c r="I102" s="94">
        <v>1214732928</v>
      </c>
      <c r="J102" s="95">
        <v>3217367286</v>
      </c>
      <c r="K102" s="93"/>
      <c r="L102" s="96"/>
      <c r="M102" s="93" t="s">
        <v>1039</v>
      </c>
      <c r="N102" s="93" t="s">
        <v>1039</v>
      </c>
      <c r="O102" s="97"/>
      <c r="P102" s="97"/>
      <c r="Q102" s="97"/>
      <c r="R102" s="98" t="s">
        <v>3209</v>
      </c>
      <c r="S102" s="97" t="s">
        <v>2838</v>
      </c>
      <c r="T102" s="93" t="s">
        <v>2610</v>
      </c>
      <c r="U102" s="91" t="s">
        <v>3515</v>
      </c>
      <c r="V102" s="99"/>
      <c r="W102" s="99"/>
      <c r="X102" s="91" t="s">
        <v>3084</v>
      </c>
      <c r="Y102" s="91" t="s">
        <v>3206</v>
      </c>
    </row>
    <row r="103" spans="1:25" ht="41.25" hidden="1" customHeight="1" x14ac:dyDescent="0.2">
      <c r="A103" s="89" t="s">
        <v>493</v>
      </c>
      <c r="B103" s="90">
        <v>44769</v>
      </c>
      <c r="C103" s="104">
        <v>44779</v>
      </c>
      <c r="D103" s="99"/>
      <c r="E103" s="93" t="s">
        <v>3516</v>
      </c>
      <c r="F103" s="93" t="s">
        <v>3517</v>
      </c>
      <c r="G103" s="93" t="s">
        <v>3518</v>
      </c>
      <c r="H103" s="93" t="s">
        <v>3519</v>
      </c>
      <c r="I103" s="94">
        <v>1152716660</v>
      </c>
      <c r="J103" s="95">
        <v>3136947626</v>
      </c>
      <c r="K103" s="93"/>
      <c r="L103" s="96"/>
      <c r="M103" s="93" t="s">
        <v>3520</v>
      </c>
      <c r="N103" s="93" t="s">
        <v>3520</v>
      </c>
      <c r="O103" s="97"/>
      <c r="P103" s="97"/>
      <c r="Q103" s="97"/>
      <c r="R103" s="98" t="s">
        <v>2648</v>
      </c>
      <c r="S103" s="97" t="s">
        <v>2622</v>
      </c>
      <c r="T103" s="93" t="s">
        <v>2610</v>
      </c>
      <c r="U103" s="91" t="s">
        <v>3521</v>
      </c>
      <c r="V103" s="99" t="s">
        <v>3522</v>
      </c>
      <c r="W103" s="99"/>
      <c r="X103" s="91" t="s">
        <v>2863</v>
      </c>
      <c r="Y103" s="91" t="s">
        <v>3206</v>
      </c>
    </row>
    <row r="104" spans="1:25" ht="41.25" hidden="1" customHeight="1" x14ac:dyDescent="0.2">
      <c r="A104" s="89" t="s">
        <v>493</v>
      </c>
      <c r="B104" s="90">
        <v>44772</v>
      </c>
      <c r="C104" s="103">
        <v>45151</v>
      </c>
      <c r="D104" s="99"/>
      <c r="E104" s="93" t="s">
        <v>3471</v>
      </c>
      <c r="F104" s="93"/>
      <c r="G104" s="93" t="s">
        <v>3414</v>
      </c>
      <c r="H104" s="93"/>
      <c r="I104" s="94"/>
      <c r="J104" s="95">
        <v>3024018186</v>
      </c>
      <c r="K104" s="93" t="s">
        <v>2840</v>
      </c>
      <c r="L104" s="96">
        <v>3016885303</v>
      </c>
      <c r="M104" s="93" t="s">
        <v>3275</v>
      </c>
      <c r="N104" s="93" t="s">
        <v>3275</v>
      </c>
      <c r="O104" s="97"/>
      <c r="P104" s="97"/>
      <c r="Q104" s="97"/>
      <c r="R104" s="98" t="s">
        <v>3209</v>
      </c>
      <c r="S104" s="97" t="s">
        <v>2841</v>
      </c>
      <c r="T104" s="93" t="s">
        <v>2610</v>
      </c>
      <c r="U104" s="91" t="s">
        <v>3523</v>
      </c>
      <c r="V104" s="99"/>
      <c r="W104" s="99"/>
      <c r="X104" s="91"/>
      <c r="Y104" s="91" t="s">
        <v>3524</v>
      </c>
    </row>
    <row r="105" spans="1:25" ht="41.25" hidden="1" customHeight="1" x14ac:dyDescent="0.2">
      <c r="A105" s="89" t="s">
        <v>493</v>
      </c>
      <c r="B105" s="90">
        <v>44772</v>
      </c>
      <c r="C105" s="103">
        <v>44772</v>
      </c>
      <c r="D105" s="99"/>
      <c r="E105" s="93" t="s">
        <v>3221</v>
      </c>
      <c r="F105" s="93" t="s">
        <v>3525</v>
      </c>
      <c r="G105" s="93" t="s">
        <v>3526</v>
      </c>
      <c r="H105" s="93" t="s">
        <v>3527</v>
      </c>
      <c r="I105" s="94">
        <v>71643257</v>
      </c>
      <c r="J105" s="95">
        <v>3207030201</v>
      </c>
      <c r="K105" s="93"/>
      <c r="L105" s="96"/>
      <c r="M105" s="93" t="s">
        <v>2097</v>
      </c>
      <c r="N105" s="93" t="s">
        <v>2097</v>
      </c>
      <c r="O105" s="97"/>
      <c r="P105" s="97"/>
      <c r="Q105" s="97"/>
      <c r="R105" s="98" t="s">
        <v>3209</v>
      </c>
      <c r="S105" s="97" t="s">
        <v>2848</v>
      </c>
      <c r="T105" s="93" t="s">
        <v>2610</v>
      </c>
      <c r="U105" s="91"/>
      <c r="V105" s="99"/>
      <c r="W105" s="99"/>
      <c r="X105" s="91" t="s">
        <v>2868</v>
      </c>
      <c r="Y105" s="91" t="s">
        <v>3206</v>
      </c>
    </row>
    <row r="106" spans="1:25" ht="41.25" hidden="1" customHeight="1" x14ac:dyDescent="0.2">
      <c r="A106" s="89" t="s">
        <v>493</v>
      </c>
      <c r="B106" s="90">
        <v>44772</v>
      </c>
      <c r="C106" s="103">
        <v>45165</v>
      </c>
      <c r="D106" s="99"/>
      <c r="E106" s="93" t="s">
        <v>3246</v>
      </c>
      <c r="F106" s="93" t="s">
        <v>3528</v>
      </c>
      <c r="G106" s="93" t="s">
        <v>3240</v>
      </c>
      <c r="H106" s="93" t="s">
        <v>3529</v>
      </c>
      <c r="I106" s="94">
        <v>37843485</v>
      </c>
      <c r="J106" s="95">
        <v>3242063138</v>
      </c>
      <c r="K106" s="93"/>
      <c r="L106" s="96"/>
      <c r="M106" s="93" t="s">
        <v>272</v>
      </c>
      <c r="N106" s="93" t="s">
        <v>3369</v>
      </c>
      <c r="O106" s="97"/>
      <c r="P106" s="97"/>
      <c r="Q106" s="97"/>
      <c r="R106" s="98" t="s">
        <v>3209</v>
      </c>
      <c r="S106" s="97">
        <v>1</v>
      </c>
      <c r="T106" s="93" t="s">
        <v>2610</v>
      </c>
      <c r="U106" s="91" t="s">
        <v>3530</v>
      </c>
      <c r="V106" s="99"/>
      <c r="W106" s="99"/>
      <c r="X106" s="91" t="s">
        <v>2991</v>
      </c>
      <c r="Y106" s="91" t="s">
        <v>3531</v>
      </c>
    </row>
    <row r="107" spans="1:25" ht="41.25" hidden="1" customHeight="1" x14ac:dyDescent="0.2">
      <c r="A107" s="89" t="s">
        <v>493</v>
      </c>
      <c r="B107" s="90">
        <v>44772</v>
      </c>
      <c r="C107" s="103">
        <v>44772</v>
      </c>
      <c r="D107" s="99"/>
      <c r="E107" s="93" t="s">
        <v>3202</v>
      </c>
      <c r="F107" s="93" t="s">
        <v>3532</v>
      </c>
      <c r="G107" s="93" t="s">
        <v>3533</v>
      </c>
      <c r="H107" s="93" t="s">
        <v>3534</v>
      </c>
      <c r="I107" s="94">
        <v>32075923</v>
      </c>
      <c r="J107" s="95">
        <v>3107125144</v>
      </c>
      <c r="K107" s="93"/>
      <c r="L107" s="96"/>
      <c r="M107" s="93" t="s">
        <v>656</v>
      </c>
      <c r="N107" s="93" t="s">
        <v>3535</v>
      </c>
      <c r="O107" s="97"/>
      <c r="P107" s="97"/>
      <c r="Q107" s="97"/>
      <c r="R107" s="98" t="s">
        <v>3209</v>
      </c>
      <c r="S107" s="97" t="s">
        <v>2848</v>
      </c>
      <c r="T107" s="93" t="s">
        <v>2610</v>
      </c>
      <c r="U107" s="91"/>
      <c r="V107" s="99"/>
      <c r="W107" s="99"/>
      <c r="X107" s="91" t="s">
        <v>3012</v>
      </c>
      <c r="Y107" s="91" t="s">
        <v>3206</v>
      </c>
    </row>
    <row r="108" spans="1:25" ht="41.25" hidden="1" customHeight="1" x14ac:dyDescent="0.2">
      <c r="A108" s="89" t="s">
        <v>493</v>
      </c>
      <c r="B108" s="90">
        <v>44772</v>
      </c>
      <c r="C108" s="104">
        <v>44779</v>
      </c>
      <c r="D108" s="99"/>
      <c r="E108" s="93" t="s">
        <v>3536</v>
      </c>
      <c r="F108" s="93" t="s">
        <v>3537</v>
      </c>
      <c r="G108" s="93" t="s">
        <v>3538</v>
      </c>
      <c r="H108" s="93" t="s">
        <v>3539</v>
      </c>
      <c r="I108" s="94">
        <v>8334916</v>
      </c>
      <c r="J108" s="95">
        <v>3147825029</v>
      </c>
      <c r="K108" s="93"/>
      <c r="L108" s="96"/>
      <c r="M108" s="93" t="s">
        <v>656</v>
      </c>
      <c r="N108" s="93" t="s">
        <v>3376</v>
      </c>
      <c r="O108" s="97"/>
      <c r="P108" s="97"/>
      <c r="Q108" s="97"/>
      <c r="R108" s="98" t="s">
        <v>3209</v>
      </c>
      <c r="S108" s="97" t="s">
        <v>2838</v>
      </c>
      <c r="T108" s="93" t="s">
        <v>2610</v>
      </c>
      <c r="U108" s="91" t="s">
        <v>3540</v>
      </c>
      <c r="V108" s="99"/>
      <c r="W108" s="99"/>
      <c r="X108" s="91" t="s">
        <v>3048</v>
      </c>
      <c r="Y108" s="91" t="s">
        <v>3206</v>
      </c>
    </row>
    <row r="109" spans="1:25" ht="41.25" hidden="1" customHeight="1" x14ac:dyDescent="0.2">
      <c r="A109" s="89" t="s">
        <v>493</v>
      </c>
      <c r="B109" s="90">
        <v>44772</v>
      </c>
      <c r="C109" s="104">
        <v>44779</v>
      </c>
      <c r="D109" s="99"/>
      <c r="E109" s="93" t="s">
        <v>3541</v>
      </c>
      <c r="F109" s="93"/>
      <c r="G109" s="93" t="s">
        <v>3542</v>
      </c>
      <c r="H109" s="93" t="s">
        <v>3534</v>
      </c>
      <c r="I109" s="94">
        <v>1001988413</v>
      </c>
      <c r="J109" s="95">
        <v>3118341348</v>
      </c>
      <c r="K109" s="93"/>
      <c r="L109" s="96"/>
      <c r="M109" s="93" t="s">
        <v>1039</v>
      </c>
      <c r="N109" s="93" t="s">
        <v>3543</v>
      </c>
      <c r="O109" s="97"/>
      <c r="P109" s="97"/>
      <c r="Q109" s="97"/>
      <c r="R109" s="98" t="s">
        <v>3209</v>
      </c>
      <c r="S109" s="97" t="s">
        <v>2838</v>
      </c>
      <c r="T109" s="93" t="s">
        <v>2610</v>
      </c>
      <c r="U109" s="91" t="s">
        <v>3544</v>
      </c>
      <c r="V109" s="99"/>
      <c r="W109" s="99"/>
      <c r="X109" s="91" t="s">
        <v>3054</v>
      </c>
      <c r="Y109" s="91" t="s">
        <v>3206</v>
      </c>
    </row>
    <row r="110" spans="1:25" ht="41.25" hidden="1" customHeight="1" x14ac:dyDescent="0.2">
      <c r="A110" s="89" t="s">
        <v>493</v>
      </c>
      <c r="B110" s="90">
        <v>44772</v>
      </c>
      <c r="C110" s="103">
        <v>44772</v>
      </c>
      <c r="D110" s="99"/>
      <c r="E110" s="93" t="s">
        <v>3545</v>
      </c>
      <c r="F110" s="93"/>
      <c r="G110" s="93" t="s">
        <v>3240</v>
      </c>
      <c r="H110" s="93"/>
      <c r="I110" s="94">
        <v>37843485</v>
      </c>
      <c r="J110" s="95">
        <v>3015859727</v>
      </c>
      <c r="K110" s="93" t="s">
        <v>3087</v>
      </c>
      <c r="L110" s="96">
        <v>3242063138</v>
      </c>
      <c r="M110" s="93" t="s">
        <v>1724</v>
      </c>
      <c r="N110" s="93" t="s">
        <v>3546</v>
      </c>
      <c r="O110" s="97"/>
      <c r="P110" s="97"/>
      <c r="Q110" s="97"/>
      <c r="R110" s="98" t="s">
        <v>3209</v>
      </c>
      <c r="S110" s="97" t="s">
        <v>2838</v>
      </c>
      <c r="T110" s="93" t="s">
        <v>2610</v>
      </c>
      <c r="U110" s="91" t="s">
        <v>3547</v>
      </c>
      <c r="V110" s="99"/>
      <c r="W110" s="99"/>
      <c r="X110" s="91"/>
      <c r="Y110" s="91" t="s">
        <v>3206</v>
      </c>
    </row>
    <row r="111" spans="1:25" ht="41.25" hidden="1" customHeight="1" x14ac:dyDescent="0.2">
      <c r="A111" s="89" t="s">
        <v>493</v>
      </c>
      <c r="B111" s="90">
        <v>44773</v>
      </c>
      <c r="C111" s="103">
        <v>44773</v>
      </c>
      <c r="D111" s="99"/>
      <c r="E111" s="93" t="s">
        <v>3548</v>
      </c>
      <c r="F111" s="93"/>
      <c r="G111" s="93" t="s">
        <v>3526</v>
      </c>
      <c r="H111" s="93"/>
      <c r="I111" s="94">
        <v>21588455</v>
      </c>
      <c r="J111" s="95">
        <v>3005531098</v>
      </c>
      <c r="K111" s="93"/>
      <c r="L111" s="96"/>
      <c r="M111" s="93" t="s">
        <v>3549</v>
      </c>
      <c r="N111" s="93" t="s">
        <v>3549</v>
      </c>
      <c r="O111" s="97"/>
      <c r="P111" s="97"/>
      <c r="Q111" s="97"/>
      <c r="R111" s="98" t="s">
        <v>3209</v>
      </c>
      <c r="S111" s="97" t="s">
        <v>2838</v>
      </c>
      <c r="T111" s="93" t="s">
        <v>2610</v>
      </c>
      <c r="U111" s="91"/>
      <c r="V111" s="99"/>
      <c r="W111" s="99"/>
      <c r="X111" s="91" t="s">
        <v>2880</v>
      </c>
      <c r="Y111" s="91" t="s">
        <v>3206</v>
      </c>
    </row>
    <row r="112" spans="1:25" ht="41.25" hidden="1" customHeight="1" x14ac:dyDescent="0.2">
      <c r="A112" s="89" t="s">
        <v>493</v>
      </c>
      <c r="B112" s="90">
        <v>44779</v>
      </c>
      <c r="C112" s="106" t="s">
        <v>3550</v>
      </c>
      <c r="D112" s="89"/>
      <c r="E112" s="93" t="s">
        <v>3551</v>
      </c>
      <c r="F112" s="93" t="s">
        <v>3552</v>
      </c>
      <c r="G112" s="93" t="s">
        <v>3203</v>
      </c>
      <c r="H112" s="93" t="s">
        <v>3527</v>
      </c>
      <c r="I112" s="94">
        <v>43680662</v>
      </c>
      <c r="J112" s="95">
        <v>3022423396</v>
      </c>
      <c r="K112" s="93"/>
      <c r="L112" s="96"/>
      <c r="M112" s="93" t="s">
        <v>518</v>
      </c>
      <c r="N112" s="93" t="s">
        <v>3553</v>
      </c>
      <c r="O112" s="97"/>
      <c r="P112" s="97"/>
      <c r="Q112" s="97"/>
      <c r="R112" s="98" t="s">
        <v>3209</v>
      </c>
      <c r="S112" s="97" t="s">
        <v>2838</v>
      </c>
      <c r="T112" s="93" t="s">
        <v>2610</v>
      </c>
      <c r="U112" s="91" t="s">
        <v>3554</v>
      </c>
      <c r="V112" s="99" t="s">
        <v>3555</v>
      </c>
      <c r="W112" s="99"/>
      <c r="X112" s="91"/>
      <c r="Y112" s="91" t="s">
        <v>3206</v>
      </c>
    </row>
    <row r="113" spans="1:26" ht="41.25" hidden="1" customHeight="1" x14ac:dyDescent="0.2">
      <c r="A113" s="89" t="s">
        <v>493</v>
      </c>
      <c r="B113" s="90">
        <v>44779</v>
      </c>
      <c r="C113" s="104">
        <v>44779</v>
      </c>
      <c r="D113" s="99"/>
      <c r="E113" s="93" t="s">
        <v>3491</v>
      </c>
      <c r="F113" s="93" t="s">
        <v>3556</v>
      </c>
      <c r="G113" s="93" t="s">
        <v>3203</v>
      </c>
      <c r="H113" s="93" t="s">
        <v>3497</v>
      </c>
      <c r="I113" s="94">
        <v>43661031</v>
      </c>
      <c r="J113" s="95">
        <v>3126045749</v>
      </c>
      <c r="K113" s="93"/>
      <c r="L113" s="96"/>
      <c r="M113" s="93" t="s">
        <v>656</v>
      </c>
      <c r="N113" s="93" t="s">
        <v>3376</v>
      </c>
      <c r="O113" s="97"/>
      <c r="P113" s="97"/>
      <c r="Q113" s="97"/>
      <c r="R113" s="98" t="s">
        <v>2648</v>
      </c>
      <c r="S113" s="97" t="s">
        <v>2622</v>
      </c>
      <c r="T113" s="93" t="s">
        <v>2610</v>
      </c>
      <c r="U113" s="91" t="s">
        <v>3557</v>
      </c>
      <c r="V113" s="99"/>
      <c r="W113" s="99"/>
      <c r="X113" s="91" t="s">
        <v>2876</v>
      </c>
      <c r="Y113" s="91" t="s">
        <v>3206</v>
      </c>
    </row>
    <row r="114" spans="1:26" ht="41.25" hidden="1" customHeight="1" x14ac:dyDescent="0.2">
      <c r="A114" s="89" t="s">
        <v>493</v>
      </c>
      <c r="B114" s="90">
        <v>44779</v>
      </c>
      <c r="C114" s="103">
        <v>45151</v>
      </c>
      <c r="D114" s="99"/>
      <c r="E114" s="93" t="s">
        <v>3300</v>
      </c>
      <c r="F114" s="93" t="s">
        <v>3558</v>
      </c>
      <c r="G114" s="93" t="s">
        <v>3559</v>
      </c>
      <c r="H114" s="93"/>
      <c r="I114" s="94"/>
      <c r="J114" s="95">
        <v>3137019339</v>
      </c>
      <c r="K114" s="93" t="s">
        <v>1794</v>
      </c>
      <c r="L114" s="96">
        <v>3125834034</v>
      </c>
      <c r="M114" s="93" t="s">
        <v>3520</v>
      </c>
      <c r="N114" s="93" t="s">
        <v>3560</v>
      </c>
      <c r="O114" s="97"/>
      <c r="P114" s="97"/>
      <c r="Q114" s="97"/>
      <c r="R114" s="98" t="s">
        <v>3209</v>
      </c>
      <c r="S114" s="97" t="s">
        <v>2841</v>
      </c>
      <c r="T114" s="93" t="s">
        <v>2610</v>
      </c>
      <c r="U114" s="91" t="s">
        <v>3561</v>
      </c>
      <c r="V114" s="99"/>
      <c r="W114" s="99"/>
      <c r="X114" s="91"/>
      <c r="Y114" s="91" t="s">
        <v>3524</v>
      </c>
    </row>
    <row r="115" spans="1:26" ht="41.25" hidden="1" customHeight="1" x14ac:dyDescent="0.2">
      <c r="A115" s="89" t="s">
        <v>493</v>
      </c>
      <c r="B115" s="90">
        <v>44779</v>
      </c>
      <c r="C115" s="103">
        <v>45151</v>
      </c>
      <c r="D115" s="99"/>
      <c r="E115" s="93" t="s">
        <v>3562</v>
      </c>
      <c r="F115" s="93"/>
      <c r="G115" s="93" t="s">
        <v>3563</v>
      </c>
      <c r="H115" s="93"/>
      <c r="I115" s="94"/>
      <c r="J115" s="95">
        <v>3042731974</v>
      </c>
      <c r="K115" s="93"/>
      <c r="L115" s="96"/>
      <c r="M115" s="93" t="s">
        <v>3449</v>
      </c>
      <c r="N115" s="93" t="s">
        <v>3450</v>
      </c>
      <c r="O115" s="97"/>
      <c r="P115" s="97"/>
      <c r="Q115" s="97"/>
      <c r="R115" s="98" t="s">
        <v>2648</v>
      </c>
      <c r="S115" s="97" t="s">
        <v>2841</v>
      </c>
      <c r="T115" s="93" t="s">
        <v>2610</v>
      </c>
      <c r="U115" s="91" t="s">
        <v>3564</v>
      </c>
      <c r="V115" s="99"/>
      <c r="W115" s="99"/>
      <c r="X115" s="91"/>
      <c r="Y115" s="91" t="s">
        <v>3206</v>
      </c>
    </row>
    <row r="116" spans="1:26" ht="41.25" hidden="1" customHeight="1" x14ac:dyDescent="0.2">
      <c r="A116" s="89" t="s">
        <v>493</v>
      </c>
      <c r="B116" s="90">
        <v>44779</v>
      </c>
      <c r="C116" s="104">
        <v>44779</v>
      </c>
      <c r="D116" s="104"/>
      <c r="E116" s="93" t="s">
        <v>3565</v>
      </c>
      <c r="F116" s="93"/>
      <c r="G116" s="93" t="s">
        <v>3511</v>
      </c>
      <c r="H116" s="93" t="s">
        <v>3566</v>
      </c>
      <c r="I116" s="94">
        <v>1007746657</v>
      </c>
      <c r="J116" s="95">
        <v>3217331921</v>
      </c>
      <c r="K116" s="93"/>
      <c r="L116" s="96"/>
      <c r="M116" s="93" t="s">
        <v>297</v>
      </c>
      <c r="N116" s="93" t="s">
        <v>297</v>
      </c>
      <c r="O116" s="97"/>
      <c r="P116" s="97"/>
      <c r="Q116" s="97"/>
      <c r="R116" s="98" t="s">
        <v>2648</v>
      </c>
      <c r="S116" s="97" t="s">
        <v>2622</v>
      </c>
      <c r="T116" s="93" t="s">
        <v>2610</v>
      </c>
      <c r="U116" s="91" t="s">
        <v>3505</v>
      </c>
      <c r="V116" s="99" t="s">
        <v>3567</v>
      </c>
      <c r="W116" s="99"/>
      <c r="X116" s="91" t="s">
        <v>2919</v>
      </c>
      <c r="Y116" s="91" t="s">
        <v>3206</v>
      </c>
    </row>
    <row r="117" spans="1:26" ht="41.25" hidden="1" customHeight="1" x14ac:dyDescent="0.2">
      <c r="A117" s="89" t="s">
        <v>493</v>
      </c>
      <c r="B117" s="90">
        <v>44779</v>
      </c>
      <c r="C117" s="104">
        <v>44779</v>
      </c>
      <c r="D117" s="99"/>
      <c r="E117" s="93" t="s">
        <v>2924</v>
      </c>
      <c r="F117" s="93"/>
      <c r="G117" s="93" t="s">
        <v>3568</v>
      </c>
      <c r="H117" s="93"/>
      <c r="I117" s="94">
        <v>1017245325</v>
      </c>
      <c r="J117" s="95">
        <v>3043940294</v>
      </c>
      <c r="K117" s="93"/>
      <c r="L117" s="96"/>
      <c r="M117" s="93" t="s">
        <v>3569</v>
      </c>
      <c r="N117" s="93" t="s">
        <v>3570</v>
      </c>
      <c r="O117" s="97"/>
      <c r="P117" s="97"/>
      <c r="Q117" s="97"/>
      <c r="R117" s="98" t="s">
        <v>3209</v>
      </c>
      <c r="S117" s="97" t="s">
        <v>2838</v>
      </c>
      <c r="T117" s="93" t="s">
        <v>2610</v>
      </c>
      <c r="U117" s="91"/>
      <c r="V117" s="99"/>
      <c r="W117" s="99"/>
      <c r="X117" s="91" t="s">
        <v>2923</v>
      </c>
      <c r="Y117" s="91" t="s">
        <v>3206</v>
      </c>
    </row>
    <row r="118" spans="1:26" ht="41.25" hidden="1" customHeight="1" x14ac:dyDescent="0.2">
      <c r="A118" s="89" t="s">
        <v>493</v>
      </c>
      <c r="B118" s="90">
        <v>44779</v>
      </c>
      <c r="C118" s="103">
        <v>44948</v>
      </c>
      <c r="D118" s="102"/>
      <c r="E118" s="93" t="s">
        <v>3571</v>
      </c>
      <c r="F118" s="93"/>
      <c r="G118" s="93" t="s">
        <v>3303</v>
      </c>
      <c r="H118" s="93" t="s">
        <v>3236</v>
      </c>
      <c r="I118" s="94">
        <v>1001360152</v>
      </c>
      <c r="J118" s="95">
        <v>3023971350</v>
      </c>
      <c r="K118" s="93" t="s">
        <v>2931</v>
      </c>
      <c r="L118" s="96">
        <v>3145205867</v>
      </c>
      <c r="M118" s="93" t="s">
        <v>3404</v>
      </c>
      <c r="N118" s="93" t="s">
        <v>3572</v>
      </c>
      <c r="O118" s="97"/>
      <c r="P118" s="97"/>
      <c r="Q118" s="97"/>
      <c r="R118" s="98" t="s">
        <v>2648</v>
      </c>
      <c r="S118" s="97" t="s">
        <v>2838</v>
      </c>
      <c r="T118" s="93" t="s">
        <v>2610</v>
      </c>
      <c r="U118" s="91" t="s">
        <v>3573</v>
      </c>
      <c r="V118" s="99"/>
      <c r="W118" s="99"/>
      <c r="X118" s="91" t="s">
        <v>2932</v>
      </c>
      <c r="Y118" s="91" t="s">
        <v>3206</v>
      </c>
    </row>
    <row r="119" spans="1:26" ht="41.25" hidden="1" customHeight="1" x14ac:dyDescent="0.2">
      <c r="A119" s="89" t="s">
        <v>493</v>
      </c>
      <c r="B119" s="90">
        <v>44779</v>
      </c>
      <c r="C119" s="104">
        <v>44779</v>
      </c>
      <c r="D119" s="99"/>
      <c r="E119" s="93" t="s">
        <v>3574</v>
      </c>
      <c r="F119" s="93" t="s">
        <v>3575</v>
      </c>
      <c r="G119" s="93" t="s">
        <v>3576</v>
      </c>
      <c r="H119" s="93"/>
      <c r="I119" s="94">
        <v>3584351</v>
      </c>
      <c r="J119" s="95">
        <v>3057787576</v>
      </c>
      <c r="K119" s="93"/>
      <c r="L119" s="96"/>
      <c r="M119" s="93" t="s">
        <v>656</v>
      </c>
      <c r="N119" s="93" t="s">
        <v>656</v>
      </c>
      <c r="O119" s="97"/>
      <c r="P119" s="97"/>
      <c r="Q119" s="97"/>
      <c r="R119" s="98" t="s">
        <v>3209</v>
      </c>
      <c r="S119" s="97" t="s">
        <v>2848</v>
      </c>
      <c r="T119" s="93" t="s">
        <v>2610</v>
      </c>
      <c r="U119" s="91"/>
      <c r="V119" s="99"/>
      <c r="W119" s="99"/>
      <c r="X119" s="91" t="s">
        <v>2943</v>
      </c>
      <c r="Y119" s="91" t="s">
        <v>3206</v>
      </c>
    </row>
    <row r="120" spans="1:26" ht="41.25" hidden="1" customHeight="1" x14ac:dyDescent="0.2">
      <c r="A120" s="89" t="s">
        <v>493</v>
      </c>
      <c r="B120" s="90">
        <v>44779</v>
      </c>
      <c r="C120" s="104">
        <v>44779</v>
      </c>
      <c r="D120" s="99"/>
      <c r="E120" s="93" t="s">
        <v>3246</v>
      </c>
      <c r="F120" s="93" t="s">
        <v>3577</v>
      </c>
      <c r="G120" s="93" t="s">
        <v>3578</v>
      </c>
      <c r="H120" s="93" t="s">
        <v>3324</v>
      </c>
      <c r="I120" s="94">
        <v>28566919</v>
      </c>
      <c r="J120" s="95">
        <v>3234429750</v>
      </c>
      <c r="K120" s="93"/>
      <c r="L120" s="96"/>
      <c r="M120" s="93" t="s">
        <v>3392</v>
      </c>
      <c r="N120" s="93" t="s">
        <v>3549</v>
      </c>
      <c r="O120" s="97"/>
      <c r="P120" s="97"/>
      <c r="Q120" s="97"/>
      <c r="R120" s="98" t="s">
        <v>3209</v>
      </c>
      <c r="S120" s="97" t="s">
        <v>2838</v>
      </c>
      <c r="T120" s="93" t="s">
        <v>2610</v>
      </c>
      <c r="U120" s="91"/>
      <c r="V120" s="99"/>
      <c r="W120" s="99"/>
      <c r="X120" s="91" t="s">
        <v>2980</v>
      </c>
      <c r="Y120" s="91" t="s">
        <v>3206</v>
      </c>
    </row>
    <row r="121" spans="1:26" ht="41.25" hidden="1" customHeight="1" x14ac:dyDescent="0.2">
      <c r="A121" s="89" t="s">
        <v>493</v>
      </c>
      <c r="B121" s="90">
        <v>44779</v>
      </c>
      <c r="C121" s="104">
        <v>44779</v>
      </c>
      <c r="D121" s="99"/>
      <c r="E121" s="93" t="s">
        <v>3246</v>
      </c>
      <c r="F121" s="93" t="s">
        <v>3579</v>
      </c>
      <c r="G121" s="93" t="s">
        <v>3580</v>
      </c>
      <c r="H121" s="93" t="s">
        <v>3320</v>
      </c>
      <c r="I121" s="94">
        <v>42687167</v>
      </c>
      <c r="J121" s="95">
        <v>3235832014</v>
      </c>
      <c r="K121" s="93"/>
      <c r="L121" s="96"/>
      <c r="M121" s="93" t="s">
        <v>1039</v>
      </c>
      <c r="N121" s="93" t="s">
        <v>1039</v>
      </c>
      <c r="O121" s="97"/>
      <c r="P121" s="97"/>
      <c r="Q121" s="97"/>
      <c r="R121" s="98" t="s">
        <v>2648</v>
      </c>
      <c r="S121" s="97" t="s">
        <v>2656</v>
      </c>
      <c r="T121" s="93" t="s">
        <v>2610</v>
      </c>
      <c r="U121" s="91" t="s">
        <v>3581</v>
      </c>
      <c r="V121" s="99"/>
      <c r="W121" s="99"/>
      <c r="X121" s="91" t="s">
        <v>2982</v>
      </c>
      <c r="Y121" s="91" t="s">
        <v>3206</v>
      </c>
    </row>
    <row r="122" spans="1:26" ht="41.25" hidden="1" customHeight="1" x14ac:dyDescent="0.2">
      <c r="A122" s="89" t="s">
        <v>493</v>
      </c>
      <c r="B122" s="90">
        <v>44779</v>
      </c>
      <c r="C122" s="104">
        <v>44779</v>
      </c>
      <c r="D122" s="99"/>
      <c r="E122" s="93" t="s">
        <v>3284</v>
      </c>
      <c r="F122" s="93"/>
      <c r="G122" s="93" t="s">
        <v>3297</v>
      </c>
      <c r="H122" s="93"/>
      <c r="I122" s="94">
        <v>8337775</v>
      </c>
      <c r="J122" s="95">
        <v>3113143037</v>
      </c>
      <c r="K122" s="93"/>
      <c r="L122" s="96"/>
      <c r="M122" s="93" t="s">
        <v>3237</v>
      </c>
      <c r="N122" s="93" t="s">
        <v>3237</v>
      </c>
      <c r="O122" s="97"/>
      <c r="P122" s="97"/>
      <c r="Q122" s="97"/>
      <c r="R122" s="98" t="s">
        <v>3209</v>
      </c>
      <c r="S122" s="97" t="s">
        <v>2838</v>
      </c>
      <c r="T122" s="93" t="s">
        <v>2610</v>
      </c>
      <c r="U122" s="91" t="s">
        <v>3238</v>
      </c>
      <c r="V122" s="99"/>
      <c r="W122" s="99"/>
      <c r="X122" s="91" t="s">
        <v>2993</v>
      </c>
      <c r="Y122" s="91" t="s">
        <v>3206</v>
      </c>
    </row>
    <row r="123" spans="1:26" ht="41.25" hidden="1" customHeight="1" x14ac:dyDescent="0.2">
      <c r="A123" s="89" t="s">
        <v>493</v>
      </c>
      <c r="B123" s="90">
        <v>44779</v>
      </c>
      <c r="C123" s="104">
        <v>44779</v>
      </c>
      <c r="D123" s="99"/>
      <c r="E123" s="93" t="s">
        <v>3214</v>
      </c>
      <c r="F123" s="93" t="s">
        <v>3582</v>
      </c>
      <c r="G123" s="93" t="s">
        <v>3472</v>
      </c>
      <c r="H123" s="93" t="s">
        <v>3527</v>
      </c>
      <c r="I123" s="94">
        <v>32375161</v>
      </c>
      <c r="J123" s="95">
        <v>3137050193</v>
      </c>
      <c r="K123" s="93"/>
      <c r="L123" s="96"/>
      <c r="M123" s="93" t="s">
        <v>613</v>
      </c>
      <c r="N123" s="93" t="s">
        <v>613</v>
      </c>
      <c r="O123" s="97"/>
      <c r="P123" s="97"/>
      <c r="Q123" s="97"/>
      <c r="R123" s="98" t="s">
        <v>3209</v>
      </c>
      <c r="S123" s="97" t="s">
        <v>2838</v>
      </c>
      <c r="T123" s="93" t="s">
        <v>2610</v>
      </c>
      <c r="U123" s="91" t="s">
        <v>3583</v>
      </c>
      <c r="V123" s="99"/>
      <c r="W123" s="99"/>
      <c r="X123" s="91" t="s">
        <v>3007</v>
      </c>
      <c r="Y123" s="91" t="s">
        <v>3206</v>
      </c>
    </row>
    <row r="124" spans="1:26" ht="41.25" hidden="1" customHeight="1" x14ac:dyDescent="0.2">
      <c r="A124" s="89" t="s">
        <v>493</v>
      </c>
      <c r="B124" s="90">
        <v>44779</v>
      </c>
      <c r="C124" s="103">
        <v>45165</v>
      </c>
      <c r="D124" s="99"/>
      <c r="E124" s="93" t="s">
        <v>3494</v>
      </c>
      <c r="F124" s="93" t="s">
        <v>3257</v>
      </c>
      <c r="G124" s="93" t="s">
        <v>3584</v>
      </c>
      <c r="H124" s="93" t="s">
        <v>3439</v>
      </c>
      <c r="I124" s="94">
        <v>1020420977</v>
      </c>
      <c r="J124" s="95">
        <v>3205699487</v>
      </c>
      <c r="K124" s="93"/>
      <c r="L124" s="96"/>
      <c r="M124" s="93" t="s">
        <v>656</v>
      </c>
      <c r="N124" s="93" t="s">
        <v>494</v>
      </c>
      <c r="O124" s="97"/>
      <c r="P124" s="97"/>
      <c r="Q124" s="97"/>
      <c r="R124" s="98" t="s">
        <v>3209</v>
      </c>
      <c r="S124" s="97">
        <v>3</v>
      </c>
      <c r="T124" s="93" t="s">
        <v>2610</v>
      </c>
      <c r="U124" s="91" t="s">
        <v>3585</v>
      </c>
      <c r="V124" s="99" t="s">
        <v>3586</v>
      </c>
      <c r="W124" s="99"/>
      <c r="X124" s="91" t="s">
        <v>3021</v>
      </c>
      <c r="Y124" s="91" t="s">
        <v>3447</v>
      </c>
      <c r="Z124" s="21" t="s">
        <v>3587</v>
      </c>
    </row>
    <row r="125" spans="1:26" ht="41.25" hidden="1" customHeight="1" x14ac:dyDescent="0.2">
      <c r="A125" s="89" t="s">
        <v>493</v>
      </c>
      <c r="B125" s="90">
        <v>44779</v>
      </c>
      <c r="C125" s="104">
        <v>44779</v>
      </c>
      <c r="D125" s="99"/>
      <c r="E125" s="93" t="s">
        <v>3494</v>
      </c>
      <c r="F125" s="93" t="s">
        <v>3349</v>
      </c>
      <c r="G125" s="93" t="s">
        <v>3459</v>
      </c>
      <c r="H125" s="93" t="s">
        <v>3588</v>
      </c>
      <c r="I125" s="94">
        <v>32469352</v>
      </c>
      <c r="J125" s="95">
        <v>3017099676</v>
      </c>
      <c r="K125" s="93"/>
      <c r="L125" s="96"/>
      <c r="M125" s="93" t="s">
        <v>3569</v>
      </c>
      <c r="N125" s="93" t="s">
        <v>3589</v>
      </c>
      <c r="O125" s="97"/>
      <c r="P125" s="97"/>
      <c r="Q125" s="97"/>
      <c r="R125" s="98" t="s">
        <v>2648</v>
      </c>
      <c r="S125" s="97" t="s">
        <v>2622</v>
      </c>
      <c r="T125" s="93" t="s">
        <v>2610</v>
      </c>
      <c r="U125" s="91" t="s">
        <v>3590</v>
      </c>
      <c r="V125" s="99" t="s">
        <v>3591</v>
      </c>
      <c r="W125" s="99" t="s">
        <v>3592</v>
      </c>
      <c r="X125" s="91" t="s">
        <v>3027</v>
      </c>
      <c r="Y125" s="91" t="s">
        <v>3593</v>
      </c>
    </row>
    <row r="126" spans="1:26" ht="41.25" hidden="1" customHeight="1" x14ac:dyDescent="0.2">
      <c r="A126" s="89" t="s">
        <v>493</v>
      </c>
      <c r="B126" s="90">
        <v>44779</v>
      </c>
      <c r="C126" s="103">
        <v>45165</v>
      </c>
      <c r="D126" s="99"/>
      <c r="E126" s="93" t="s">
        <v>3594</v>
      </c>
      <c r="F126" s="93"/>
      <c r="G126" s="93" t="s">
        <v>3320</v>
      </c>
      <c r="H126" s="93" t="s">
        <v>3325</v>
      </c>
      <c r="I126" s="94">
        <v>70782589</v>
      </c>
      <c r="J126" s="95">
        <v>3148012983</v>
      </c>
      <c r="K126" s="93"/>
      <c r="L126" s="96"/>
      <c r="M126" s="93" t="s">
        <v>656</v>
      </c>
      <c r="N126" s="93" t="s">
        <v>656</v>
      </c>
      <c r="O126" s="97"/>
      <c r="P126" s="97"/>
      <c r="Q126" s="97"/>
      <c r="R126" s="98" t="s">
        <v>3209</v>
      </c>
      <c r="S126" s="97">
        <v>1</v>
      </c>
      <c r="T126" s="93" t="s">
        <v>2610</v>
      </c>
      <c r="U126" s="91" t="s">
        <v>743</v>
      </c>
      <c r="V126" s="99"/>
      <c r="W126" s="99"/>
      <c r="X126" s="91" t="s">
        <v>3046</v>
      </c>
      <c r="Y126" s="91" t="s">
        <v>3206</v>
      </c>
    </row>
    <row r="127" spans="1:26" ht="41.25" hidden="1" customHeight="1" x14ac:dyDescent="0.2">
      <c r="A127" s="89" t="s">
        <v>493</v>
      </c>
      <c r="B127" s="90">
        <v>44779</v>
      </c>
      <c r="C127" s="104">
        <v>44779</v>
      </c>
      <c r="D127" s="99"/>
      <c r="E127" s="93" t="s">
        <v>3595</v>
      </c>
      <c r="F127" s="93"/>
      <c r="G127" s="93" t="s">
        <v>3596</v>
      </c>
      <c r="H127" s="93"/>
      <c r="I127" s="94">
        <v>21491381</v>
      </c>
      <c r="J127" s="95">
        <v>3206086016</v>
      </c>
      <c r="K127" s="93"/>
      <c r="L127" s="96"/>
      <c r="M127" s="93"/>
      <c r="N127" s="93"/>
      <c r="O127" s="97"/>
      <c r="P127" s="97"/>
      <c r="Q127" s="97"/>
      <c r="R127" s="98" t="s">
        <v>3209</v>
      </c>
      <c r="S127" s="97" t="s">
        <v>2838</v>
      </c>
      <c r="T127" s="93" t="s">
        <v>2610</v>
      </c>
      <c r="U127" s="91" t="s">
        <v>3597</v>
      </c>
      <c r="V127" s="99"/>
      <c r="W127" s="99"/>
      <c r="X127" s="91" t="s">
        <v>3052</v>
      </c>
      <c r="Y127" s="91" t="s">
        <v>3206</v>
      </c>
    </row>
    <row r="128" spans="1:26" ht="41.25" hidden="1" customHeight="1" x14ac:dyDescent="0.2">
      <c r="A128" s="89" t="s">
        <v>493</v>
      </c>
      <c r="B128" s="90">
        <v>44779</v>
      </c>
      <c r="C128" s="104">
        <v>44779</v>
      </c>
      <c r="D128" s="99"/>
      <c r="E128" s="93" t="s">
        <v>3349</v>
      </c>
      <c r="F128" s="93"/>
      <c r="G128" s="93" t="s">
        <v>3598</v>
      </c>
      <c r="H128" s="93"/>
      <c r="I128" s="94">
        <v>42689999</v>
      </c>
      <c r="J128" s="95">
        <v>3043460633</v>
      </c>
      <c r="K128" s="93"/>
      <c r="L128" s="96"/>
      <c r="M128" s="93" t="s">
        <v>3392</v>
      </c>
      <c r="N128" s="93" t="s">
        <v>3392</v>
      </c>
      <c r="O128" s="97"/>
      <c r="P128" s="97"/>
      <c r="Q128" s="97"/>
      <c r="R128" s="98" t="s">
        <v>3209</v>
      </c>
      <c r="S128" s="97" t="s">
        <v>2848</v>
      </c>
      <c r="T128" s="93" t="s">
        <v>2610</v>
      </c>
      <c r="U128" s="91"/>
      <c r="V128" s="99"/>
      <c r="W128" s="99"/>
      <c r="X128" s="91" t="s">
        <v>3059</v>
      </c>
      <c r="Y128" s="91" t="s">
        <v>3206</v>
      </c>
    </row>
    <row r="129" spans="1:26" ht="41.25" hidden="1" customHeight="1" x14ac:dyDescent="0.2">
      <c r="A129" s="89" t="s">
        <v>493</v>
      </c>
      <c r="B129" s="90">
        <v>44779</v>
      </c>
      <c r="C129" s="104">
        <v>44779</v>
      </c>
      <c r="D129" s="99"/>
      <c r="E129" s="93" t="s">
        <v>3599</v>
      </c>
      <c r="F129" s="93"/>
      <c r="G129" s="93" t="s">
        <v>3580</v>
      </c>
      <c r="H129" s="93"/>
      <c r="I129" s="94">
        <v>43911659</v>
      </c>
      <c r="J129" s="95">
        <v>3234874335</v>
      </c>
      <c r="K129" s="93"/>
      <c r="L129" s="96"/>
      <c r="M129" s="93" t="s">
        <v>3392</v>
      </c>
      <c r="N129" s="93" t="s">
        <v>3392</v>
      </c>
      <c r="O129" s="97"/>
      <c r="P129" s="97"/>
      <c r="Q129" s="97"/>
      <c r="R129" s="98" t="s">
        <v>3209</v>
      </c>
      <c r="S129" s="97" t="s">
        <v>2848</v>
      </c>
      <c r="T129" s="93" t="s">
        <v>2610</v>
      </c>
      <c r="U129" s="91"/>
      <c r="V129" s="99"/>
      <c r="W129" s="99"/>
      <c r="X129" s="91" t="s">
        <v>3070</v>
      </c>
      <c r="Y129" s="91" t="s">
        <v>3206</v>
      </c>
    </row>
    <row r="130" spans="1:26" ht="41.25" hidden="1" customHeight="1" x14ac:dyDescent="0.2">
      <c r="A130" s="89" t="s">
        <v>493</v>
      </c>
      <c r="B130" s="90">
        <v>44779</v>
      </c>
      <c r="C130" s="104">
        <v>44779</v>
      </c>
      <c r="D130" s="99"/>
      <c r="E130" s="93" t="s">
        <v>3600</v>
      </c>
      <c r="F130" s="93" t="s">
        <v>3328</v>
      </c>
      <c r="G130" s="93" t="s">
        <v>3596</v>
      </c>
      <c r="H130" s="93" t="s">
        <v>3459</v>
      </c>
      <c r="I130" s="94">
        <v>98649019</v>
      </c>
      <c r="J130" s="95">
        <v>3218952300</v>
      </c>
      <c r="K130" s="93"/>
      <c r="L130" s="96"/>
      <c r="M130" s="93" t="s">
        <v>3569</v>
      </c>
      <c r="N130" s="93" t="s">
        <v>3589</v>
      </c>
      <c r="O130" s="97"/>
      <c r="P130" s="97"/>
      <c r="Q130" s="97"/>
      <c r="R130" s="98" t="s">
        <v>3209</v>
      </c>
      <c r="S130" s="97" t="s">
        <v>2622</v>
      </c>
      <c r="T130" s="93" t="s">
        <v>2610</v>
      </c>
      <c r="U130" s="91" t="s">
        <v>3601</v>
      </c>
      <c r="V130" s="99" t="s">
        <v>3592</v>
      </c>
      <c r="W130" s="99"/>
      <c r="X130" s="91" t="s">
        <v>3079</v>
      </c>
      <c r="Y130" s="91" t="s">
        <v>3593</v>
      </c>
    </row>
    <row r="131" spans="1:26" ht="41.25" hidden="1" customHeight="1" x14ac:dyDescent="0.2">
      <c r="A131" s="89" t="s">
        <v>493</v>
      </c>
      <c r="B131" s="90">
        <v>44779</v>
      </c>
      <c r="C131" s="103">
        <v>44779</v>
      </c>
      <c r="D131" s="99"/>
      <c r="E131" s="93" t="s">
        <v>3602</v>
      </c>
      <c r="F131" s="93"/>
      <c r="G131" s="93" t="s">
        <v>3480</v>
      </c>
      <c r="H131" s="93" t="s">
        <v>3603</v>
      </c>
      <c r="I131" s="94">
        <v>43889126</v>
      </c>
      <c r="J131" s="95">
        <v>3218074745</v>
      </c>
      <c r="K131" s="93"/>
      <c r="L131" s="96"/>
      <c r="M131" s="93" t="s">
        <v>3392</v>
      </c>
      <c r="N131" s="93" t="s">
        <v>3549</v>
      </c>
      <c r="O131" s="97"/>
      <c r="P131" s="97"/>
      <c r="Q131" s="97"/>
      <c r="R131" s="98" t="s">
        <v>3209</v>
      </c>
      <c r="S131" s="97" t="s">
        <v>2848</v>
      </c>
      <c r="T131" s="93" t="s">
        <v>2610</v>
      </c>
      <c r="U131" s="91"/>
      <c r="V131" s="99"/>
      <c r="W131" s="99"/>
      <c r="X131" s="91" t="s">
        <v>3096</v>
      </c>
      <c r="Y131" s="91" t="s">
        <v>3206</v>
      </c>
    </row>
    <row r="132" spans="1:26" ht="41.25" hidden="1" customHeight="1" x14ac:dyDescent="0.2">
      <c r="A132" s="89" t="s">
        <v>493</v>
      </c>
      <c r="B132" s="90">
        <v>44781</v>
      </c>
      <c r="C132" s="103">
        <v>45151</v>
      </c>
      <c r="D132" s="99"/>
      <c r="E132" s="93" t="s">
        <v>3604</v>
      </c>
      <c r="F132" s="93"/>
      <c r="G132" s="93" t="s">
        <v>3568</v>
      </c>
      <c r="H132" s="93"/>
      <c r="I132" s="94"/>
      <c r="J132" s="95">
        <v>3205518368</v>
      </c>
      <c r="K132" s="93" t="s">
        <v>2915</v>
      </c>
      <c r="L132" s="96">
        <v>3148385554</v>
      </c>
      <c r="M132" s="93" t="s">
        <v>613</v>
      </c>
      <c r="N132" s="93" t="s">
        <v>439</v>
      </c>
      <c r="O132" s="97"/>
      <c r="P132" s="97"/>
      <c r="Q132" s="97"/>
      <c r="R132" s="98" t="s">
        <v>3209</v>
      </c>
      <c r="S132" s="97" t="s">
        <v>2622</v>
      </c>
      <c r="T132" s="93" t="s">
        <v>2610</v>
      </c>
      <c r="U132" s="91"/>
      <c r="V132" s="99"/>
      <c r="W132" s="99"/>
      <c r="X132" s="91"/>
      <c r="Y132" s="91" t="s">
        <v>3447</v>
      </c>
      <c r="Z132" s="21" t="s">
        <v>3605</v>
      </c>
    </row>
    <row r="133" spans="1:26" ht="41.25" hidden="1" customHeight="1" x14ac:dyDescent="0.2">
      <c r="A133" s="89" t="s">
        <v>493</v>
      </c>
      <c r="B133" s="90">
        <v>44782</v>
      </c>
      <c r="C133" s="103">
        <v>45151</v>
      </c>
      <c r="D133" s="99"/>
      <c r="E133" s="93" t="s">
        <v>3551</v>
      </c>
      <c r="F133" s="93" t="s">
        <v>3246</v>
      </c>
      <c r="G133" s="93" t="s">
        <v>3606</v>
      </c>
      <c r="H133" s="93"/>
      <c r="I133" s="94">
        <v>43636497</v>
      </c>
      <c r="J133" s="95">
        <v>3216355008</v>
      </c>
      <c r="K133" s="93"/>
      <c r="L133" s="96"/>
      <c r="M133" s="93" t="s">
        <v>1039</v>
      </c>
      <c r="N133" s="93" t="s">
        <v>1039</v>
      </c>
      <c r="O133" s="97"/>
      <c r="P133" s="97"/>
      <c r="Q133" s="97"/>
      <c r="R133" s="98" t="s">
        <v>3209</v>
      </c>
      <c r="S133" s="97">
        <v>2</v>
      </c>
      <c r="T133" s="93" t="s">
        <v>2610</v>
      </c>
      <c r="U133" s="91"/>
      <c r="V133" s="99"/>
      <c r="W133" s="99"/>
      <c r="X133" s="91"/>
      <c r="Y133" s="91" t="s">
        <v>3206</v>
      </c>
    </row>
    <row r="134" spans="1:26" ht="41.25" hidden="1" customHeight="1" x14ac:dyDescent="0.2">
      <c r="A134" s="89" t="s">
        <v>493</v>
      </c>
      <c r="B134" s="90">
        <v>44863</v>
      </c>
      <c r="C134" s="103">
        <v>45151</v>
      </c>
      <c r="D134" s="99"/>
      <c r="E134" s="93" t="s">
        <v>3462</v>
      </c>
      <c r="F134" s="93" t="s">
        <v>3202</v>
      </c>
      <c r="G134" s="93" t="s">
        <v>3261</v>
      </c>
      <c r="H134" s="93" t="s">
        <v>3503</v>
      </c>
      <c r="I134" s="94">
        <v>43928373</v>
      </c>
      <c r="J134" s="95">
        <v>3016890804</v>
      </c>
      <c r="K134" s="93" t="s">
        <v>2900</v>
      </c>
      <c r="L134" s="96">
        <v>3003115908</v>
      </c>
      <c r="M134" s="93" t="s">
        <v>3309</v>
      </c>
      <c r="N134" s="93" t="s">
        <v>3607</v>
      </c>
      <c r="O134" s="97"/>
      <c r="P134" s="97"/>
      <c r="Q134" s="97"/>
      <c r="R134" s="98" t="s">
        <v>3209</v>
      </c>
      <c r="S134" s="97">
        <v>3</v>
      </c>
      <c r="T134" s="93" t="s">
        <v>2610</v>
      </c>
      <c r="U134" s="91" t="s">
        <v>3608</v>
      </c>
      <c r="V134" s="99"/>
      <c r="W134" s="99"/>
      <c r="X134" s="91" t="s">
        <v>668</v>
      </c>
      <c r="Y134" s="91" t="s">
        <v>3447</v>
      </c>
      <c r="Z134" s="21" t="s">
        <v>3609</v>
      </c>
    </row>
    <row r="135" spans="1:26" ht="41.25" hidden="1" customHeight="1" x14ac:dyDescent="0.2">
      <c r="A135" s="89" t="s">
        <v>493</v>
      </c>
      <c r="B135" s="90">
        <v>44863</v>
      </c>
      <c r="C135" s="103">
        <v>45039</v>
      </c>
      <c r="D135" s="99"/>
      <c r="E135" s="93" t="s">
        <v>3574</v>
      </c>
      <c r="F135" s="93" t="s">
        <v>3214</v>
      </c>
      <c r="G135" s="93" t="s">
        <v>3610</v>
      </c>
      <c r="H135" s="93"/>
      <c r="I135" s="94">
        <v>71994983</v>
      </c>
      <c r="J135" s="95">
        <v>3225785113</v>
      </c>
      <c r="K135" s="93" t="s">
        <v>2945</v>
      </c>
      <c r="L135" s="96">
        <v>3148682755</v>
      </c>
      <c r="M135" s="93" t="s">
        <v>613</v>
      </c>
      <c r="N135" s="93" t="s">
        <v>613</v>
      </c>
      <c r="O135" s="97"/>
      <c r="P135" s="97"/>
      <c r="Q135" s="97"/>
      <c r="R135" s="98" t="s">
        <v>3209</v>
      </c>
      <c r="S135" s="97" t="s">
        <v>2848</v>
      </c>
      <c r="T135" s="93" t="s">
        <v>2610</v>
      </c>
      <c r="U135" s="91" t="s">
        <v>3611</v>
      </c>
      <c r="V135" s="99"/>
      <c r="W135" s="99"/>
      <c r="X135" s="91"/>
      <c r="Y135" s="91" t="s">
        <v>3206</v>
      </c>
    </row>
    <row r="136" spans="1:26" ht="41.25" hidden="1" customHeight="1" x14ac:dyDescent="0.2">
      <c r="A136" s="89" t="s">
        <v>493</v>
      </c>
      <c r="B136" s="90">
        <v>44948</v>
      </c>
      <c r="C136" s="103">
        <v>44948</v>
      </c>
      <c r="D136" s="99"/>
      <c r="E136" s="93" t="s">
        <v>3612</v>
      </c>
      <c r="F136" s="93" t="s">
        <v>3613</v>
      </c>
      <c r="G136" s="93" t="s">
        <v>3320</v>
      </c>
      <c r="H136" s="93" t="s">
        <v>3303</v>
      </c>
      <c r="I136" s="94">
        <v>1214720607</v>
      </c>
      <c r="J136" s="95">
        <v>300788371</v>
      </c>
      <c r="K136" s="93" t="s">
        <v>2934</v>
      </c>
      <c r="L136" s="96">
        <v>3215985163</v>
      </c>
      <c r="M136" s="93" t="s">
        <v>3404</v>
      </c>
      <c r="N136" s="93" t="s">
        <v>3614</v>
      </c>
      <c r="O136" s="97"/>
      <c r="P136" s="97"/>
      <c r="Q136" s="97"/>
      <c r="R136" s="98" t="s">
        <v>3209</v>
      </c>
      <c r="S136" s="97" t="s">
        <v>2838</v>
      </c>
      <c r="T136" s="93" t="s">
        <v>2610</v>
      </c>
      <c r="U136" s="91" t="s">
        <v>3615</v>
      </c>
      <c r="V136" s="99"/>
      <c r="W136" s="99"/>
      <c r="X136" s="91" t="s">
        <v>2935</v>
      </c>
      <c r="Y136" s="91" t="s">
        <v>3206</v>
      </c>
    </row>
    <row r="137" spans="1:26" ht="41.25" hidden="1" customHeight="1" x14ac:dyDescent="0.2">
      <c r="A137" s="89" t="s">
        <v>493</v>
      </c>
      <c r="B137" s="90">
        <v>44948</v>
      </c>
      <c r="C137" s="106" t="s">
        <v>3616</v>
      </c>
      <c r="D137" s="99"/>
      <c r="E137" s="93" t="s">
        <v>3289</v>
      </c>
      <c r="F137" s="93"/>
      <c r="G137" s="93" t="s">
        <v>3617</v>
      </c>
      <c r="H137" s="93"/>
      <c r="I137" s="94">
        <v>1001032306</v>
      </c>
      <c r="J137" s="95">
        <v>3005753862</v>
      </c>
      <c r="K137" s="93" t="s">
        <v>2969</v>
      </c>
      <c r="L137" s="96">
        <v>3132490389</v>
      </c>
      <c r="M137" s="93" t="s">
        <v>518</v>
      </c>
      <c r="N137" s="93" t="s">
        <v>3618</v>
      </c>
      <c r="O137" s="97"/>
      <c r="P137" s="97"/>
      <c r="Q137" s="97"/>
      <c r="R137" s="98" t="s">
        <v>3209</v>
      </c>
      <c r="S137" s="97" t="s">
        <v>2838</v>
      </c>
      <c r="T137" s="93" t="s">
        <v>2610</v>
      </c>
      <c r="U137" s="91" t="s">
        <v>3619</v>
      </c>
      <c r="V137" s="99" t="s">
        <v>3620</v>
      </c>
      <c r="W137" s="99" t="s">
        <v>3621</v>
      </c>
      <c r="X137" s="91" t="s">
        <v>2970</v>
      </c>
      <c r="Y137" s="91" t="s">
        <v>3593</v>
      </c>
    </row>
    <row r="138" spans="1:26" ht="41.25" hidden="1" customHeight="1" x14ac:dyDescent="0.2">
      <c r="A138" s="89" t="s">
        <v>493</v>
      </c>
      <c r="B138" s="90">
        <v>44948</v>
      </c>
      <c r="C138" s="103">
        <v>44948</v>
      </c>
      <c r="D138" s="99"/>
      <c r="E138" s="93" t="s">
        <v>3246</v>
      </c>
      <c r="F138" s="93" t="s">
        <v>3622</v>
      </c>
      <c r="G138" s="93" t="s">
        <v>3433</v>
      </c>
      <c r="H138" s="93" t="s">
        <v>3472</v>
      </c>
      <c r="I138" s="94">
        <v>1017250881</v>
      </c>
      <c r="J138" s="95">
        <v>3137053213</v>
      </c>
      <c r="K138" s="93" t="s">
        <v>2976</v>
      </c>
      <c r="L138" s="96">
        <v>3118341348</v>
      </c>
      <c r="M138" s="93" t="s">
        <v>1039</v>
      </c>
      <c r="N138" s="93"/>
      <c r="O138" s="97"/>
      <c r="P138" s="97"/>
      <c r="Q138" s="97"/>
      <c r="R138" s="98" t="s">
        <v>3209</v>
      </c>
      <c r="S138" s="97" t="s">
        <v>2977</v>
      </c>
      <c r="T138" s="93" t="s">
        <v>2610</v>
      </c>
      <c r="U138" s="91"/>
      <c r="V138" s="99"/>
      <c r="W138" s="99"/>
      <c r="X138" s="91" t="s">
        <v>2978</v>
      </c>
      <c r="Y138" s="91" t="s">
        <v>3206</v>
      </c>
    </row>
    <row r="139" spans="1:26" ht="41.25" hidden="1" customHeight="1" x14ac:dyDescent="0.2">
      <c r="A139" s="89" t="s">
        <v>493</v>
      </c>
      <c r="B139" s="90">
        <v>44948</v>
      </c>
      <c r="C139" s="103">
        <v>44948</v>
      </c>
      <c r="D139" s="99"/>
      <c r="E139" s="93" t="s">
        <v>3623</v>
      </c>
      <c r="F139" s="93"/>
      <c r="G139" s="93" t="s">
        <v>1554</v>
      </c>
      <c r="H139" s="93"/>
      <c r="I139" s="94">
        <v>43655787</v>
      </c>
      <c r="J139" s="95">
        <v>3122815942</v>
      </c>
      <c r="K139" s="93"/>
      <c r="L139" s="96">
        <v>3226543077</v>
      </c>
      <c r="M139" s="93" t="s">
        <v>272</v>
      </c>
      <c r="N139" s="93" t="s">
        <v>3624</v>
      </c>
      <c r="O139" s="97"/>
      <c r="P139" s="97"/>
      <c r="Q139" s="97"/>
      <c r="R139" s="98" t="s">
        <v>3209</v>
      </c>
      <c r="S139" s="97" t="s">
        <v>2848</v>
      </c>
      <c r="T139" s="93" t="s">
        <v>2610</v>
      </c>
      <c r="U139" s="91"/>
      <c r="V139" s="99"/>
      <c r="W139" s="99"/>
      <c r="X139" s="91" t="s">
        <v>3016</v>
      </c>
      <c r="Y139" s="91" t="s">
        <v>3206</v>
      </c>
    </row>
    <row r="140" spans="1:26" ht="41.25" hidden="1" customHeight="1" x14ac:dyDescent="0.2">
      <c r="A140" s="89" t="s">
        <v>493</v>
      </c>
      <c r="B140" s="90">
        <v>44948</v>
      </c>
      <c r="C140" s="103">
        <v>44948</v>
      </c>
      <c r="D140" s="99"/>
      <c r="E140" s="93" t="s">
        <v>3625</v>
      </c>
      <c r="F140" s="93"/>
      <c r="G140" s="93" t="s">
        <v>3280</v>
      </c>
      <c r="H140" s="93"/>
      <c r="I140" s="94" t="s">
        <v>2257</v>
      </c>
      <c r="J140" s="95">
        <v>3001544496</v>
      </c>
      <c r="K140" s="93"/>
      <c r="L140" s="96"/>
      <c r="M140" s="93" t="s">
        <v>272</v>
      </c>
      <c r="N140" s="93" t="s">
        <v>3626</v>
      </c>
      <c r="O140" s="97"/>
      <c r="P140" s="97"/>
      <c r="Q140" s="97"/>
      <c r="R140" s="98" t="s">
        <v>3209</v>
      </c>
      <c r="S140" s="97" t="s">
        <v>2848</v>
      </c>
      <c r="T140" s="93" t="s">
        <v>2610</v>
      </c>
      <c r="U140" s="91"/>
      <c r="V140" s="99"/>
      <c r="W140" s="99"/>
      <c r="X140" s="91" t="s">
        <v>3077</v>
      </c>
      <c r="Y140" s="91" t="s">
        <v>3206</v>
      </c>
    </row>
    <row r="141" spans="1:26" ht="41.25" hidden="1" customHeight="1" x14ac:dyDescent="0.2">
      <c r="A141" s="89" t="s">
        <v>493</v>
      </c>
      <c r="B141" s="90">
        <v>44969</v>
      </c>
      <c r="C141" s="103">
        <v>44969</v>
      </c>
      <c r="D141" s="99"/>
      <c r="E141" s="93" t="s">
        <v>3604</v>
      </c>
      <c r="F141" s="93"/>
      <c r="G141" s="93" t="s">
        <v>3627</v>
      </c>
      <c r="H141" s="93" t="s">
        <v>3628</v>
      </c>
      <c r="I141" s="94">
        <v>71600712</v>
      </c>
      <c r="J141" s="95">
        <v>3007275020</v>
      </c>
      <c r="K141" s="93"/>
      <c r="L141" s="96"/>
      <c r="M141" s="93" t="s">
        <v>613</v>
      </c>
      <c r="N141" s="93" t="s">
        <v>3629</v>
      </c>
      <c r="O141" s="97"/>
      <c r="P141" s="97"/>
      <c r="Q141" s="97"/>
      <c r="R141" s="98" t="s">
        <v>2648</v>
      </c>
      <c r="S141" s="97" t="s">
        <v>2622</v>
      </c>
      <c r="T141" s="93" t="s">
        <v>2610</v>
      </c>
      <c r="U141" s="91"/>
      <c r="V141" s="99"/>
      <c r="W141" s="99"/>
      <c r="X141" s="91" t="s">
        <v>2917</v>
      </c>
      <c r="Y141" s="91" t="s">
        <v>3206</v>
      </c>
    </row>
    <row r="142" spans="1:26" ht="41.25" hidden="1" customHeight="1" x14ac:dyDescent="0.2">
      <c r="A142" s="89" t="s">
        <v>493</v>
      </c>
      <c r="B142" s="90">
        <v>44969</v>
      </c>
      <c r="C142" s="103">
        <v>44969</v>
      </c>
      <c r="D142" s="99"/>
      <c r="E142" s="93" t="s">
        <v>3494</v>
      </c>
      <c r="F142" s="93"/>
      <c r="G142" s="93" t="s">
        <v>3503</v>
      </c>
      <c r="H142" s="93"/>
      <c r="I142" s="94">
        <v>22028606</v>
      </c>
      <c r="J142" s="95">
        <v>3153780056</v>
      </c>
      <c r="K142" s="93"/>
      <c r="L142" s="96"/>
      <c r="M142" s="93"/>
      <c r="N142" s="93" t="s">
        <v>3630</v>
      </c>
      <c r="O142" s="97"/>
      <c r="P142" s="97"/>
      <c r="Q142" s="97"/>
      <c r="R142" s="98" t="s">
        <v>3209</v>
      </c>
      <c r="S142" s="97" t="s">
        <v>2838</v>
      </c>
      <c r="T142" s="93" t="s">
        <v>2610</v>
      </c>
      <c r="U142" s="91"/>
      <c r="V142" s="99"/>
      <c r="W142" s="99"/>
      <c r="X142" s="91" t="s">
        <v>3029</v>
      </c>
      <c r="Y142" s="91" t="s">
        <v>3206</v>
      </c>
    </row>
    <row r="143" spans="1:26" ht="41.25" hidden="1" customHeight="1" x14ac:dyDescent="0.2">
      <c r="A143" s="89" t="s">
        <v>493</v>
      </c>
      <c r="B143" s="90">
        <v>44969</v>
      </c>
      <c r="C143" s="103">
        <v>44969</v>
      </c>
      <c r="D143" s="99"/>
      <c r="E143" s="93" t="s">
        <v>3631</v>
      </c>
      <c r="F143" s="93"/>
      <c r="G143" s="93" t="s">
        <v>3632</v>
      </c>
      <c r="H143" s="93"/>
      <c r="I143" s="94">
        <v>98467449</v>
      </c>
      <c r="J143" s="95">
        <v>3105463354</v>
      </c>
      <c r="K143" s="93"/>
      <c r="L143" s="96"/>
      <c r="M143" s="93" t="s">
        <v>272</v>
      </c>
      <c r="N143" s="93" t="s">
        <v>3633</v>
      </c>
      <c r="O143" s="97"/>
      <c r="P143" s="97"/>
      <c r="Q143" s="97"/>
      <c r="R143" s="98" t="s">
        <v>3209</v>
      </c>
      <c r="S143" s="97" t="s">
        <v>2848</v>
      </c>
      <c r="T143" s="93" t="s">
        <v>2610</v>
      </c>
      <c r="U143" s="91"/>
      <c r="V143" s="99"/>
      <c r="W143" s="99"/>
      <c r="X143" s="91" t="s">
        <v>3031</v>
      </c>
      <c r="Y143" s="91" t="s">
        <v>3206</v>
      </c>
    </row>
    <row r="144" spans="1:26" ht="41.25" hidden="1" customHeight="1" x14ac:dyDescent="0.2">
      <c r="A144" s="89" t="s">
        <v>493</v>
      </c>
      <c r="B144" s="90">
        <v>44969</v>
      </c>
      <c r="C144" s="103">
        <v>44969</v>
      </c>
      <c r="D144" s="99"/>
      <c r="E144" s="93" t="s">
        <v>3634</v>
      </c>
      <c r="F144" s="93" t="s">
        <v>3202</v>
      </c>
      <c r="G144" s="93" t="s">
        <v>3635</v>
      </c>
      <c r="H144" s="93"/>
      <c r="I144" s="94">
        <v>42781985</v>
      </c>
      <c r="J144" s="95">
        <v>3127243987</v>
      </c>
      <c r="K144" s="93"/>
      <c r="L144" s="96"/>
      <c r="M144" s="93" t="s">
        <v>272</v>
      </c>
      <c r="N144" s="93" t="s">
        <v>3464</v>
      </c>
      <c r="O144" s="97"/>
      <c r="P144" s="97"/>
      <c r="Q144" s="97"/>
      <c r="R144" s="98" t="s">
        <v>3209</v>
      </c>
      <c r="S144" s="97" t="s">
        <v>2622</v>
      </c>
      <c r="T144" s="93" t="s">
        <v>2610</v>
      </c>
      <c r="U144" s="91" t="s">
        <v>3636</v>
      </c>
      <c r="V144" s="99" t="s">
        <v>3592</v>
      </c>
      <c r="W144" s="99"/>
      <c r="X144" s="91" t="s">
        <v>3041</v>
      </c>
      <c r="Y144" s="91" t="s">
        <v>3593</v>
      </c>
    </row>
    <row r="145" spans="1:26" ht="41.25" hidden="1" customHeight="1" x14ac:dyDescent="0.2">
      <c r="A145" s="89" t="s">
        <v>493</v>
      </c>
      <c r="B145" s="90">
        <v>44969</v>
      </c>
      <c r="C145" s="103">
        <v>44969</v>
      </c>
      <c r="D145" s="102"/>
      <c r="E145" s="93" t="s">
        <v>3637</v>
      </c>
      <c r="F145" s="93"/>
      <c r="G145" s="93" t="s">
        <v>3584</v>
      </c>
      <c r="H145" s="93" t="s">
        <v>3303</v>
      </c>
      <c r="I145" s="94">
        <v>1020444930</v>
      </c>
      <c r="J145" s="95">
        <v>3245070666</v>
      </c>
      <c r="K145" s="93"/>
      <c r="L145" s="96"/>
      <c r="M145" s="93"/>
      <c r="N145" s="93" t="s">
        <v>3638</v>
      </c>
      <c r="O145" s="97"/>
      <c r="P145" s="97"/>
      <c r="Q145" s="97"/>
      <c r="R145" s="98" t="s">
        <v>3209</v>
      </c>
      <c r="S145" s="97" t="s">
        <v>2838</v>
      </c>
      <c r="T145" s="93" t="s">
        <v>2610</v>
      </c>
      <c r="U145" s="91"/>
      <c r="V145" s="99"/>
      <c r="W145" s="99"/>
      <c r="X145" s="91" t="s">
        <v>3075</v>
      </c>
      <c r="Y145" s="91" t="s">
        <v>3206</v>
      </c>
    </row>
    <row r="146" spans="1:26" ht="41.25" hidden="1" customHeight="1" x14ac:dyDescent="0.2">
      <c r="A146" s="89" t="s">
        <v>493</v>
      </c>
      <c r="B146" s="90">
        <v>44969</v>
      </c>
      <c r="C146" s="103">
        <v>44969</v>
      </c>
      <c r="D146" s="99"/>
      <c r="E146" s="93" t="s">
        <v>3470</v>
      </c>
      <c r="F146" s="93" t="s">
        <v>3214</v>
      </c>
      <c r="G146" s="93" t="s">
        <v>3472</v>
      </c>
      <c r="H146" s="93" t="s">
        <v>3299</v>
      </c>
      <c r="I146" s="94">
        <v>1037572589</v>
      </c>
      <c r="J146" s="95">
        <v>3127278446</v>
      </c>
      <c r="K146" s="93"/>
      <c r="L146" s="96">
        <v>3013078009</v>
      </c>
      <c r="M146" s="93" t="s">
        <v>518</v>
      </c>
      <c r="N146" s="93" t="s">
        <v>3639</v>
      </c>
      <c r="O146" s="97"/>
      <c r="P146" s="97"/>
      <c r="Q146" s="97"/>
      <c r="R146" s="98" t="s">
        <v>3209</v>
      </c>
      <c r="S146" s="97" t="s">
        <v>2622</v>
      </c>
      <c r="T146" s="93" t="s">
        <v>2610</v>
      </c>
      <c r="U146" s="91" t="s">
        <v>3640</v>
      </c>
      <c r="V146" s="99" t="s">
        <v>3641</v>
      </c>
      <c r="W146" s="99" t="s">
        <v>3642</v>
      </c>
      <c r="X146" s="91" t="s">
        <v>3092</v>
      </c>
      <c r="Y146" s="91" t="s">
        <v>3593</v>
      </c>
    </row>
    <row r="147" spans="1:26" ht="41.25" hidden="1" customHeight="1" x14ac:dyDescent="0.2">
      <c r="A147" s="89" t="s">
        <v>493</v>
      </c>
      <c r="B147" s="90">
        <v>45002</v>
      </c>
      <c r="C147" s="99"/>
      <c r="D147" s="99"/>
      <c r="E147" s="93" t="s">
        <v>3643</v>
      </c>
      <c r="F147" s="93"/>
      <c r="G147" s="93" t="s">
        <v>3472</v>
      </c>
      <c r="H147" s="93"/>
      <c r="I147" s="94"/>
      <c r="J147" s="95">
        <v>3246499851</v>
      </c>
      <c r="K147" s="93"/>
      <c r="L147" s="96"/>
      <c r="M147" s="93"/>
      <c r="N147" s="93"/>
      <c r="O147" s="97"/>
      <c r="P147" s="97"/>
      <c r="Q147" s="97"/>
      <c r="R147" s="98" t="s">
        <v>3209</v>
      </c>
      <c r="S147" s="97" t="s">
        <v>2841</v>
      </c>
      <c r="T147" s="93" t="s">
        <v>2610</v>
      </c>
      <c r="U147" s="91"/>
      <c r="V147" s="99"/>
      <c r="W147" s="99"/>
      <c r="X147" s="91"/>
      <c r="Y147" s="91" t="s">
        <v>3524</v>
      </c>
    </row>
    <row r="148" spans="1:26" ht="41.25" hidden="1" customHeight="1" x14ac:dyDescent="0.2">
      <c r="A148" s="89" t="s">
        <v>493</v>
      </c>
      <c r="B148" s="90">
        <v>45002</v>
      </c>
      <c r="C148" s="103">
        <v>45032</v>
      </c>
      <c r="D148" s="99"/>
      <c r="E148" s="93" t="s">
        <v>3644</v>
      </c>
      <c r="F148" s="93" t="s">
        <v>3645</v>
      </c>
      <c r="G148" s="93" t="s">
        <v>3216</v>
      </c>
      <c r="H148" s="93" t="s">
        <v>3383</v>
      </c>
      <c r="I148" s="94">
        <v>1038813623</v>
      </c>
      <c r="J148" s="95">
        <v>3145043447</v>
      </c>
      <c r="K148" s="93"/>
      <c r="L148" s="96"/>
      <c r="M148" s="93"/>
      <c r="N148" s="93"/>
      <c r="O148" s="97"/>
      <c r="P148" s="97"/>
      <c r="Q148" s="97"/>
      <c r="R148" s="98" t="s">
        <v>3209</v>
      </c>
      <c r="S148" s="97" t="s">
        <v>2848</v>
      </c>
      <c r="T148" s="93" t="s">
        <v>2610</v>
      </c>
      <c r="U148" s="91" t="s">
        <v>3646</v>
      </c>
      <c r="V148" s="99"/>
      <c r="W148" s="99"/>
      <c r="X148" s="91"/>
      <c r="Y148" s="91" t="s">
        <v>3206</v>
      </c>
    </row>
    <row r="149" spans="1:26" ht="41.25" hidden="1" customHeight="1" x14ac:dyDescent="0.2">
      <c r="A149" s="89" t="s">
        <v>493</v>
      </c>
      <c r="B149" s="90">
        <v>45039</v>
      </c>
      <c r="C149" s="103">
        <v>45039</v>
      </c>
      <c r="D149" s="99"/>
      <c r="E149" s="93" t="s">
        <v>3221</v>
      </c>
      <c r="F149" s="93" t="s">
        <v>3647</v>
      </c>
      <c r="G149" s="93" t="s">
        <v>3584</v>
      </c>
      <c r="H149" s="93" t="s">
        <v>3648</v>
      </c>
      <c r="I149" s="94">
        <v>1146437089</v>
      </c>
      <c r="J149" s="95">
        <v>3009631423</v>
      </c>
      <c r="K149" s="93" t="s">
        <v>2865</v>
      </c>
      <c r="L149" s="96">
        <v>3024018186</v>
      </c>
      <c r="M149" s="93" t="s">
        <v>3649</v>
      </c>
      <c r="N149" s="93"/>
      <c r="O149" s="97"/>
      <c r="P149" s="97"/>
      <c r="Q149" s="97"/>
      <c r="R149" s="98" t="s">
        <v>3209</v>
      </c>
      <c r="S149" s="97" t="s">
        <v>2838</v>
      </c>
      <c r="T149" s="93" t="s">
        <v>2610</v>
      </c>
      <c r="U149" s="91"/>
      <c r="V149" s="99"/>
      <c r="W149" s="99"/>
      <c r="X149" s="91" t="s">
        <v>2866</v>
      </c>
      <c r="Y149" s="91" t="s">
        <v>3206</v>
      </c>
    </row>
    <row r="150" spans="1:26" ht="41.25" hidden="1" customHeight="1" x14ac:dyDescent="0.2">
      <c r="A150" s="89" t="s">
        <v>493</v>
      </c>
      <c r="B150" s="90">
        <v>45039</v>
      </c>
      <c r="C150" s="103">
        <v>45039</v>
      </c>
      <c r="D150" s="99"/>
      <c r="E150" s="93" t="s">
        <v>3294</v>
      </c>
      <c r="F150" s="93" t="s">
        <v>3650</v>
      </c>
      <c r="G150" s="93" t="s">
        <v>3651</v>
      </c>
      <c r="H150" s="93" t="s">
        <v>3652</v>
      </c>
      <c r="I150" s="94">
        <v>8419682</v>
      </c>
      <c r="J150" s="95">
        <v>3225855278</v>
      </c>
      <c r="K150" s="93"/>
      <c r="L150" s="96">
        <v>3205699487</v>
      </c>
      <c r="M150" s="93" t="s">
        <v>656</v>
      </c>
      <c r="N150" s="93" t="s">
        <v>3653</v>
      </c>
      <c r="O150" s="97"/>
      <c r="P150" s="97"/>
      <c r="Q150" s="97"/>
      <c r="R150" s="98" t="s">
        <v>3209</v>
      </c>
      <c r="S150" s="97" t="s">
        <v>2838</v>
      </c>
      <c r="T150" s="93" t="s">
        <v>2610</v>
      </c>
      <c r="U150" s="91"/>
      <c r="V150" s="99"/>
      <c r="W150" s="99"/>
      <c r="X150" s="91" t="s">
        <v>2928</v>
      </c>
      <c r="Y150" s="91" t="s">
        <v>3654</v>
      </c>
    </row>
    <row r="151" spans="1:26" ht="41.25" hidden="1" customHeight="1" x14ac:dyDescent="0.2">
      <c r="A151" s="89" t="s">
        <v>493</v>
      </c>
      <c r="B151" s="90">
        <v>45039</v>
      </c>
      <c r="C151" s="103">
        <v>45029</v>
      </c>
      <c r="D151" s="99"/>
      <c r="E151" s="93" t="s">
        <v>3289</v>
      </c>
      <c r="F151" s="93" t="s">
        <v>3655</v>
      </c>
      <c r="G151" s="93" t="s">
        <v>3656</v>
      </c>
      <c r="H151" s="93" t="s">
        <v>3395</v>
      </c>
      <c r="I151" s="94">
        <v>10953428</v>
      </c>
      <c r="J151" s="95">
        <v>3148133542</v>
      </c>
      <c r="K151" s="93" t="s">
        <v>2965</v>
      </c>
      <c r="L151" s="96">
        <v>3128921504</v>
      </c>
      <c r="M151" s="93" t="s">
        <v>297</v>
      </c>
      <c r="N151" s="93"/>
      <c r="O151" s="97"/>
      <c r="P151" s="97"/>
      <c r="Q151" s="97"/>
      <c r="R151" s="98" t="s">
        <v>3209</v>
      </c>
      <c r="S151" s="97" t="s">
        <v>2848</v>
      </c>
      <c r="T151" s="93" t="s">
        <v>2610</v>
      </c>
      <c r="U151" s="91"/>
      <c r="V151" s="99"/>
      <c r="W151" s="99"/>
      <c r="X151" s="91" t="s">
        <v>2966</v>
      </c>
      <c r="Y151" s="91" t="s">
        <v>3206</v>
      </c>
    </row>
    <row r="152" spans="1:26" ht="41.25" hidden="1" customHeight="1" x14ac:dyDescent="0.2">
      <c r="A152" s="89" t="s">
        <v>493</v>
      </c>
      <c r="B152" s="90">
        <v>45039</v>
      </c>
      <c r="C152" s="103">
        <v>45039</v>
      </c>
      <c r="D152" s="99"/>
      <c r="E152" s="93" t="s">
        <v>3214</v>
      </c>
      <c r="F152" s="93" t="s">
        <v>3556</v>
      </c>
      <c r="G152" s="93" t="s">
        <v>3657</v>
      </c>
      <c r="H152" s="93" t="s">
        <v>3459</v>
      </c>
      <c r="I152" s="94">
        <v>42487524</v>
      </c>
      <c r="J152" s="95">
        <v>3215067271</v>
      </c>
      <c r="K152" s="93"/>
      <c r="L152" s="96">
        <v>3146444518</v>
      </c>
      <c r="M152" s="93"/>
      <c r="N152" s="93"/>
      <c r="O152" s="97"/>
      <c r="P152" s="97"/>
      <c r="Q152" s="97"/>
      <c r="R152" s="98" t="s">
        <v>3209</v>
      </c>
      <c r="S152" s="97" t="s">
        <v>2838</v>
      </c>
      <c r="T152" s="93" t="s">
        <v>2610</v>
      </c>
      <c r="U152" s="91"/>
      <c r="V152" s="99"/>
      <c r="W152" s="99" t="s">
        <v>3658</v>
      </c>
      <c r="X152" s="91"/>
      <c r="Y152" s="91" t="s">
        <v>3206</v>
      </c>
    </row>
    <row r="153" spans="1:26" ht="41.25" hidden="1" customHeight="1" x14ac:dyDescent="0.2">
      <c r="A153" s="89" t="s">
        <v>493</v>
      </c>
      <c r="B153" s="90">
        <v>45039</v>
      </c>
      <c r="C153" s="103">
        <v>45039</v>
      </c>
      <c r="D153" s="99"/>
      <c r="E153" s="93" t="s">
        <v>3510</v>
      </c>
      <c r="F153" s="93"/>
      <c r="G153" s="93" t="s">
        <v>3659</v>
      </c>
      <c r="H153" s="93" t="s">
        <v>3272</v>
      </c>
      <c r="I153" s="94">
        <v>43901715</v>
      </c>
      <c r="J153" s="95">
        <v>3127645930</v>
      </c>
      <c r="K153" s="93"/>
      <c r="L153" s="96">
        <v>3028004382</v>
      </c>
      <c r="M153" s="93" t="s">
        <v>3275</v>
      </c>
      <c r="N153" s="93"/>
      <c r="O153" s="97"/>
      <c r="P153" s="97"/>
      <c r="Q153" s="97"/>
      <c r="R153" s="98" t="s">
        <v>3209</v>
      </c>
      <c r="S153" s="97" t="s">
        <v>2848</v>
      </c>
      <c r="T153" s="93" t="s">
        <v>2610</v>
      </c>
      <c r="U153" s="91"/>
      <c r="V153" s="99"/>
      <c r="W153" s="99"/>
      <c r="X153" s="91" t="s">
        <v>3068</v>
      </c>
      <c r="Y153" s="91" t="s">
        <v>3206</v>
      </c>
    </row>
    <row r="154" spans="1:26" ht="41.25" hidden="1" customHeight="1" x14ac:dyDescent="0.2">
      <c r="A154" s="89" t="s">
        <v>493</v>
      </c>
      <c r="B154" s="90">
        <v>45136</v>
      </c>
      <c r="C154" s="106" t="s">
        <v>3660</v>
      </c>
      <c r="D154" s="99"/>
      <c r="E154" s="93" t="s">
        <v>3661</v>
      </c>
      <c r="F154" s="93"/>
      <c r="G154" s="93" t="s">
        <v>3508</v>
      </c>
      <c r="H154" s="93" t="s">
        <v>3509</v>
      </c>
      <c r="I154" s="94">
        <v>32201406</v>
      </c>
      <c r="J154" s="95">
        <v>3106857493</v>
      </c>
      <c r="K154" s="93"/>
      <c r="L154" s="96"/>
      <c r="M154" s="93" t="s">
        <v>3662</v>
      </c>
      <c r="N154" s="93"/>
      <c r="O154" s="97"/>
      <c r="P154" s="97"/>
      <c r="Q154" s="97"/>
      <c r="R154" s="98" t="s">
        <v>3209</v>
      </c>
      <c r="S154" s="97">
        <v>3</v>
      </c>
      <c r="T154" s="93" t="s">
        <v>2610</v>
      </c>
      <c r="U154" s="91" t="s">
        <v>3663</v>
      </c>
      <c r="V154" s="99"/>
      <c r="W154" s="99"/>
      <c r="X154" s="91" t="s">
        <v>2895</v>
      </c>
      <c r="Y154" s="91" t="s">
        <v>3447</v>
      </c>
      <c r="Z154" s="21" t="s">
        <v>3664</v>
      </c>
    </row>
    <row r="155" spans="1:26" ht="41.25" hidden="1" customHeight="1" x14ac:dyDescent="0.2">
      <c r="A155" s="89" t="s">
        <v>493</v>
      </c>
      <c r="B155" s="90">
        <v>45136</v>
      </c>
      <c r="C155" s="103">
        <v>45151</v>
      </c>
      <c r="D155" s="99"/>
      <c r="E155" s="93" t="s">
        <v>3226</v>
      </c>
      <c r="F155" s="93" t="s">
        <v>3556</v>
      </c>
      <c r="G155" s="93" t="s">
        <v>3628</v>
      </c>
      <c r="H155" s="93" t="s">
        <v>3652</v>
      </c>
      <c r="I155" s="94">
        <v>1020405540</v>
      </c>
      <c r="J155" s="95">
        <v>3175734276</v>
      </c>
      <c r="K155" s="93" t="s">
        <v>1041</v>
      </c>
      <c r="L155" s="96">
        <v>3145363536</v>
      </c>
      <c r="M155" s="93" t="s">
        <v>3665</v>
      </c>
      <c r="N155" s="93"/>
      <c r="O155" s="97"/>
      <c r="P155" s="97"/>
      <c r="Q155" s="97"/>
      <c r="R155" s="98" t="s">
        <v>2648</v>
      </c>
      <c r="S155" s="97">
        <v>1</v>
      </c>
      <c r="T155" s="93" t="s">
        <v>2610</v>
      </c>
      <c r="U155" s="91"/>
      <c r="V155" s="99"/>
      <c r="W155" s="99"/>
      <c r="X155" s="91" t="s">
        <v>2910</v>
      </c>
      <c r="Y155" s="91" t="s">
        <v>3206</v>
      </c>
    </row>
    <row r="156" spans="1:26" ht="41.25" hidden="1" customHeight="1" x14ac:dyDescent="0.2">
      <c r="A156" s="89" t="s">
        <v>493</v>
      </c>
      <c r="B156" s="90">
        <v>45136</v>
      </c>
      <c r="C156" s="103">
        <v>45151</v>
      </c>
      <c r="D156" s="99"/>
      <c r="E156" s="93" t="s">
        <v>3214</v>
      </c>
      <c r="F156" s="93" t="s">
        <v>3666</v>
      </c>
      <c r="G156" s="93" t="s">
        <v>3667</v>
      </c>
      <c r="H156" s="93" t="s">
        <v>3668</v>
      </c>
      <c r="I156" s="94">
        <v>43662139</v>
      </c>
      <c r="J156" s="95">
        <v>3113020534</v>
      </c>
      <c r="K156" s="93" t="s">
        <v>1054</v>
      </c>
      <c r="L156" s="96">
        <v>3024532821</v>
      </c>
      <c r="M156" s="93" t="s">
        <v>3669</v>
      </c>
      <c r="N156" s="93"/>
      <c r="O156" s="97"/>
      <c r="P156" s="97"/>
      <c r="Q156" s="97"/>
      <c r="R156" s="98" t="s">
        <v>3209</v>
      </c>
      <c r="S156" s="97">
        <v>3</v>
      </c>
      <c r="T156" s="93" t="s">
        <v>2610</v>
      </c>
      <c r="U156" s="91"/>
      <c r="V156" s="99"/>
      <c r="W156" s="99"/>
      <c r="X156" s="91" t="s">
        <v>2998</v>
      </c>
      <c r="Y156" s="91" t="s">
        <v>3447</v>
      </c>
      <c r="Z156" s="21" t="s">
        <v>3670</v>
      </c>
    </row>
    <row r="157" spans="1:26" ht="41.25" hidden="1" customHeight="1" x14ac:dyDescent="0.2">
      <c r="A157" s="89" t="s">
        <v>493</v>
      </c>
      <c r="B157" s="90">
        <v>45151</v>
      </c>
      <c r="C157" s="103">
        <v>45151</v>
      </c>
      <c r="D157" s="99"/>
      <c r="E157" s="93" t="s">
        <v>3671</v>
      </c>
      <c r="F157" s="93" t="s">
        <v>3407</v>
      </c>
      <c r="G157" s="93" t="s">
        <v>3672</v>
      </c>
      <c r="H157" s="93" t="s">
        <v>3673</v>
      </c>
      <c r="I157" s="94">
        <v>43208578</v>
      </c>
      <c r="J157" s="95">
        <v>3025490535</v>
      </c>
      <c r="K157" s="93"/>
      <c r="L157" s="96"/>
      <c r="M157" s="93" t="s">
        <v>801</v>
      </c>
      <c r="N157" s="93"/>
      <c r="O157" s="97"/>
      <c r="P157" s="97"/>
      <c r="Q157" s="97"/>
      <c r="R157" s="98" t="s">
        <v>3209</v>
      </c>
      <c r="S157" s="97">
        <v>3</v>
      </c>
      <c r="T157" s="93" t="s">
        <v>2610</v>
      </c>
      <c r="U157" s="91"/>
      <c r="V157" s="99"/>
      <c r="W157" s="99"/>
      <c r="X157" s="91" t="s">
        <v>2892</v>
      </c>
      <c r="Y157" s="91" t="s">
        <v>3447</v>
      </c>
      <c r="Z157" s="21" t="s">
        <v>3674</v>
      </c>
    </row>
    <row r="158" spans="1:26" ht="41.25" hidden="1" customHeight="1" x14ac:dyDescent="0.2">
      <c r="A158" s="89" t="s">
        <v>493</v>
      </c>
      <c r="B158" s="90">
        <v>45158</v>
      </c>
      <c r="C158" s="103">
        <v>45165</v>
      </c>
      <c r="D158" s="99"/>
      <c r="E158" s="93" t="s">
        <v>3675</v>
      </c>
      <c r="F158" s="93" t="s">
        <v>3214</v>
      </c>
      <c r="G158" s="93" t="s">
        <v>3216</v>
      </c>
      <c r="H158" s="93" t="s">
        <v>3676</v>
      </c>
      <c r="I158" s="94">
        <v>1065007238</v>
      </c>
      <c r="J158" s="95">
        <v>3135213473</v>
      </c>
      <c r="K158" s="93"/>
      <c r="L158" s="96"/>
      <c r="M158" s="93" t="s">
        <v>3677</v>
      </c>
      <c r="N158" s="93"/>
      <c r="O158" s="97"/>
      <c r="P158" s="97"/>
      <c r="Q158" s="97"/>
      <c r="R158" s="98" t="s">
        <v>3209</v>
      </c>
      <c r="S158" s="97">
        <v>3</v>
      </c>
      <c r="T158" s="93" t="s">
        <v>2610</v>
      </c>
      <c r="U158" s="91" t="s">
        <v>3678</v>
      </c>
      <c r="V158" s="99"/>
      <c r="W158" s="99"/>
      <c r="X158" s="91"/>
      <c r="Y158" s="91" t="s">
        <v>3447</v>
      </c>
      <c r="Z158" s="21" t="s">
        <v>3679</v>
      </c>
    </row>
    <row r="159" spans="1:26" ht="41.25" hidden="1" customHeight="1" x14ac:dyDescent="0.2">
      <c r="A159" s="89" t="s">
        <v>493</v>
      </c>
      <c r="B159" s="90">
        <v>45165</v>
      </c>
      <c r="C159" s="103">
        <v>45165</v>
      </c>
      <c r="D159" s="99"/>
      <c r="E159" s="93" t="s">
        <v>3680</v>
      </c>
      <c r="F159" s="93" t="s">
        <v>3681</v>
      </c>
      <c r="G159" s="93" t="s">
        <v>3682</v>
      </c>
      <c r="H159" s="93" t="s">
        <v>3683</v>
      </c>
      <c r="I159" s="94">
        <v>1035305540</v>
      </c>
      <c r="J159" s="95">
        <v>3136008255</v>
      </c>
      <c r="K159" s="93"/>
      <c r="L159" s="96"/>
      <c r="M159" s="93" t="s">
        <v>3684</v>
      </c>
      <c r="N159" s="93"/>
      <c r="O159" s="97"/>
      <c r="P159" s="97"/>
      <c r="Q159" s="97"/>
      <c r="R159" s="98" t="s">
        <v>3209</v>
      </c>
      <c r="S159" s="97">
        <v>1</v>
      </c>
      <c r="T159" s="93" t="s">
        <v>2610</v>
      </c>
      <c r="U159" s="91"/>
      <c r="V159" s="99"/>
      <c r="W159" s="99"/>
      <c r="X159" s="91" t="s">
        <v>3094</v>
      </c>
      <c r="Y159" s="91" t="s">
        <v>3206</v>
      </c>
    </row>
    <row r="160" spans="1:26" ht="41.25" hidden="1" customHeight="1" x14ac:dyDescent="0.2">
      <c r="A160" s="89" t="s">
        <v>493</v>
      </c>
      <c r="B160" s="90">
        <v>45221</v>
      </c>
      <c r="C160" s="104">
        <v>45228</v>
      </c>
      <c r="D160" s="99"/>
      <c r="E160" s="93" t="s">
        <v>3685</v>
      </c>
      <c r="F160" s="93" t="s">
        <v>3686</v>
      </c>
      <c r="G160" s="93" t="s">
        <v>3414</v>
      </c>
      <c r="H160" s="93" t="s">
        <v>3603</v>
      </c>
      <c r="I160" s="94">
        <v>1007377699</v>
      </c>
      <c r="J160" s="95">
        <v>3169021369</v>
      </c>
      <c r="K160" s="93"/>
      <c r="L160" s="96"/>
      <c r="M160" s="93" t="s">
        <v>3687</v>
      </c>
      <c r="N160" s="93" t="s">
        <v>3687</v>
      </c>
      <c r="O160" s="97"/>
      <c r="P160" s="97"/>
      <c r="Q160" s="97"/>
      <c r="R160" s="98" t="s">
        <v>3209</v>
      </c>
      <c r="S160" s="97">
        <v>1</v>
      </c>
      <c r="T160" s="93" t="s">
        <v>2610</v>
      </c>
      <c r="U160" s="91" t="s">
        <v>3688</v>
      </c>
      <c r="V160" s="99"/>
      <c r="W160" s="99"/>
      <c r="X160" s="91"/>
      <c r="Y160" s="91" t="s">
        <v>3206</v>
      </c>
    </row>
    <row r="161" spans="1:25" ht="41.25" hidden="1" customHeight="1" x14ac:dyDescent="0.2">
      <c r="A161" s="89" t="s">
        <v>493</v>
      </c>
      <c r="B161" s="90">
        <v>45340</v>
      </c>
      <c r="C161" s="104">
        <v>45340</v>
      </c>
      <c r="D161" s="99"/>
      <c r="E161" s="93" t="s">
        <v>3689</v>
      </c>
      <c r="F161" s="93" t="s">
        <v>3387</v>
      </c>
      <c r="G161" s="93" t="s">
        <v>3690</v>
      </c>
      <c r="H161" s="93" t="s">
        <v>3691</v>
      </c>
      <c r="I161" s="94">
        <v>1067091746</v>
      </c>
      <c r="J161" s="95">
        <v>3137831624</v>
      </c>
      <c r="K161" s="93"/>
      <c r="L161" s="96"/>
      <c r="M161" s="91" t="s">
        <v>3692</v>
      </c>
      <c r="N161" s="93" t="s">
        <v>3692</v>
      </c>
      <c r="O161" s="97"/>
      <c r="P161" s="97"/>
      <c r="Q161" s="97"/>
      <c r="R161" s="98" t="s">
        <v>3209</v>
      </c>
      <c r="S161" s="97">
        <v>1</v>
      </c>
      <c r="T161" s="93" t="s">
        <v>2610</v>
      </c>
      <c r="U161" s="91" t="s">
        <v>3693</v>
      </c>
      <c r="V161" s="99"/>
      <c r="W161" s="99"/>
      <c r="X161" s="91"/>
      <c r="Y161" s="91" t="s">
        <v>3206</v>
      </c>
    </row>
    <row r="162" spans="1:25" ht="41.25" hidden="1" customHeight="1" x14ac:dyDescent="0.2">
      <c r="A162" s="89" t="s">
        <v>493</v>
      </c>
      <c r="B162" s="90">
        <v>45340</v>
      </c>
      <c r="C162" s="104">
        <v>45340</v>
      </c>
      <c r="D162" s="99"/>
      <c r="E162" s="93" t="s">
        <v>3694</v>
      </c>
      <c r="F162" s="93" t="s">
        <v>3622</v>
      </c>
      <c r="G162" s="93" t="s">
        <v>3492</v>
      </c>
      <c r="H162" s="93" t="s">
        <v>3695</v>
      </c>
      <c r="I162" s="94">
        <v>43101702</v>
      </c>
      <c r="J162" s="95">
        <v>3225820283</v>
      </c>
      <c r="K162" s="93"/>
      <c r="L162" s="96"/>
      <c r="M162" s="91" t="s">
        <v>3696</v>
      </c>
      <c r="N162" s="93" t="s">
        <v>3696</v>
      </c>
      <c r="O162" s="97"/>
      <c r="P162" s="97"/>
      <c r="Q162" s="97"/>
      <c r="R162" s="98" t="s">
        <v>3209</v>
      </c>
      <c r="S162" s="97">
        <v>1</v>
      </c>
      <c r="T162" s="93" t="s">
        <v>2610</v>
      </c>
      <c r="U162" s="91" t="s">
        <v>3697</v>
      </c>
      <c r="V162" s="99"/>
      <c r="W162" s="99"/>
      <c r="X162" s="91"/>
      <c r="Y162" s="91" t="s">
        <v>3206</v>
      </c>
    </row>
    <row r="163" spans="1:25" ht="41.25" hidden="1" customHeight="1" x14ac:dyDescent="0.2">
      <c r="A163" s="89" t="s">
        <v>493</v>
      </c>
      <c r="B163" s="90">
        <v>45340</v>
      </c>
      <c r="C163" s="104">
        <v>45340</v>
      </c>
      <c r="D163" s="99"/>
      <c r="E163" s="93" t="s">
        <v>3698</v>
      </c>
      <c r="F163" s="93" t="s">
        <v>3579</v>
      </c>
      <c r="G163" s="93" t="s">
        <v>3699</v>
      </c>
      <c r="H163" s="93" t="s">
        <v>3700</v>
      </c>
      <c r="I163" s="94">
        <v>43814696</v>
      </c>
      <c r="J163" s="95">
        <v>3154753846</v>
      </c>
      <c r="K163" s="93"/>
      <c r="L163" s="96"/>
      <c r="M163" s="91" t="s">
        <v>3237</v>
      </c>
      <c r="N163" s="93" t="s">
        <v>3237</v>
      </c>
      <c r="O163" s="97"/>
      <c r="P163" s="97"/>
      <c r="Q163" s="97"/>
      <c r="R163" s="98" t="s">
        <v>3209</v>
      </c>
      <c r="S163" s="97">
        <v>2</v>
      </c>
      <c r="T163" s="93" t="s">
        <v>2610</v>
      </c>
      <c r="U163" s="91" t="s">
        <v>3701</v>
      </c>
      <c r="V163" s="91" t="s">
        <v>3702</v>
      </c>
      <c r="X163" s="91"/>
      <c r="Y163" s="91" t="s">
        <v>3206</v>
      </c>
    </row>
    <row r="164" spans="1:25" ht="41.25" hidden="1" customHeight="1" x14ac:dyDescent="0.2">
      <c r="A164" s="89" t="s">
        <v>493</v>
      </c>
      <c r="B164" s="90">
        <v>45340</v>
      </c>
      <c r="C164" s="104">
        <v>45340</v>
      </c>
      <c r="D164" s="99"/>
      <c r="E164" s="93" t="s">
        <v>3703</v>
      </c>
      <c r="F164" s="93" t="s">
        <v>1808</v>
      </c>
      <c r="G164" s="93" t="s">
        <v>3704</v>
      </c>
      <c r="H164" s="93" t="s">
        <v>3345</v>
      </c>
      <c r="I164" s="94">
        <v>1035302697</v>
      </c>
      <c r="J164" s="95">
        <v>3235061085</v>
      </c>
      <c r="K164" s="93"/>
      <c r="L164" s="96"/>
      <c r="M164" s="91" t="s">
        <v>3102</v>
      </c>
      <c r="N164" s="93" t="s">
        <v>3102</v>
      </c>
      <c r="O164" s="97"/>
      <c r="P164" s="97"/>
      <c r="Q164" s="97"/>
      <c r="R164" s="98" t="s">
        <v>3209</v>
      </c>
      <c r="S164" s="97">
        <v>2</v>
      </c>
      <c r="T164" s="93" t="s">
        <v>2610</v>
      </c>
      <c r="U164" s="91" t="s">
        <v>3103</v>
      </c>
      <c r="V164" s="99"/>
      <c r="W164" s="99"/>
      <c r="X164" s="91"/>
      <c r="Y164" s="91"/>
    </row>
    <row r="165" spans="1:25" ht="41.25" hidden="1" customHeight="1" x14ac:dyDescent="0.2">
      <c r="A165" s="89" t="s">
        <v>493</v>
      </c>
      <c r="B165" s="90">
        <v>45340</v>
      </c>
      <c r="C165" s="104">
        <v>45340</v>
      </c>
      <c r="D165" s="99"/>
      <c r="E165" s="93" t="s">
        <v>3705</v>
      </c>
      <c r="F165" s="93" t="s">
        <v>3645</v>
      </c>
      <c r="G165" s="93" t="s">
        <v>3706</v>
      </c>
      <c r="H165" s="93" t="s">
        <v>3707</v>
      </c>
      <c r="I165" s="94">
        <v>1033653731</v>
      </c>
      <c r="J165" s="95">
        <v>3103859453</v>
      </c>
      <c r="K165" s="93"/>
      <c r="L165" s="96"/>
      <c r="M165" s="91" t="s">
        <v>3105</v>
      </c>
      <c r="N165" s="93" t="s">
        <v>3105</v>
      </c>
      <c r="O165" s="97"/>
      <c r="P165" s="97"/>
      <c r="Q165" s="97"/>
      <c r="R165" s="98" t="s">
        <v>3209</v>
      </c>
      <c r="S165" s="97">
        <v>2</v>
      </c>
      <c r="T165" s="93" t="s">
        <v>2610</v>
      </c>
      <c r="U165" s="91"/>
      <c r="V165" s="99"/>
      <c r="W165" s="99"/>
      <c r="X165" s="91"/>
      <c r="Y165" s="91"/>
    </row>
    <row r="166" spans="1:25" ht="41.25" hidden="1" customHeight="1" x14ac:dyDescent="0.2">
      <c r="A166" s="89" t="s">
        <v>493</v>
      </c>
      <c r="B166" s="90">
        <v>45340</v>
      </c>
      <c r="C166" s="104">
        <v>45340</v>
      </c>
      <c r="D166" s="99"/>
      <c r="E166" s="93" t="s">
        <v>3708</v>
      </c>
      <c r="F166" s="93" t="s">
        <v>3645</v>
      </c>
      <c r="G166" s="93" t="s">
        <v>3709</v>
      </c>
      <c r="H166" s="93" t="s">
        <v>3220</v>
      </c>
      <c r="I166" s="94">
        <v>1049564109</v>
      </c>
      <c r="J166" s="95">
        <v>3136160646</v>
      </c>
      <c r="K166" s="93"/>
      <c r="L166" s="96"/>
      <c r="M166" s="91" t="s">
        <v>3107</v>
      </c>
      <c r="N166" s="93" t="s">
        <v>3107</v>
      </c>
      <c r="O166" s="97"/>
      <c r="P166" s="97"/>
      <c r="Q166" s="97"/>
      <c r="R166" s="98" t="s">
        <v>3209</v>
      </c>
      <c r="S166" s="97">
        <v>1</v>
      </c>
      <c r="T166" s="93" t="s">
        <v>2610</v>
      </c>
      <c r="U166" s="91" t="s">
        <v>3108</v>
      </c>
      <c r="V166" s="99"/>
      <c r="W166" s="99"/>
      <c r="X166" s="91"/>
      <c r="Y166" s="91"/>
    </row>
    <row r="167" spans="1:25" ht="41.25" hidden="1" customHeight="1" x14ac:dyDescent="0.2">
      <c r="A167" s="89" t="s">
        <v>493</v>
      </c>
      <c r="B167" s="90">
        <v>45340</v>
      </c>
      <c r="C167" s="104">
        <v>45340</v>
      </c>
      <c r="D167" s="99"/>
      <c r="E167" s="93" t="s">
        <v>3257</v>
      </c>
      <c r="F167" s="93"/>
      <c r="G167" s="93" t="s">
        <v>3710</v>
      </c>
      <c r="H167" s="93"/>
      <c r="I167" s="94">
        <v>43277433</v>
      </c>
      <c r="J167" s="95">
        <v>3233647694</v>
      </c>
      <c r="K167" s="93"/>
      <c r="L167" s="96"/>
      <c r="M167" s="91" t="s">
        <v>3110</v>
      </c>
      <c r="N167" s="93" t="s">
        <v>3110</v>
      </c>
      <c r="O167" s="97"/>
      <c r="P167" s="97"/>
      <c r="Q167" s="97"/>
      <c r="R167" s="98" t="s">
        <v>3209</v>
      </c>
      <c r="S167" s="97">
        <v>2</v>
      </c>
      <c r="T167" s="93" t="s">
        <v>2610</v>
      </c>
      <c r="U167" s="91" t="s">
        <v>3111</v>
      </c>
      <c r="V167" s="99"/>
      <c r="W167" s="99"/>
      <c r="X167" s="91"/>
      <c r="Y167" s="91"/>
    </row>
    <row r="168" spans="1:25" ht="41.25" hidden="1" customHeight="1" x14ac:dyDescent="0.2">
      <c r="A168" s="89" t="s">
        <v>493</v>
      </c>
      <c r="B168" s="90">
        <v>45340</v>
      </c>
      <c r="C168" s="104">
        <v>45340</v>
      </c>
      <c r="D168" s="99"/>
      <c r="E168" s="93" t="s">
        <v>3711</v>
      </c>
      <c r="F168" s="93" t="s">
        <v>3712</v>
      </c>
      <c r="G168" s="93" t="s">
        <v>3220</v>
      </c>
      <c r="H168" s="93"/>
      <c r="I168" s="94">
        <v>670887</v>
      </c>
      <c r="J168" s="95">
        <v>3103727847</v>
      </c>
      <c r="K168" s="93"/>
      <c r="L168" s="96"/>
      <c r="M168" s="91" t="s">
        <v>2212</v>
      </c>
      <c r="N168" s="93" t="s">
        <v>2212</v>
      </c>
      <c r="O168" s="97"/>
      <c r="P168" s="97"/>
      <c r="Q168" s="97"/>
      <c r="R168" s="98" t="s">
        <v>2648</v>
      </c>
      <c r="S168" s="97">
        <v>1</v>
      </c>
      <c r="T168" s="93" t="s">
        <v>2610</v>
      </c>
      <c r="U168" s="91" t="s">
        <v>3113</v>
      </c>
      <c r="V168" s="99"/>
      <c r="W168" s="99"/>
      <c r="X168" s="91"/>
      <c r="Y168" s="91"/>
    </row>
    <row r="169" spans="1:25" ht="41.25" hidden="1" customHeight="1" x14ac:dyDescent="0.2">
      <c r="A169" s="89" t="s">
        <v>493</v>
      </c>
      <c r="B169" s="90">
        <v>45340</v>
      </c>
      <c r="C169" s="104">
        <v>45340</v>
      </c>
      <c r="D169" s="99"/>
      <c r="E169" s="93" t="s">
        <v>3713</v>
      </c>
      <c r="F169" s="93" t="s">
        <v>3202</v>
      </c>
      <c r="G169" s="93" t="s">
        <v>3714</v>
      </c>
      <c r="H169" s="93"/>
      <c r="I169" s="94">
        <v>1237443428</v>
      </c>
      <c r="J169" s="95">
        <v>3123957247</v>
      </c>
      <c r="K169" s="93"/>
      <c r="L169" s="96"/>
      <c r="M169" s="91" t="s">
        <v>3114</v>
      </c>
      <c r="N169" s="93" t="s">
        <v>3114</v>
      </c>
      <c r="O169" s="97"/>
      <c r="P169" s="97"/>
      <c r="Q169" s="97"/>
      <c r="R169" s="98" t="s">
        <v>3209</v>
      </c>
      <c r="S169" s="97">
        <v>1</v>
      </c>
      <c r="T169" s="93" t="s">
        <v>2610</v>
      </c>
      <c r="U169" s="91" t="s">
        <v>3115</v>
      </c>
      <c r="V169" s="99"/>
      <c r="W169" s="99"/>
      <c r="X169" s="91"/>
      <c r="Y169" s="91"/>
    </row>
    <row r="170" spans="1:25" ht="41.25" hidden="1" customHeight="1" x14ac:dyDescent="0.2">
      <c r="A170" s="89" t="s">
        <v>493</v>
      </c>
      <c r="B170" s="90">
        <v>45340</v>
      </c>
      <c r="C170" s="104">
        <v>45340</v>
      </c>
      <c r="D170" s="99"/>
      <c r="E170" s="93" t="s">
        <v>3715</v>
      </c>
      <c r="F170" s="93" t="s">
        <v>3716</v>
      </c>
      <c r="G170" s="93" t="s">
        <v>3695</v>
      </c>
      <c r="H170" s="93"/>
      <c r="I170" s="94">
        <v>43268402</v>
      </c>
      <c r="J170" s="95">
        <v>3235954376</v>
      </c>
      <c r="K170" s="93"/>
      <c r="L170" s="96"/>
      <c r="M170" s="91" t="s">
        <v>3117</v>
      </c>
      <c r="N170" s="93" t="s">
        <v>3117</v>
      </c>
      <c r="O170" s="97"/>
      <c r="P170" s="97"/>
      <c r="Q170" s="97"/>
      <c r="R170" s="98" t="s">
        <v>3209</v>
      </c>
      <c r="S170" s="97">
        <v>2</v>
      </c>
      <c r="T170" s="93" t="s">
        <v>2610</v>
      </c>
      <c r="U170" s="91" t="s">
        <v>3118</v>
      </c>
      <c r="V170" s="99"/>
      <c r="W170" s="99"/>
      <c r="X170" s="91"/>
      <c r="Y170" s="91"/>
    </row>
    <row r="171" spans="1:25" ht="41.25" hidden="1" customHeight="1" x14ac:dyDescent="0.2">
      <c r="A171" s="89" t="s">
        <v>493</v>
      </c>
      <c r="B171" s="90">
        <v>45340</v>
      </c>
      <c r="C171" s="104">
        <v>45340</v>
      </c>
      <c r="D171" s="99"/>
      <c r="E171" s="93" t="s">
        <v>3717</v>
      </c>
      <c r="F171" s="93" t="s">
        <v>3718</v>
      </c>
      <c r="G171" s="93" t="s">
        <v>3719</v>
      </c>
      <c r="H171" s="93" t="s">
        <v>3485</v>
      </c>
      <c r="I171" s="94">
        <v>1046954173</v>
      </c>
      <c r="J171" s="95">
        <v>3117057815</v>
      </c>
      <c r="K171" s="93"/>
      <c r="L171" s="96"/>
      <c r="M171" s="91" t="s">
        <v>3120</v>
      </c>
      <c r="N171" s="93" t="s">
        <v>3120</v>
      </c>
      <c r="O171" s="97"/>
      <c r="P171" s="97"/>
      <c r="Q171" s="97"/>
      <c r="R171" s="98" t="s">
        <v>3209</v>
      </c>
      <c r="S171" s="97">
        <v>1</v>
      </c>
      <c r="T171" s="93" t="s">
        <v>2610</v>
      </c>
      <c r="U171" s="91" t="s">
        <v>3121</v>
      </c>
      <c r="V171" s="99"/>
      <c r="W171" s="99"/>
      <c r="X171" s="91"/>
      <c r="Y171" s="91"/>
    </row>
    <row r="172" spans="1:25" ht="41.25" hidden="1" customHeight="1" x14ac:dyDescent="0.2">
      <c r="A172" s="89" t="s">
        <v>493</v>
      </c>
      <c r="B172" s="90">
        <v>45340</v>
      </c>
      <c r="C172" s="104">
        <v>45340</v>
      </c>
      <c r="D172" s="99"/>
      <c r="E172" s="93" t="s">
        <v>3720</v>
      </c>
      <c r="F172" s="93"/>
      <c r="G172" s="93" t="s">
        <v>3721</v>
      </c>
      <c r="H172" s="93" t="s">
        <v>3472</v>
      </c>
      <c r="I172" s="94">
        <v>26317393</v>
      </c>
      <c r="J172" s="95">
        <v>3215985163</v>
      </c>
      <c r="K172" s="93"/>
      <c r="L172" s="96"/>
      <c r="M172" s="91" t="s">
        <v>1730</v>
      </c>
      <c r="N172" s="93" t="s">
        <v>1730</v>
      </c>
      <c r="O172" s="97"/>
      <c r="P172" s="97"/>
      <c r="Q172" s="97"/>
      <c r="R172" s="98" t="s">
        <v>3209</v>
      </c>
      <c r="S172" s="97">
        <v>3</v>
      </c>
      <c r="T172" s="93" t="s">
        <v>2610</v>
      </c>
      <c r="U172" s="91"/>
      <c r="V172" s="99"/>
      <c r="W172" s="99"/>
      <c r="X172" s="91"/>
      <c r="Y172" s="91"/>
    </row>
    <row r="173" spans="1:25" ht="41.25" hidden="1" customHeight="1" x14ac:dyDescent="0.2">
      <c r="A173" s="89" t="s">
        <v>493</v>
      </c>
      <c r="B173" s="90">
        <v>45340</v>
      </c>
      <c r="C173" s="104">
        <v>45340</v>
      </c>
      <c r="D173" s="99"/>
      <c r="E173" s="93" t="s">
        <v>3367</v>
      </c>
      <c r="F173" s="93"/>
      <c r="G173" s="93" t="s">
        <v>3220</v>
      </c>
      <c r="H173" s="93"/>
      <c r="I173" s="94">
        <v>43910453</v>
      </c>
      <c r="J173" s="95">
        <v>3234513270</v>
      </c>
      <c r="K173" s="93"/>
      <c r="L173" s="96"/>
      <c r="M173" s="91" t="s">
        <v>199</v>
      </c>
      <c r="N173" s="93" t="s">
        <v>199</v>
      </c>
      <c r="O173" s="97"/>
      <c r="P173" s="97"/>
      <c r="Q173" s="97"/>
      <c r="R173" s="98" t="s">
        <v>3209</v>
      </c>
      <c r="S173" s="97">
        <v>2</v>
      </c>
      <c r="T173" s="93" t="s">
        <v>2610</v>
      </c>
      <c r="U173" s="91" t="s">
        <v>3123</v>
      </c>
      <c r="V173" s="99"/>
      <c r="W173" s="99"/>
      <c r="X173" s="91"/>
      <c r="Y173" s="91"/>
    </row>
    <row r="174" spans="1:25" ht="41.25" hidden="1" customHeight="1" x14ac:dyDescent="0.2">
      <c r="A174" s="89" t="s">
        <v>493</v>
      </c>
      <c r="B174" s="90">
        <v>45340</v>
      </c>
      <c r="C174" s="104">
        <v>45340</v>
      </c>
      <c r="D174" s="99"/>
      <c r="E174" s="93" t="s">
        <v>3722</v>
      </c>
      <c r="F174" s="93"/>
      <c r="G174" s="93" t="s">
        <v>3723</v>
      </c>
      <c r="H174" s="93" t="s">
        <v>3345</v>
      </c>
      <c r="I174" s="94">
        <v>43117671</v>
      </c>
      <c r="J174" s="95">
        <v>3107175497</v>
      </c>
      <c r="K174" s="93"/>
      <c r="L174" s="96"/>
      <c r="M174" s="91" t="s">
        <v>3125</v>
      </c>
      <c r="N174" s="93" t="s">
        <v>3125</v>
      </c>
      <c r="O174" s="97"/>
      <c r="P174" s="97"/>
      <c r="Q174" s="97"/>
      <c r="R174" s="98" t="s">
        <v>3209</v>
      </c>
      <c r="S174" s="97">
        <v>2</v>
      </c>
      <c r="T174" s="93" t="s">
        <v>2610</v>
      </c>
      <c r="U174" s="91" t="s">
        <v>3126</v>
      </c>
      <c r="V174" s="99"/>
      <c r="W174" s="99"/>
      <c r="X174" s="91"/>
      <c r="Y174" s="91"/>
    </row>
    <row r="175" spans="1:25" ht="41.25" hidden="1" customHeight="1" x14ac:dyDescent="0.2">
      <c r="A175" s="89" t="s">
        <v>493</v>
      </c>
      <c r="B175" s="90">
        <v>45340</v>
      </c>
      <c r="C175" s="104">
        <v>45340</v>
      </c>
      <c r="D175" s="99"/>
      <c r="E175" s="93" t="s">
        <v>3724</v>
      </c>
      <c r="F175" s="93"/>
      <c r="G175" s="93" t="s">
        <v>3725</v>
      </c>
      <c r="H175" s="93"/>
      <c r="I175" s="94">
        <v>71410283</v>
      </c>
      <c r="J175" s="95">
        <v>3116018971</v>
      </c>
      <c r="K175" s="93"/>
      <c r="L175" s="96"/>
      <c r="M175" s="91" t="s">
        <v>3128</v>
      </c>
      <c r="N175" s="93" t="s">
        <v>3128</v>
      </c>
      <c r="O175" s="97"/>
      <c r="P175" s="97"/>
      <c r="Q175" s="97"/>
      <c r="R175" s="98" t="s">
        <v>3209</v>
      </c>
      <c r="S175" s="97">
        <v>1</v>
      </c>
      <c r="T175" s="93" t="s">
        <v>2610</v>
      </c>
      <c r="U175" s="91" t="s">
        <v>3129</v>
      </c>
      <c r="V175" s="99"/>
      <c r="W175" s="99"/>
      <c r="X175" s="91"/>
      <c r="Y175" s="91"/>
    </row>
    <row r="176" spans="1:25" ht="41.25" hidden="1" customHeight="1" x14ac:dyDescent="0.2">
      <c r="A176" s="89" t="s">
        <v>493</v>
      </c>
      <c r="B176" s="90">
        <v>45340</v>
      </c>
      <c r="C176" s="104">
        <v>45340</v>
      </c>
      <c r="D176" s="99"/>
      <c r="E176" s="93" t="s">
        <v>435</v>
      </c>
      <c r="F176" s="93"/>
      <c r="G176" s="93" t="s">
        <v>3236</v>
      </c>
      <c r="H176" s="93"/>
      <c r="I176" s="94">
        <v>27642872</v>
      </c>
      <c r="J176" s="95">
        <v>3127297661</v>
      </c>
      <c r="K176" s="93"/>
      <c r="L176" s="96"/>
      <c r="M176" s="91" t="s">
        <v>2097</v>
      </c>
      <c r="N176" s="93" t="s">
        <v>2097</v>
      </c>
      <c r="O176" s="97"/>
      <c r="P176" s="97"/>
      <c r="Q176" s="97"/>
      <c r="R176" s="98" t="s">
        <v>3209</v>
      </c>
      <c r="S176" s="97">
        <v>3</v>
      </c>
      <c r="T176" s="93" t="s">
        <v>2610</v>
      </c>
      <c r="U176" s="91" t="s">
        <v>3131</v>
      </c>
      <c r="V176" s="99"/>
      <c r="W176" s="99"/>
      <c r="X176" s="91"/>
      <c r="Y176" s="91"/>
    </row>
    <row r="177" spans="1:25" ht="41.25" hidden="1" customHeight="1" x14ac:dyDescent="0.2">
      <c r="A177" s="89" t="s">
        <v>493</v>
      </c>
      <c r="B177" s="90">
        <v>45340</v>
      </c>
      <c r="C177" s="104">
        <v>45340</v>
      </c>
      <c r="D177" s="99"/>
      <c r="E177" s="93" t="s">
        <v>3422</v>
      </c>
      <c r="F177" s="93"/>
      <c r="G177" s="93" t="s">
        <v>3542</v>
      </c>
      <c r="H177" s="93"/>
      <c r="I177" s="94">
        <v>43852044</v>
      </c>
      <c r="J177" s="95">
        <v>3235999833</v>
      </c>
      <c r="K177" s="93"/>
      <c r="L177" s="96"/>
      <c r="M177" s="91" t="s">
        <v>1039</v>
      </c>
      <c r="N177" s="93" t="s">
        <v>1039</v>
      </c>
      <c r="O177" s="97"/>
      <c r="P177" s="97"/>
      <c r="Q177" s="97"/>
      <c r="R177" s="98" t="s">
        <v>3209</v>
      </c>
      <c r="S177" s="97">
        <v>2</v>
      </c>
      <c r="T177" s="93" t="s">
        <v>2610</v>
      </c>
      <c r="U177" s="91" t="s">
        <v>3133</v>
      </c>
      <c r="V177" s="99"/>
      <c r="W177" s="99"/>
      <c r="X177" s="91"/>
      <c r="Y177" s="91"/>
    </row>
    <row r="178" spans="1:25" ht="41.25" hidden="1" customHeight="1" x14ac:dyDescent="0.2">
      <c r="A178" s="89" t="s">
        <v>493</v>
      </c>
      <c r="B178" s="90">
        <v>45340</v>
      </c>
      <c r="C178" s="104">
        <v>45340</v>
      </c>
      <c r="D178" s="99"/>
      <c r="E178" s="93" t="s">
        <v>3726</v>
      </c>
      <c r="F178" s="93" t="s">
        <v>3727</v>
      </c>
      <c r="G178" s="93" t="s">
        <v>3728</v>
      </c>
      <c r="H178" s="93" t="s">
        <v>3729</v>
      </c>
      <c r="I178" s="94">
        <v>1037044359</v>
      </c>
      <c r="J178" s="95">
        <v>3215943426</v>
      </c>
      <c r="K178" s="93"/>
      <c r="L178" s="96"/>
      <c r="M178" s="91" t="s">
        <v>3134</v>
      </c>
      <c r="N178" s="93" t="s">
        <v>3134</v>
      </c>
      <c r="O178" s="97"/>
      <c r="P178" s="97"/>
      <c r="Q178" s="97"/>
      <c r="R178" s="98" t="s">
        <v>3209</v>
      </c>
      <c r="S178" s="97">
        <v>1</v>
      </c>
      <c r="T178" s="93" t="s">
        <v>2610</v>
      </c>
      <c r="U178" s="91"/>
      <c r="V178" s="99"/>
      <c r="W178" s="99"/>
      <c r="X178" s="91"/>
      <c r="Y178" s="91"/>
    </row>
    <row r="179" spans="1:25" ht="41.25" hidden="1" customHeight="1" x14ac:dyDescent="0.2">
      <c r="A179" s="89" t="s">
        <v>493</v>
      </c>
      <c r="B179" s="90">
        <v>45340</v>
      </c>
      <c r="C179" s="104">
        <v>45340</v>
      </c>
      <c r="D179" s="99"/>
      <c r="E179" s="93" t="s">
        <v>3730</v>
      </c>
      <c r="F179" s="93" t="s">
        <v>3731</v>
      </c>
      <c r="G179" s="93" t="s">
        <v>3732</v>
      </c>
      <c r="H179" s="93"/>
      <c r="I179" s="94">
        <v>43110714</v>
      </c>
      <c r="J179" s="95">
        <v>3057737084</v>
      </c>
      <c r="K179" s="93"/>
      <c r="L179" s="96"/>
      <c r="M179" s="91" t="s">
        <v>2577</v>
      </c>
      <c r="N179" s="93" t="s">
        <v>2577</v>
      </c>
      <c r="O179" s="97"/>
      <c r="P179" s="97"/>
      <c r="Q179" s="97"/>
      <c r="R179" s="98" t="s">
        <v>3209</v>
      </c>
      <c r="S179" s="97">
        <v>1</v>
      </c>
      <c r="T179" s="93" t="s">
        <v>2610</v>
      </c>
      <c r="U179" s="91" t="s">
        <v>3136</v>
      </c>
      <c r="V179" s="99"/>
      <c r="W179" s="99"/>
      <c r="X179" s="91"/>
      <c r="Y179" s="91"/>
    </row>
    <row r="180" spans="1:25" ht="41.25" hidden="1" customHeight="1" x14ac:dyDescent="0.2">
      <c r="A180" s="89" t="s">
        <v>493</v>
      </c>
      <c r="B180" s="90">
        <v>45340</v>
      </c>
      <c r="C180" s="104">
        <v>45340</v>
      </c>
      <c r="D180" s="99"/>
      <c r="E180" s="93" t="s">
        <v>3733</v>
      </c>
      <c r="F180" s="93" t="s">
        <v>3645</v>
      </c>
      <c r="G180" s="93" t="s">
        <v>3734</v>
      </c>
      <c r="H180" s="93"/>
      <c r="I180" s="94">
        <v>128473932</v>
      </c>
      <c r="J180" s="95">
        <v>3244669832</v>
      </c>
      <c r="K180" s="93"/>
      <c r="L180" s="96"/>
      <c r="M180" s="91" t="s">
        <v>3138</v>
      </c>
      <c r="N180" s="93" t="s">
        <v>3138</v>
      </c>
      <c r="O180" s="97"/>
      <c r="P180" s="97"/>
      <c r="Q180" s="97"/>
      <c r="R180" s="98" t="s">
        <v>3209</v>
      </c>
      <c r="S180" s="97">
        <v>1</v>
      </c>
      <c r="T180" s="93" t="s">
        <v>2610</v>
      </c>
      <c r="U180" s="91" t="s">
        <v>3139</v>
      </c>
      <c r="V180" s="99"/>
      <c r="W180" s="99"/>
      <c r="X180" s="91"/>
      <c r="Y180" s="91"/>
    </row>
    <row r="181" spans="1:25" ht="41.25" hidden="1" customHeight="1" x14ac:dyDescent="0.2">
      <c r="A181" s="89" t="s">
        <v>493</v>
      </c>
      <c r="B181" s="90">
        <v>45340</v>
      </c>
      <c r="C181" s="104">
        <v>45340</v>
      </c>
      <c r="D181" s="99"/>
      <c r="E181" s="93" t="s">
        <v>3735</v>
      </c>
      <c r="F181" s="93" t="s">
        <v>3491</v>
      </c>
      <c r="G181" s="93" t="s">
        <v>3736</v>
      </c>
      <c r="H181" s="93" t="s">
        <v>3737</v>
      </c>
      <c r="I181" s="94">
        <v>43544168</v>
      </c>
      <c r="J181" s="95">
        <v>3023806136</v>
      </c>
      <c r="K181" s="93"/>
      <c r="L181" s="96"/>
      <c r="M181" s="91" t="s">
        <v>3141</v>
      </c>
      <c r="N181" s="93" t="s">
        <v>3141</v>
      </c>
      <c r="O181" s="97"/>
      <c r="P181" s="97"/>
      <c r="Q181" s="97"/>
      <c r="R181" s="98" t="s">
        <v>3209</v>
      </c>
      <c r="S181" s="97">
        <v>1</v>
      </c>
      <c r="T181" s="93" t="s">
        <v>2610</v>
      </c>
      <c r="U181" s="91" t="s">
        <v>3142</v>
      </c>
      <c r="V181" s="99"/>
      <c r="W181" s="99"/>
      <c r="X181" s="91"/>
      <c r="Y181" s="91"/>
    </row>
    <row r="182" spans="1:25" ht="41.25" hidden="1" customHeight="1" x14ac:dyDescent="0.2">
      <c r="A182" s="89" t="s">
        <v>493</v>
      </c>
      <c r="B182" s="90">
        <v>45340</v>
      </c>
      <c r="C182" s="104">
        <v>45340</v>
      </c>
      <c r="D182" s="99"/>
      <c r="E182" s="93" t="s">
        <v>3738</v>
      </c>
      <c r="F182" s="93" t="s">
        <v>3739</v>
      </c>
      <c r="G182" s="93" t="s">
        <v>3695</v>
      </c>
      <c r="H182" s="93"/>
      <c r="I182" s="94">
        <v>43781820</v>
      </c>
      <c r="J182" s="95">
        <v>3136095069</v>
      </c>
      <c r="K182" s="93"/>
      <c r="L182" s="96"/>
      <c r="M182" s="91" t="s">
        <v>3144</v>
      </c>
      <c r="N182" s="93" t="s">
        <v>3144</v>
      </c>
      <c r="O182" s="98" t="s">
        <v>3204</v>
      </c>
      <c r="P182" s="97"/>
      <c r="Q182" s="97"/>
      <c r="R182" s="98" t="s">
        <v>3209</v>
      </c>
      <c r="S182" s="97">
        <v>3</v>
      </c>
      <c r="T182" s="93" t="s">
        <v>2610</v>
      </c>
      <c r="U182" s="91" t="s">
        <v>3145</v>
      </c>
      <c r="V182" s="99"/>
      <c r="W182" s="99"/>
      <c r="X182" s="91"/>
      <c r="Y182" s="91"/>
    </row>
    <row r="183" spans="1:25" ht="41.25" hidden="1" customHeight="1" x14ac:dyDescent="0.2">
      <c r="A183" s="89" t="s">
        <v>493</v>
      </c>
      <c r="B183" s="90">
        <v>45340</v>
      </c>
      <c r="C183" s="104">
        <v>45340</v>
      </c>
      <c r="D183" s="99"/>
      <c r="E183" s="93" t="s">
        <v>3740</v>
      </c>
      <c r="F183" s="93" t="s">
        <v>3741</v>
      </c>
      <c r="G183" s="93" t="s">
        <v>3742</v>
      </c>
      <c r="H183" s="93"/>
      <c r="I183" s="94">
        <v>100140331</v>
      </c>
      <c r="J183" s="95">
        <v>3128199502</v>
      </c>
      <c r="K183" s="93"/>
      <c r="L183" s="96"/>
      <c r="M183" s="91" t="s">
        <v>3147</v>
      </c>
      <c r="N183" s="93" t="s">
        <v>3147</v>
      </c>
      <c r="O183" s="97"/>
      <c r="P183" s="97"/>
      <c r="Q183" s="97"/>
      <c r="R183" s="98" t="s">
        <v>3209</v>
      </c>
      <c r="S183" s="97">
        <v>3</v>
      </c>
      <c r="T183" s="93" t="s">
        <v>2610</v>
      </c>
      <c r="U183" s="91" t="s">
        <v>3148</v>
      </c>
      <c r="V183" s="99"/>
      <c r="W183" s="99"/>
      <c r="X183" s="91"/>
      <c r="Y183" s="91"/>
    </row>
    <row r="184" spans="1:25" ht="41.25" hidden="1" customHeight="1" x14ac:dyDescent="0.2">
      <c r="A184" s="89" t="s">
        <v>493</v>
      </c>
      <c r="B184" s="90">
        <v>45340</v>
      </c>
      <c r="C184" s="104">
        <v>45340</v>
      </c>
      <c r="D184" s="99"/>
      <c r="E184" s="93" t="s">
        <v>3743</v>
      </c>
      <c r="F184" s="93"/>
      <c r="G184" s="93" t="s">
        <v>3368</v>
      </c>
      <c r="H184" s="93"/>
      <c r="I184" s="94">
        <v>12122362</v>
      </c>
      <c r="J184" s="95">
        <v>3005967442</v>
      </c>
      <c r="K184" s="93"/>
      <c r="L184" s="96"/>
      <c r="M184" s="91" t="s">
        <v>3150</v>
      </c>
      <c r="N184" s="93" t="s">
        <v>3150</v>
      </c>
      <c r="O184" s="97"/>
      <c r="P184" s="97"/>
      <c r="Q184" s="97"/>
      <c r="R184" s="98" t="s">
        <v>3209</v>
      </c>
      <c r="S184" s="97">
        <v>2</v>
      </c>
      <c r="T184" s="93" t="s">
        <v>2610</v>
      </c>
      <c r="U184" s="91" t="s">
        <v>3151</v>
      </c>
      <c r="V184" s="99"/>
      <c r="W184" s="99"/>
      <c r="X184" s="91"/>
      <c r="Y184" s="91"/>
    </row>
    <row r="185" spans="1:25" ht="41.25" hidden="1" customHeight="1" x14ac:dyDescent="0.2">
      <c r="A185" s="89" t="s">
        <v>493</v>
      </c>
      <c r="B185" s="90">
        <v>45340</v>
      </c>
      <c r="C185" s="104">
        <v>45340</v>
      </c>
      <c r="D185" s="99"/>
      <c r="E185" s="93" t="s">
        <v>3744</v>
      </c>
      <c r="F185" s="93"/>
      <c r="G185" s="93" t="s">
        <v>3745</v>
      </c>
      <c r="H185" s="93" t="s">
        <v>3746</v>
      </c>
      <c r="I185" s="94">
        <v>1003337583</v>
      </c>
      <c r="J185" s="95">
        <v>3105245469</v>
      </c>
      <c r="K185" s="93"/>
      <c r="L185" s="96"/>
      <c r="M185" s="91" t="s">
        <v>613</v>
      </c>
      <c r="N185" s="93" t="s">
        <v>613</v>
      </c>
      <c r="O185" s="97"/>
      <c r="P185" s="97"/>
      <c r="Q185" s="97"/>
      <c r="R185" s="98" t="s">
        <v>3209</v>
      </c>
      <c r="S185" s="97">
        <v>3</v>
      </c>
      <c r="T185" s="93" t="s">
        <v>2610</v>
      </c>
      <c r="U185" s="91" t="s">
        <v>3153</v>
      </c>
      <c r="V185" s="99"/>
      <c r="W185" s="99"/>
      <c r="X185" s="91"/>
      <c r="Y185" s="91"/>
    </row>
    <row r="186" spans="1:25" ht="41.25" hidden="1" customHeight="1" x14ac:dyDescent="0.2">
      <c r="A186" s="89" t="s">
        <v>493</v>
      </c>
      <c r="B186" s="90">
        <v>45340</v>
      </c>
      <c r="C186" s="104">
        <v>45340</v>
      </c>
      <c r="D186" s="99"/>
      <c r="E186" s="93" t="s">
        <v>3747</v>
      </c>
      <c r="F186" s="93"/>
      <c r="G186" s="93" t="s">
        <v>3748</v>
      </c>
      <c r="H186" s="93"/>
      <c r="I186" s="94">
        <v>43652207</v>
      </c>
      <c r="J186" s="95">
        <v>3015943559</v>
      </c>
      <c r="K186" s="93"/>
      <c r="L186" s="96"/>
      <c r="M186" s="91" t="s">
        <v>3155</v>
      </c>
      <c r="N186" s="93" t="s">
        <v>3155</v>
      </c>
      <c r="O186" s="97"/>
      <c r="P186" s="97"/>
      <c r="Q186" s="97"/>
      <c r="R186" s="98" t="s">
        <v>3209</v>
      </c>
      <c r="S186" s="97">
        <v>2</v>
      </c>
      <c r="T186" s="93" t="s">
        <v>2610</v>
      </c>
      <c r="U186" s="91" t="s">
        <v>3156</v>
      </c>
      <c r="V186" s="99"/>
      <c r="W186" s="99"/>
      <c r="X186" s="91"/>
      <c r="Y186" s="91"/>
    </row>
    <row r="187" spans="1:25" ht="15" hidden="1" x14ac:dyDescent="0.25">
      <c r="E187" s="93" t="s">
        <v>3749</v>
      </c>
      <c r="F187" s="81" t="s">
        <v>3750</v>
      </c>
      <c r="G187" s="81" t="s">
        <v>3695</v>
      </c>
      <c r="H187" s="81" t="s">
        <v>3683</v>
      </c>
      <c r="I187" s="81"/>
      <c r="J187" s="78">
        <v>3136954216</v>
      </c>
      <c r="K187" s="81" t="s">
        <v>1212</v>
      </c>
      <c r="L187" s="78">
        <v>3001544086</v>
      </c>
      <c r="M187" s="81" t="s">
        <v>1210</v>
      </c>
      <c r="O187" s="111"/>
      <c r="P187" s="111"/>
      <c r="Q187" s="111"/>
      <c r="R187" s="112"/>
      <c r="S187" s="111"/>
    </row>
    <row r="188" spans="1:25" ht="15" hidden="1" x14ac:dyDescent="0.25">
      <c r="E188" s="81" t="s">
        <v>3494</v>
      </c>
      <c r="F188" s="81" t="s">
        <v>3503</v>
      </c>
      <c r="G188" s="81" t="s">
        <v>3751</v>
      </c>
      <c r="H188" s="81"/>
      <c r="I188" s="81"/>
      <c r="J188" s="78">
        <v>3153780056</v>
      </c>
      <c r="K188" s="81" t="s">
        <v>1254</v>
      </c>
      <c r="L188" s="78">
        <v>3153780056</v>
      </c>
      <c r="M188" s="81" t="s">
        <v>3752</v>
      </c>
      <c r="O188" s="111"/>
      <c r="P188" s="111"/>
      <c r="Q188" s="111"/>
      <c r="R188" s="112"/>
      <c r="S188" s="111"/>
    </row>
    <row r="189" spans="1:25" ht="15" hidden="1" x14ac:dyDescent="0.25">
      <c r="E189" s="81" t="s">
        <v>3753</v>
      </c>
      <c r="F189" s="81" t="s">
        <v>3328</v>
      </c>
      <c r="G189" s="81" t="s">
        <v>3754</v>
      </c>
      <c r="H189" s="81"/>
      <c r="I189" s="81"/>
      <c r="J189" s="78">
        <v>3192240870</v>
      </c>
      <c r="K189" s="81" t="s">
        <v>1411</v>
      </c>
      <c r="L189" s="78">
        <v>3192240870</v>
      </c>
      <c r="M189" s="81" t="s">
        <v>3755</v>
      </c>
      <c r="O189" s="111"/>
      <c r="P189" s="111"/>
      <c r="Q189" s="111"/>
      <c r="R189" s="112"/>
      <c r="S189" s="111"/>
    </row>
    <row r="190" spans="1:25" ht="15" hidden="1" x14ac:dyDescent="0.25">
      <c r="E190" s="81" t="s">
        <v>3756</v>
      </c>
      <c r="F190" s="81" t="s">
        <v>3757</v>
      </c>
      <c r="G190" s="81"/>
      <c r="H190" s="81"/>
      <c r="I190" s="78">
        <v>43766561</v>
      </c>
      <c r="J190" s="78">
        <v>3126253991</v>
      </c>
      <c r="K190" s="81" t="s">
        <v>1503</v>
      </c>
      <c r="L190" s="78">
        <v>3044755556</v>
      </c>
      <c r="M190" s="81" t="s">
        <v>493</v>
      </c>
      <c r="O190" s="111"/>
      <c r="P190" s="111"/>
      <c r="Q190" s="111"/>
      <c r="R190" s="112"/>
      <c r="S190" s="111"/>
    </row>
    <row r="191" spans="1:25" ht="15" hidden="1" x14ac:dyDescent="0.25">
      <c r="E191" s="81" t="s">
        <v>3202</v>
      </c>
      <c r="F191" s="81" t="s">
        <v>3215</v>
      </c>
      <c r="G191" s="81" t="s">
        <v>3258</v>
      </c>
      <c r="H191" s="81" t="s">
        <v>3472</v>
      </c>
      <c r="I191" s="78">
        <v>32462614</v>
      </c>
      <c r="J191" s="78">
        <v>3206040708</v>
      </c>
      <c r="K191" s="137" t="s">
        <v>3758</v>
      </c>
      <c r="L191" s="138"/>
      <c r="M191" s="81" t="s">
        <v>3759</v>
      </c>
      <c r="O191" s="111"/>
      <c r="P191" s="111"/>
      <c r="Q191" s="111"/>
      <c r="R191" s="112"/>
      <c r="S191" s="111"/>
    </row>
    <row r="192" spans="1:25" ht="15" hidden="1" x14ac:dyDescent="0.25">
      <c r="E192" s="81" t="s">
        <v>3760</v>
      </c>
      <c r="F192" s="81" t="s">
        <v>3761</v>
      </c>
      <c r="G192" s="81" t="s">
        <v>3762</v>
      </c>
      <c r="H192" s="81"/>
      <c r="I192" s="78">
        <v>10755042</v>
      </c>
      <c r="J192" s="78">
        <v>3005652324</v>
      </c>
      <c r="K192" s="81" t="s">
        <v>3763</v>
      </c>
      <c r="L192" s="78">
        <v>3045666598</v>
      </c>
      <c r="M192" s="81" t="s">
        <v>3764</v>
      </c>
      <c r="O192" s="111"/>
      <c r="P192" s="111"/>
      <c r="Q192" s="111"/>
      <c r="R192" s="112"/>
      <c r="S192" s="111"/>
    </row>
    <row r="193" spans="5:19" ht="15" hidden="1" x14ac:dyDescent="0.25">
      <c r="E193" s="81" t="s">
        <v>3269</v>
      </c>
      <c r="F193" s="81" t="s">
        <v>3765</v>
      </c>
      <c r="G193" s="81"/>
      <c r="H193" s="81"/>
      <c r="I193" s="78">
        <v>1003337583</v>
      </c>
      <c r="J193" s="78">
        <v>3105245469</v>
      </c>
      <c r="K193" s="81" t="s">
        <v>3766</v>
      </c>
      <c r="L193" s="78">
        <v>3226770045</v>
      </c>
      <c r="M193" s="81" t="s">
        <v>3767</v>
      </c>
      <c r="O193" s="111"/>
      <c r="P193" s="111"/>
      <c r="Q193" s="111"/>
      <c r="R193" s="112"/>
      <c r="S193" s="111"/>
    </row>
    <row r="194" spans="5:19" ht="15" hidden="1" x14ac:dyDescent="0.25">
      <c r="E194" s="81" t="s">
        <v>3768</v>
      </c>
      <c r="F194" s="81" t="s">
        <v>3769</v>
      </c>
      <c r="G194" s="81" t="s">
        <v>3770</v>
      </c>
      <c r="H194" s="81"/>
      <c r="I194" s="78">
        <v>1015066931</v>
      </c>
      <c r="J194" s="78">
        <v>3170326622</v>
      </c>
      <c r="K194" s="81" t="s">
        <v>3771</v>
      </c>
      <c r="L194" s="78">
        <v>3007036512</v>
      </c>
      <c r="M194" s="81" t="s">
        <v>1611</v>
      </c>
      <c r="O194" s="111"/>
      <c r="P194" s="111"/>
      <c r="Q194" s="111"/>
      <c r="R194" s="112"/>
      <c r="S194" s="111"/>
    </row>
    <row r="195" spans="5:19" ht="15" hidden="1" x14ac:dyDescent="0.25">
      <c r="E195" s="81" t="s">
        <v>3349</v>
      </c>
      <c r="F195" s="81" t="s">
        <v>3748</v>
      </c>
      <c r="G195" s="81"/>
      <c r="H195" s="81"/>
      <c r="I195" s="78">
        <v>43652207</v>
      </c>
      <c r="J195" s="78">
        <v>3015943559</v>
      </c>
      <c r="K195" s="81" t="s">
        <v>3772</v>
      </c>
      <c r="L195" s="81" t="s">
        <v>1619</v>
      </c>
      <c r="M195" s="81" t="s">
        <v>613</v>
      </c>
      <c r="O195" s="111"/>
      <c r="P195" s="111"/>
      <c r="Q195" s="111"/>
      <c r="R195" s="112"/>
      <c r="S195" s="111"/>
    </row>
    <row r="196" spans="5:19" ht="15" hidden="1" x14ac:dyDescent="0.25">
      <c r="E196" s="81" t="s">
        <v>3773</v>
      </c>
      <c r="F196" s="81" t="s">
        <v>3774</v>
      </c>
      <c r="G196" s="81" t="s">
        <v>3775</v>
      </c>
      <c r="H196" s="81" t="s">
        <v>3349</v>
      </c>
      <c r="I196" s="78">
        <v>70541984</v>
      </c>
      <c r="J196" s="78">
        <v>3106415258</v>
      </c>
      <c r="K196" s="81" t="s">
        <v>1625</v>
      </c>
      <c r="L196" s="78">
        <v>3128694231</v>
      </c>
      <c r="M196" s="81" t="s">
        <v>1623</v>
      </c>
      <c r="O196" s="111"/>
      <c r="P196" s="111"/>
      <c r="Q196" s="111"/>
      <c r="R196" s="112"/>
      <c r="S196" s="111"/>
    </row>
    <row r="197" spans="5:19" ht="15" hidden="1" x14ac:dyDescent="0.25">
      <c r="E197" s="81" t="s">
        <v>3622</v>
      </c>
      <c r="F197" s="81" t="s">
        <v>3202</v>
      </c>
      <c r="G197" s="81" t="s">
        <v>3776</v>
      </c>
      <c r="H197" s="81" t="s">
        <v>3345</v>
      </c>
      <c r="I197" s="78">
        <v>43117671</v>
      </c>
      <c r="J197" s="78">
        <v>3107175754</v>
      </c>
      <c r="K197" s="81" t="s">
        <v>3777</v>
      </c>
      <c r="L197" s="78">
        <v>3218891168</v>
      </c>
      <c r="M197" s="81" t="s">
        <v>613</v>
      </c>
      <c r="O197" s="111"/>
      <c r="P197" s="111"/>
      <c r="Q197" s="111"/>
      <c r="R197" s="112"/>
      <c r="S197" s="111"/>
    </row>
    <row r="198" spans="5:19" ht="15" hidden="1" x14ac:dyDescent="0.25">
      <c r="E198" s="81" t="s">
        <v>3778</v>
      </c>
      <c r="F198" s="81" t="s">
        <v>3779</v>
      </c>
      <c r="G198" s="81" t="s">
        <v>3700</v>
      </c>
      <c r="H198" s="81"/>
      <c r="I198" s="78">
        <v>78727041</v>
      </c>
      <c r="J198" s="78">
        <v>3028502989</v>
      </c>
      <c r="K198" s="81" t="s">
        <v>3780</v>
      </c>
      <c r="L198" s="78">
        <v>3244673920</v>
      </c>
      <c r="M198" s="81" t="s">
        <v>1634</v>
      </c>
      <c r="O198" s="111"/>
      <c r="P198" s="111"/>
      <c r="Q198" s="111"/>
      <c r="R198" s="112"/>
      <c r="S198" s="111"/>
    </row>
    <row r="199" spans="5:19" ht="15" hidden="1" x14ac:dyDescent="0.25">
      <c r="E199" s="81" t="s">
        <v>3781</v>
      </c>
      <c r="F199" s="81" t="s">
        <v>3782</v>
      </c>
      <c r="G199" s="81" t="s">
        <v>3751</v>
      </c>
      <c r="H199" s="81"/>
      <c r="I199" s="78">
        <v>1045139759</v>
      </c>
      <c r="J199" s="78">
        <v>3024908419</v>
      </c>
      <c r="K199" s="81" t="s">
        <v>1711</v>
      </c>
      <c r="L199" s="78">
        <v>3235094173</v>
      </c>
      <c r="M199" s="81" t="s">
        <v>1709</v>
      </c>
      <c r="O199" s="111"/>
      <c r="P199" s="111"/>
      <c r="Q199" s="111"/>
      <c r="R199" s="112"/>
      <c r="S199" s="111"/>
    </row>
    <row r="200" spans="5:19" ht="15" hidden="1" x14ac:dyDescent="0.25">
      <c r="E200" s="81" t="s">
        <v>3510</v>
      </c>
      <c r="F200" s="81" t="s">
        <v>3727</v>
      </c>
      <c r="G200" s="81" t="s">
        <v>3542</v>
      </c>
      <c r="H200" s="81" t="s">
        <v>3729</v>
      </c>
      <c r="I200" s="78">
        <v>1037044359</v>
      </c>
      <c r="J200" s="78">
        <v>3215943426</v>
      </c>
      <c r="K200" s="81" t="s">
        <v>1718</v>
      </c>
      <c r="L200" s="78">
        <v>3013987040</v>
      </c>
      <c r="M200" s="81" t="s">
        <v>3783</v>
      </c>
      <c r="O200" s="111"/>
      <c r="P200" s="111"/>
      <c r="Q200" s="111"/>
      <c r="R200" s="112"/>
      <c r="S200" s="111"/>
    </row>
    <row r="201" spans="5:19" ht="15" hidden="1" x14ac:dyDescent="0.25">
      <c r="E201" s="81" t="s">
        <v>3289</v>
      </c>
      <c r="F201" s="81" t="s">
        <v>3784</v>
      </c>
      <c r="G201" s="81" t="s">
        <v>3251</v>
      </c>
      <c r="H201" s="81"/>
      <c r="I201" s="78">
        <v>1017123329</v>
      </c>
      <c r="J201" s="78">
        <v>3042527450</v>
      </c>
      <c r="K201" s="81" t="s">
        <v>1726</v>
      </c>
      <c r="L201" s="78">
        <v>3136095069</v>
      </c>
      <c r="M201" s="81" t="s">
        <v>1724</v>
      </c>
      <c r="O201" s="111"/>
      <c r="P201" s="111"/>
      <c r="Q201" s="111"/>
      <c r="R201" s="112"/>
      <c r="S201" s="111"/>
    </row>
    <row r="202" spans="5:19" ht="15" hidden="1" x14ac:dyDescent="0.25">
      <c r="E202" s="81" t="s">
        <v>3720</v>
      </c>
      <c r="F202" s="81" t="s">
        <v>3267</v>
      </c>
      <c r="G202" s="81" t="s">
        <v>3472</v>
      </c>
      <c r="H202" s="81"/>
      <c r="I202" s="78">
        <v>26317393</v>
      </c>
      <c r="J202" s="78">
        <v>3215985163</v>
      </c>
      <c r="K202" s="137" t="s">
        <v>1732</v>
      </c>
      <c r="L202" s="138"/>
      <c r="M202" s="81" t="s">
        <v>1730</v>
      </c>
      <c r="O202" s="111"/>
      <c r="P202" s="111"/>
      <c r="Q202" s="111"/>
      <c r="R202" s="112"/>
      <c r="S202" s="111"/>
    </row>
    <row r="203" spans="5:19" ht="15" hidden="1" x14ac:dyDescent="0.25">
      <c r="E203" s="81" t="s">
        <v>3785</v>
      </c>
      <c r="F203" s="81" t="s">
        <v>3645</v>
      </c>
      <c r="G203" s="81" t="s">
        <v>3786</v>
      </c>
      <c r="H203" s="81"/>
      <c r="I203" s="78">
        <v>1033653731</v>
      </c>
      <c r="J203" s="78">
        <v>3103759453</v>
      </c>
      <c r="K203" s="81" t="s">
        <v>1739</v>
      </c>
      <c r="L203" s="78">
        <v>3116474025</v>
      </c>
      <c r="M203" s="81" t="s">
        <v>1737</v>
      </c>
      <c r="O203" s="111"/>
      <c r="P203" s="111"/>
      <c r="Q203" s="111"/>
      <c r="R203" s="112"/>
      <c r="S203" s="111"/>
    </row>
    <row r="204" spans="5:19" ht="15" hidden="1" x14ac:dyDescent="0.25">
      <c r="E204" s="81" t="s">
        <v>3246</v>
      </c>
      <c r="F204" s="81" t="s">
        <v>3739</v>
      </c>
      <c r="G204" s="81" t="s">
        <v>3787</v>
      </c>
      <c r="H204" s="81" t="s">
        <v>3538</v>
      </c>
      <c r="I204" s="78">
        <v>43781820</v>
      </c>
      <c r="J204" s="78">
        <v>3136095069</v>
      </c>
      <c r="K204" s="81" t="s">
        <v>1745</v>
      </c>
      <c r="L204" s="78">
        <v>3045498874</v>
      </c>
      <c r="M204" s="81" t="s">
        <v>272</v>
      </c>
      <c r="O204" s="111"/>
      <c r="P204" s="111"/>
      <c r="Q204" s="111"/>
      <c r="R204" s="112"/>
      <c r="S204" s="111"/>
    </row>
    <row r="205" spans="5:19" ht="15" hidden="1" x14ac:dyDescent="0.25">
      <c r="E205" s="81" t="s">
        <v>3788</v>
      </c>
      <c r="F205" s="81" t="s">
        <v>3202</v>
      </c>
      <c r="G205" s="81" t="s">
        <v>3714</v>
      </c>
      <c r="H205" s="81"/>
      <c r="I205" s="78">
        <v>1237443428</v>
      </c>
      <c r="J205" s="78">
        <v>3123957247</v>
      </c>
      <c r="K205" s="81" t="s">
        <v>1753</v>
      </c>
      <c r="L205" s="78">
        <v>3013079356</v>
      </c>
      <c r="M205" s="81" t="s">
        <v>1751</v>
      </c>
      <c r="O205" s="111"/>
      <c r="P205" s="111"/>
      <c r="Q205" s="111"/>
      <c r="R205" s="112"/>
      <c r="S205" s="111"/>
    </row>
    <row r="206" spans="5:19" ht="15" hidden="1" x14ac:dyDescent="0.25">
      <c r="E206" s="81" t="s">
        <v>3089</v>
      </c>
      <c r="F206" s="81" t="s">
        <v>3458</v>
      </c>
      <c r="G206" s="81" t="s">
        <v>3789</v>
      </c>
      <c r="H206" s="81" t="s">
        <v>3695</v>
      </c>
      <c r="I206" s="78">
        <v>1193221237</v>
      </c>
      <c r="J206" s="78">
        <v>3148324764</v>
      </c>
      <c r="K206" s="81" t="s">
        <v>3790</v>
      </c>
      <c r="L206" s="78">
        <v>3136095069</v>
      </c>
      <c r="M206" s="81" t="s">
        <v>272</v>
      </c>
      <c r="O206" s="111"/>
      <c r="P206" s="111"/>
      <c r="Q206" s="111"/>
      <c r="R206" s="112"/>
      <c r="S206" s="111"/>
    </row>
    <row r="207" spans="5:19" ht="15" hidden="1" x14ac:dyDescent="0.25">
      <c r="E207" s="81" t="s">
        <v>3791</v>
      </c>
      <c r="F207" s="81" t="s">
        <v>3645</v>
      </c>
      <c r="G207" s="81" t="s">
        <v>3792</v>
      </c>
      <c r="H207" s="81" t="s">
        <v>3754</v>
      </c>
      <c r="I207" s="78">
        <v>1049564109</v>
      </c>
      <c r="J207" s="78">
        <v>3136160646</v>
      </c>
      <c r="K207" s="81" t="s">
        <v>2631</v>
      </c>
      <c r="L207" s="78">
        <v>3233286020</v>
      </c>
      <c r="M207" s="81" t="s">
        <v>1764</v>
      </c>
      <c r="O207" s="111"/>
      <c r="P207" s="111"/>
      <c r="Q207" s="111"/>
      <c r="R207" s="112"/>
      <c r="S207" s="111"/>
    </row>
    <row r="208" spans="5:19" ht="15" hidden="1" x14ac:dyDescent="0.25">
      <c r="E208" s="81" t="s">
        <v>3694</v>
      </c>
      <c r="F208" s="81" t="s">
        <v>3622</v>
      </c>
      <c r="G208" s="81" t="s">
        <v>3492</v>
      </c>
      <c r="H208" s="81"/>
      <c r="I208" s="78">
        <v>43101702</v>
      </c>
      <c r="J208" s="78">
        <v>3225820283</v>
      </c>
      <c r="K208" s="81" t="s">
        <v>1777</v>
      </c>
      <c r="L208" s="78">
        <v>3222832936</v>
      </c>
      <c r="M208" s="81" t="s">
        <v>272</v>
      </c>
      <c r="O208" s="111"/>
      <c r="P208" s="111"/>
      <c r="Q208" s="111"/>
      <c r="R208" s="112"/>
      <c r="S208" s="111"/>
    </row>
    <row r="209" spans="5:19" ht="15" hidden="1" x14ac:dyDescent="0.25">
      <c r="E209" s="81" t="s">
        <v>3494</v>
      </c>
      <c r="F209" s="81" t="s">
        <v>3793</v>
      </c>
      <c r="G209" s="81" t="s">
        <v>3794</v>
      </c>
      <c r="H209" s="81" t="s">
        <v>3534</v>
      </c>
      <c r="I209" s="78">
        <v>43852044</v>
      </c>
      <c r="J209" s="78">
        <v>3235999833</v>
      </c>
      <c r="K209" s="81" t="s">
        <v>1191</v>
      </c>
      <c r="L209" s="78">
        <v>3137053213</v>
      </c>
      <c r="M209" s="81" t="s">
        <v>1780</v>
      </c>
      <c r="O209" s="111"/>
      <c r="P209" s="111"/>
      <c r="Q209" s="111"/>
      <c r="R209" s="112"/>
      <c r="S209" s="111"/>
    </row>
    <row r="210" spans="5:19" ht="15" hidden="1" x14ac:dyDescent="0.25">
      <c r="E210" s="81" t="s">
        <v>3510</v>
      </c>
      <c r="F210" s="81" t="s">
        <v>3795</v>
      </c>
      <c r="G210" s="81" t="s">
        <v>3796</v>
      </c>
      <c r="H210" s="81" t="s">
        <v>3797</v>
      </c>
      <c r="I210" s="78">
        <v>27642872</v>
      </c>
      <c r="J210" s="78">
        <v>3127297661</v>
      </c>
      <c r="K210" s="81" t="s">
        <v>1787</v>
      </c>
      <c r="L210" s="78">
        <v>3127297661</v>
      </c>
      <c r="M210" s="81" t="s">
        <v>656</v>
      </c>
      <c r="O210" s="111"/>
      <c r="P210" s="111"/>
      <c r="Q210" s="111"/>
      <c r="R210" s="112"/>
      <c r="S210" s="111"/>
    </row>
    <row r="211" spans="5:19" ht="15" hidden="1" x14ac:dyDescent="0.25">
      <c r="E211" s="81" t="s">
        <v>3269</v>
      </c>
      <c r="F211" s="81" t="s">
        <v>1808</v>
      </c>
      <c r="G211" s="81" t="s">
        <v>3282</v>
      </c>
      <c r="H211" s="81" t="s">
        <v>3578</v>
      </c>
      <c r="I211" s="78">
        <v>1035302697</v>
      </c>
      <c r="J211" s="78">
        <v>3235061085</v>
      </c>
      <c r="K211" s="81" t="s">
        <v>1794</v>
      </c>
      <c r="L211" s="78">
        <v>3146191341</v>
      </c>
      <c r="M211" s="81" t="s">
        <v>1792</v>
      </c>
      <c r="O211" s="111"/>
      <c r="P211" s="111"/>
      <c r="Q211" s="111"/>
      <c r="R211" s="112"/>
      <c r="S211" s="111"/>
    </row>
    <row r="212" spans="5:19" ht="15" hidden="1" x14ac:dyDescent="0.25">
      <c r="E212" s="81" t="s">
        <v>3798</v>
      </c>
      <c r="F212" s="81" t="s">
        <v>3799</v>
      </c>
      <c r="G212" s="81"/>
      <c r="H212" s="81"/>
      <c r="I212" s="81" t="s">
        <v>1822</v>
      </c>
      <c r="J212" s="78">
        <v>3043303492</v>
      </c>
      <c r="K212" s="81" t="s">
        <v>3800</v>
      </c>
      <c r="L212" s="78">
        <v>3104125909</v>
      </c>
      <c r="M212" s="81" t="s">
        <v>3801</v>
      </c>
      <c r="O212" s="111"/>
      <c r="P212" s="111"/>
      <c r="Q212" s="111"/>
      <c r="R212" s="112"/>
      <c r="S212" s="111"/>
    </row>
    <row r="213" spans="5:19" ht="15" hidden="1" x14ac:dyDescent="0.25">
      <c r="E213" s="81" t="s">
        <v>3318</v>
      </c>
      <c r="F213" s="81" t="s">
        <v>3802</v>
      </c>
      <c r="G213" s="81" t="s">
        <v>3578</v>
      </c>
      <c r="H213" s="81" t="s">
        <v>3803</v>
      </c>
      <c r="I213" s="78">
        <v>43649841</v>
      </c>
      <c r="J213" s="78">
        <v>3136957149</v>
      </c>
      <c r="K213" s="81" t="s">
        <v>1828</v>
      </c>
      <c r="L213" s="78">
        <v>3024387461</v>
      </c>
      <c r="M213" s="81" t="s">
        <v>3804</v>
      </c>
      <c r="O213" s="111"/>
      <c r="P213" s="111"/>
      <c r="Q213" s="111"/>
      <c r="R213" s="112"/>
      <c r="S213" s="111"/>
    </row>
    <row r="214" spans="5:19" ht="15" hidden="1" x14ac:dyDescent="0.25">
      <c r="E214" s="81" t="s">
        <v>3548</v>
      </c>
      <c r="F214" s="81" t="s">
        <v>3387</v>
      </c>
      <c r="G214" s="81" t="s">
        <v>3732</v>
      </c>
      <c r="H214" s="81"/>
      <c r="I214" s="78">
        <v>1143984233</v>
      </c>
      <c r="J214" s="78">
        <v>3127429297</v>
      </c>
      <c r="K214" s="81"/>
      <c r="L214" s="81"/>
      <c r="M214" s="81" t="s">
        <v>613</v>
      </c>
      <c r="O214" s="111"/>
      <c r="P214" s="111"/>
      <c r="Q214" s="111"/>
      <c r="R214" s="112"/>
      <c r="S214" s="111"/>
    </row>
    <row r="215" spans="5:19" ht="15" hidden="1" x14ac:dyDescent="0.25">
      <c r="E215" s="81" t="s">
        <v>3805</v>
      </c>
      <c r="F215" s="81" t="s">
        <v>3806</v>
      </c>
      <c r="G215" s="81" t="s">
        <v>3576</v>
      </c>
      <c r="H215" s="81"/>
      <c r="I215" s="78">
        <v>1034886497</v>
      </c>
      <c r="J215" s="78">
        <v>3023921814</v>
      </c>
      <c r="K215" s="81"/>
      <c r="L215" s="81"/>
      <c r="M215" s="81" t="s">
        <v>272</v>
      </c>
      <c r="O215" s="111"/>
      <c r="P215" s="111"/>
      <c r="Q215" s="111"/>
      <c r="R215" s="112"/>
      <c r="S215" s="111"/>
    </row>
    <row r="216" spans="5:19" ht="15" hidden="1" x14ac:dyDescent="0.25">
      <c r="E216" s="81" t="s">
        <v>3214</v>
      </c>
      <c r="F216" s="81" t="s">
        <v>3807</v>
      </c>
      <c r="G216" s="81" t="s">
        <v>3808</v>
      </c>
      <c r="H216" s="81" t="s">
        <v>3809</v>
      </c>
      <c r="I216" s="78">
        <v>42997434</v>
      </c>
      <c r="J216" s="78">
        <v>3126752841</v>
      </c>
      <c r="K216" s="81" t="s">
        <v>1894</v>
      </c>
      <c r="L216" s="78">
        <v>3135148002</v>
      </c>
      <c r="M216" s="81" t="s">
        <v>3810</v>
      </c>
      <c r="O216" s="111"/>
      <c r="P216" s="111"/>
      <c r="Q216" s="111"/>
      <c r="R216" s="112"/>
      <c r="S216" s="111"/>
    </row>
    <row r="217" spans="5:19" ht="15" hidden="1" x14ac:dyDescent="0.25">
      <c r="E217" s="81" t="s">
        <v>3769</v>
      </c>
      <c r="F217" s="81" t="s">
        <v>3811</v>
      </c>
      <c r="G217" s="81" t="s">
        <v>3673</v>
      </c>
      <c r="H217" s="81"/>
      <c r="I217" s="78">
        <v>1038819992</v>
      </c>
      <c r="J217" s="78">
        <v>3158470144</v>
      </c>
      <c r="K217" s="81" t="s">
        <v>1902</v>
      </c>
      <c r="L217" s="78">
        <v>3176424895</v>
      </c>
      <c r="M217" s="81" t="s">
        <v>1900</v>
      </c>
      <c r="O217" s="111"/>
      <c r="P217" s="111"/>
      <c r="Q217" s="111"/>
      <c r="R217" s="112"/>
      <c r="S217" s="111"/>
    </row>
    <row r="218" spans="5:19" ht="15" hidden="1" x14ac:dyDescent="0.25">
      <c r="E218" s="81" t="s">
        <v>3812</v>
      </c>
      <c r="F218" s="81" t="s">
        <v>3303</v>
      </c>
      <c r="G218" s="81"/>
      <c r="H218" s="81"/>
      <c r="I218" s="78">
        <v>1216729746</v>
      </c>
      <c r="J218" s="78">
        <v>3177236925</v>
      </c>
      <c r="K218" s="81" t="s">
        <v>1361</v>
      </c>
      <c r="L218" s="78">
        <v>3007094213</v>
      </c>
      <c r="M218" s="81" t="s">
        <v>613</v>
      </c>
      <c r="O218" s="111"/>
      <c r="P218" s="111"/>
      <c r="Q218" s="111"/>
      <c r="R218" s="112"/>
      <c r="S218" s="111"/>
    </row>
    <row r="219" spans="5:19" ht="15" hidden="1" x14ac:dyDescent="0.25">
      <c r="E219" s="81" t="s">
        <v>3294</v>
      </c>
      <c r="F219" s="137" t="s">
        <v>3813</v>
      </c>
      <c r="G219" s="138"/>
      <c r="H219" s="81"/>
      <c r="I219" s="78">
        <v>15621853</v>
      </c>
      <c r="J219" s="78">
        <v>3014046446</v>
      </c>
      <c r="K219" s="81" t="s">
        <v>3814</v>
      </c>
      <c r="L219" s="78">
        <v>3217102661</v>
      </c>
      <c r="M219" s="81" t="s">
        <v>1923</v>
      </c>
      <c r="O219" s="111"/>
      <c r="P219" s="111"/>
      <c r="Q219" s="111"/>
      <c r="R219" s="112"/>
      <c r="S219" s="111"/>
    </row>
    <row r="220" spans="5:19" ht="15" hidden="1" x14ac:dyDescent="0.25">
      <c r="E220" s="81" t="s">
        <v>3294</v>
      </c>
      <c r="F220" s="81" t="s">
        <v>3283</v>
      </c>
      <c r="G220" s="81" t="s">
        <v>3815</v>
      </c>
      <c r="H220" s="81"/>
      <c r="I220" s="78">
        <v>98431786</v>
      </c>
      <c r="J220" s="78">
        <v>3207125200</v>
      </c>
      <c r="K220" s="137" t="s">
        <v>1957</v>
      </c>
      <c r="L220" s="138"/>
      <c r="M220" s="81" t="s">
        <v>1955</v>
      </c>
      <c r="O220" s="111"/>
      <c r="P220" s="111"/>
      <c r="Q220" s="111"/>
      <c r="R220" s="112"/>
      <c r="S220" s="111"/>
    </row>
    <row r="221" spans="5:19" ht="15" hidden="1" x14ac:dyDescent="0.25">
      <c r="E221" s="81" t="s">
        <v>3510</v>
      </c>
      <c r="F221" s="81" t="s">
        <v>3582</v>
      </c>
      <c r="G221" s="81" t="s">
        <v>3816</v>
      </c>
      <c r="H221" s="81" t="s">
        <v>3247</v>
      </c>
      <c r="I221" s="78">
        <v>1040749275</v>
      </c>
      <c r="J221" s="78">
        <v>3209984031</v>
      </c>
      <c r="K221" s="81" t="s">
        <v>3817</v>
      </c>
      <c r="L221" s="78">
        <v>3012523091</v>
      </c>
      <c r="M221" s="81" t="s">
        <v>3818</v>
      </c>
      <c r="O221" s="111"/>
      <c r="P221" s="111"/>
      <c r="Q221" s="111"/>
      <c r="R221" s="112"/>
      <c r="S221" s="111"/>
    </row>
    <row r="222" spans="5:19" ht="15" hidden="1" x14ac:dyDescent="0.25">
      <c r="E222" s="81" t="s">
        <v>3819</v>
      </c>
      <c r="F222" s="81" t="s">
        <v>3282</v>
      </c>
      <c r="G222" s="81"/>
      <c r="H222" s="81"/>
      <c r="I222" s="78">
        <v>43925125</v>
      </c>
      <c r="J222" s="78">
        <v>3022967975</v>
      </c>
      <c r="K222" s="81" t="s">
        <v>1968</v>
      </c>
      <c r="L222" s="78">
        <v>3004573860</v>
      </c>
      <c r="M222" s="81" t="s">
        <v>656</v>
      </c>
      <c r="O222" s="111"/>
      <c r="P222" s="111"/>
      <c r="Q222" s="111"/>
      <c r="R222" s="112"/>
      <c r="S222" s="111"/>
    </row>
    <row r="223" spans="5:19" ht="15" hidden="1" x14ac:dyDescent="0.25">
      <c r="E223" s="81" t="s">
        <v>3426</v>
      </c>
      <c r="F223" s="81" t="s">
        <v>3820</v>
      </c>
      <c r="G223" s="81" t="s">
        <v>3821</v>
      </c>
      <c r="H223" s="81"/>
      <c r="I223" s="78">
        <v>42691472</v>
      </c>
      <c r="J223" s="78">
        <v>3011920478</v>
      </c>
      <c r="K223" s="81" t="s">
        <v>1968</v>
      </c>
      <c r="L223" s="78">
        <v>3046616222</v>
      </c>
      <c r="M223" s="81" t="s">
        <v>656</v>
      </c>
      <c r="O223" s="111"/>
      <c r="P223" s="111"/>
      <c r="Q223" s="111"/>
      <c r="R223" s="112"/>
      <c r="S223" s="111"/>
    </row>
    <row r="224" spans="5:19" ht="15" hidden="1" x14ac:dyDescent="0.25">
      <c r="E224" s="81" t="s">
        <v>3822</v>
      </c>
      <c r="F224" s="81" t="s">
        <v>3267</v>
      </c>
      <c r="G224" s="81" t="s">
        <v>3303</v>
      </c>
      <c r="H224" s="81"/>
      <c r="I224" s="78">
        <v>1073690779</v>
      </c>
      <c r="J224" s="78">
        <v>3156698182</v>
      </c>
      <c r="K224" s="81" t="s">
        <v>3823</v>
      </c>
      <c r="L224" s="78">
        <v>3002610284</v>
      </c>
      <c r="M224" s="81" t="s">
        <v>1975</v>
      </c>
      <c r="O224" s="111"/>
      <c r="P224" s="111"/>
      <c r="Q224" s="111"/>
      <c r="R224" s="112"/>
      <c r="S224" s="111"/>
    </row>
    <row r="225" spans="5:19" ht="15" hidden="1" x14ac:dyDescent="0.25">
      <c r="E225" s="81" t="s">
        <v>3686</v>
      </c>
      <c r="F225" s="81" t="s">
        <v>3824</v>
      </c>
      <c r="G225" s="81" t="s">
        <v>3267</v>
      </c>
      <c r="H225" s="81"/>
      <c r="I225" s="78">
        <v>35600771</v>
      </c>
      <c r="J225" s="78">
        <v>3113788835</v>
      </c>
      <c r="K225" s="81" t="s">
        <v>1984</v>
      </c>
      <c r="L225" s="78">
        <v>3506881123</v>
      </c>
      <c r="M225" s="81" t="s">
        <v>1982</v>
      </c>
      <c r="O225" s="111"/>
      <c r="P225" s="111"/>
      <c r="Q225" s="111"/>
      <c r="R225" s="112"/>
      <c r="S225" s="111"/>
    </row>
    <row r="226" spans="5:19" ht="15" hidden="1" x14ac:dyDescent="0.25">
      <c r="E226" s="81" t="s">
        <v>3246</v>
      </c>
      <c r="F226" s="81" t="s">
        <v>2121</v>
      </c>
      <c r="G226" s="81" t="s">
        <v>3825</v>
      </c>
      <c r="H226" s="81"/>
      <c r="I226" s="78">
        <v>21849681</v>
      </c>
      <c r="J226" s="78">
        <v>3122096109</v>
      </c>
      <c r="K226" s="81" t="s">
        <v>2084</v>
      </c>
      <c r="L226" s="78">
        <v>3105494347</v>
      </c>
      <c r="M226" s="81"/>
      <c r="O226" s="111"/>
      <c r="P226" s="111"/>
      <c r="Q226" s="111"/>
      <c r="R226" s="112"/>
      <c r="S226" s="111"/>
    </row>
    <row r="227" spans="5:19" ht="15" hidden="1" x14ac:dyDescent="0.25">
      <c r="E227" s="81" t="s">
        <v>3317</v>
      </c>
      <c r="F227" s="81" t="s">
        <v>3495</v>
      </c>
      <c r="G227" s="81" t="s">
        <v>3472</v>
      </c>
      <c r="H227" s="81" t="s">
        <v>3472</v>
      </c>
      <c r="I227" s="78">
        <v>43880226</v>
      </c>
      <c r="J227" s="78">
        <v>3006977933</v>
      </c>
      <c r="K227" s="81" t="s">
        <v>2089</v>
      </c>
      <c r="L227" s="78">
        <v>3003714497</v>
      </c>
      <c r="M227" s="81"/>
      <c r="O227" s="111"/>
      <c r="P227" s="111"/>
      <c r="Q227" s="111"/>
      <c r="R227" s="112"/>
      <c r="S227" s="111"/>
    </row>
    <row r="228" spans="5:19" ht="12.75" x14ac:dyDescent="0.2">
      <c r="L228" s="113"/>
      <c r="O228" s="111"/>
      <c r="P228" s="111"/>
      <c r="Q228" s="111"/>
      <c r="R228" s="112"/>
      <c r="S228" s="111"/>
    </row>
    <row r="229" spans="5:19" ht="12.75" x14ac:dyDescent="0.2">
      <c r="L229" s="113"/>
      <c r="O229" s="111"/>
      <c r="P229" s="111"/>
      <c r="Q229" s="111"/>
      <c r="R229" s="112"/>
      <c r="S229" s="111"/>
    </row>
    <row r="230" spans="5:19" ht="12.75" x14ac:dyDescent="0.2">
      <c r="L230" s="113"/>
      <c r="O230" s="111"/>
      <c r="P230" s="111"/>
      <c r="Q230" s="111"/>
      <c r="R230" s="112"/>
      <c r="S230" s="111"/>
    </row>
    <row r="231" spans="5:19" ht="12.75" x14ac:dyDescent="0.2">
      <c r="L231" s="113"/>
      <c r="O231" s="111"/>
      <c r="P231" s="111"/>
      <c r="Q231" s="111"/>
      <c r="R231" s="112"/>
      <c r="S231" s="111"/>
    </row>
    <row r="232" spans="5:19" ht="12.75" x14ac:dyDescent="0.2">
      <c r="L232" s="113"/>
      <c r="O232" s="111"/>
      <c r="P232" s="111"/>
      <c r="Q232" s="111"/>
      <c r="R232" s="112"/>
      <c r="S232" s="111"/>
    </row>
    <row r="233" spans="5:19" ht="12.75" x14ac:dyDescent="0.2">
      <c r="L233" s="113"/>
      <c r="O233" s="111"/>
      <c r="P233" s="111"/>
      <c r="Q233" s="111"/>
      <c r="R233" s="112"/>
      <c r="S233" s="111"/>
    </row>
    <row r="234" spans="5:19" ht="12.75" x14ac:dyDescent="0.2">
      <c r="L234" s="113"/>
      <c r="O234" s="111"/>
      <c r="P234" s="111"/>
      <c r="Q234" s="111"/>
      <c r="R234" s="112"/>
      <c r="S234" s="111"/>
    </row>
    <row r="235" spans="5:19" ht="12.75" x14ac:dyDescent="0.2">
      <c r="L235" s="113"/>
      <c r="O235" s="111"/>
      <c r="P235" s="111"/>
      <c r="Q235" s="111"/>
      <c r="R235" s="112"/>
      <c r="S235" s="111"/>
    </row>
    <row r="236" spans="5:19" ht="12.75" x14ac:dyDescent="0.2">
      <c r="L236" s="113"/>
      <c r="O236" s="111"/>
      <c r="P236" s="111"/>
      <c r="Q236" s="111"/>
      <c r="R236" s="112"/>
      <c r="S236" s="111"/>
    </row>
    <row r="237" spans="5:19" ht="12.75" x14ac:dyDescent="0.2">
      <c r="L237" s="113"/>
      <c r="O237" s="111"/>
      <c r="P237" s="111"/>
      <c r="Q237" s="111"/>
      <c r="R237" s="112"/>
      <c r="S237" s="111"/>
    </row>
    <row r="238" spans="5:19" ht="12.75" x14ac:dyDescent="0.2">
      <c r="L238" s="113"/>
      <c r="O238" s="111"/>
      <c r="P238" s="111"/>
      <c r="Q238" s="111"/>
      <c r="R238" s="112"/>
      <c r="S238" s="111"/>
    </row>
    <row r="239" spans="5:19" ht="12.75" x14ac:dyDescent="0.2">
      <c r="L239" s="113"/>
      <c r="O239" s="111"/>
      <c r="P239" s="111"/>
      <c r="Q239" s="111"/>
      <c r="R239" s="112"/>
      <c r="S239" s="111"/>
    </row>
    <row r="240" spans="5:19" ht="12.75" x14ac:dyDescent="0.2">
      <c r="L240" s="113"/>
      <c r="O240" s="111"/>
      <c r="P240" s="111"/>
      <c r="Q240" s="111"/>
      <c r="R240" s="112"/>
      <c r="S240" s="111"/>
    </row>
    <row r="241" spans="12:19" ht="12.75" x14ac:dyDescent="0.2">
      <c r="L241" s="113"/>
      <c r="O241" s="111"/>
      <c r="P241" s="111"/>
      <c r="Q241" s="111"/>
      <c r="R241" s="112"/>
      <c r="S241" s="111"/>
    </row>
    <row r="242" spans="12:19" ht="12.75" x14ac:dyDescent="0.2">
      <c r="L242" s="113"/>
      <c r="O242" s="111"/>
      <c r="P242" s="111"/>
      <c r="Q242" s="111"/>
      <c r="R242" s="112"/>
      <c r="S242" s="111"/>
    </row>
    <row r="243" spans="12:19" ht="12.75" x14ac:dyDescent="0.2">
      <c r="L243" s="113"/>
      <c r="O243" s="111"/>
      <c r="P243" s="111"/>
      <c r="Q243" s="111"/>
      <c r="R243" s="112"/>
      <c r="S243" s="111"/>
    </row>
    <row r="244" spans="12:19" ht="12.75" x14ac:dyDescent="0.2">
      <c r="L244" s="113"/>
      <c r="O244" s="111"/>
      <c r="P244" s="111"/>
      <c r="Q244" s="111"/>
      <c r="R244" s="112"/>
      <c r="S244" s="111"/>
    </row>
    <row r="245" spans="12:19" ht="12.75" x14ac:dyDescent="0.2">
      <c r="L245" s="113"/>
      <c r="O245" s="111"/>
      <c r="P245" s="111"/>
      <c r="Q245" s="111"/>
      <c r="R245" s="112"/>
      <c r="S245" s="111"/>
    </row>
    <row r="246" spans="12:19" ht="12.75" x14ac:dyDescent="0.2">
      <c r="L246" s="113"/>
      <c r="O246" s="111"/>
      <c r="P246" s="111"/>
      <c r="Q246" s="111"/>
      <c r="R246" s="112"/>
      <c r="S246" s="111"/>
    </row>
    <row r="247" spans="12:19" ht="12.75" x14ac:dyDescent="0.2">
      <c r="L247" s="113"/>
      <c r="O247" s="111"/>
      <c r="P247" s="111"/>
      <c r="Q247" s="111"/>
      <c r="R247" s="112"/>
      <c r="S247" s="111"/>
    </row>
    <row r="248" spans="12:19" ht="12.75" x14ac:dyDescent="0.2">
      <c r="L248" s="113"/>
      <c r="O248" s="111"/>
      <c r="P248" s="111"/>
      <c r="Q248" s="111"/>
      <c r="R248" s="112"/>
      <c r="S248" s="111"/>
    </row>
    <row r="249" spans="12:19" ht="12.75" x14ac:dyDescent="0.2">
      <c r="L249" s="113"/>
      <c r="O249" s="111"/>
      <c r="P249" s="111"/>
      <c r="Q249" s="111"/>
      <c r="R249" s="112"/>
      <c r="S249" s="111"/>
    </row>
    <row r="250" spans="12:19" ht="12.75" x14ac:dyDescent="0.2">
      <c r="L250" s="113"/>
      <c r="O250" s="111"/>
      <c r="P250" s="111"/>
      <c r="Q250" s="111"/>
      <c r="R250" s="112"/>
      <c r="S250" s="111"/>
    </row>
    <row r="251" spans="12:19" ht="12.75" x14ac:dyDescent="0.2">
      <c r="L251" s="113"/>
      <c r="O251" s="111"/>
      <c r="P251" s="111"/>
      <c r="Q251" s="111"/>
      <c r="R251" s="112"/>
      <c r="S251" s="111"/>
    </row>
    <row r="252" spans="12:19" ht="12.75" x14ac:dyDescent="0.2">
      <c r="L252" s="113"/>
      <c r="O252" s="111"/>
      <c r="P252" s="111"/>
      <c r="Q252" s="111"/>
      <c r="R252" s="112"/>
      <c r="S252" s="111"/>
    </row>
    <row r="253" spans="12:19" ht="12.75" x14ac:dyDescent="0.2">
      <c r="L253" s="113"/>
      <c r="O253" s="111"/>
      <c r="P253" s="111"/>
      <c r="Q253" s="111"/>
      <c r="R253" s="112"/>
      <c r="S253" s="111"/>
    </row>
    <row r="254" spans="12:19" ht="12.75" x14ac:dyDescent="0.2">
      <c r="L254" s="113"/>
      <c r="O254" s="111"/>
      <c r="P254" s="111"/>
      <c r="Q254" s="111"/>
      <c r="R254" s="112"/>
      <c r="S254" s="111"/>
    </row>
    <row r="255" spans="12:19" ht="12.75" x14ac:dyDescent="0.2">
      <c r="L255" s="113"/>
      <c r="O255" s="111"/>
      <c r="P255" s="111"/>
      <c r="Q255" s="111"/>
      <c r="R255" s="112"/>
      <c r="S255" s="111"/>
    </row>
    <row r="256" spans="12:19" ht="12.75" x14ac:dyDescent="0.2">
      <c r="L256" s="113"/>
      <c r="O256" s="111"/>
      <c r="P256" s="111"/>
      <c r="Q256" s="111"/>
      <c r="R256" s="112"/>
      <c r="S256" s="111"/>
    </row>
    <row r="257" spans="12:19" ht="12.75" x14ac:dyDescent="0.2">
      <c r="L257" s="113"/>
      <c r="O257" s="111"/>
      <c r="P257" s="111"/>
      <c r="Q257" s="111"/>
      <c r="R257" s="112"/>
      <c r="S257" s="111"/>
    </row>
    <row r="258" spans="12:19" ht="12.75" x14ac:dyDescent="0.2">
      <c r="L258" s="113"/>
      <c r="O258" s="111"/>
      <c r="P258" s="111"/>
      <c r="Q258" s="111"/>
      <c r="R258" s="112"/>
      <c r="S258" s="111"/>
    </row>
    <row r="259" spans="12:19" ht="12.75" x14ac:dyDescent="0.2">
      <c r="L259" s="113"/>
      <c r="O259" s="111"/>
      <c r="P259" s="111"/>
      <c r="Q259" s="111"/>
      <c r="R259" s="112"/>
      <c r="S259" s="111"/>
    </row>
    <row r="260" spans="12:19" ht="12.75" x14ac:dyDescent="0.2">
      <c r="L260" s="113"/>
      <c r="O260" s="111"/>
      <c r="P260" s="111"/>
      <c r="Q260" s="111"/>
      <c r="R260" s="112"/>
      <c r="S260" s="111"/>
    </row>
    <row r="261" spans="12:19" ht="12.75" x14ac:dyDescent="0.2">
      <c r="L261" s="113"/>
      <c r="O261" s="111"/>
      <c r="P261" s="111"/>
      <c r="Q261" s="111"/>
      <c r="R261" s="112"/>
      <c r="S261" s="111"/>
    </row>
    <row r="262" spans="12:19" ht="12.75" x14ac:dyDescent="0.2">
      <c r="L262" s="113"/>
      <c r="O262" s="111"/>
      <c r="P262" s="111"/>
      <c r="Q262" s="111"/>
      <c r="R262" s="112"/>
      <c r="S262" s="111"/>
    </row>
    <row r="263" spans="12:19" ht="12.75" x14ac:dyDescent="0.2">
      <c r="L263" s="113"/>
      <c r="O263" s="111"/>
      <c r="P263" s="111"/>
      <c r="Q263" s="111"/>
      <c r="R263" s="112"/>
      <c r="S263" s="111"/>
    </row>
    <row r="264" spans="12:19" ht="12.75" x14ac:dyDescent="0.2">
      <c r="L264" s="113"/>
      <c r="O264" s="111"/>
      <c r="P264" s="111"/>
      <c r="Q264" s="111"/>
      <c r="R264" s="112"/>
      <c r="S264" s="111"/>
    </row>
    <row r="265" spans="12:19" ht="12.75" x14ac:dyDescent="0.2">
      <c r="L265" s="113"/>
      <c r="O265" s="111"/>
      <c r="P265" s="111"/>
      <c r="Q265" s="111"/>
      <c r="R265" s="112"/>
      <c r="S265" s="111"/>
    </row>
    <row r="266" spans="12:19" ht="12.75" x14ac:dyDescent="0.2">
      <c r="L266" s="113"/>
      <c r="O266" s="111"/>
      <c r="P266" s="111"/>
      <c r="Q266" s="111"/>
      <c r="R266" s="112"/>
      <c r="S266" s="111"/>
    </row>
    <row r="267" spans="12:19" ht="12.75" x14ac:dyDescent="0.2">
      <c r="L267" s="113"/>
      <c r="O267" s="111"/>
      <c r="P267" s="111"/>
      <c r="Q267" s="111"/>
      <c r="R267" s="112"/>
      <c r="S267" s="111"/>
    </row>
    <row r="268" spans="12:19" ht="12.75" x14ac:dyDescent="0.2">
      <c r="L268" s="113"/>
      <c r="O268" s="111"/>
      <c r="P268" s="111"/>
      <c r="Q268" s="111"/>
      <c r="R268" s="112"/>
      <c r="S268" s="111"/>
    </row>
    <row r="269" spans="12:19" ht="12.75" x14ac:dyDescent="0.2">
      <c r="L269" s="113"/>
      <c r="O269" s="111"/>
      <c r="P269" s="111"/>
      <c r="Q269" s="111"/>
      <c r="R269" s="112"/>
      <c r="S269" s="111"/>
    </row>
    <row r="270" spans="12:19" ht="12.75" x14ac:dyDescent="0.2">
      <c r="L270" s="113"/>
      <c r="O270" s="111"/>
      <c r="P270" s="111"/>
      <c r="Q270" s="111"/>
      <c r="R270" s="112"/>
      <c r="S270" s="111"/>
    </row>
    <row r="271" spans="12:19" ht="12.75" x14ac:dyDescent="0.2">
      <c r="L271" s="113"/>
      <c r="O271" s="111"/>
      <c r="P271" s="111"/>
      <c r="Q271" s="111"/>
      <c r="R271" s="112"/>
      <c r="S271" s="111"/>
    </row>
    <row r="272" spans="12:19" ht="12.75" x14ac:dyDescent="0.2">
      <c r="L272" s="113"/>
      <c r="O272" s="111"/>
      <c r="P272" s="111"/>
      <c r="Q272" s="111"/>
      <c r="R272" s="112"/>
      <c r="S272" s="111"/>
    </row>
    <row r="273" spans="12:19" ht="12.75" x14ac:dyDescent="0.2">
      <c r="L273" s="113"/>
      <c r="O273" s="111"/>
      <c r="P273" s="111"/>
      <c r="Q273" s="111"/>
      <c r="R273" s="112"/>
      <c r="S273" s="111"/>
    </row>
    <row r="274" spans="12:19" ht="12.75" x14ac:dyDescent="0.2">
      <c r="L274" s="113"/>
      <c r="O274" s="111"/>
      <c r="P274" s="111"/>
      <c r="Q274" s="111"/>
      <c r="R274" s="112"/>
      <c r="S274" s="111"/>
    </row>
    <row r="275" spans="12:19" ht="12.75" x14ac:dyDescent="0.2">
      <c r="L275" s="113"/>
      <c r="O275" s="111"/>
      <c r="P275" s="111"/>
      <c r="Q275" s="111"/>
      <c r="R275" s="112"/>
      <c r="S275" s="111"/>
    </row>
    <row r="276" spans="12:19" ht="12.75" x14ac:dyDescent="0.2">
      <c r="L276" s="113"/>
      <c r="O276" s="111"/>
      <c r="P276" s="111"/>
      <c r="Q276" s="111"/>
      <c r="R276" s="112"/>
      <c r="S276" s="111"/>
    </row>
    <row r="277" spans="12:19" ht="12.75" x14ac:dyDescent="0.2">
      <c r="L277" s="113"/>
      <c r="O277" s="111"/>
      <c r="P277" s="111"/>
      <c r="Q277" s="111"/>
      <c r="R277" s="112"/>
      <c r="S277" s="111"/>
    </row>
    <row r="278" spans="12:19" ht="12.75" x14ac:dyDescent="0.2">
      <c r="L278" s="113"/>
      <c r="O278" s="111"/>
      <c r="P278" s="111"/>
      <c r="Q278" s="111"/>
      <c r="R278" s="112"/>
      <c r="S278" s="111"/>
    </row>
    <row r="279" spans="12:19" ht="12.75" x14ac:dyDescent="0.2">
      <c r="L279" s="113"/>
      <c r="O279" s="111"/>
      <c r="P279" s="111"/>
      <c r="Q279" s="111"/>
      <c r="R279" s="112"/>
      <c r="S279" s="111"/>
    </row>
    <row r="280" spans="12:19" ht="12.75" x14ac:dyDescent="0.2">
      <c r="L280" s="113"/>
      <c r="O280" s="111"/>
      <c r="P280" s="111"/>
      <c r="Q280" s="111"/>
      <c r="R280" s="112"/>
      <c r="S280" s="111"/>
    </row>
    <row r="281" spans="12:19" ht="12.75" x14ac:dyDescent="0.2">
      <c r="L281" s="113"/>
      <c r="O281" s="111"/>
      <c r="P281" s="111"/>
      <c r="Q281" s="111"/>
      <c r="R281" s="112"/>
      <c r="S281" s="111"/>
    </row>
    <row r="282" spans="12:19" ht="12.75" x14ac:dyDescent="0.2">
      <c r="L282" s="113"/>
      <c r="O282" s="111"/>
      <c r="P282" s="111"/>
      <c r="Q282" s="111"/>
      <c r="R282" s="112"/>
      <c r="S282" s="111"/>
    </row>
    <row r="283" spans="12:19" ht="12.75" x14ac:dyDescent="0.2">
      <c r="L283" s="113"/>
      <c r="O283" s="111"/>
      <c r="P283" s="111"/>
      <c r="Q283" s="111"/>
      <c r="R283" s="112"/>
      <c r="S283" s="111"/>
    </row>
    <row r="284" spans="12:19" ht="12.75" x14ac:dyDescent="0.2">
      <c r="L284" s="113"/>
      <c r="O284" s="111"/>
      <c r="P284" s="111"/>
      <c r="Q284" s="111"/>
      <c r="R284" s="112"/>
      <c r="S284" s="111"/>
    </row>
    <row r="285" spans="12:19" ht="12.75" x14ac:dyDescent="0.2">
      <c r="L285" s="113"/>
      <c r="O285" s="111"/>
      <c r="P285" s="111"/>
      <c r="Q285" s="111"/>
      <c r="R285" s="112"/>
      <c r="S285" s="111"/>
    </row>
    <row r="286" spans="12:19" ht="12.75" x14ac:dyDescent="0.2">
      <c r="L286" s="113"/>
      <c r="O286" s="111"/>
      <c r="P286" s="111"/>
      <c r="Q286" s="111"/>
      <c r="R286" s="112"/>
      <c r="S286" s="111"/>
    </row>
    <row r="287" spans="12:19" ht="12.75" x14ac:dyDescent="0.2">
      <c r="L287" s="113"/>
      <c r="O287" s="111"/>
      <c r="P287" s="111"/>
      <c r="Q287" s="111"/>
      <c r="R287" s="112"/>
      <c r="S287" s="111"/>
    </row>
    <row r="288" spans="12:19" ht="12.75" x14ac:dyDescent="0.2">
      <c r="L288" s="113"/>
      <c r="O288" s="111"/>
      <c r="P288" s="111"/>
      <c r="Q288" s="111"/>
      <c r="R288" s="112"/>
      <c r="S288" s="111"/>
    </row>
    <row r="289" spans="12:19" ht="12.75" x14ac:dyDescent="0.2">
      <c r="L289" s="113"/>
      <c r="O289" s="111"/>
      <c r="P289" s="111"/>
      <c r="Q289" s="111"/>
      <c r="R289" s="112"/>
      <c r="S289" s="111"/>
    </row>
    <row r="290" spans="12:19" ht="12.75" x14ac:dyDescent="0.2">
      <c r="L290" s="113"/>
      <c r="O290" s="111"/>
      <c r="P290" s="111"/>
      <c r="Q290" s="111"/>
      <c r="R290" s="112"/>
      <c r="S290" s="111"/>
    </row>
    <row r="291" spans="12:19" ht="12.75" x14ac:dyDescent="0.2">
      <c r="L291" s="113"/>
      <c r="O291" s="111"/>
      <c r="P291" s="111"/>
      <c r="Q291" s="111"/>
      <c r="R291" s="112"/>
      <c r="S291" s="111"/>
    </row>
    <row r="292" spans="12:19" ht="12.75" x14ac:dyDescent="0.2">
      <c r="L292" s="113"/>
      <c r="O292" s="111"/>
      <c r="P292" s="111"/>
      <c r="Q292" s="111"/>
      <c r="R292" s="112"/>
      <c r="S292" s="111"/>
    </row>
    <row r="293" spans="12:19" ht="12.75" x14ac:dyDescent="0.2">
      <c r="L293" s="113"/>
      <c r="O293" s="111"/>
      <c r="P293" s="111"/>
      <c r="Q293" s="111"/>
      <c r="R293" s="112"/>
      <c r="S293" s="111"/>
    </row>
    <row r="294" spans="12:19" ht="12.75" x14ac:dyDescent="0.2">
      <c r="L294" s="113"/>
      <c r="O294" s="111"/>
      <c r="P294" s="111"/>
      <c r="Q294" s="111"/>
      <c r="R294" s="112"/>
      <c r="S294" s="111"/>
    </row>
    <row r="295" spans="12:19" ht="12.75" x14ac:dyDescent="0.2">
      <c r="L295" s="113"/>
      <c r="O295" s="111"/>
      <c r="P295" s="111"/>
      <c r="Q295" s="111"/>
      <c r="R295" s="112"/>
      <c r="S295" s="111"/>
    </row>
    <row r="296" spans="12:19" ht="12.75" x14ac:dyDescent="0.2">
      <c r="L296" s="113"/>
      <c r="O296" s="111"/>
      <c r="P296" s="111"/>
      <c r="Q296" s="111"/>
      <c r="R296" s="112"/>
      <c r="S296" s="111"/>
    </row>
    <row r="297" spans="12:19" ht="12.75" x14ac:dyDescent="0.2">
      <c r="L297" s="113"/>
      <c r="O297" s="111"/>
      <c r="P297" s="111"/>
      <c r="Q297" s="111"/>
      <c r="R297" s="112"/>
      <c r="S297" s="111"/>
    </row>
    <row r="298" spans="12:19" ht="12.75" x14ac:dyDescent="0.2">
      <c r="L298" s="113"/>
      <c r="O298" s="111"/>
      <c r="P298" s="111"/>
      <c r="Q298" s="111"/>
      <c r="R298" s="112"/>
      <c r="S298" s="111"/>
    </row>
    <row r="299" spans="12:19" ht="12.75" x14ac:dyDescent="0.2">
      <c r="L299" s="113"/>
      <c r="O299" s="111"/>
      <c r="P299" s="111"/>
      <c r="Q299" s="111"/>
      <c r="R299" s="112"/>
      <c r="S299" s="111"/>
    </row>
    <row r="300" spans="12:19" ht="12.75" x14ac:dyDescent="0.2">
      <c r="L300" s="113"/>
      <c r="O300" s="111"/>
      <c r="P300" s="111"/>
      <c r="Q300" s="111"/>
      <c r="R300" s="112"/>
      <c r="S300" s="111"/>
    </row>
    <row r="301" spans="12:19" ht="12.75" x14ac:dyDescent="0.2">
      <c r="L301" s="113"/>
      <c r="O301" s="111"/>
      <c r="P301" s="111"/>
      <c r="Q301" s="111"/>
      <c r="R301" s="112"/>
      <c r="S301" s="111"/>
    </row>
    <row r="302" spans="12:19" ht="12.75" x14ac:dyDescent="0.2">
      <c r="L302" s="113"/>
      <c r="O302" s="111"/>
      <c r="P302" s="111"/>
      <c r="Q302" s="111"/>
      <c r="R302" s="112"/>
      <c r="S302" s="111"/>
    </row>
    <row r="303" spans="12:19" ht="12.75" x14ac:dyDescent="0.2">
      <c r="L303" s="113"/>
      <c r="O303" s="111"/>
      <c r="P303" s="111"/>
      <c r="Q303" s="111"/>
      <c r="R303" s="112"/>
      <c r="S303" s="111"/>
    </row>
    <row r="304" spans="12:19" ht="12.75" x14ac:dyDescent="0.2">
      <c r="L304" s="113"/>
      <c r="O304" s="111"/>
      <c r="P304" s="111"/>
      <c r="Q304" s="111"/>
      <c r="R304" s="112"/>
      <c r="S304" s="111"/>
    </row>
    <row r="305" spans="12:19" ht="12.75" x14ac:dyDescent="0.2">
      <c r="L305" s="113"/>
      <c r="O305" s="111"/>
      <c r="P305" s="111"/>
      <c r="Q305" s="111"/>
      <c r="R305" s="112"/>
      <c r="S305" s="111"/>
    </row>
    <row r="306" spans="12:19" ht="12.75" x14ac:dyDescent="0.2">
      <c r="L306" s="113"/>
      <c r="O306" s="111"/>
      <c r="P306" s="111"/>
      <c r="Q306" s="111"/>
      <c r="R306" s="112"/>
      <c r="S306" s="111"/>
    </row>
    <row r="307" spans="12:19" ht="12.75" x14ac:dyDescent="0.2">
      <c r="L307" s="113"/>
      <c r="O307" s="111"/>
      <c r="P307" s="111"/>
      <c r="Q307" s="111"/>
      <c r="R307" s="112"/>
      <c r="S307" s="111"/>
    </row>
    <row r="308" spans="12:19" ht="12.75" x14ac:dyDescent="0.2">
      <c r="L308" s="113"/>
      <c r="O308" s="111"/>
      <c r="P308" s="111"/>
      <c r="Q308" s="111"/>
      <c r="R308" s="112"/>
      <c r="S308" s="111"/>
    </row>
    <row r="309" spans="12:19" ht="12.75" x14ac:dyDescent="0.2">
      <c r="L309" s="113"/>
      <c r="O309" s="111"/>
      <c r="P309" s="111"/>
      <c r="Q309" s="111"/>
      <c r="R309" s="112"/>
      <c r="S309" s="111"/>
    </row>
    <row r="310" spans="12:19" ht="12.75" x14ac:dyDescent="0.2">
      <c r="L310" s="113"/>
      <c r="O310" s="111"/>
      <c r="P310" s="111"/>
      <c r="Q310" s="111"/>
      <c r="R310" s="112"/>
      <c r="S310" s="111"/>
    </row>
    <row r="311" spans="12:19" ht="12.75" x14ac:dyDescent="0.2">
      <c r="L311" s="113"/>
      <c r="O311" s="111"/>
      <c r="P311" s="111"/>
      <c r="Q311" s="111"/>
      <c r="R311" s="112"/>
      <c r="S311" s="111"/>
    </row>
    <row r="312" spans="12:19" ht="12.75" x14ac:dyDescent="0.2">
      <c r="L312" s="113"/>
      <c r="O312" s="111"/>
      <c r="P312" s="111"/>
      <c r="Q312" s="111"/>
      <c r="R312" s="112"/>
      <c r="S312" s="111"/>
    </row>
    <row r="313" spans="12:19" ht="12.75" x14ac:dyDescent="0.2">
      <c r="L313" s="113"/>
      <c r="O313" s="111"/>
      <c r="P313" s="111"/>
      <c r="Q313" s="111"/>
      <c r="R313" s="112"/>
      <c r="S313" s="111"/>
    </row>
    <row r="314" spans="12:19" ht="12.75" x14ac:dyDescent="0.2">
      <c r="L314" s="113"/>
      <c r="O314" s="111"/>
      <c r="P314" s="111"/>
      <c r="Q314" s="111"/>
      <c r="R314" s="112"/>
      <c r="S314" s="111"/>
    </row>
    <row r="315" spans="12:19" ht="12.75" x14ac:dyDescent="0.2">
      <c r="L315" s="113"/>
      <c r="O315" s="111"/>
      <c r="P315" s="111"/>
      <c r="Q315" s="111"/>
      <c r="R315" s="112"/>
      <c r="S315" s="111"/>
    </row>
    <row r="316" spans="12:19" ht="12.75" x14ac:dyDescent="0.2">
      <c r="L316" s="113"/>
      <c r="O316" s="111"/>
      <c r="P316" s="111"/>
      <c r="Q316" s="111"/>
      <c r="R316" s="112"/>
      <c r="S316" s="111"/>
    </row>
    <row r="317" spans="12:19" ht="12.75" x14ac:dyDescent="0.2">
      <c r="L317" s="113"/>
      <c r="O317" s="111"/>
      <c r="P317" s="111"/>
      <c r="Q317" s="111"/>
      <c r="R317" s="112"/>
      <c r="S317" s="111"/>
    </row>
    <row r="318" spans="12:19" ht="12.75" x14ac:dyDescent="0.2">
      <c r="L318" s="113"/>
      <c r="O318" s="111"/>
      <c r="P318" s="111"/>
      <c r="Q318" s="111"/>
      <c r="R318" s="112"/>
      <c r="S318" s="111"/>
    </row>
    <row r="319" spans="12:19" ht="12.75" x14ac:dyDescent="0.2">
      <c r="L319" s="113"/>
      <c r="O319" s="111"/>
      <c r="P319" s="111"/>
      <c r="Q319" s="111"/>
      <c r="R319" s="112"/>
      <c r="S319" s="111"/>
    </row>
    <row r="320" spans="12:19" ht="12.75" x14ac:dyDescent="0.2">
      <c r="L320" s="113"/>
      <c r="O320" s="111"/>
      <c r="P320" s="111"/>
      <c r="Q320" s="111"/>
      <c r="R320" s="112"/>
      <c r="S320" s="111"/>
    </row>
    <row r="321" spans="12:19" ht="12.75" x14ac:dyDescent="0.2">
      <c r="L321" s="113"/>
      <c r="O321" s="111"/>
      <c r="P321" s="111"/>
      <c r="Q321" s="111"/>
      <c r="R321" s="112"/>
      <c r="S321" s="111"/>
    </row>
    <row r="322" spans="12:19" ht="12.75" x14ac:dyDescent="0.2">
      <c r="L322" s="113"/>
      <c r="O322" s="111"/>
      <c r="P322" s="111"/>
      <c r="Q322" s="111"/>
      <c r="R322" s="112"/>
      <c r="S322" s="111"/>
    </row>
    <row r="323" spans="12:19" ht="12.75" x14ac:dyDescent="0.2">
      <c r="L323" s="113"/>
      <c r="O323" s="111"/>
      <c r="P323" s="111"/>
      <c r="Q323" s="111"/>
      <c r="R323" s="112"/>
      <c r="S323" s="111"/>
    </row>
    <row r="324" spans="12:19" ht="12.75" x14ac:dyDescent="0.2">
      <c r="L324" s="113"/>
      <c r="O324" s="111"/>
      <c r="P324" s="111"/>
      <c r="Q324" s="111"/>
      <c r="R324" s="112"/>
      <c r="S324" s="111"/>
    </row>
    <row r="325" spans="12:19" ht="12.75" x14ac:dyDescent="0.2">
      <c r="L325" s="113"/>
      <c r="O325" s="111"/>
      <c r="P325" s="111"/>
      <c r="Q325" s="111"/>
      <c r="R325" s="112"/>
      <c r="S325" s="111"/>
    </row>
    <row r="326" spans="12:19" ht="12.75" x14ac:dyDescent="0.2">
      <c r="L326" s="113"/>
      <c r="O326" s="111"/>
      <c r="P326" s="111"/>
      <c r="Q326" s="111"/>
      <c r="R326" s="112"/>
      <c r="S326" s="111"/>
    </row>
    <row r="327" spans="12:19" ht="12.75" x14ac:dyDescent="0.2">
      <c r="L327" s="113"/>
      <c r="O327" s="111"/>
      <c r="P327" s="111"/>
      <c r="Q327" s="111"/>
      <c r="R327" s="112"/>
      <c r="S327" s="111"/>
    </row>
    <row r="328" spans="12:19" ht="12.75" x14ac:dyDescent="0.2">
      <c r="L328" s="113"/>
      <c r="O328" s="111"/>
      <c r="P328" s="111"/>
      <c r="Q328" s="111"/>
      <c r="R328" s="112"/>
      <c r="S328" s="111"/>
    </row>
    <row r="329" spans="12:19" ht="12.75" x14ac:dyDescent="0.2">
      <c r="L329" s="113"/>
      <c r="O329" s="111"/>
      <c r="P329" s="111"/>
      <c r="Q329" s="111"/>
      <c r="R329" s="112"/>
      <c r="S329" s="111"/>
    </row>
    <row r="330" spans="12:19" ht="12.75" x14ac:dyDescent="0.2">
      <c r="L330" s="113"/>
      <c r="O330" s="111"/>
      <c r="P330" s="111"/>
      <c r="Q330" s="111"/>
      <c r="R330" s="112"/>
      <c r="S330" s="111"/>
    </row>
    <row r="331" spans="12:19" ht="12.75" x14ac:dyDescent="0.2">
      <c r="L331" s="113"/>
      <c r="O331" s="111"/>
      <c r="P331" s="111"/>
      <c r="Q331" s="111"/>
      <c r="R331" s="112"/>
      <c r="S331" s="111"/>
    </row>
    <row r="332" spans="12:19" ht="12.75" x14ac:dyDescent="0.2">
      <c r="L332" s="113"/>
      <c r="O332" s="111"/>
      <c r="P332" s="111"/>
      <c r="Q332" s="111"/>
      <c r="R332" s="112"/>
      <c r="S332" s="111"/>
    </row>
    <row r="333" spans="12:19" ht="12.75" x14ac:dyDescent="0.2">
      <c r="L333" s="113"/>
      <c r="O333" s="111"/>
      <c r="P333" s="111"/>
      <c r="Q333" s="111"/>
      <c r="R333" s="112"/>
      <c r="S333" s="111"/>
    </row>
    <row r="334" spans="12:19" ht="12.75" x14ac:dyDescent="0.2">
      <c r="L334" s="113"/>
      <c r="O334" s="111"/>
      <c r="P334" s="111"/>
      <c r="Q334" s="111"/>
      <c r="R334" s="112"/>
      <c r="S334" s="111"/>
    </row>
    <row r="335" spans="12:19" ht="12.75" x14ac:dyDescent="0.2">
      <c r="L335" s="113"/>
      <c r="O335" s="111"/>
      <c r="P335" s="111"/>
      <c r="Q335" s="111"/>
      <c r="R335" s="112"/>
      <c r="S335" s="111"/>
    </row>
    <row r="336" spans="12:19" ht="12.75" x14ac:dyDescent="0.2">
      <c r="L336" s="113"/>
      <c r="O336" s="111"/>
      <c r="P336" s="111"/>
      <c r="Q336" s="111"/>
      <c r="R336" s="112"/>
      <c r="S336" s="111"/>
    </row>
    <row r="337" spans="12:19" ht="12.75" x14ac:dyDescent="0.2">
      <c r="L337" s="113"/>
      <c r="O337" s="111"/>
      <c r="P337" s="111"/>
      <c r="Q337" s="111"/>
      <c r="R337" s="112"/>
      <c r="S337" s="111"/>
    </row>
    <row r="338" spans="12:19" ht="12.75" x14ac:dyDescent="0.2">
      <c r="L338" s="113"/>
      <c r="O338" s="111"/>
      <c r="P338" s="111"/>
      <c r="Q338" s="111"/>
      <c r="R338" s="112"/>
      <c r="S338" s="111"/>
    </row>
    <row r="339" spans="12:19" ht="12.75" x14ac:dyDescent="0.2">
      <c r="L339" s="113"/>
      <c r="O339" s="111"/>
      <c r="P339" s="111"/>
      <c r="Q339" s="111"/>
      <c r="R339" s="112"/>
      <c r="S339" s="111"/>
    </row>
    <row r="340" spans="12:19" ht="12.75" x14ac:dyDescent="0.2">
      <c r="L340" s="113"/>
      <c r="O340" s="111"/>
      <c r="P340" s="111"/>
      <c r="Q340" s="111"/>
      <c r="R340" s="112"/>
      <c r="S340" s="111"/>
    </row>
    <row r="341" spans="12:19" ht="12.75" x14ac:dyDescent="0.2">
      <c r="L341" s="113"/>
      <c r="O341" s="111"/>
      <c r="P341" s="111"/>
      <c r="Q341" s="111"/>
      <c r="R341" s="112"/>
      <c r="S341" s="111"/>
    </row>
    <row r="342" spans="12:19" ht="12.75" x14ac:dyDescent="0.2">
      <c r="L342" s="113"/>
      <c r="O342" s="111"/>
      <c r="P342" s="111"/>
      <c r="Q342" s="111"/>
      <c r="R342" s="112"/>
      <c r="S342" s="111"/>
    </row>
    <row r="343" spans="12:19" ht="12.75" x14ac:dyDescent="0.2">
      <c r="L343" s="113"/>
      <c r="O343" s="111"/>
      <c r="P343" s="111"/>
      <c r="Q343" s="111"/>
      <c r="R343" s="112"/>
      <c r="S343" s="111"/>
    </row>
    <row r="344" spans="12:19" ht="12.75" x14ac:dyDescent="0.2">
      <c r="L344" s="113"/>
      <c r="O344" s="111"/>
      <c r="P344" s="111"/>
      <c r="Q344" s="111"/>
      <c r="R344" s="112"/>
      <c r="S344" s="111"/>
    </row>
    <row r="345" spans="12:19" ht="12.75" x14ac:dyDescent="0.2">
      <c r="L345" s="113"/>
      <c r="O345" s="111"/>
      <c r="P345" s="111"/>
      <c r="Q345" s="111"/>
      <c r="R345" s="112"/>
      <c r="S345" s="111"/>
    </row>
    <row r="346" spans="12:19" ht="12.75" x14ac:dyDescent="0.2">
      <c r="L346" s="113"/>
      <c r="O346" s="111"/>
      <c r="P346" s="111"/>
      <c r="Q346" s="111"/>
      <c r="R346" s="112"/>
      <c r="S346" s="111"/>
    </row>
    <row r="347" spans="12:19" ht="12.75" x14ac:dyDescent="0.2">
      <c r="L347" s="113"/>
      <c r="O347" s="111"/>
      <c r="P347" s="111"/>
      <c r="Q347" s="111"/>
      <c r="R347" s="112"/>
      <c r="S347" s="111"/>
    </row>
    <row r="348" spans="12:19" ht="12.75" x14ac:dyDescent="0.2">
      <c r="L348" s="113"/>
      <c r="O348" s="111"/>
      <c r="P348" s="111"/>
      <c r="Q348" s="111"/>
      <c r="R348" s="112"/>
      <c r="S348" s="111"/>
    </row>
    <row r="349" spans="12:19" ht="12.75" x14ac:dyDescent="0.2">
      <c r="L349" s="113"/>
      <c r="O349" s="111"/>
      <c r="P349" s="111"/>
      <c r="Q349" s="111"/>
      <c r="R349" s="112"/>
      <c r="S349" s="111"/>
    </row>
    <row r="350" spans="12:19" ht="12.75" x14ac:dyDescent="0.2">
      <c r="L350" s="113"/>
      <c r="O350" s="111"/>
      <c r="P350" s="111"/>
      <c r="Q350" s="111"/>
      <c r="R350" s="112"/>
      <c r="S350" s="111"/>
    </row>
    <row r="351" spans="12:19" ht="12.75" x14ac:dyDescent="0.2">
      <c r="L351" s="113"/>
      <c r="O351" s="111"/>
      <c r="P351" s="111"/>
      <c r="Q351" s="111"/>
      <c r="R351" s="112"/>
      <c r="S351" s="111"/>
    </row>
    <row r="352" spans="12:19" ht="12.75" x14ac:dyDescent="0.2">
      <c r="L352" s="113"/>
      <c r="O352" s="111"/>
      <c r="P352" s="111"/>
      <c r="Q352" s="111"/>
      <c r="R352" s="112"/>
      <c r="S352" s="111"/>
    </row>
    <row r="353" spans="12:19" ht="12.75" x14ac:dyDescent="0.2">
      <c r="L353" s="113"/>
      <c r="O353" s="111"/>
      <c r="P353" s="111"/>
      <c r="Q353" s="111"/>
      <c r="R353" s="112"/>
      <c r="S353" s="111"/>
    </row>
    <row r="354" spans="12:19" ht="12.75" x14ac:dyDescent="0.2">
      <c r="L354" s="113"/>
      <c r="O354" s="111"/>
      <c r="P354" s="111"/>
      <c r="Q354" s="111"/>
      <c r="R354" s="112"/>
      <c r="S354" s="111"/>
    </row>
    <row r="355" spans="12:19" ht="12.75" x14ac:dyDescent="0.2">
      <c r="L355" s="113"/>
      <c r="O355" s="111"/>
      <c r="P355" s="111"/>
      <c r="Q355" s="111"/>
      <c r="R355" s="112"/>
      <c r="S355" s="111"/>
    </row>
    <row r="356" spans="12:19" ht="12.75" x14ac:dyDescent="0.2">
      <c r="L356" s="113"/>
      <c r="O356" s="111"/>
      <c r="P356" s="111"/>
      <c r="Q356" s="111"/>
      <c r="R356" s="112"/>
      <c r="S356" s="111"/>
    </row>
    <row r="357" spans="12:19" ht="12.75" x14ac:dyDescent="0.2">
      <c r="L357" s="113"/>
      <c r="O357" s="111"/>
      <c r="P357" s="111"/>
      <c r="Q357" s="111"/>
      <c r="R357" s="112"/>
      <c r="S357" s="111"/>
    </row>
    <row r="358" spans="12:19" ht="12.75" x14ac:dyDescent="0.2">
      <c r="L358" s="113"/>
      <c r="O358" s="111"/>
      <c r="P358" s="111"/>
      <c r="Q358" s="111"/>
      <c r="R358" s="112"/>
      <c r="S358" s="111"/>
    </row>
    <row r="359" spans="12:19" ht="12.75" x14ac:dyDescent="0.2">
      <c r="L359" s="113"/>
      <c r="O359" s="111"/>
      <c r="P359" s="111"/>
      <c r="Q359" s="111"/>
      <c r="R359" s="112"/>
      <c r="S359" s="111"/>
    </row>
    <row r="360" spans="12:19" ht="12.75" x14ac:dyDescent="0.2">
      <c r="L360" s="113"/>
      <c r="O360" s="111"/>
      <c r="P360" s="111"/>
      <c r="Q360" s="111"/>
      <c r="R360" s="112"/>
      <c r="S360" s="111"/>
    </row>
    <row r="361" spans="12:19" ht="12.75" x14ac:dyDescent="0.2">
      <c r="L361" s="113"/>
      <c r="O361" s="111"/>
      <c r="P361" s="111"/>
      <c r="Q361" s="111"/>
      <c r="R361" s="112"/>
      <c r="S361" s="111"/>
    </row>
    <row r="362" spans="12:19" ht="12.75" x14ac:dyDescent="0.2">
      <c r="L362" s="113"/>
      <c r="O362" s="111"/>
      <c r="P362" s="111"/>
      <c r="Q362" s="111"/>
      <c r="R362" s="112"/>
      <c r="S362" s="111"/>
    </row>
    <row r="363" spans="12:19" ht="12.75" x14ac:dyDescent="0.2">
      <c r="L363" s="113"/>
      <c r="O363" s="111"/>
      <c r="P363" s="111"/>
      <c r="Q363" s="111"/>
      <c r="R363" s="112"/>
      <c r="S363" s="111"/>
    </row>
    <row r="364" spans="12:19" ht="12.75" x14ac:dyDescent="0.2">
      <c r="L364" s="113"/>
      <c r="O364" s="111"/>
      <c r="P364" s="111"/>
      <c r="Q364" s="111"/>
      <c r="R364" s="112"/>
      <c r="S364" s="111"/>
    </row>
    <row r="365" spans="12:19" ht="12.75" x14ac:dyDescent="0.2">
      <c r="L365" s="113"/>
      <c r="O365" s="111"/>
      <c r="P365" s="111"/>
      <c r="Q365" s="111"/>
      <c r="R365" s="112"/>
      <c r="S365" s="111"/>
    </row>
    <row r="366" spans="12:19" ht="12.75" x14ac:dyDescent="0.2">
      <c r="L366" s="113"/>
      <c r="O366" s="111"/>
      <c r="P366" s="111"/>
      <c r="Q366" s="111"/>
      <c r="R366" s="112"/>
      <c r="S366" s="111"/>
    </row>
    <row r="367" spans="12:19" ht="12.75" x14ac:dyDescent="0.2">
      <c r="L367" s="113"/>
      <c r="O367" s="111"/>
      <c r="P367" s="111"/>
      <c r="Q367" s="111"/>
      <c r="R367" s="112"/>
      <c r="S367" s="111"/>
    </row>
    <row r="368" spans="12:19" ht="12.75" x14ac:dyDescent="0.2">
      <c r="L368" s="113"/>
      <c r="O368" s="111"/>
      <c r="P368" s="111"/>
      <c r="Q368" s="111"/>
      <c r="R368" s="112"/>
      <c r="S368" s="111"/>
    </row>
    <row r="369" spans="12:19" ht="12.75" x14ac:dyDescent="0.2">
      <c r="L369" s="113"/>
      <c r="O369" s="111"/>
      <c r="P369" s="111"/>
      <c r="Q369" s="111"/>
      <c r="R369" s="112"/>
      <c r="S369" s="111"/>
    </row>
    <row r="370" spans="12:19" ht="12.75" x14ac:dyDescent="0.2">
      <c r="L370" s="113"/>
      <c r="O370" s="111"/>
      <c r="P370" s="111"/>
      <c r="Q370" s="111"/>
      <c r="R370" s="112"/>
      <c r="S370" s="111"/>
    </row>
    <row r="371" spans="12:19" ht="12.75" x14ac:dyDescent="0.2">
      <c r="L371" s="113"/>
      <c r="O371" s="111"/>
      <c r="P371" s="111"/>
      <c r="Q371" s="111"/>
      <c r="R371" s="112"/>
      <c r="S371" s="111"/>
    </row>
    <row r="372" spans="12:19" ht="12.75" x14ac:dyDescent="0.2">
      <c r="L372" s="113"/>
      <c r="O372" s="111"/>
      <c r="P372" s="111"/>
      <c r="Q372" s="111"/>
      <c r="R372" s="112"/>
      <c r="S372" s="111"/>
    </row>
    <row r="373" spans="12:19" ht="12.75" x14ac:dyDescent="0.2">
      <c r="L373" s="113"/>
      <c r="O373" s="111"/>
      <c r="P373" s="111"/>
      <c r="Q373" s="111"/>
      <c r="R373" s="112"/>
      <c r="S373" s="111"/>
    </row>
    <row r="374" spans="12:19" ht="12.75" x14ac:dyDescent="0.2">
      <c r="L374" s="113"/>
      <c r="O374" s="111"/>
      <c r="P374" s="111"/>
      <c r="Q374" s="111"/>
      <c r="R374" s="112"/>
      <c r="S374" s="111"/>
    </row>
    <row r="375" spans="12:19" ht="12.75" x14ac:dyDescent="0.2">
      <c r="L375" s="113"/>
      <c r="O375" s="111"/>
      <c r="P375" s="111"/>
      <c r="Q375" s="111"/>
      <c r="R375" s="112"/>
      <c r="S375" s="111"/>
    </row>
    <row r="376" spans="12:19" ht="12.75" x14ac:dyDescent="0.2">
      <c r="L376" s="113"/>
      <c r="O376" s="111"/>
      <c r="P376" s="111"/>
      <c r="Q376" s="111"/>
      <c r="R376" s="112"/>
      <c r="S376" s="111"/>
    </row>
    <row r="377" spans="12:19" ht="12.75" x14ac:dyDescent="0.2">
      <c r="L377" s="113"/>
      <c r="O377" s="111"/>
      <c r="P377" s="111"/>
      <c r="Q377" s="111"/>
      <c r="R377" s="112"/>
      <c r="S377" s="111"/>
    </row>
    <row r="378" spans="12:19" ht="12.75" x14ac:dyDescent="0.2">
      <c r="L378" s="113"/>
      <c r="O378" s="111"/>
      <c r="P378" s="111"/>
      <c r="Q378" s="111"/>
      <c r="R378" s="112"/>
      <c r="S378" s="111"/>
    </row>
    <row r="379" spans="12:19" ht="12.75" x14ac:dyDescent="0.2">
      <c r="L379" s="113"/>
      <c r="O379" s="111"/>
      <c r="P379" s="111"/>
      <c r="Q379" s="111"/>
      <c r="R379" s="112"/>
      <c r="S379" s="111"/>
    </row>
    <row r="380" spans="12:19" ht="12.75" x14ac:dyDescent="0.2">
      <c r="L380" s="113"/>
      <c r="O380" s="111"/>
      <c r="P380" s="111"/>
      <c r="Q380" s="111"/>
      <c r="R380" s="112"/>
      <c r="S380" s="111"/>
    </row>
    <row r="381" spans="12:19" ht="12.75" x14ac:dyDescent="0.2">
      <c r="L381" s="113"/>
      <c r="O381" s="111"/>
      <c r="P381" s="111"/>
      <c r="Q381" s="111"/>
      <c r="R381" s="112"/>
      <c r="S381" s="111"/>
    </row>
    <row r="382" spans="12:19" ht="12.75" x14ac:dyDescent="0.2">
      <c r="L382" s="113"/>
      <c r="O382" s="111"/>
      <c r="P382" s="111"/>
      <c r="Q382" s="111"/>
      <c r="R382" s="112"/>
      <c r="S382" s="111"/>
    </row>
    <row r="383" spans="12:19" ht="12.75" x14ac:dyDescent="0.2">
      <c r="L383" s="113"/>
      <c r="O383" s="111"/>
      <c r="P383" s="111"/>
      <c r="Q383" s="111"/>
      <c r="R383" s="112"/>
      <c r="S383" s="111"/>
    </row>
    <row r="384" spans="12:19" ht="12.75" x14ac:dyDescent="0.2">
      <c r="L384" s="113"/>
      <c r="O384" s="111"/>
      <c r="P384" s="111"/>
      <c r="Q384" s="111"/>
      <c r="R384" s="112"/>
      <c r="S384" s="111"/>
    </row>
    <row r="385" spans="12:19" ht="12.75" x14ac:dyDescent="0.2">
      <c r="L385" s="113"/>
      <c r="O385" s="111"/>
      <c r="P385" s="111"/>
      <c r="Q385" s="111"/>
      <c r="R385" s="112"/>
      <c r="S385" s="111"/>
    </row>
    <row r="386" spans="12:19" ht="12.75" x14ac:dyDescent="0.2">
      <c r="L386" s="113"/>
      <c r="O386" s="111"/>
      <c r="P386" s="111"/>
      <c r="Q386" s="111"/>
      <c r="R386" s="112"/>
      <c r="S386" s="111"/>
    </row>
    <row r="387" spans="12:19" ht="12.75" x14ac:dyDescent="0.2">
      <c r="L387" s="113"/>
      <c r="O387" s="111"/>
      <c r="P387" s="111"/>
      <c r="Q387" s="111"/>
      <c r="R387" s="112"/>
      <c r="S387" s="111"/>
    </row>
    <row r="388" spans="12:19" ht="12.75" x14ac:dyDescent="0.2">
      <c r="L388" s="113"/>
      <c r="O388" s="111"/>
      <c r="P388" s="111"/>
      <c r="Q388" s="111"/>
      <c r="R388" s="112"/>
      <c r="S388" s="111"/>
    </row>
    <row r="389" spans="12:19" ht="12.75" x14ac:dyDescent="0.2">
      <c r="L389" s="113"/>
      <c r="O389" s="111"/>
      <c r="P389" s="111"/>
      <c r="Q389" s="111"/>
      <c r="R389" s="112"/>
      <c r="S389" s="111"/>
    </row>
    <row r="390" spans="12:19" ht="12.75" x14ac:dyDescent="0.2">
      <c r="L390" s="113"/>
      <c r="O390" s="111"/>
      <c r="P390" s="111"/>
      <c r="Q390" s="111"/>
      <c r="R390" s="112"/>
      <c r="S390" s="111"/>
    </row>
    <row r="391" spans="12:19" ht="12.75" x14ac:dyDescent="0.2">
      <c r="L391" s="113"/>
      <c r="O391" s="111"/>
      <c r="P391" s="111"/>
      <c r="Q391" s="111"/>
      <c r="R391" s="112"/>
      <c r="S391" s="111"/>
    </row>
    <row r="392" spans="12:19" ht="12.75" x14ac:dyDescent="0.2">
      <c r="L392" s="113"/>
      <c r="O392" s="111"/>
      <c r="P392" s="111"/>
      <c r="Q392" s="111"/>
      <c r="R392" s="112"/>
      <c r="S392" s="111"/>
    </row>
    <row r="393" spans="12:19" ht="12.75" x14ac:dyDescent="0.2">
      <c r="L393" s="113"/>
      <c r="O393" s="111"/>
      <c r="P393" s="111"/>
      <c r="Q393" s="111"/>
      <c r="R393" s="112"/>
      <c r="S393" s="111"/>
    </row>
    <row r="394" spans="12:19" ht="12.75" x14ac:dyDescent="0.2">
      <c r="L394" s="113"/>
      <c r="O394" s="111"/>
      <c r="P394" s="111"/>
      <c r="Q394" s="111"/>
      <c r="R394" s="112"/>
      <c r="S394" s="111"/>
    </row>
    <row r="395" spans="12:19" ht="12.75" x14ac:dyDescent="0.2">
      <c r="L395" s="113"/>
      <c r="O395" s="111"/>
      <c r="P395" s="111"/>
      <c r="Q395" s="111"/>
      <c r="R395" s="112"/>
      <c r="S395" s="111"/>
    </row>
    <row r="396" spans="12:19" ht="12.75" x14ac:dyDescent="0.2">
      <c r="L396" s="113"/>
      <c r="O396" s="111"/>
      <c r="P396" s="111"/>
      <c r="Q396" s="111"/>
      <c r="R396" s="112"/>
      <c r="S396" s="111"/>
    </row>
    <row r="397" spans="12:19" ht="12.75" x14ac:dyDescent="0.2">
      <c r="L397" s="113"/>
      <c r="O397" s="111"/>
      <c r="P397" s="111"/>
      <c r="Q397" s="111"/>
      <c r="R397" s="112"/>
      <c r="S397" s="111"/>
    </row>
    <row r="398" spans="12:19" ht="12.75" x14ac:dyDescent="0.2">
      <c r="L398" s="113"/>
      <c r="O398" s="111"/>
      <c r="P398" s="111"/>
      <c r="Q398" s="111"/>
      <c r="R398" s="112"/>
      <c r="S398" s="111"/>
    </row>
    <row r="399" spans="12:19" ht="12.75" x14ac:dyDescent="0.2">
      <c r="L399" s="113"/>
      <c r="O399" s="111"/>
      <c r="P399" s="111"/>
      <c r="Q399" s="111"/>
      <c r="R399" s="112"/>
      <c r="S399" s="111"/>
    </row>
    <row r="400" spans="12:19" ht="12.75" x14ac:dyDescent="0.2">
      <c r="L400" s="113"/>
      <c r="O400" s="111"/>
      <c r="P400" s="111"/>
      <c r="Q400" s="111"/>
      <c r="R400" s="112"/>
      <c r="S400" s="111"/>
    </row>
    <row r="401" spans="12:19" ht="12.75" x14ac:dyDescent="0.2">
      <c r="L401" s="113"/>
      <c r="O401" s="111"/>
      <c r="P401" s="111"/>
      <c r="Q401" s="111"/>
      <c r="R401" s="112"/>
      <c r="S401" s="111"/>
    </row>
    <row r="402" spans="12:19" ht="12.75" x14ac:dyDescent="0.2">
      <c r="L402" s="113"/>
      <c r="O402" s="111"/>
      <c r="P402" s="111"/>
      <c r="Q402" s="111"/>
      <c r="R402" s="112"/>
      <c r="S402" s="111"/>
    </row>
    <row r="403" spans="12:19" ht="12.75" x14ac:dyDescent="0.2">
      <c r="L403" s="113"/>
      <c r="O403" s="111"/>
      <c r="P403" s="111"/>
      <c r="Q403" s="111"/>
      <c r="R403" s="112"/>
      <c r="S403" s="111"/>
    </row>
    <row r="404" spans="12:19" ht="12.75" x14ac:dyDescent="0.2">
      <c r="L404" s="113"/>
      <c r="O404" s="111"/>
      <c r="P404" s="111"/>
      <c r="Q404" s="111"/>
      <c r="R404" s="112"/>
      <c r="S404" s="111"/>
    </row>
    <row r="405" spans="12:19" ht="12.75" x14ac:dyDescent="0.2">
      <c r="L405" s="113"/>
      <c r="O405" s="111"/>
      <c r="P405" s="111"/>
      <c r="Q405" s="111"/>
      <c r="R405" s="112"/>
      <c r="S405" s="111"/>
    </row>
    <row r="406" spans="12:19" ht="12.75" x14ac:dyDescent="0.2">
      <c r="L406" s="113"/>
      <c r="O406" s="111"/>
      <c r="P406" s="111"/>
      <c r="Q406" s="111"/>
      <c r="R406" s="112"/>
      <c r="S406" s="111"/>
    </row>
    <row r="407" spans="12:19" ht="12.75" x14ac:dyDescent="0.2">
      <c r="L407" s="113"/>
      <c r="O407" s="111"/>
      <c r="P407" s="111"/>
      <c r="Q407" s="111"/>
      <c r="R407" s="112"/>
      <c r="S407" s="111"/>
    </row>
    <row r="408" spans="12:19" ht="12.75" x14ac:dyDescent="0.2">
      <c r="L408" s="113"/>
      <c r="O408" s="111"/>
      <c r="P408" s="111"/>
      <c r="Q408" s="111"/>
      <c r="R408" s="112"/>
      <c r="S408" s="111"/>
    </row>
    <row r="409" spans="12:19" ht="12.75" x14ac:dyDescent="0.2">
      <c r="L409" s="113"/>
      <c r="O409" s="111"/>
      <c r="P409" s="111"/>
      <c r="Q409" s="111"/>
      <c r="R409" s="112"/>
      <c r="S409" s="111"/>
    </row>
    <row r="410" spans="12:19" ht="12.75" x14ac:dyDescent="0.2">
      <c r="L410" s="113"/>
      <c r="O410" s="111"/>
      <c r="P410" s="111"/>
      <c r="Q410" s="111"/>
      <c r="R410" s="112"/>
      <c r="S410" s="111"/>
    </row>
    <row r="411" spans="12:19" ht="12.75" x14ac:dyDescent="0.2">
      <c r="L411" s="113"/>
      <c r="O411" s="111"/>
      <c r="P411" s="111"/>
      <c r="Q411" s="111"/>
      <c r="R411" s="112"/>
      <c r="S411" s="111"/>
    </row>
    <row r="412" spans="12:19" ht="12.75" x14ac:dyDescent="0.2">
      <c r="L412" s="113"/>
      <c r="O412" s="111"/>
      <c r="P412" s="111"/>
      <c r="Q412" s="111"/>
      <c r="R412" s="112"/>
      <c r="S412" s="111"/>
    </row>
    <row r="413" spans="12:19" ht="12.75" x14ac:dyDescent="0.2">
      <c r="L413" s="113"/>
      <c r="O413" s="111"/>
      <c r="P413" s="111"/>
      <c r="Q413" s="111"/>
      <c r="R413" s="112"/>
      <c r="S413" s="111"/>
    </row>
    <row r="414" spans="12:19" ht="12.75" x14ac:dyDescent="0.2">
      <c r="L414" s="113"/>
      <c r="O414" s="111"/>
      <c r="P414" s="111"/>
      <c r="Q414" s="111"/>
      <c r="R414" s="112"/>
      <c r="S414" s="111"/>
    </row>
    <row r="415" spans="12:19" ht="12.75" x14ac:dyDescent="0.2">
      <c r="L415" s="113"/>
      <c r="O415" s="111"/>
      <c r="P415" s="111"/>
      <c r="Q415" s="111"/>
      <c r="R415" s="112"/>
      <c r="S415" s="111"/>
    </row>
    <row r="416" spans="12:19" ht="12.75" x14ac:dyDescent="0.2">
      <c r="L416" s="113"/>
      <c r="O416" s="111"/>
      <c r="P416" s="111"/>
      <c r="Q416" s="111"/>
      <c r="R416" s="112"/>
      <c r="S416" s="111"/>
    </row>
    <row r="417" spans="12:19" ht="12.75" x14ac:dyDescent="0.2">
      <c r="L417" s="113"/>
      <c r="O417" s="111"/>
      <c r="P417" s="111"/>
      <c r="Q417" s="111"/>
      <c r="R417" s="112"/>
      <c r="S417" s="111"/>
    </row>
    <row r="418" spans="12:19" ht="12.75" x14ac:dyDescent="0.2">
      <c r="L418" s="113"/>
      <c r="O418" s="111"/>
      <c r="P418" s="111"/>
      <c r="Q418" s="111"/>
      <c r="R418" s="112"/>
      <c r="S418" s="111"/>
    </row>
    <row r="419" spans="12:19" ht="12.75" x14ac:dyDescent="0.2">
      <c r="L419" s="113"/>
      <c r="O419" s="111"/>
      <c r="P419" s="111"/>
      <c r="Q419" s="111"/>
      <c r="R419" s="112"/>
      <c r="S419" s="111"/>
    </row>
    <row r="420" spans="12:19" ht="12.75" x14ac:dyDescent="0.2">
      <c r="L420" s="113"/>
      <c r="O420" s="111"/>
      <c r="P420" s="111"/>
      <c r="Q420" s="111"/>
      <c r="R420" s="112"/>
      <c r="S420" s="111"/>
    </row>
    <row r="421" spans="12:19" ht="12.75" x14ac:dyDescent="0.2">
      <c r="L421" s="113"/>
      <c r="O421" s="111"/>
      <c r="P421" s="111"/>
      <c r="Q421" s="111"/>
      <c r="R421" s="112"/>
      <c r="S421" s="111"/>
    </row>
    <row r="422" spans="12:19" ht="12.75" x14ac:dyDescent="0.2">
      <c r="L422" s="113"/>
      <c r="O422" s="111"/>
      <c r="P422" s="111"/>
      <c r="Q422" s="111"/>
      <c r="R422" s="112"/>
      <c r="S422" s="111"/>
    </row>
    <row r="423" spans="12:19" ht="12.75" x14ac:dyDescent="0.2">
      <c r="L423" s="113"/>
      <c r="O423" s="111"/>
      <c r="P423" s="111"/>
      <c r="Q423" s="111"/>
      <c r="R423" s="112"/>
      <c r="S423" s="111"/>
    </row>
    <row r="424" spans="12:19" ht="12.75" x14ac:dyDescent="0.2">
      <c r="L424" s="113"/>
      <c r="O424" s="111"/>
      <c r="P424" s="111"/>
      <c r="Q424" s="111"/>
      <c r="R424" s="112"/>
      <c r="S424" s="111"/>
    </row>
    <row r="425" spans="12:19" ht="12.75" x14ac:dyDescent="0.2">
      <c r="L425" s="113"/>
      <c r="O425" s="111"/>
      <c r="P425" s="111"/>
      <c r="Q425" s="111"/>
      <c r="R425" s="112"/>
      <c r="S425" s="111"/>
    </row>
    <row r="426" spans="12:19" ht="12.75" x14ac:dyDescent="0.2">
      <c r="L426" s="113"/>
      <c r="O426" s="111"/>
      <c r="P426" s="111"/>
      <c r="Q426" s="111"/>
      <c r="R426" s="112"/>
      <c r="S426" s="111"/>
    </row>
    <row r="427" spans="12:19" ht="12.75" x14ac:dyDescent="0.2">
      <c r="L427" s="113"/>
      <c r="O427" s="111"/>
      <c r="P427" s="111"/>
      <c r="Q427" s="111"/>
      <c r="R427" s="112"/>
      <c r="S427" s="111"/>
    </row>
    <row r="428" spans="12:19" ht="12.75" x14ac:dyDescent="0.2">
      <c r="L428" s="113"/>
      <c r="O428" s="111"/>
      <c r="P428" s="111"/>
      <c r="Q428" s="111"/>
      <c r="R428" s="112"/>
      <c r="S428" s="111"/>
    </row>
    <row r="429" spans="12:19" ht="12.75" x14ac:dyDescent="0.2">
      <c r="L429" s="113"/>
      <c r="O429" s="111"/>
      <c r="P429" s="111"/>
      <c r="Q429" s="111"/>
      <c r="R429" s="112"/>
      <c r="S429" s="111"/>
    </row>
    <row r="430" spans="12:19" ht="12.75" x14ac:dyDescent="0.2">
      <c r="L430" s="113"/>
      <c r="O430" s="111"/>
      <c r="P430" s="111"/>
      <c r="Q430" s="111"/>
      <c r="R430" s="112"/>
      <c r="S430" s="111"/>
    </row>
    <row r="431" spans="12:19" ht="12.75" x14ac:dyDescent="0.2">
      <c r="L431" s="113"/>
      <c r="O431" s="111"/>
      <c r="P431" s="111"/>
      <c r="Q431" s="111"/>
      <c r="R431" s="112"/>
      <c r="S431" s="111"/>
    </row>
    <row r="432" spans="12:19" ht="12.75" x14ac:dyDescent="0.2">
      <c r="L432" s="113"/>
      <c r="O432" s="111"/>
      <c r="P432" s="111"/>
      <c r="Q432" s="111"/>
      <c r="R432" s="112"/>
      <c r="S432" s="111"/>
    </row>
    <row r="433" spans="12:19" ht="12.75" x14ac:dyDescent="0.2">
      <c r="L433" s="113"/>
      <c r="O433" s="111"/>
      <c r="P433" s="111"/>
      <c r="Q433" s="111"/>
      <c r="R433" s="112"/>
      <c r="S433" s="111"/>
    </row>
    <row r="434" spans="12:19" ht="12.75" x14ac:dyDescent="0.2">
      <c r="L434" s="113"/>
      <c r="O434" s="111"/>
      <c r="P434" s="111"/>
      <c r="Q434" s="111"/>
      <c r="R434" s="112"/>
      <c r="S434" s="111"/>
    </row>
    <row r="435" spans="12:19" ht="12.75" x14ac:dyDescent="0.2">
      <c r="L435" s="113"/>
      <c r="O435" s="111"/>
      <c r="P435" s="111"/>
      <c r="Q435" s="111"/>
      <c r="R435" s="112"/>
      <c r="S435" s="111"/>
    </row>
    <row r="436" spans="12:19" ht="12.75" x14ac:dyDescent="0.2">
      <c r="L436" s="113"/>
      <c r="O436" s="111"/>
      <c r="P436" s="111"/>
      <c r="Q436" s="111"/>
      <c r="R436" s="112"/>
      <c r="S436" s="111"/>
    </row>
    <row r="437" spans="12:19" ht="12.75" x14ac:dyDescent="0.2">
      <c r="L437" s="113"/>
      <c r="O437" s="111"/>
      <c r="P437" s="111"/>
      <c r="Q437" s="111"/>
      <c r="R437" s="112"/>
      <c r="S437" s="111"/>
    </row>
    <row r="438" spans="12:19" ht="12.75" x14ac:dyDescent="0.2">
      <c r="L438" s="113"/>
      <c r="O438" s="111"/>
      <c r="P438" s="111"/>
      <c r="Q438" s="111"/>
      <c r="R438" s="112"/>
      <c r="S438" s="111"/>
    </row>
    <row r="439" spans="12:19" ht="12.75" x14ac:dyDescent="0.2">
      <c r="L439" s="113"/>
      <c r="O439" s="111"/>
      <c r="P439" s="111"/>
      <c r="Q439" s="111"/>
      <c r="R439" s="112"/>
      <c r="S439" s="111"/>
    </row>
    <row r="440" spans="12:19" ht="12.75" x14ac:dyDescent="0.2">
      <c r="L440" s="113"/>
      <c r="O440" s="111"/>
      <c r="P440" s="111"/>
      <c r="Q440" s="111"/>
      <c r="R440" s="112"/>
      <c r="S440" s="111"/>
    </row>
    <row r="441" spans="12:19" ht="12.75" x14ac:dyDescent="0.2">
      <c r="L441" s="113"/>
      <c r="O441" s="111"/>
      <c r="P441" s="111"/>
      <c r="Q441" s="111"/>
      <c r="R441" s="112"/>
      <c r="S441" s="111"/>
    </row>
    <row r="442" spans="12:19" ht="12.75" x14ac:dyDescent="0.2">
      <c r="L442" s="113"/>
      <c r="O442" s="111"/>
      <c r="P442" s="111"/>
      <c r="Q442" s="111"/>
      <c r="R442" s="112"/>
      <c r="S442" s="111"/>
    </row>
    <row r="443" spans="12:19" ht="12.75" x14ac:dyDescent="0.2">
      <c r="L443" s="113"/>
      <c r="O443" s="111"/>
      <c r="P443" s="111"/>
      <c r="Q443" s="111"/>
      <c r="R443" s="112"/>
      <c r="S443" s="111"/>
    </row>
    <row r="444" spans="12:19" ht="12.75" x14ac:dyDescent="0.2">
      <c r="L444" s="113"/>
      <c r="O444" s="111"/>
      <c r="P444" s="111"/>
      <c r="Q444" s="111"/>
      <c r="R444" s="112"/>
      <c r="S444" s="111"/>
    </row>
    <row r="445" spans="12:19" ht="12.75" x14ac:dyDescent="0.2">
      <c r="L445" s="113"/>
      <c r="O445" s="111"/>
      <c r="P445" s="111"/>
      <c r="Q445" s="111"/>
      <c r="R445" s="112"/>
      <c r="S445" s="111"/>
    </row>
    <row r="446" spans="12:19" ht="12.75" x14ac:dyDescent="0.2">
      <c r="L446" s="113"/>
      <c r="O446" s="111"/>
      <c r="P446" s="111"/>
      <c r="Q446" s="111"/>
      <c r="R446" s="112"/>
      <c r="S446" s="111"/>
    </row>
    <row r="447" spans="12:19" ht="12.75" x14ac:dyDescent="0.2">
      <c r="L447" s="113"/>
      <c r="O447" s="111"/>
      <c r="P447" s="111"/>
      <c r="Q447" s="111"/>
      <c r="R447" s="112"/>
      <c r="S447" s="111"/>
    </row>
    <row r="448" spans="12:19" ht="12.75" x14ac:dyDescent="0.2">
      <c r="L448" s="113"/>
      <c r="O448" s="111"/>
      <c r="P448" s="111"/>
      <c r="Q448" s="111"/>
      <c r="R448" s="112"/>
      <c r="S448" s="111"/>
    </row>
    <row r="449" spans="12:19" ht="12.75" x14ac:dyDescent="0.2">
      <c r="L449" s="113"/>
      <c r="O449" s="111"/>
      <c r="P449" s="111"/>
      <c r="Q449" s="111"/>
      <c r="R449" s="112"/>
      <c r="S449" s="111"/>
    </row>
    <row r="450" spans="12:19" ht="12.75" x14ac:dyDescent="0.2">
      <c r="L450" s="113"/>
      <c r="O450" s="111"/>
      <c r="P450" s="111"/>
      <c r="Q450" s="111"/>
      <c r="R450" s="112"/>
      <c r="S450" s="111"/>
    </row>
    <row r="451" spans="12:19" ht="12.75" x14ac:dyDescent="0.2">
      <c r="L451" s="113"/>
      <c r="O451" s="111"/>
      <c r="P451" s="111"/>
      <c r="Q451" s="111"/>
      <c r="R451" s="112"/>
      <c r="S451" s="111"/>
    </row>
    <row r="452" spans="12:19" ht="12.75" x14ac:dyDescent="0.2">
      <c r="L452" s="113"/>
      <c r="O452" s="111"/>
      <c r="P452" s="111"/>
      <c r="Q452" s="111"/>
      <c r="R452" s="112"/>
      <c r="S452" s="111"/>
    </row>
    <row r="453" spans="12:19" ht="12.75" x14ac:dyDescent="0.2">
      <c r="L453" s="113"/>
      <c r="O453" s="111"/>
      <c r="P453" s="111"/>
      <c r="Q453" s="111"/>
      <c r="R453" s="112"/>
      <c r="S453" s="111"/>
    </row>
    <row r="454" spans="12:19" ht="12.75" x14ac:dyDescent="0.2">
      <c r="L454" s="113"/>
      <c r="O454" s="111"/>
      <c r="P454" s="111"/>
      <c r="Q454" s="111"/>
      <c r="R454" s="112"/>
      <c r="S454" s="111"/>
    </row>
    <row r="455" spans="12:19" ht="12.75" x14ac:dyDescent="0.2">
      <c r="L455" s="113"/>
      <c r="O455" s="111"/>
      <c r="P455" s="111"/>
      <c r="Q455" s="111"/>
      <c r="R455" s="112"/>
      <c r="S455" s="111"/>
    </row>
    <row r="456" spans="12:19" ht="12.75" x14ac:dyDescent="0.2">
      <c r="L456" s="113"/>
      <c r="O456" s="111"/>
      <c r="P456" s="111"/>
      <c r="Q456" s="111"/>
      <c r="R456" s="112"/>
      <c r="S456" s="111"/>
    </row>
    <row r="457" spans="12:19" ht="12.75" x14ac:dyDescent="0.2">
      <c r="L457" s="113"/>
      <c r="O457" s="111"/>
      <c r="P457" s="111"/>
      <c r="Q457" s="111"/>
      <c r="R457" s="112"/>
      <c r="S457" s="111"/>
    </row>
    <row r="458" spans="12:19" ht="12.75" x14ac:dyDescent="0.2">
      <c r="L458" s="113"/>
      <c r="O458" s="111"/>
      <c r="P458" s="111"/>
      <c r="Q458" s="111"/>
      <c r="R458" s="112"/>
      <c r="S458" s="111"/>
    </row>
    <row r="459" spans="12:19" ht="12.75" x14ac:dyDescent="0.2">
      <c r="L459" s="113"/>
      <c r="O459" s="111"/>
      <c r="P459" s="111"/>
      <c r="Q459" s="111"/>
      <c r="R459" s="112"/>
      <c r="S459" s="111"/>
    </row>
    <row r="460" spans="12:19" ht="12.75" x14ac:dyDescent="0.2">
      <c r="L460" s="113"/>
      <c r="O460" s="111"/>
      <c r="P460" s="111"/>
      <c r="Q460" s="111"/>
      <c r="R460" s="112"/>
      <c r="S460" s="111"/>
    </row>
    <row r="461" spans="12:19" ht="12.75" x14ac:dyDescent="0.2">
      <c r="L461" s="113"/>
      <c r="O461" s="111"/>
      <c r="P461" s="111"/>
      <c r="Q461" s="111"/>
      <c r="R461" s="112"/>
      <c r="S461" s="111"/>
    </row>
    <row r="462" spans="12:19" ht="12.75" x14ac:dyDescent="0.2">
      <c r="L462" s="113"/>
      <c r="O462" s="111"/>
      <c r="P462" s="111"/>
      <c r="Q462" s="111"/>
      <c r="R462" s="112"/>
      <c r="S462" s="111"/>
    </row>
    <row r="463" spans="12:19" ht="12.75" x14ac:dyDescent="0.2">
      <c r="L463" s="113"/>
      <c r="O463" s="111"/>
      <c r="P463" s="111"/>
      <c r="Q463" s="111"/>
      <c r="R463" s="112"/>
      <c r="S463" s="111"/>
    </row>
    <row r="464" spans="12:19" ht="12.75" x14ac:dyDescent="0.2">
      <c r="L464" s="113"/>
      <c r="O464" s="111"/>
      <c r="P464" s="111"/>
      <c r="Q464" s="111"/>
      <c r="R464" s="112"/>
      <c r="S464" s="111"/>
    </row>
    <row r="465" spans="12:19" ht="12.75" x14ac:dyDescent="0.2">
      <c r="L465" s="113"/>
      <c r="O465" s="111"/>
      <c r="P465" s="111"/>
      <c r="Q465" s="111"/>
      <c r="R465" s="112"/>
      <c r="S465" s="111"/>
    </row>
    <row r="466" spans="12:19" ht="12.75" x14ac:dyDescent="0.2">
      <c r="L466" s="113"/>
      <c r="O466" s="111"/>
      <c r="P466" s="111"/>
      <c r="Q466" s="111"/>
      <c r="R466" s="112"/>
      <c r="S466" s="111"/>
    </row>
    <row r="467" spans="12:19" ht="12.75" x14ac:dyDescent="0.2">
      <c r="L467" s="113"/>
      <c r="O467" s="111"/>
      <c r="P467" s="111"/>
      <c r="Q467" s="111"/>
      <c r="R467" s="112"/>
      <c r="S467" s="111"/>
    </row>
    <row r="468" spans="12:19" ht="12.75" x14ac:dyDescent="0.2">
      <c r="L468" s="113"/>
      <c r="O468" s="111"/>
      <c r="P468" s="111"/>
      <c r="Q468" s="111"/>
      <c r="R468" s="112"/>
      <c r="S468" s="111"/>
    </row>
    <row r="469" spans="12:19" ht="12.75" x14ac:dyDescent="0.2">
      <c r="L469" s="113"/>
      <c r="O469" s="111"/>
      <c r="P469" s="111"/>
      <c r="Q469" s="111"/>
      <c r="R469" s="112"/>
      <c r="S469" s="111"/>
    </row>
    <row r="470" spans="12:19" ht="12.75" x14ac:dyDescent="0.2">
      <c r="L470" s="113"/>
      <c r="O470" s="111"/>
      <c r="P470" s="111"/>
      <c r="Q470" s="111"/>
      <c r="R470" s="112"/>
      <c r="S470" s="111"/>
    </row>
    <row r="471" spans="12:19" ht="12.75" x14ac:dyDescent="0.2">
      <c r="L471" s="113"/>
      <c r="O471" s="111"/>
      <c r="P471" s="111"/>
      <c r="Q471" s="111"/>
      <c r="R471" s="112"/>
      <c r="S471" s="111"/>
    </row>
    <row r="472" spans="12:19" ht="12.75" x14ac:dyDescent="0.2">
      <c r="L472" s="113"/>
      <c r="O472" s="111"/>
      <c r="P472" s="111"/>
      <c r="Q472" s="111"/>
      <c r="R472" s="112"/>
      <c r="S472" s="111"/>
    </row>
    <row r="473" spans="12:19" ht="12.75" x14ac:dyDescent="0.2">
      <c r="L473" s="113"/>
      <c r="O473" s="111"/>
      <c r="P473" s="111"/>
      <c r="Q473" s="111"/>
      <c r="R473" s="112"/>
      <c r="S473" s="111"/>
    </row>
    <row r="474" spans="12:19" ht="12.75" x14ac:dyDescent="0.2">
      <c r="L474" s="113"/>
      <c r="O474" s="111"/>
      <c r="P474" s="111"/>
      <c r="Q474" s="111"/>
      <c r="R474" s="112"/>
      <c r="S474" s="111"/>
    </row>
    <row r="475" spans="12:19" ht="12.75" x14ac:dyDescent="0.2">
      <c r="L475" s="113"/>
      <c r="O475" s="111"/>
      <c r="P475" s="111"/>
      <c r="Q475" s="111"/>
      <c r="R475" s="112"/>
      <c r="S475" s="111"/>
    </row>
    <row r="476" spans="12:19" ht="12.75" x14ac:dyDescent="0.2">
      <c r="L476" s="113"/>
      <c r="O476" s="111"/>
      <c r="P476" s="111"/>
      <c r="Q476" s="111"/>
      <c r="R476" s="112"/>
      <c r="S476" s="111"/>
    </row>
    <row r="477" spans="12:19" ht="12.75" x14ac:dyDescent="0.2">
      <c r="L477" s="113"/>
      <c r="O477" s="111"/>
      <c r="P477" s="111"/>
      <c r="Q477" s="111"/>
      <c r="R477" s="112"/>
      <c r="S477" s="111"/>
    </row>
    <row r="478" spans="12:19" ht="12.75" x14ac:dyDescent="0.2">
      <c r="L478" s="113"/>
      <c r="O478" s="111"/>
      <c r="P478" s="111"/>
      <c r="Q478" s="111"/>
      <c r="R478" s="112"/>
      <c r="S478" s="111"/>
    </row>
    <row r="479" spans="12:19" ht="12.75" x14ac:dyDescent="0.2">
      <c r="L479" s="113"/>
      <c r="O479" s="111"/>
      <c r="P479" s="111"/>
      <c r="Q479" s="111"/>
      <c r="R479" s="112"/>
      <c r="S479" s="111"/>
    </row>
    <row r="480" spans="12:19" ht="12.75" x14ac:dyDescent="0.2">
      <c r="L480" s="113"/>
      <c r="O480" s="111"/>
      <c r="P480" s="111"/>
      <c r="Q480" s="111"/>
      <c r="R480" s="112"/>
      <c r="S480" s="111"/>
    </row>
    <row r="481" spans="12:19" ht="12.75" x14ac:dyDescent="0.2">
      <c r="L481" s="113"/>
      <c r="O481" s="111"/>
      <c r="P481" s="111"/>
      <c r="Q481" s="111"/>
      <c r="R481" s="112"/>
      <c r="S481" s="111"/>
    </row>
    <row r="482" spans="12:19" ht="12.75" x14ac:dyDescent="0.2">
      <c r="L482" s="113"/>
      <c r="O482" s="111"/>
      <c r="P482" s="111"/>
      <c r="Q482" s="111"/>
      <c r="R482" s="112"/>
      <c r="S482" s="111"/>
    </row>
    <row r="483" spans="12:19" ht="12.75" x14ac:dyDescent="0.2">
      <c r="L483" s="113"/>
      <c r="O483" s="111"/>
      <c r="P483" s="111"/>
      <c r="Q483" s="111"/>
      <c r="R483" s="112"/>
      <c r="S483" s="111"/>
    </row>
    <row r="484" spans="12:19" ht="12.75" x14ac:dyDescent="0.2">
      <c r="L484" s="113"/>
      <c r="O484" s="111"/>
      <c r="P484" s="111"/>
      <c r="Q484" s="111"/>
      <c r="R484" s="112"/>
      <c r="S484" s="111"/>
    </row>
    <row r="485" spans="12:19" ht="12.75" x14ac:dyDescent="0.2">
      <c r="L485" s="113"/>
      <c r="O485" s="111"/>
      <c r="P485" s="111"/>
      <c r="Q485" s="111"/>
      <c r="R485" s="112"/>
      <c r="S485" s="111"/>
    </row>
    <row r="486" spans="12:19" ht="12.75" x14ac:dyDescent="0.2">
      <c r="L486" s="113"/>
      <c r="O486" s="111"/>
      <c r="P486" s="111"/>
      <c r="Q486" s="111"/>
      <c r="R486" s="112"/>
      <c r="S486" s="111"/>
    </row>
    <row r="487" spans="12:19" ht="12.75" x14ac:dyDescent="0.2">
      <c r="L487" s="113"/>
      <c r="O487" s="111"/>
      <c r="P487" s="111"/>
      <c r="Q487" s="111"/>
      <c r="R487" s="112"/>
      <c r="S487" s="111"/>
    </row>
    <row r="488" spans="12:19" ht="12.75" x14ac:dyDescent="0.2">
      <c r="L488" s="113"/>
      <c r="O488" s="111"/>
      <c r="P488" s="111"/>
      <c r="Q488" s="111"/>
      <c r="R488" s="112"/>
      <c r="S488" s="111"/>
    </row>
    <row r="489" spans="12:19" ht="12.75" x14ac:dyDescent="0.2">
      <c r="L489" s="113"/>
      <c r="O489" s="111"/>
      <c r="P489" s="111"/>
      <c r="Q489" s="111"/>
      <c r="R489" s="112"/>
      <c r="S489" s="111"/>
    </row>
    <row r="490" spans="12:19" ht="12.75" x14ac:dyDescent="0.2">
      <c r="L490" s="113"/>
      <c r="O490" s="111"/>
      <c r="P490" s="111"/>
      <c r="Q490" s="111"/>
      <c r="R490" s="112"/>
      <c r="S490" s="111"/>
    </row>
    <row r="491" spans="12:19" ht="12.75" x14ac:dyDescent="0.2">
      <c r="L491" s="113"/>
      <c r="O491" s="111"/>
      <c r="P491" s="111"/>
      <c r="Q491" s="111"/>
      <c r="R491" s="112"/>
      <c r="S491" s="111"/>
    </row>
    <row r="492" spans="12:19" ht="12.75" x14ac:dyDescent="0.2">
      <c r="L492" s="113"/>
      <c r="O492" s="111"/>
      <c r="P492" s="111"/>
      <c r="Q492" s="111"/>
      <c r="R492" s="112"/>
      <c r="S492" s="111"/>
    </row>
    <row r="493" spans="12:19" ht="12.75" x14ac:dyDescent="0.2">
      <c r="L493" s="113"/>
      <c r="O493" s="111"/>
      <c r="P493" s="111"/>
      <c r="Q493" s="111"/>
      <c r="R493" s="112"/>
      <c r="S493" s="111"/>
    </row>
    <row r="494" spans="12:19" ht="12.75" x14ac:dyDescent="0.2">
      <c r="L494" s="113"/>
      <c r="O494" s="111"/>
      <c r="P494" s="111"/>
      <c r="Q494" s="111"/>
      <c r="R494" s="112"/>
      <c r="S494" s="111"/>
    </row>
    <row r="495" spans="12:19" ht="12.75" x14ac:dyDescent="0.2">
      <c r="L495" s="113"/>
      <c r="O495" s="111"/>
      <c r="P495" s="111"/>
      <c r="Q495" s="111"/>
      <c r="R495" s="112"/>
      <c r="S495" s="111"/>
    </row>
    <row r="496" spans="12:19" ht="12.75" x14ac:dyDescent="0.2">
      <c r="L496" s="113"/>
      <c r="O496" s="111"/>
      <c r="P496" s="111"/>
      <c r="Q496" s="111"/>
      <c r="R496" s="112"/>
      <c r="S496" s="111"/>
    </row>
    <row r="497" spans="12:19" ht="12.75" x14ac:dyDescent="0.2">
      <c r="L497" s="113"/>
      <c r="O497" s="111"/>
      <c r="P497" s="111"/>
      <c r="Q497" s="111"/>
      <c r="R497" s="112"/>
      <c r="S497" s="111"/>
    </row>
    <row r="498" spans="12:19" ht="12.75" x14ac:dyDescent="0.2">
      <c r="L498" s="113"/>
      <c r="O498" s="111"/>
      <c r="P498" s="111"/>
      <c r="Q498" s="111"/>
      <c r="R498" s="112"/>
      <c r="S498" s="111"/>
    </row>
    <row r="499" spans="12:19" ht="12.75" x14ac:dyDescent="0.2">
      <c r="L499" s="113"/>
      <c r="O499" s="111"/>
      <c r="P499" s="111"/>
      <c r="Q499" s="111"/>
      <c r="R499" s="112"/>
      <c r="S499" s="111"/>
    </row>
    <row r="500" spans="12:19" ht="12.75" x14ac:dyDescent="0.2">
      <c r="L500" s="113"/>
      <c r="O500" s="111"/>
      <c r="P500" s="111"/>
      <c r="Q500" s="111"/>
      <c r="R500" s="112"/>
      <c r="S500" s="111"/>
    </row>
    <row r="501" spans="12:19" ht="12.75" x14ac:dyDescent="0.2">
      <c r="L501" s="113"/>
      <c r="O501" s="111"/>
      <c r="P501" s="111"/>
      <c r="Q501" s="111"/>
      <c r="R501" s="112"/>
      <c r="S501" s="111"/>
    </row>
    <row r="502" spans="12:19" ht="12.75" x14ac:dyDescent="0.2">
      <c r="L502" s="113"/>
      <c r="O502" s="111"/>
      <c r="P502" s="111"/>
      <c r="Q502" s="111"/>
      <c r="R502" s="112"/>
      <c r="S502" s="111"/>
    </row>
    <row r="503" spans="12:19" ht="12.75" x14ac:dyDescent="0.2">
      <c r="L503" s="113"/>
      <c r="O503" s="111"/>
      <c r="P503" s="111"/>
      <c r="Q503" s="111"/>
      <c r="R503" s="112"/>
      <c r="S503" s="111"/>
    </row>
    <row r="504" spans="12:19" ht="12.75" x14ac:dyDescent="0.2">
      <c r="L504" s="113"/>
      <c r="O504" s="111"/>
      <c r="P504" s="111"/>
      <c r="Q504" s="111"/>
      <c r="R504" s="112"/>
      <c r="S504" s="111"/>
    </row>
    <row r="505" spans="12:19" ht="12.75" x14ac:dyDescent="0.2">
      <c r="L505" s="113"/>
      <c r="O505" s="111"/>
      <c r="P505" s="111"/>
      <c r="Q505" s="111"/>
      <c r="R505" s="112"/>
      <c r="S505" s="111"/>
    </row>
    <row r="506" spans="12:19" ht="12.75" x14ac:dyDescent="0.2">
      <c r="L506" s="113"/>
      <c r="O506" s="111"/>
      <c r="P506" s="111"/>
      <c r="Q506" s="111"/>
      <c r="R506" s="112"/>
      <c r="S506" s="111"/>
    </row>
    <row r="507" spans="12:19" ht="12.75" x14ac:dyDescent="0.2">
      <c r="L507" s="113"/>
      <c r="O507" s="111"/>
      <c r="P507" s="111"/>
      <c r="Q507" s="111"/>
      <c r="R507" s="112"/>
      <c r="S507" s="111"/>
    </row>
    <row r="508" spans="12:19" ht="12.75" x14ac:dyDescent="0.2">
      <c r="L508" s="113"/>
      <c r="O508" s="111"/>
      <c r="P508" s="111"/>
      <c r="Q508" s="111"/>
      <c r="R508" s="112"/>
      <c r="S508" s="111"/>
    </row>
    <row r="509" spans="12:19" ht="12.75" x14ac:dyDescent="0.2">
      <c r="L509" s="113"/>
      <c r="O509" s="111"/>
      <c r="P509" s="111"/>
      <c r="Q509" s="111"/>
      <c r="R509" s="112"/>
      <c r="S509" s="111"/>
    </row>
    <row r="510" spans="12:19" ht="12.75" x14ac:dyDescent="0.2">
      <c r="L510" s="113"/>
      <c r="O510" s="111"/>
      <c r="P510" s="111"/>
      <c r="Q510" s="111"/>
      <c r="R510" s="112"/>
      <c r="S510" s="111"/>
    </row>
    <row r="511" spans="12:19" ht="12.75" x14ac:dyDescent="0.2">
      <c r="L511" s="113"/>
      <c r="O511" s="111"/>
      <c r="P511" s="111"/>
      <c r="Q511" s="111"/>
      <c r="R511" s="112"/>
      <c r="S511" s="111"/>
    </row>
    <row r="512" spans="12:19" ht="12.75" x14ac:dyDescent="0.2">
      <c r="L512" s="113"/>
      <c r="O512" s="111"/>
      <c r="P512" s="111"/>
      <c r="Q512" s="111"/>
      <c r="R512" s="112"/>
      <c r="S512" s="111"/>
    </row>
    <row r="513" spans="12:19" ht="12.75" x14ac:dyDescent="0.2">
      <c r="L513" s="113"/>
      <c r="O513" s="111"/>
      <c r="P513" s="111"/>
      <c r="Q513" s="111"/>
      <c r="R513" s="112"/>
      <c r="S513" s="111"/>
    </row>
    <row r="514" spans="12:19" ht="12.75" x14ac:dyDescent="0.2">
      <c r="L514" s="113"/>
      <c r="O514" s="111"/>
      <c r="P514" s="111"/>
      <c r="Q514" s="111"/>
      <c r="R514" s="112"/>
      <c r="S514" s="111"/>
    </row>
    <row r="515" spans="12:19" ht="12.75" x14ac:dyDescent="0.2">
      <c r="L515" s="113"/>
      <c r="O515" s="111"/>
      <c r="P515" s="111"/>
      <c r="Q515" s="111"/>
      <c r="R515" s="112"/>
      <c r="S515" s="111"/>
    </row>
    <row r="516" spans="12:19" ht="12.75" x14ac:dyDescent="0.2">
      <c r="L516" s="113"/>
      <c r="O516" s="111"/>
      <c r="P516" s="111"/>
      <c r="Q516" s="111"/>
      <c r="R516" s="112"/>
      <c r="S516" s="111"/>
    </row>
    <row r="517" spans="12:19" ht="12.75" x14ac:dyDescent="0.2">
      <c r="L517" s="113"/>
      <c r="O517" s="111"/>
      <c r="P517" s="111"/>
      <c r="Q517" s="111"/>
      <c r="R517" s="112"/>
      <c r="S517" s="111"/>
    </row>
    <row r="518" spans="12:19" ht="12.75" x14ac:dyDescent="0.2">
      <c r="L518" s="113"/>
      <c r="O518" s="111"/>
      <c r="P518" s="111"/>
      <c r="Q518" s="111"/>
      <c r="R518" s="112"/>
      <c r="S518" s="111"/>
    </row>
    <row r="519" spans="12:19" ht="12.75" x14ac:dyDescent="0.2">
      <c r="L519" s="113"/>
      <c r="O519" s="111"/>
      <c r="P519" s="111"/>
      <c r="Q519" s="111"/>
      <c r="R519" s="112"/>
      <c r="S519" s="111"/>
    </row>
    <row r="520" spans="12:19" ht="12.75" x14ac:dyDescent="0.2">
      <c r="L520" s="113"/>
      <c r="O520" s="111"/>
      <c r="P520" s="111"/>
      <c r="Q520" s="111"/>
      <c r="R520" s="112"/>
      <c r="S520" s="111"/>
    </row>
    <row r="521" spans="12:19" ht="12.75" x14ac:dyDescent="0.2">
      <c r="L521" s="113"/>
      <c r="O521" s="111"/>
      <c r="P521" s="111"/>
      <c r="Q521" s="111"/>
      <c r="R521" s="112"/>
      <c r="S521" s="111"/>
    </row>
    <row r="522" spans="12:19" ht="12.75" x14ac:dyDescent="0.2">
      <c r="L522" s="113"/>
      <c r="O522" s="111"/>
      <c r="P522" s="111"/>
      <c r="Q522" s="111"/>
      <c r="R522" s="112"/>
      <c r="S522" s="111"/>
    </row>
    <row r="523" spans="12:19" ht="12.75" x14ac:dyDescent="0.2">
      <c r="L523" s="113"/>
      <c r="O523" s="111"/>
      <c r="P523" s="111"/>
      <c r="Q523" s="111"/>
      <c r="R523" s="112"/>
      <c r="S523" s="111"/>
    </row>
    <row r="524" spans="12:19" ht="12.75" x14ac:dyDescent="0.2">
      <c r="L524" s="113"/>
      <c r="O524" s="111"/>
      <c r="P524" s="111"/>
      <c r="Q524" s="111"/>
      <c r="R524" s="112"/>
      <c r="S524" s="111"/>
    </row>
    <row r="525" spans="12:19" ht="12.75" x14ac:dyDescent="0.2">
      <c r="L525" s="113"/>
      <c r="O525" s="111"/>
      <c r="P525" s="111"/>
      <c r="Q525" s="111"/>
      <c r="R525" s="112"/>
      <c r="S525" s="111"/>
    </row>
    <row r="526" spans="12:19" ht="12.75" x14ac:dyDescent="0.2">
      <c r="L526" s="113"/>
      <c r="O526" s="111"/>
      <c r="P526" s="111"/>
      <c r="Q526" s="111"/>
      <c r="R526" s="112"/>
      <c r="S526" s="111"/>
    </row>
    <row r="527" spans="12:19" ht="12.75" x14ac:dyDescent="0.2">
      <c r="L527" s="113"/>
      <c r="O527" s="111"/>
      <c r="P527" s="111"/>
      <c r="Q527" s="111"/>
      <c r="R527" s="112"/>
      <c r="S527" s="111"/>
    </row>
    <row r="528" spans="12:19" ht="12.75" x14ac:dyDescent="0.2">
      <c r="L528" s="113"/>
      <c r="O528" s="111"/>
      <c r="P528" s="111"/>
      <c r="Q528" s="111"/>
      <c r="R528" s="112"/>
      <c r="S528" s="111"/>
    </row>
    <row r="529" spans="12:19" ht="12.75" x14ac:dyDescent="0.2">
      <c r="L529" s="113"/>
      <c r="O529" s="111"/>
      <c r="P529" s="111"/>
      <c r="Q529" s="111"/>
      <c r="R529" s="112"/>
      <c r="S529" s="111"/>
    </row>
    <row r="530" spans="12:19" ht="12.75" x14ac:dyDescent="0.2">
      <c r="L530" s="113"/>
      <c r="O530" s="111"/>
      <c r="P530" s="111"/>
      <c r="Q530" s="111"/>
      <c r="R530" s="112"/>
      <c r="S530" s="111"/>
    </row>
    <row r="531" spans="12:19" ht="12.75" x14ac:dyDescent="0.2">
      <c r="L531" s="113"/>
      <c r="O531" s="111"/>
      <c r="P531" s="111"/>
      <c r="Q531" s="111"/>
      <c r="R531" s="112"/>
      <c r="S531" s="111"/>
    </row>
    <row r="532" spans="12:19" ht="12.75" x14ac:dyDescent="0.2">
      <c r="L532" s="113"/>
      <c r="O532" s="111"/>
      <c r="P532" s="111"/>
      <c r="Q532" s="111"/>
      <c r="R532" s="112"/>
      <c r="S532" s="111"/>
    </row>
    <row r="533" spans="12:19" ht="12.75" x14ac:dyDescent="0.2">
      <c r="L533" s="113"/>
      <c r="O533" s="111"/>
      <c r="P533" s="111"/>
      <c r="Q533" s="111"/>
      <c r="R533" s="112"/>
      <c r="S533" s="111"/>
    </row>
    <row r="534" spans="12:19" ht="12.75" x14ac:dyDescent="0.2">
      <c r="L534" s="113"/>
      <c r="O534" s="111"/>
      <c r="P534" s="111"/>
      <c r="Q534" s="111"/>
      <c r="R534" s="112"/>
      <c r="S534" s="111"/>
    </row>
    <row r="535" spans="12:19" ht="12.75" x14ac:dyDescent="0.2">
      <c r="L535" s="113"/>
      <c r="O535" s="111"/>
      <c r="P535" s="111"/>
      <c r="Q535" s="111"/>
      <c r="R535" s="112"/>
      <c r="S535" s="111"/>
    </row>
    <row r="536" spans="12:19" ht="12.75" x14ac:dyDescent="0.2">
      <c r="L536" s="113"/>
      <c r="O536" s="111"/>
      <c r="P536" s="111"/>
      <c r="Q536" s="111"/>
      <c r="R536" s="112"/>
      <c r="S536" s="111"/>
    </row>
    <row r="537" spans="12:19" ht="12.75" x14ac:dyDescent="0.2">
      <c r="L537" s="113"/>
      <c r="O537" s="111"/>
      <c r="P537" s="111"/>
      <c r="Q537" s="111"/>
      <c r="R537" s="112"/>
      <c r="S537" s="111"/>
    </row>
    <row r="538" spans="12:19" ht="12.75" x14ac:dyDescent="0.2">
      <c r="L538" s="113"/>
      <c r="O538" s="111"/>
      <c r="P538" s="111"/>
      <c r="Q538" s="111"/>
      <c r="R538" s="112"/>
      <c r="S538" s="111"/>
    </row>
    <row r="539" spans="12:19" ht="12.75" x14ac:dyDescent="0.2">
      <c r="L539" s="113"/>
      <c r="O539" s="111"/>
      <c r="P539" s="111"/>
      <c r="Q539" s="111"/>
      <c r="R539" s="112"/>
      <c r="S539" s="111"/>
    </row>
    <row r="540" spans="12:19" ht="12.75" x14ac:dyDescent="0.2">
      <c r="L540" s="113"/>
      <c r="O540" s="111"/>
      <c r="P540" s="111"/>
      <c r="Q540" s="111"/>
      <c r="R540" s="112"/>
      <c r="S540" s="111"/>
    </row>
    <row r="541" spans="12:19" ht="12.75" x14ac:dyDescent="0.2">
      <c r="L541" s="113"/>
      <c r="O541" s="111"/>
      <c r="P541" s="111"/>
      <c r="Q541" s="111"/>
      <c r="R541" s="112"/>
      <c r="S541" s="111"/>
    </row>
    <row r="542" spans="12:19" ht="12.75" x14ac:dyDescent="0.2">
      <c r="L542" s="113"/>
      <c r="O542" s="111"/>
      <c r="P542" s="111"/>
      <c r="Q542" s="111"/>
      <c r="R542" s="112"/>
      <c r="S542" s="111"/>
    </row>
    <row r="543" spans="12:19" ht="12.75" x14ac:dyDescent="0.2">
      <c r="L543" s="113"/>
      <c r="O543" s="111"/>
      <c r="P543" s="111"/>
      <c r="Q543" s="111"/>
      <c r="R543" s="112"/>
      <c r="S543" s="111"/>
    </row>
    <row r="544" spans="12:19" ht="12.75" x14ac:dyDescent="0.2">
      <c r="L544" s="113"/>
      <c r="O544" s="111"/>
      <c r="P544" s="111"/>
      <c r="Q544" s="111"/>
      <c r="R544" s="112"/>
      <c r="S544" s="111"/>
    </row>
    <row r="545" spans="12:19" ht="12.75" x14ac:dyDescent="0.2">
      <c r="L545" s="113"/>
      <c r="O545" s="111"/>
      <c r="P545" s="111"/>
      <c r="Q545" s="111"/>
      <c r="R545" s="112"/>
      <c r="S545" s="111"/>
    </row>
    <row r="546" spans="12:19" ht="12.75" x14ac:dyDescent="0.2">
      <c r="L546" s="113"/>
      <c r="O546" s="111"/>
      <c r="P546" s="111"/>
      <c r="Q546" s="111"/>
      <c r="R546" s="112"/>
      <c r="S546" s="111"/>
    </row>
    <row r="547" spans="12:19" ht="12.75" x14ac:dyDescent="0.2">
      <c r="L547" s="113"/>
      <c r="O547" s="111"/>
      <c r="P547" s="111"/>
      <c r="Q547" s="111"/>
      <c r="R547" s="112"/>
      <c r="S547" s="111"/>
    </row>
    <row r="548" spans="12:19" ht="12.75" x14ac:dyDescent="0.2">
      <c r="L548" s="113"/>
      <c r="O548" s="111"/>
      <c r="P548" s="111"/>
      <c r="Q548" s="111"/>
      <c r="R548" s="112"/>
      <c r="S548" s="111"/>
    </row>
    <row r="549" spans="12:19" ht="12.75" x14ac:dyDescent="0.2">
      <c r="L549" s="113"/>
      <c r="O549" s="111"/>
      <c r="P549" s="111"/>
      <c r="Q549" s="111"/>
      <c r="R549" s="112"/>
      <c r="S549" s="111"/>
    </row>
    <row r="550" spans="12:19" ht="12.75" x14ac:dyDescent="0.2">
      <c r="L550" s="113"/>
      <c r="O550" s="111"/>
      <c r="P550" s="111"/>
      <c r="Q550" s="111"/>
      <c r="R550" s="112"/>
      <c r="S550" s="111"/>
    </row>
    <row r="551" spans="12:19" ht="12.75" x14ac:dyDescent="0.2">
      <c r="L551" s="113"/>
      <c r="O551" s="111"/>
      <c r="P551" s="111"/>
      <c r="Q551" s="111"/>
      <c r="R551" s="112"/>
      <c r="S551" s="111"/>
    </row>
    <row r="552" spans="12:19" ht="12.75" x14ac:dyDescent="0.2">
      <c r="L552" s="113"/>
      <c r="O552" s="111"/>
      <c r="P552" s="111"/>
      <c r="Q552" s="111"/>
      <c r="R552" s="112"/>
      <c r="S552" s="111"/>
    </row>
    <row r="553" spans="12:19" ht="12.75" x14ac:dyDescent="0.2">
      <c r="L553" s="113"/>
      <c r="O553" s="111"/>
      <c r="P553" s="111"/>
      <c r="Q553" s="111"/>
      <c r="R553" s="112"/>
      <c r="S553" s="111"/>
    </row>
    <row r="554" spans="12:19" ht="12.75" x14ac:dyDescent="0.2">
      <c r="L554" s="113"/>
      <c r="O554" s="111"/>
      <c r="P554" s="111"/>
      <c r="Q554" s="111"/>
      <c r="R554" s="112"/>
      <c r="S554" s="111"/>
    </row>
    <row r="555" spans="12:19" ht="12.75" x14ac:dyDescent="0.2">
      <c r="L555" s="113"/>
      <c r="O555" s="111"/>
      <c r="P555" s="111"/>
      <c r="Q555" s="111"/>
      <c r="R555" s="112"/>
      <c r="S555" s="111"/>
    </row>
    <row r="556" spans="12:19" ht="12.75" x14ac:dyDescent="0.2">
      <c r="L556" s="113"/>
      <c r="O556" s="111"/>
      <c r="P556" s="111"/>
      <c r="Q556" s="111"/>
      <c r="R556" s="112"/>
      <c r="S556" s="111"/>
    </row>
    <row r="557" spans="12:19" ht="12.75" x14ac:dyDescent="0.2">
      <c r="L557" s="113"/>
      <c r="O557" s="111"/>
      <c r="P557" s="111"/>
      <c r="Q557" s="111"/>
      <c r="R557" s="112"/>
      <c r="S557" s="111"/>
    </row>
    <row r="558" spans="12:19" ht="12.75" x14ac:dyDescent="0.2">
      <c r="L558" s="113"/>
      <c r="O558" s="111"/>
      <c r="P558" s="111"/>
      <c r="Q558" s="111"/>
      <c r="R558" s="112"/>
      <c r="S558" s="111"/>
    </row>
    <row r="559" spans="12:19" ht="12.75" x14ac:dyDescent="0.2">
      <c r="L559" s="113"/>
      <c r="O559" s="111"/>
      <c r="P559" s="111"/>
      <c r="Q559" s="111"/>
      <c r="R559" s="112"/>
      <c r="S559" s="111"/>
    </row>
    <row r="560" spans="12:19" ht="12.75" x14ac:dyDescent="0.2">
      <c r="L560" s="113"/>
      <c r="O560" s="111"/>
      <c r="P560" s="111"/>
      <c r="Q560" s="111"/>
      <c r="R560" s="112"/>
      <c r="S560" s="111"/>
    </row>
    <row r="561" spans="12:19" ht="12.75" x14ac:dyDescent="0.2">
      <c r="L561" s="113"/>
      <c r="O561" s="111"/>
      <c r="P561" s="111"/>
      <c r="Q561" s="111"/>
      <c r="R561" s="112"/>
      <c r="S561" s="111"/>
    </row>
    <row r="562" spans="12:19" ht="12.75" x14ac:dyDescent="0.2">
      <c r="L562" s="113"/>
      <c r="O562" s="111"/>
      <c r="P562" s="111"/>
      <c r="Q562" s="111"/>
      <c r="R562" s="112"/>
      <c r="S562" s="111"/>
    </row>
    <row r="563" spans="12:19" ht="12.75" x14ac:dyDescent="0.2">
      <c r="L563" s="113"/>
      <c r="O563" s="111"/>
      <c r="P563" s="111"/>
      <c r="Q563" s="111"/>
      <c r="R563" s="112"/>
      <c r="S563" s="111"/>
    </row>
    <row r="564" spans="12:19" ht="12.75" x14ac:dyDescent="0.2">
      <c r="L564" s="113"/>
      <c r="O564" s="111"/>
      <c r="P564" s="111"/>
      <c r="Q564" s="111"/>
      <c r="R564" s="112"/>
      <c r="S564" s="111"/>
    </row>
    <row r="565" spans="12:19" ht="12.75" x14ac:dyDescent="0.2">
      <c r="L565" s="113"/>
      <c r="O565" s="111"/>
      <c r="P565" s="111"/>
      <c r="Q565" s="111"/>
      <c r="R565" s="112"/>
      <c r="S565" s="111"/>
    </row>
    <row r="566" spans="12:19" ht="12.75" x14ac:dyDescent="0.2">
      <c r="L566" s="113"/>
      <c r="O566" s="111"/>
      <c r="P566" s="111"/>
      <c r="Q566" s="111"/>
      <c r="R566" s="112"/>
      <c r="S566" s="111"/>
    </row>
    <row r="567" spans="12:19" ht="12.75" x14ac:dyDescent="0.2">
      <c r="L567" s="113"/>
      <c r="O567" s="111"/>
      <c r="P567" s="111"/>
      <c r="Q567" s="111"/>
      <c r="R567" s="112"/>
      <c r="S567" s="111"/>
    </row>
    <row r="568" spans="12:19" ht="12.75" x14ac:dyDescent="0.2">
      <c r="L568" s="113"/>
      <c r="O568" s="111"/>
      <c r="P568" s="111"/>
      <c r="Q568" s="111"/>
      <c r="R568" s="112"/>
      <c r="S568" s="111"/>
    </row>
    <row r="569" spans="12:19" ht="12.75" x14ac:dyDescent="0.2">
      <c r="L569" s="113"/>
      <c r="O569" s="111"/>
      <c r="P569" s="111"/>
      <c r="Q569" s="111"/>
      <c r="R569" s="112"/>
      <c r="S569" s="111"/>
    </row>
    <row r="570" spans="12:19" ht="12.75" x14ac:dyDescent="0.2">
      <c r="L570" s="113"/>
      <c r="O570" s="111"/>
      <c r="P570" s="111"/>
      <c r="Q570" s="111"/>
      <c r="R570" s="112"/>
      <c r="S570" s="111"/>
    </row>
    <row r="571" spans="12:19" ht="12.75" x14ac:dyDescent="0.2">
      <c r="L571" s="113"/>
      <c r="O571" s="111"/>
      <c r="P571" s="111"/>
      <c r="Q571" s="111"/>
      <c r="R571" s="112"/>
      <c r="S571" s="111"/>
    </row>
    <row r="572" spans="12:19" ht="12.75" x14ac:dyDescent="0.2">
      <c r="L572" s="113"/>
      <c r="O572" s="111"/>
      <c r="P572" s="111"/>
      <c r="Q572" s="111"/>
      <c r="R572" s="112"/>
      <c r="S572" s="111"/>
    </row>
    <row r="573" spans="12:19" ht="12.75" x14ac:dyDescent="0.2">
      <c r="L573" s="113"/>
      <c r="O573" s="111"/>
      <c r="P573" s="111"/>
      <c r="Q573" s="111"/>
      <c r="R573" s="112"/>
      <c r="S573" s="111"/>
    </row>
    <row r="574" spans="12:19" ht="12.75" x14ac:dyDescent="0.2">
      <c r="L574" s="113"/>
      <c r="O574" s="111"/>
      <c r="P574" s="111"/>
      <c r="Q574" s="111"/>
      <c r="R574" s="112"/>
      <c r="S574" s="111"/>
    </row>
    <row r="575" spans="12:19" ht="12.75" x14ac:dyDescent="0.2">
      <c r="L575" s="113"/>
      <c r="O575" s="111"/>
      <c r="P575" s="111"/>
      <c r="Q575" s="111"/>
      <c r="R575" s="112"/>
      <c r="S575" s="111"/>
    </row>
    <row r="576" spans="12:19" ht="12.75" x14ac:dyDescent="0.2">
      <c r="L576" s="113"/>
      <c r="O576" s="111"/>
      <c r="P576" s="111"/>
      <c r="Q576" s="111"/>
      <c r="R576" s="112"/>
      <c r="S576" s="111"/>
    </row>
    <row r="577" spans="12:19" ht="12.75" x14ac:dyDescent="0.2">
      <c r="L577" s="113"/>
      <c r="O577" s="111"/>
      <c r="P577" s="111"/>
      <c r="Q577" s="111"/>
      <c r="R577" s="112"/>
      <c r="S577" s="111"/>
    </row>
    <row r="578" spans="12:19" ht="12.75" x14ac:dyDescent="0.2">
      <c r="L578" s="113"/>
      <c r="O578" s="111"/>
      <c r="P578" s="111"/>
      <c r="Q578" s="111"/>
      <c r="R578" s="112"/>
      <c r="S578" s="111"/>
    </row>
    <row r="579" spans="12:19" ht="12.75" x14ac:dyDescent="0.2">
      <c r="L579" s="113"/>
      <c r="O579" s="111"/>
      <c r="P579" s="111"/>
      <c r="Q579" s="111"/>
      <c r="R579" s="112"/>
      <c r="S579" s="111"/>
    </row>
    <row r="580" spans="12:19" ht="12.75" x14ac:dyDescent="0.2">
      <c r="L580" s="113"/>
      <c r="O580" s="111"/>
      <c r="P580" s="111"/>
      <c r="Q580" s="111"/>
      <c r="R580" s="112"/>
      <c r="S580" s="111"/>
    </row>
    <row r="581" spans="12:19" ht="12.75" x14ac:dyDescent="0.2">
      <c r="L581" s="113"/>
      <c r="O581" s="111"/>
      <c r="P581" s="111"/>
      <c r="Q581" s="111"/>
      <c r="R581" s="112"/>
      <c r="S581" s="111"/>
    </row>
    <row r="582" spans="12:19" ht="12.75" x14ac:dyDescent="0.2">
      <c r="L582" s="113"/>
      <c r="O582" s="111"/>
      <c r="P582" s="111"/>
      <c r="Q582" s="111"/>
      <c r="R582" s="112"/>
      <c r="S582" s="111"/>
    </row>
    <row r="583" spans="12:19" ht="12.75" x14ac:dyDescent="0.2">
      <c r="L583" s="113"/>
      <c r="O583" s="111"/>
      <c r="P583" s="111"/>
      <c r="Q583" s="111"/>
      <c r="R583" s="112"/>
      <c r="S583" s="111"/>
    </row>
    <row r="584" spans="12:19" ht="12.75" x14ac:dyDescent="0.2">
      <c r="L584" s="113"/>
      <c r="O584" s="111"/>
      <c r="P584" s="111"/>
      <c r="Q584" s="111"/>
      <c r="R584" s="112"/>
      <c r="S584" s="111"/>
    </row>
    <row r="585" spans="12:19" ht="12.75" x14ac:dyDescent="0.2">
      <c r="L585" s="113"/>
      <c r="O585" s="111"/>
      <c r="P585" s="111"/>
      <c r="Q585" s="111"/>
      <c r="R585" s="112"/>
      <c r="S585" s="111"/>
    </row>
    <row r="586" spans="12:19" ht="12.75" x14ac:dyDescent="0.2">
      <c r="L586" s="113"/>
      <c r="O586" s="111"/>
      <c r="P586" s="111"/>
      <c r="Q586" s="111"/>
      <c r="R586" s="112"/>
      <c r="S586" s="111"/>
    </row>
    <row r="587" spans="12:19" ht="12.75" x14ac:dyDescent="0.2">
      <c r="L587" s="113"/>
      <c r="O587" s="111"/>
      <c r="P587" s="111"/>
      <c r="Q587" s="111"/>
      <c r="R587" s="112"/>
      <c r="S587" s="111"/>
    </row>
    <row r="588" spans="12:19" ht="12.75" x14ac:dyDescent="0.2">
      <c r="L588" s="113"/>
      <c r="O588" s="111"/>
      <c r="P588" s="111"/>
      <c r="Q588" s="111"/>
      <c r="R588" s="112"/>
      <c r="S588" s="111"/>
    </row>
    <row r="589" spans="12:19" ht="12.75" x14ac:dyDescent="0.2">
      <c r="L589" s="113"/>
      <c r="O589" s="111"/>
      <c r="P589" s="111"/>
      <c r="Q589" s="111"/>
      <c r="R589" s="112"/>
      <c r="S589" s="111"/>
    </row>
    <row r="590" spans="12:19" ht="12.75" x14ac:dyDescent="0.2">
      <c r="L590" s="113"/>
      <c r="O590" s="111"/>
      <c r="P590" s="111"/>
      <c r="Q590" s="111"/>
      <c r="R590" s="112"/>
      <c r="S590" s="111"/>
    </row>
    <row r="591" spans="12:19" ht="12.75" x14ac:dyDescent="0.2">
      <c r="L591" s="113"/>
      <c r="O591" s="111"/>
      <c r="P591" s="111"/>
      <c r="Q591" s="111"/>
      <c r="R591" s="112"/>
      <c r="S591" s="111"/>
    </row>
    <row r="592" spans="12:19" ht="12.75" x14ac:dyDescent="0.2">
      <c r="L592" s="113"/>
      <c r="O592" s="111"/>
      <c r="P592" s="111"/>
      <c r="Q592" s="111"/>
      <c r="R592" s="112"/>
      <c r="S592" s="111"/>
    </row>
    <row r="593" spans="12:19" ht="12.75" x14ac:dyDescent="0.2">
      <c r="L593" s="113"/>
      <c r="O593" s="111"/>
      <c r="P593" s="111"/>
      <c r="Q593" s="111"/>
      <c r="R593" s="112"/>
      <c r="S593" s="111"/>
    </row>
    <row r="594" spans="12:19" ht="12.75" x14ac:dyDescent="0.2">
      <c r="L594" s="113"/>
      <c r="O594" s="111"/>
      <c r="P594" s="111"/>
      <c r="Q594" s="111"/>
      <c r="R594" s="112"/>
      <c r="S594" s="111"/>
    </row>
    <row r="595" spans="12:19" ht="12.75" x14ac:dyDescent="0.2">
      <c r="L595" s="113"/>
      <c r="O595" s="111"/>
      <c r="P595" s="111"/>
      <c r="Q595" s="111"/>
      <c r="R595" s="112"/>
      <c r="S595" s="111"/>
    </row>
    <row r="596" spans="12:19" ht="12.75" x14ac:dyDescent="0.2">
      <c r="L596" s="113"/>
      <c r="O596" s="111"/>
      <c r="P596" s="111"/>
      <c r="Q596" s="111"/>
      <c r="R596" s="112"/>
      <c r="S596" s="111"/>
    </row>
    <row r="597" spans="12:19" ht="12.75" x14ac:dyDescent="0.2">
      <c r="L597" s="113"/>
      <c r="O597" s="111"/>
      <c r="P597" s="111"/>
      <c r="Q597" s="111"/>
      <c r="R597" s="112"/>
      <c r="S597" s="111"/>
    </row>
    <row r="598" spans="12:19" ht="12.75" x14ac:dyDescent="0.2">
      <c r="L598" s="113"/>
      <c r="O598" s="111"/>
      <c r="P598" s="111"/>
      <c r="Q598" s="111"/>
      <c r="R598" s="112"/>
      <c r="S598" s="111"/>
    </row>
    <row r="599" spans="12:19" ht="12.75" x14ac:dyDescent="0.2">
      <c r="L599" s="113"/>
      <c r="O599" s="111"/>
      <c r="P599" s="111"/>
      <c r="Q599" s="111"/>
      <c r="R599" s="112"/>
      <c r="S599" s="111"/>
    </row>
    <row r="600" spans="12:19" ht="12.75" x14ac:dyDescent="0.2">
      <c r="L600" s="113"/>
      <c r="O600" s="111"/>
      <c r="P600" s="111"/>
      <c r="Q600" s="111"/>
      <c r="R600" s="112"/>
      <c r="S600" s="111"/>
    </row>
    <row r="601" spans="12:19" ht="12.75" x14ac:dyDescent="0.2">
      <c r="L601" s="113"/>
      <c r="O601" s="111"/>
      <c r="P601" s="111"/>
      <c r="Q601" s="111"/>
      <c r="R601" s="112"/>
      <c r="S601" s="111"/>
    </row>
    <row r="602" spans="12:19" ht="12.75" x14ac:dyDescent="0.2">
      <c r="L602" s="113"/>
      <c r="O602" s="111"/>
      <c r="P602" s="111"/>
      <c r="Q602" s="111"/>
      <c r="R602" s="112"/>
      <c r="S602" s="111"/>
    </row>
    <row r="603" spans="12:19" ht="12.75" x14ac:dyDescent="0.2">
      <c r="L603" s="113"/>
      <c r="O603" s="111"/>
      <c r="P603" s="111"/>
      <c r="Q603" s="111"/>
      <c r="R603" s="112"/>
      <c r="S603" s="111"/>
    </row>
    <row r="604" spans="12:19" ht="12.75" x14ac:dyDescent="0.2">
      <c r="L604" s="113"/>
      <c r="O604" s="111"/>
      <c r="P604" s="111"/>
      <c r="Q604" s="111"/>
      <c r="R604" s="112"/>
      <c r="S604" s="111"/>
    </row>
    <row r="605" spans="12:19" ht="12.75" x14ac:dyDescent="0.2">
      <c r="L605" s="113"/>
      <c r="O605" s="111"/>
      <c r="P605" s="111"/>
      <c r="Q605" s="111"/>
      <c r="R605" s="112"/>
      <c r="S605" s="111"/>
    </row>
    <row r="606" spans="12:19" ht="12.75" x14ac:dyDescent="0.2">
      <c r="L606" s="113"/>
      <c r="O606" s="111"/>
      <c r="P606" s="111"/>
      <c r="Q606" s="111"/>
      <c r="R606" s="112"/>
      <c r="S606" s="111"/>
    </row>
    <row r="607" spans="12:19" ht="12.75" x14ac:dyDescent="0.2">
      <c r="L607" s="113"/>
      <c r="O607" s="111"/>
      <c r="P607" s="111"/>
      <c r="Q607" s="111"/>
      <c r="R607" s="112"/>
      <c r="S607" s="111"/>
    </row>
    <row r="608" spans="12:19" ht="12.75" x14ac:dyDescent="0.2">
      <c r="L608" s="113"/>
      <c r="O608" s="111"/>
      <c r="P608" s="111"/>
      <c r="Q608" s="111"/>
      <c r="R608" s="112"/>
      <c r="S608" s="111"/>
    </row>
    <row r="609" spans="12:19" ht="12.75" x14ac:dyDescent="0.2">
      <c r="L609" s="113"/>
      <c r="O609" s="111"/>
      <c r="P609" s="111"/>
      <c r="Q609" s="111"/>
      <c r="R609" s="112"/>
      <c r="S609" s="111"/>
    </row>
    <row r="610" spans="12:19" ht="12.75" x14ac:dyDescent="0.2">
      <c r="L610" s="113"/>
      <c r="O610" s="111"/>
      <c r="P610" s="111"/>
      <c r="Q610" s="111"/>
      <c r="R610" s="112"/>
      <c r="S610" s="111"/>
    </row>
    <row r="611" spans="12:19" ht="12.75" x14ac:dyDescent="0.2">
      <c r="L611" s="113"/>
      <c r="O611" s="111"/>
      <c r="P611" s="111"/>
      <c r="Q611" s="111"/>
      <c r="R611" s="112"/>
      <c r="S611" s="111"/>
    </row>
    <row r="612" spans="12:19" ht="12.75" x14ac:dyDescent="0.2">
      <c r="L612" s="113"/>
      <c r="O612" s="111"/>
      <c r="P612" s="111"/>
      <c r="Q612" s="111"/>
      <c r="R612" s="112"/>
      <c r="S612" s="111"/>
    </row>
    <row r="613" spans="12:19" ht="12.75" x14ac:dyDescent="0.2">
      <c r="L613" s="113"/>
      <c r="O613" s="111"/>
      <c r="P613" s="111"/>
      <c r="Q613" s="111"/>
      <c r="R613" s="112"/>
      <c r="S613" s="111"/>
    </row>
    <row r="614" spans="12:19" ht="12.75" x14ac:dyDescent="0.2">
      <c r="L614" s="113"/>
      <c r="O614" s="111"/>
      <c r="P614" s="111"/>
      <c r="Q614" s="111"/>
      <c r="R614" s="112"/>
      <c r="S614" s="111"/>
    </row>
    <row r="615" spans="12:19" ht="12.75" x14ac:dyDescent="0.2">
      <c r="L615" s="113"/>
      <c r="O615" s="111"/>
      <c r="P615" s="111"/>
      <c r="Q615" s="111"/>
      <c r="R615" s="112"/>
      <c r="S615" s="111"/>
    </row>
    <row r="616" spans="12:19" ht="12.75" x14ac:dyDescent="0.2">
      <c r="L616" s="113"/>
      <c r="O616" s="111"/>
      <c r="P616" s="111"/>
      <c r="Q616" s="111"/>
      <c r="R616" s="112"/>
      <c r="S616" s="111"/>
    </row>
    <row r="617" spans="12:19" ht="12.75" x14ac:dyDescent="0.2">
      <c r="L617" s="113"/>
      <c r="O617" s="111"/>
      <c r="P617" s="111"/>
      <c r="Q617" s="111"/>
      <c r="R617" s="112"/>
      <c r="S617" s="111"/>
    </row>
    <row r="618" spans="12:19" ht="12.75" x14ac:dyDescent="0.2">
      <c r="L618" s="113"/>
      <c r="O618" s="111"/>
      <c r="P618" s="111"/>
      <c r="Q618" s="111"/>
      <c r="R618" s="112"/>
      <c r="S618" s="111"/>
    </row>
    <row r="619" spans="12:19" ht="12.75" x14ac:dyDescent="0.2">
      <c r="L619" s="113"/>
      <c r="O619" s="111"/>
      <c r="P619" s="111"/>
      <c r="Q619" s="111"/>
      <c r="R619" s="112"/>
      <c r="S619" s="111"/>
    </row>
    <row r="620" spans="12:19" ht="12.75" x14ac:dyDescent="0.2">
      <c r="L620" s="113"/>
      <c r="O620" s="111"/>
      <c r="P620" s="111"/>
      <c r="Q620" s="111"/>
      <c r="R620" s="112"/>
      <c r="S620" s="111"/>
    </row>
    <row r="621" spans="12:19" ht="12.75" x14ac:dyDescent="0.2">
      <c r="L621" s="113"/>
      <c r="O621" s="111"/>
      <c r="P621" s="111"/>
      <c r="Q621" s="111"/>
      <c r="R621" s="112"/>
      <c r="S621" s="111"/>
    </row>
    <row r="622" spans="12:19" ht="12.75" x14ac:dyDescent="0.2">
      <c r="L622" s="113"/>
      <c r="O622" s="111"/>
      <c r="P622" s="111"/>
      <c r="Q622" s="111"/>
      <c r="R622" s="112"/>
      <c r="S622" s="111"/>
    </row>
    <row r="623" spans="12:19" ht="12.75" x14ac:dyDescent="0.2">
      <c r="L623" s="113"/>
      <c r="O623" s="111"/>
      <c r="P623" s="111"/>
      <c r="Q623" s="111"/>
      <c r="R623" s="112"/>
      <c r="S623" s="111"/>
    </row>
    <row r="624" spans="12:19" ht="12.75" x14ac:dyDescent="0.2">
      <c r="L624" s="113"/>
      <c r="O624" s="111"/>
      <c r="P624" s="111"/>
      <c r="Q624" s="111"/>
      <c r="R624" s="112"/>
      <c r="S624" s="111"/>
    </row>
    <row r="625" spans="12:19" ht="12.75" x14ac:dyDescent="0.2">
      <c r="L625" s="113"/>
      <c r="O625" s="111"/>
      <c r="P625" s="111"/>
      <c r="Q625" s="111"/>
      <c r="R625" s="112"/>
      <c r="S625" s="111"/>
    </row>
    <row r="626" spans="12:19" ht="12.75" x14ac:dyDescent="0.2">
      <c r="L626" s="113"/>
      <c r="O626" s="111"/>
      <c r="P626" s="111"/>
      <c r="Q626" s="111"/>
      <c r="R626" s="112"/>
      <c r="S626" s="111"/>
    </row>
    <row r="627" spans="12:19" ht="12.75" x14ac:dyDescent="0.2">
      <c r="L627" s="113"/>
      <c r="O627" s="111"/>
      <c r="P627" s="111"/>
      <c r="Q627" s="111"/>
      <c r="R627" s="112"/>
      <c r="S627" s="111"/>
    </row>
    <row r="628" spans="12:19" ht="12.75" x14ac:dyDescent="0.2">
      <c r="L628" s="113"/>
      <c r="O628" s="111"/>
      <c r="P628" s="111"/>
      <c r="Q628" s="111"/>
      <c r="R628" s="112"/>
      <c r="S628" s="111"/>
    </row>
    <row r="629" spans="12:19" ht="12.75" x14ac:dyDescent="0.2">
      <c r="L629" s="113"/>
      <c r="O629" s="111"/>
      <c r="P629" s="111"/>
      <c r="Q629" s="111"/>
      <c r="R629" s="112"/>
      <c r="S629" s="111"/>
    </row>
    <row r="630" spans="12:19" ht="12.75" x14ac:dyDescent="0.2">
      <c r="L630" s="113"/>
      <c r="O630" s="111"/>
      <c r="P630" s="111"/>
      <c r="Q630" s="111"/>
      <c r="R630" s="112"/>
      <c r="S630" s="111"/>
    </row>
    <row r="631" spans="12:19" ht="12.75" x14ac:dyDescent="0.2">
      <c r="L631" s="113"/>
      <c r="O631" s="111"/>
      <c r="P631" s="111"/>
      <c r="Q631" s="111"/>
      <c r="R631" s="112"/>
      <c r="S631" s="111"/>
    </row>
    <row r="632" spans="12:19" ht="12.75" x14ac:dyDescent="0.2">
      <c r="L632" s="113"/>
      <c r="O632" s="111"/>
      <c r="P632" s="111"/>
      <c r="Q632" s="111"/>
      <c r="R632" s="112"/>
      <c r="S632" s="111"/>
    </row>
    <row r="633" spans="12:19" ht="12.75" x14ac:dyDescent="0.2">
      <c r="L633" s="113"/>
      <c r="O633" s="111"/>
      <c r="P633" s="111"/>
      <c r="Q633" s="111"/>
      <c r="R633" s="112"/>
      <c r="S633" s="111"/>
    </row>
    <row r="634" spans="12:19" ht="12.75" x14ac:dyDescent="0.2">
      <c r="L634" s="113"/>
      <c r="O634" s="111"/>
      <c r="P634" s="111"/>
      <c r="Q634" s="111"/>
      <c r="R634" s="112"/>
      <c r="S634" s="111"/>
    </row>
    <row r="635" spans="12:19" ht="12.75" x14ac:dyDescent="0.2">
      <c r="L635" s="113"/>
      <c r="O635" s="111"/>
      <c r="P635" s="111"/>
      <c r="Q635" s="111"/>
      <c r="R635" s="112"/>
      <c r="S635" s="111"/>
    </row>
    <row r="636" spans="12:19" ht="12.75" x14ac:dyDescent="0.2">
      <c r="L636" s="113"/>
      <c r="O636" s="111"/>
      <c r="P636" s="111"/>
      <c r="Q636" s="111"/>
      <c r="R636" s="112"/>
      <c r="S636" s="111"/>
    </row>
    <row r="637" spans="12:19" ht="12.75" x14ac:dyDescent="0.2">
      <c r="L637" s="113"/>
      <c r="O637" s="111"/>
      <c r="P637" s="111"/>
      <c r="Q637" s="111"/>
      <c r="R637" s="112"/>
      <c r="S637" s="111"/>
    </row>
    <row r="638" spans="12:19" ht="12.75" x14ac:dyDescent="0.2">
      <c r="L638" s="113"/>
      <c r="O638" s="111"/>
      <c r="P638" s="111"/>
      <c r="Q638" s="111"/>
      <c r="R638" s="112"/>
      <c r="S638" s="111"/>
    </row>
    <row r="639" spans="12:19" ht="12.75" x14ac:dyDescent="0.2">
      <c r="L639" s="113"/>
      <c r="O639" s="111"/>
      <c r="P639" s="111"/>
      <c r="Q639" s="111"/>
      <c r="R639" s="112"/>
      <c r="S639" s="111"/>
    </row>
    <row r="640" spans="12:19" ht="12.75" x14ac:dyDescent="0.2">
      <c r="L640" s="113"/>
      <c r="O640" s="111"/>
      <c r="P640" s="111"/>
      <c r="Q640" s="111"/>
      <c r="R640" s="112"/>
      <c r="S640" s="111"/>
    </row>
    <row r="641" spans="12:19" ht="12.75" x14ac:dyDescent="0.2">
      <c r="L641" s="113"/>
      <c r="O641" s="111"/>
      <c r="P641" s="111"/>
      <c r="Q641" s="111"/>
      <c r="R641" s="112"/>
      <c r="S641" s="111"/>
    </row>
    <row r="642" spans="12:19" ht="12.75" x14ac:dyDescent="0.2">
      <c r="L642" s="113"/>
      <c r="O642" s="111"/>
      <c r="P642" s="111"/>
      <c r="Q642" s="111"/>
      <c r="R642" s="112"/>
      <c r="S642" s="111"/>
    </row>
    <row r="643" spans="12:19" ht="12.75" x14ac:dyDescent="0.2">
      <c r="L643" s="113"/>
      <c r="O643" s="111"/>
      <c r="P643" s="111"/>
      <c r="Q643" s="111"/>
      <c r="R643" s="112"/>
      <c r="S643" s="111"/>
    </row>
    <row r="644" spans="12:19" ht="12.75" x14ac:dyDescent="0.2">
      <c r="L644" s="113"/>
      <c r="O644" s="111"/>
      <c r="P644" s="111"/>
      <c r="Q644" s="111"/>
      <c r="R644" s="112"/>
      <c r="S644" s="111"/>
    </row>
    <row r="645" spans="12:19" ht="12.75" x14ac:dyDescent="0.2">
      <c r="L645" s="113"/>
      <c r="O645" s="111"/>
      <c r="P645" s="111"/>
      <c r="Q645" s="111"/>
      <c r="R645" s="112"/>
      <c r="S645" s="111"/>
    </row>
    <row r="646" spans="12:19" ht="12.75" x14ac:dyDescent="0.2">
      <c r="L646" s="113"/>
      <c r="O646" s="111"/>
      <c r="P646" s="111"/>
      <c r="Q646" s="111"/>
      <c r="R646" s="112"/>
      <c r="S646" s="111"/>
    </row>
    <row r="647" spans="12:19" ht="12.75" x14ac:dyDescent="0.2">
      <c r="L647" s="113"/>
      <c r="O647" s="111"/>
      <c r="P647" s="111"/>
      <c r="Q647" s="111"/>
      <c r="R647" s="112"/>
      <c r="S647" s="111"/>
    </row>
    <row r="648" spans="12:19" ht="12.75" x14ac:dyDescent="0.2">
      <c r="L648" s="113"/>
      <c r="O648" s="111"/>
      <c r="P648" s="111"/>
      <c r="Q648" s="111"/>
      <c r="R648" s="112"/>
      <c r="S648" s="111"/>
    </row>
    <row r="649" spans="12:19" ht="12.75" x14ac:dyDescent="0.2">
      <c r="L649" s="113"/>
      <c r="O649" s="111"/>
      <c r="P649" s="111"/>
      <c r="Q649" s="111"/>
      <c r="R649" s="112"/>
      <c r="S649" s="111"/>
    </row>
    <row r="650" spans="12:19" ht="12.75" x14ac:dyDescent="0.2">
      <c r="L650" s="113"/>
      <c r="O650" s="111"/>
      <c r="P650" s="111"/>
      <c r="Q650" s="111"/>
      <c r="R650" s="112"/>
      <c r="S650" s="111"/>
    </row>
    <row r="651" spans="12:19" ht="12.75" x14ac:dyDescent="0.2">
      <c r="L651" s="113"/>
      <c r="O651" s="111"/>
      <c r="P651" s="111"/>
      <c r="Q651" s="111"/>
      <c r="R651" s="112"/>
      <c r="S651" s="111"/>
    </row>
    <row r="652" spans="12:19" ht="12.75" x14ac:dyDescent="0.2">
      <c r="L652" s="113"/>
      <c r="O652" s="111"/>
      <c r="P652" s="111"/>
      <c r="Q652" s="111"/>
      <c r="R652" s="112"/>
      <c r="S652" s="111"/>
    </row>
    <row r="653" spans="12:19" ht="12.75" x14ac:dyDescent="0.2">
      <c r="L653" s="113"/>
      <c r="O653" s="111"/>
      <c r="P653" s="111"/>
      <c r="Q653" s="111"/>
      <c r="R653" s="112"/>
      <c r="S653" s="111"/>
    </row>
    <row r="654" spans="12:19" ht="12.75" x14ac:dyDescent="0.2">
      <c r="L654" s="113"/>
      <c r="O654" s="111"/>
      <c r="P654" s="111"/>
      <c r="Q654" s="111"/>
      <c r="R654" s="112"/>
      <c r="S654" s="111"/>
    </row>
    <row r="655" spans="12:19" ht="12.75" x14ac:dyDescent="0.2">
      <c r="L655" s="113"/>
      <c r="O655" s="111"/>
      <c r="P655" s="111"/>
      <c r="Q655" s="111"/>
      <c r="R655" s="112"/>
      <c r="S655" s="111"/>
    </row>
    <row r="656" spans="12:19" ht="12.75" x14ac:dyDescent="0.2">
      <c r="L656" s="113"/>
      <c r="O656" s="111"/>
      <c r="P656" s="111"/>
      <c r="Q656" s="111"/>
      <c r="R656" s="112"/>
      <c r="S656" s="111"/>
    </row>
    <row r="657" spans="12:19" ht="12.75" x14ac:dyDescent="0.2">
      <c r="L657" s="113"/>
      <c r="O657" s="111"/>
      <c r="P657" s="111"/>
      <c r="Q657" s="111"/>
      <c r="R657" s="112"/>
      <c r="S657" s="111"/>
    </row>
    <row r="658" spans="12:19" ht="12.75" x14ac:dyDescent="0.2">
      <c r="L658" s="113"/>
      <c r="O658" s="111"/>
      <c r="P658" s="111"/>
      <c r="Q658" s="111"/>
      <c r="R658" s="112"/>
      <c r="S658" s="111"/>
    </row>
    <row r="659" spans="12:19" ht="12.75" x14ac:dyDescent="0.2">
      <c r="L659" s="113"/>
      <c r="O659" s="111"/>
      <c r="P659" s="111"/>
      <c r="Q659" s="111"/>
      <c r="R659" s="112"/>
      <c r="S659" s="111"/>
    </row>
    <row r="660" spans="12:19" ht="12.75" x14ac:dyDescent="0.2">
      <c r="L660" s="113"/>
      <c r="O660" s="111"/>
      <c r="P660" s="111"/>
      <c r="Q660" s="111"/>
      <c r="R660" s="112"/>
      <c r="S660" s="111"/>
    </row>
    <row r="661" spans="12:19" ht="12.75" x14ac:dyDescent="0.2">
      <c r="L661" s="113"/>
      <c r="O661" s="111"/>
      <c r="P661" s="111"/>
      <c r="Q661" s="111"/>
      <c r="R661" s="112"/>
      <c r="S661" s="111"/>
    </row>
    <row r="662" spans="12:19" ht="12.75" x14ac:dyDescent="0.2">
      <c r="L662" s="113"/>
      <c r="O662" s="111"/>
      <c r="P662" s="111"/>
      <c r="Q662" s="111"/>
      <c r="R662" s="112"/>
      <c r="S662" s="111"/>
    </row>
    <row r="663" spans="12:19" ht="12.75" x14ac:dyDescent="0.2">
      <c r="L663" s="113"/>
      <c r="O663" s="111"/>
      <c r="P663" s="111"/>
      <c r="Q663" s="111"/>
      <c r="R663" s="112"/>
      <c r="S663" s="111"/>
    </row>
    <row r="664" spans="12:19" ht="12.75" x14ac:dyDescent="0.2">
      <c r="L664" s="113"/>
      <c r="O664" s="111"/>
      <c r="P664" s="111"/>
      <c r="Q664" s="111"/>
      <c r="R664" s="112"/>
      <c r="S664" s="111"/>
    </row>
    <row r="665" spans="12:19" ht="12.75" x14ac:dyDescent="0.2">
      <c r="L665" s="113"/>
      <c r="O665" s="111"/>
      <c r="P665" s="111"/>
      <c r="Q665" s="111"/>
      <c r="R665" s="112"/>
      <c r="S665" s="111"/>
    </row>
    <row r="666" spans="12:19" ht="12.75" x14ac:dyDescent="0.2">
      <c r="L666" s="113"/>
      <c r="O666" s="111"/>
      <c r="P666" s="111"/>
      <c r="Q666" s="111"/>
      <c r="R666" s="112"/>
      <c r="S666" s="111"/>
    </row>
    <row r="667" spans="12:19" ht="12.75" x14ac:dyDescent="0.2">
      <c r="L667" s="113"/>
      <c r="O667" s="111"/>
      <c r="P667" s="111"/>
      <c r="Q667" s="111"/>
      <c r="R667" s="112"/>
      <c r="S667" s="111"/>
    </row>
    <row r="668" spans="12:19" ht="12.75" x14ac:dyDescent="0.2">
      <c r="L668" s="113"/>
      <c r="O668" s="111"/>
      <c r="P668" s="111"/>
      <c r="Q668" s="111"/>
      <c r="R668" s="112"/>
      <c r="S668" s="111"/>
    </row>
    <row r="669" spans="12:19" ht="12.75" x14ac:dyDescent="0.2">
      <c r="L669" s="113"/>
      <c r="O669" s="111"/>
      <c r="P669" s="111"/>
      <c r="Q669" s="111"/>
      <c r="R669" s="112"/>
      <c r="S669" s="111"/>
    </row>
    <row r="670" spans="12:19" ht="12.75" x14ac:dyDescent="0.2">
      <c r="L670" s="113"/>
      <c r="O670" s="111"/>
      <c r="P670" s="111"/>
      <c r="Q670" s="111"/>
      <c r="R670" s="112"/>
      <c r="S670" s="111"/>
    </row>
    <row r="671" spans="12:19" ht="12.75" x14ac:dyDescent="0.2">
      <c r="L671" s="113"/>
      <c r="O671" s="111"/>
      <c r="P671" s="111"/>
      <c r="Q671" s="111"/>
      <c r="R671" s="112"/>
      <c r="S671" s="111"/>
    </row>
    <row r="672" spans="12:19" ht="12.75" x14ac:dyDescent="0.2">
      <c r="L672" s="113"/>
      <c r="O672" s="111"/>
      <c r="P672" s="111"/>
      <c r="Q672" s="111"/>
      <c r="R672" s="112"/>
      <c r="S672" s="111"/>
    </row>
    <row r="673" spans="12:19" ht="12.75" x14ac:dyDescent="0.2">
      <c r="L673" s="113"/>
      <c r="O673" s="111"/>
      <c r="P673" s="111"/>
      <c r="Q673" s="111"/>
      <c r="R673" s="112"/>
      <c r="S673" s="111"/>
    </row>
    <row r="674" spans="12:19" ht="12.75" x14ac:dyDescent="0.2">
      <c r="L674" s="113"/>
      <c r="O674" s="111"/>
      <c r="P674" s="111"/>
      <c r="Q674" s="111"/>
      <c r="R674" s="112"/>
      <c r="S674" s="111"/>
    </row>
    <row r="675" spans="12:19" ht="12.75" x14ac:dyDescent="0.2">
      <c r="L675" s="113"/>
      <c r="O675" s="111"/>
      <c r="P675" s="111"/>
      <c r="Q675" s="111"/>
      <c r="R675" s="112"/>
      <c r="S675" s="111"/>
    </row>
    <row r="676" spans="12:19" ht="12.75" x14ac:dyDescent="0.2">
      <c r="L676" s="113"/>
      <c r="O676" s="111"/>
      <c r="P676" s="111"/>
      <c r="Q676" s="111"/>
      <c r="R676" s="112"/>
      <c r="S676" s="111"/>
    </row>
    <row r="677" spans="12:19" ht="12.75" x14ac:dyDescent="0.2">
      <c r="L677" s="113"/>
      <c r="O677" s="111"/>
      <c r="P677" s="111"/>
      <c r="Q677" s="111"/>
      <c r="R677" s="112"/>
      <c r="S677" s="111"/>
    </row>
    <row r="678" spans="12:19" ht="12.75" x14ac:dyDescent="0.2">
      <c r="L678" s="113"/>
      <c r="O678" s="111"/>
      <c r="P678" s="111"/>
      <c r="Q678" s="111"/>
      <c r="R678" s="112"/>
      <c r="S678" s="111"/>
    </row>
    <row r="679" spans="12:19" ht="12.75" x14ac:dyDescent="0.2">
      <c r="L679" s="113"/>
      <c r="O679" s="111"/>
      <c r="P679" s="111"/>
      <c r="Q679" s="111"/>
      <c r="R679" s="112"/>
      <c r="S679" s="111"/>
    </row>
    <row r="680" spans="12:19" ht="12.75" x14ac:dyDescent="0.2">
      <c r="L680" s="113"/>
      <c r="O680" s="111"/>
      <c r="P680" s="111"/>
      <c r="Q680" s="111"/>
      <c r="R680" s="112"/>
      <c r="S680" s="111"/>
    </row>
    <row r="681" spans="12:19" ht="12.75" x14ac:dyDescent="0.2">
      <c r="L681" s="113"/>
      <c r="O681" s="111"/>
      <c r="P681" s="111"/>
      <c r="Q681" s="111"/>
      <c r="R681" s="112"/>
      <c r="S681" s="111"/>
    </row>
    <row r="682" spans="12:19" ht="12.75" x14ac:dyDescent="0.2">
      <c r="L682" s="113"/>
      <c r="O682" s="111"/>
      <c r="P682" s="111"/>
      <c r="Q682" s="111"/>
      <c r="R682" s="112"/>
      <c r="S682" s="111"/>
    </row>
    <row r="683" spans="12:19" ht="12.75" x14ac:dyDescent="0.2">
      <c r="L683" s="113"/>
      <c r="O683" s="111"/>
      <c r="P683" s="111"/>
      <c r="Q683" s="111"/>
      <c r="R683" s="112"/>
      <c r="S683" s="111"/>
    </row>
    <row r="684" spans="12:19" ht="12.75" x14ac:dyDescent="0.2">
      <c r="L684" s="113"/>
      <c r="O684" s="111"/>
      <c r="P684" s="111"/>
      <c r="Q684" s="111"/>
      <c r="R684" s="112"/>
      <c r="S684" s="111"/>
    </row>
    <row r="685" spans="12:19" ht="12.75" x14ac:dyDescent="0.2">
      <c r="L685" s="113"/>
      <c r="O685" s="111"/>
      <c r="P685" s="111"/>
      <c r="Q685" s="111"/>
      <c r="R685" s="112"/>
      <c r="S685" s="111"/>
    </row>
    <row r="686" spans="12:19" ht="12.75" x14ac:dyDescent="0.2">
      <c r="L686" s="113"/>
      <c r="O686" s="111"/>
      <c r="P686" s="111"/>
      <c r="Q686" s="111"/>
      <c r="R686" s="112"/>
      <c r="S686" s="111"/>
    </row>
    <row r="687" spans="12:19" ht="12.75" x14ac:dyDescent="0.2">
      <c r="L687" s="113"/>
      <c r="O687" s="111"/>
      <c r="P687" s="111"/>
      <c r="Q687" s="111"/>
      <c r="R687" s="112"/>
      <c r="S687" s="111"/>
    </row>
    <row r="688" spans="12:19" ht="12.75" x14ac:dyDescent="0.2">
      <c r="L688" s="113"/>
      <c r="O688" s="111"/>
      <c r="P688" s="111"/>
      <c r="Q688" s="111"/>
      <c r="R688" s="112"/>
      <c r="S688" s="111"/>
    </row>
    <row r="689" spans="12:19" ht="12.75" x14ac:dyDescent="0.2">
      <c r="L689" s="113"/>
      <c r="O689" s="111"/>
      <c r="P689" s="111"/>
      <c r="Q689" s="111"/>
      <c r="R689" s="112"/>
      <c r="S689" s="111"/>
    </row>
    <row r="690" spans="12:19" ht="12.75" x14ac:dyDescent="0.2">
      <c r="L690" s="113"/>
      <c r="O690" s="111"/>
      <c r="P690" s="111"/>
      <c r="Q690" s="111"/>
      <c r="R690" s="112"/>
      <c r="S690" s="111"/>
    </row>
    <row r="691" spans="12:19" ht="12.75" x14ac:dyDescent="0.2">
      <c r="L691" s="113"/>
      <c r="O691" s="111"/>
      <c r="P691" s="111"/>
      <c r="Q691" s="111"/>
      <c r="R691" s="112"/>
      <c r="S691" s="111"/>
    </row>
    <row r="692" spans="12:19" ht="12.75" x14ac:dyDescent="0.2">
      <c r="L692" s="113"/>
      <c r="O692" s="111"/>
      <c r="P692" s="111"/>
      <c r="Q692" s="111"/>
      <c r="R692" s="112"/>
      <c r="S692" s="111"/>
    </row>
    <row r="693" spans="12:19" ht="12.75" x14ac:dyDescent="0.2">
      <c r="L693" s="113"/>
      <c r="O693" s="111"/>
      <c r="P693" s="111"/>
      <c r="Q693" s="111"/>
      <c r="R693" s="112"/>
      <c r="S693" s="111"/>
    </row>
    <row r="694" spans="12:19" ht="12.75" x14ac:dyDescent="0.2">
      <c r="L694" s="113"/>
      <c r="O694" s="111"/>
      <c r="P694" s="111"/>
      <c r="Q694" s="111"/>
      <c r="R694" s="112"/>
      <c r="S694" s="111"/>
    </row>
    <row r="695" spans="12:19" ht="12.75" x14ac:dyDescent="0.2">
      <c r="L695" s="113"/>
      <c r="O695" s="111"/>
      <c r="P695" s="111"/>
      <c r="Q695" s="111"/>
      <c r="R695" s="112"/>
      <c r="S695" s="111"/>
    </row>
    <row r="696" spans="12:19" ht="12.75" x14ac:dyDescent="0.2">
      <c r="L696" s="113"/>
      <c r="O696" s="111"/>
      <c r="P696" s="111"/>
      <c r="Q696" s="111"/>
      <c r="R696" s="112"/>
      <c r="S696" s="111"/>
    </row>
    <row r="697" spans="12:19" ht="12.75" x14ac:dyDescent="0.2">
      <c r="L697" s="113"/>
      <c r="O697" s="111"/>
      <c r="P697" s="111"/>
      <c r="Q697" s="111"/>
      <c r="R697" s="112"/>
      <c r="S697" s="111"/>
    </row>
    <row r="698" spans="12:19" ht="12.75" x14ac:dyDescent="0.2">
      <c r="L698" s="113"/>
      <c r="O698" s="111"/>
      <c r="P698" s="111"/>
      <c r="Q698" s="111"/>
      <c r="R698" s="112"/>
      <c r="S698" s="111"/>
    </row>
    <row r="699" spans="12:19" ht="12.75" x14ac:dyDescent="0.2">
      <c r="L699" s="113"/>
      <c r="O699" s="111"/>
      <c r="P699" s="111"/>
      <c r="Q699" s="111"/>
      <c r="R699" s="112"/>
      <c r="S699" s="111"/>
    </row>
    <row r="700" spans="12:19" ht="12.75" x14ac:dyDescent="0.2">
      <c r="L700" s="113"/>
      <c r="O700" s="111"/>
      <c r="P700" s="111"/>
      <c r="Q700" s="111"/>
      <c r="R700" s="112"/>
      <c r="S700" s="111"/>
    </row>
    <row r="701" spans="12:19" ht="12.75" x14ac:dyDescent="0.2">
      <c r="L701" s="113"/>
      <c r="O701" s="111"/>
      <c r="P701" s="111"/>
      <c r="Q701" s="111"/>
      <c r="R701" s="112"/>
      <c r="S701" s="111"/>
    </row>
    <row r="702" spans="12:19" ht="12.75" x14ac:dyDescent="0.2">
      <c r="L702" s="113"/>
      <c r="O702" s="111"/>
      <c r="P702" s="111"/>
      <c r="Q702" s="111"/>
      <c r="R702" s="112"/>
      <c r="S702" s="111"/>
    </row>
    <row r="703" spans="12:19" ht="12.75" x14ac:dyDescent="0.2">
      <c r="L703" s="113"/>
      <c r="O703" s="111"/>
      <c r="P703" s="111"/>
      <c r="Q703" s="111"/>
      <c r="R703" s="112"/>
      <c r="S703" s="111"/>
    </row>
    <row r="704" spans="12:19" ht="12.75" x14ac:dyDescent="0.2">
      <c r="L704" s="113"/>
      <c r="O704" s="111"/>
      <c r="P704" s="111"/>
      <c r="Q704" s="111"/>
      <c r="R704" s="112"/>
      <c r="S704" s="111"/>
    </row>
    <row r="705" spans="12:19" ht="12.75" x14ac:dyDescent="0.2">
      <c r="L705" s="113"/>
      <c r="O705" s="111"/>
      <c r="P705" s="111"/>
      <c r="Q705" s="111"/>
      <c r="R705" s="112"/>
      <c r="S705" s="111"/>
    </row>
    <row r="706" spans="12:19" ht="12.75" x14ac:dyDescent="0.2">
      <c r="L706" s="113"/>
      <c r="O706" s="111"/>
      <c r="P706" s="111"/>
      <c r="Q706" s="111"/>
      <c r="R706" s="112"/>
      <c r="S706" s="111"/>
    </row>
    <row r="707" spans="12:19" ht="12.75" x14ac:dyDescent="0.2">
      <c r="L707" s="113"/>
      <c r="O707" s="111"/>
      <c r="P707" s="111"/>
      <c r="Q707" s="111"/>
      <c r="R707" s="112"/>
      <c r="S707" s="111"/>
    </row>
    <row r="708" spans="12:19" ht="12.75" x14ac:dyDescent="0.2">
      <c r="L708" s="113"/>
      <c r="O708" s="111"/>
      <c r="P708" s="111"/>
      <c r="Q708" s="111"/>
      <c r="R708" s="112"/>
      <c r="S708" s="111"/>
    </row>
    <row r="709" spans="12:19" ht="12.75" x14ac:dyDescent="0.2">
      <c r="L709" s="113"/>
      <c r="O709" s="111"/>
      <c r="P709" s="111"/>
      <c r="Q709" s="111"/>
      <c r="R709" s="112"/>
      <c r="S709" s="111"/>
    </row>
    <row r="710" spans="12:19" ht="12.75" x14ac:dyDescent="0.2">
      <c r="L710" s="113"/>
      <c r="O710" s="111"/>
      <c r="P710" s="111"/>
      <c r="Q710" s="111"/>
      <c r="R710" s="112"/>
      <c r="S710" s="111"/>
    </row>
    <row r="711" spans="12:19" ht="12.75" x14ac:dyDescent="0.2">
      <c r="L711" s="113"/>
      <c r="O711" s="111"/>
      <c r="P711" s="111"/>
      <c r="Q711" s="111"/>
      <c r="R711" s="112"/>
      <c r="S711" s="111"/>
    </row>
    <row r="712" spans="12:19" ht="12.75" x14ac:dyDescent="0.2">
      <c r="L712" s="113"/>
      <c r="O712" s="111"/>
      <c r="P712" s="111"/>
      <c r="Q712" s="111"/>
      <c r="R712" s="112"/>
      <c r="S712" s="111"/>
    </row>
    <row r="713" spans="12:19" ht="12.75" x14ac:dyDescent="0.2">
      <c r="L713" s="113"/>
      <c r="O713" s="111"/>
      <c r="P713" s="111"/>
      <c r="Q713" s="111"/>
      <c r="R713" s="112"/>
      <c r="S713" s="111"/>
    </row>
    <row r="714" spans="12:19" ht="12.75" x14ac:dyDescent="0.2">
      <c r="L714" s="113"/>
      <c r="O714" s="111"/>
      <c r="P714" s="111"/>
      <c r="Q714" s="111"/>
      <c r="R714" s="112"/>
      <c r="S714" s="111"/>
    </row>
    <row r="715" spans="12:19" ht="12.75" x14ac:dyDescent="0.2">
      <c r="L715" s="113"/>
      <c r="O715" s="111"/>
      <c r="P715" s="111"/>
      <c r="Q715" s="111"/>
      <c r="R715" s="112"/>
      <c r="S715" s="111"/>
    </row>
    <row r="716" spans="12:19" ht="12.75" x14ac:dyDescent="0.2">
      <c r="L716" s="113"/>
      <c r="O716" s="111"/>
      <c r="P716" s="111"/>
      <c r="Q716" s="111"/>
      <c r="R716" s="112"/>
      <c r="S716" s="111"/>
    </row>
    <row r="717" spans="12:19" ht="12.75" x14ac:dyDescent="0.2">
      <c r="L717" s="113"/>
      <c r="O717" s="111"/>
      <c r="P717" s="111"/>
      <c r="Q717" s="111"/>
      <c r="R717" s="112"/>
      <c r="S717" s="111"/>
    </row>
    <row r="718" spans="12:19" ht="12.75" x14ac:dyDescent="0.2">
      <c r="L718" s="113"/>
      <c r="O718" s="111"/>
      <c r="P718" s="111"/>
      <c r="Q718" s="111"/>
      <c r="R718" s="112"/>
      <c r="S718" s="111"/>
    </row>
    <row r="719" spans="12:19" ht="12.75" x14ac:dyDescent="0.2">
      <c r="L719" s="113"/>
      <c r="O719" s="111"/>
      <c r="P719" s="111"/>
      <c r="Q719" s="111"/>
      <c r="R719" s="112"/>
      <c r="S719" s="111"/>
    </row>
    <row r="720" spans="12:19" ht="12.75" x14ac:dyDescent="0.2">
      <c r="L720" s="113"/>
      <c r="O720" s="111"/>
      <c r="P720" s="111"/>
      <c r="Q720" s="111"/>
      <c r="R720" s="112"/>
      <c r="S720" s="111"/>
    </row>
    <row r="721" spans="12:19" ht="12.75" x14ac:dyDescent="0.2">
      <c r="L721" s="113"/>
      <c r="O721" s="111"/>
      <c r="P721" s="111"/>
      <c r="Q721" s="111"/>
      <c r="R721" s="112"/>
      <c r="S721" s="111"/>
    </row>
    <row r="722" spans="12:19" ht="12.75" x14ac:dyDescent="0.2">
      <c r="L722" s="113"/>
      <c r="O722" s="111"/>
      <c r="P722" s="111"/>
      <c r="Q722" s="111"/>
      <c r="R722" s="112"/>
      <c r="S722" s="111"/>
    </row>
    <row r="723" spans="12:19" ht="12.75" x14ac:dyDescent="0.2">
      <c r="L723" s="113"/>
      <c r="O723" s="111"/>
      <c r="P723" s="111"/>
      <c r="Q723" s="111"/>
      <c r="R723" s="112"/>
      <c r="S723" s="111"/>
    </row>
    <row r="724" spans="12:19" ht="12.75" x14ac:dyDescent="0.2">
      <c r="L724" s="113"/>
      <c r="O724" s="111"/>
      <c r="P724" s="111"/>
      <c r="Q724" s="111"/>
      <c r="R724" s="112"/>
      <c r="S724" s="111"/>
    </row>
    <row r="725" spans="12:19" ht="12.75" x14ac:dyDescent="0.2">
      <c r="L725" s="113"/>
      <c r="O725" s="111"/>
      <c r="P725" s="111"/>
      <c r="Q725" s="111"/>
      <c r="R725" s="112"/>
      <c r="S725" s="111"/>
    </row>
    <row r="726" spans="12:19" ht="12.75" x14ac:dyDescent="0.2">
      <c r="L726" s="113"/>
      <c r="O726" s="111"/>
      <c r="P726" s="111"/>
      <c r="Q726" s="111"/>
      <c r="R726" s="112"/>
      <c r="S726" s="111"/>
    </row>
    <row r="727" spans="12:19" ht="12.75" x14ac:dyDescent="0.2">
      <c r="L727" s="113"/>
      <c r="O727" s="111"/>
      <c r="P727" s="111"/>
      <c r="Q727" s="111"/>
      <c r="R727" s="112"/>
      <c r="S727" s="111"/>
    </row>
    <row r="728" spans="12:19" ht="12.75" x14ac:dyDescent="0.2">
      <c r="L728" s="113"/>
      <c r="O728" s="111"/>
      <c r="P728" s="111"/>
      <c r="Q728" s="111"/>
      <c r="R728" s="112"/>
      <c r="S728" s="111"/>
    </row>
    <row r="729" spans="12:19" ht="12.75" x14ac:dyDescent="0.2">
      <c r="L729" s="113"/>
      <c r="O729" s="111"/>
      <c r="P729" s="111"/>
      <c r="Q729" s="111"/>
      <c r="R729" s="112"/>
      <c r="S729" s="111"/>
    </row>
    <row r="730" spans="12:19" ht="12.75" x14ac:dyDescent="0.2">
      <c r="L730" s="113"/>
      <c r="O730" s="111"/>
      <c r="P730" s="111"/>
      <c r="Q730" s="111"/>
      <c r="R730" s="112"/>
      <c r="S730" s="111"/>
    </row>
    <row r="731" spans="12:19" ht="12.75" x14ac:dyDescent="0.2">
      <c r="L731" s="113"/>
      <c r="O731" s="111"/>
      <c r="P731" s="111"/>
      <c r="Q731" s="111"/>
      <c r="R731" s="112"/>
      <c r="S731" s="111"/>
    </row>
    <row r="732" spans="12:19" ht="12.75" x14ac:dyDescent="0.2">
      <c r="L732" s="113"/>
      <c r="O732" s="111"/>
      <c r="P732" s="111"/>
      <c r="Q732" s="111"/>
      <c r="R732" s="112"/>
      <c r="S732" s="111"/>
    </row>
    <row r="733" spans="12:19" ht="12.75" x14ac:dyDescent="0.2">
      <c r="L733" s="113"/>
      <c r="O733" s="111"/>
      <c r="P733" s="111"/>
      <c r="Q733" s="111"/>
      <c r="R733" s="112"/>
      <c r="S733" s="111"/>
    </row>
    <row r="734" spans="12:19" ht="12.75" x14ac:dyDescent="0.2">
      <c r="L734" s="113"/>
      <c r="O734" s="111"/>
      <c r="P734" s="111"/>
      <c r="Q734" s="111"/>
      <c r="R734" s="112"/>
      <c r="S734" s="111"/>
    </row>
    <row r="735" spans="12:19" ht="12.75" x14ac:dyDescent="0.2">
      <c r="L735" s="113"/>
      <c r="O735" s="111"/>
      <c r="P735" s="111"/>
      <c r="Q735" s="111"/>
      <c r="R735" s="112"/>
      <c r="S735" s="111"/>
    </row>
    <row r="736" spans="12:19" ht="12.75" x14ac:dyDescent="0.2">
      <c r="L736" s="113"/>
      <c r="O736" s="111"/>
      <c r="P736" s="111"/>
      <c r="Q736" s="111"/>
      <c r="R736" s="112"/>
      <c r="S736" s="111"/>
    </row>
    <row r="737" spans="12:19" ht="12.75" x14ac:dyDescent="0.2">
      <c r="L737" s="113"/>
      <c r="O737" s="111"/>
      <c r="P737" s="111"/>
      <c r="Q737" s="111"/>
      <c r="R737" s="112"/>
      <c r="S737" s="111"/>
    </row>
    <row r="738" spans="12:19" ht="12.75" x14ac:dyDescent="0.2">
      <c r="L738" s="113"/>
      <c r="O738" s="111"/>
      <c r="P738" s="111"/>
      <c r="Q738" s="111"/>
      <c r="R738" s="112"/>
      <c r="S738" s="111"/>
    </row>
    <row r="739" spans="12:19" ht="12.75" x14ac:dyDescent="0.2">
      <c r="L739" s="113"/>
      <c r="O739" s="111"/>
      <c r="P739" s="111"/>
      <c r="Q739" s="111"/>
      <c r="R739" s="112"/>
      <c r="S739" s="111"/>
    </row>
    <row r="740" spans="12:19" ht="12.75" x14ac:dyDescent="0.2">
      <c r="L740" s="113"/>
      <c r="O740" s="111"/>
      <c r="P740" s="111"/>
      <c r="Q740" s="111"/>
      <c r="R740" s="112"/>
      <c r="S740" s="111"/>
    </row>
    <row r="741" spans="12:19" ht="12.75" x14ac:dyDescent="0.2">
      <c r="L741" s="113"/>
      <c r="O741" s="111"/>
      <c r="P741" s="111"/>
      <c r="Q741" s="111"/>
      <c r="R741" s="112"/>
      <c r="S741" s="111"/>
    </row>
    <row r="742" spans="12:19" ht="12.75" x14ac:dyDescent="0.2">
      <c r="L742" s="113"/>
      <c r="O742" s="111"/>
      <c r="P742" s="111"/>
      <c r="Q742" s="111"/>
      <c r="R742" s="112"/>
      <c r="S742" s="111"/>
    </row>
    <row r="743" spans="12:19" ht="12.75" x14ac:dyDescent="0.2">
      <c r="L743" s="113"/>
      <c r="O743" s="111"/>
      <c r="P743" s="111"/>
      <c r="Q743" s="111"/>
      <c r="R743" s="112"/>
      <c r="S743" s="111"/>
    </row>
    <row r="744" spans="12:19" ht="12.75" x14ac:dyDescent="0.2">
      <c r="L744" s="113"/>
      <c r="O744" s="111"/>
      <c r="P744" s="111"/>
      <c r="Q744" s="111"/>
      <c r="R744" s="112"/>
      <c r="S744" s="111"/>
    </row>
    <row r="745" spans="12:19" ht="12.75" x14ac:dyDescent="0.2">
      <c r="L745" s="113"/>
      <c r="O745" s="111"/>
      <c r="P745" s="111"/>
      <c r="Q745" s="111"/>
      <c r="R745" s="112"/>
      <c r="S745" s="111"/>
    </row>
    <row r="746" spans="12:19" ht="12.75" x14ac:dyDescent="0.2">
      <c r="L746" s="113"/>
      <c r="O746" s="111"/>
      <c r="P746" s="111"/>
      <c r="Q746" s="111"/>
      <c r="R746" s="112"/>
      <c r="S746" s="111"/>
    </row>
    <row r="747" spans="12:19" ht="12.75" x14ac:dyDescent="0.2">
      <c r="L747" s="113"/>
      <c r="O747" s="111"/>
      <c r="P747" s="111"/>
      <c r="Q747" s="111"/>
      <c r="R747" s="112"/>
      <c r="S747" s="111"/>
    </row>
    <row r="748" spans="12:19" ht="12.75" x14ac:dyDescent="0.2">
      <c r="L748" s="113"/>
      <c r="O748" s="111"/>
      <c r="P748" s="111"/>
      <c r="Q748" s="111"/>
      <c r="R748" s="112"/>
      <c r="S748" s="111"/>
    </row>
    <row r="749" spans="12:19" ht="12.75" x14ac:dyDescent="0.2">
      <c r="L749" s="113"/>
      <c r="O749" s="111"/>
      <c r="P749" s="111"/>
      <c r="Q749" s="111"/>
      <c r="R749" s="112"/>
      <c r="S749" s="111"/>
    </row>
    <row r="750" spans="12:19" ht="12.75" x14ac:dyDescent="0.2">
      <c r="L750" s="113"/>
      <c r="O750" s="111"/>
      <c r="P750" s="111"/>
      <c r="Q750" s="111"/>
      <c r="R750" s="112"/>
      <c r="S750" s="111"/>
    </row>
    <row r="751" spans="12:19" ht="12.75" x14ac:dyDescent="0.2">
      <c r="L751" s="113"/>
      <c r="O751" s="111"/>
      <c r="P751" s="111"/>
      <c r="Q751" s="111"/>
      <c r="R751" s="112"/>
      <c r="S751" s="111"/>
    </row>
    <row r="752" spans="12:19" ht="12.75" x14ac:dyDescent="0.2">
      <c r="L752" s="113"/>
      <c r="O752" s="111"/>
      <c r="P752" s="111"/>
      <c r="Q752" s="111"/>
      <c r="R752" s="112"/>
      <c r="S752" s="111"/>
    </row>
    <row r="753" spans="12:19" ht="12.75" x14ac:dyDescent="0.2">
      <c r="L753" s="113"/>
      <c r="O753" s="111"/>
      <c r="P753" s="111"/>
      <c r="Q753" s="111"/>
      <c r="R753" s="112"/>
      <c r="S753" s="111"/>
    </row>
    <row r="754" spans="12:19" ht="12.75" x14ac:dyDescent="0.2">
      <c r="L754" s="113"/>
      <c r="O754" s="111"/>
      <c r="P754" s="111"/>
      <c r="Q754" s="111"/>
      <c r="R754" s="112"/>
      <c r="S754" s="111"/>
    </row>
    <row r="755" spans="12:19" ht="12.75" x14ac:dyDescent="0.2">
      <c r="L755" s="113"/>
      <c r="O755" s="111"/>
      <c r="P755" s="111"/>
      <c r="Q755" s="111"/>
      <c r="R755" s="112"/>
      <c r="S755" s="111"/>
    </row>
    <row r="756" spans="12:19" ht="12.75" x14ac:dyDescent="0.2">
      <c r="L756" s="113"/>
      <c r="O756" s="111"/>
      <c r="P756" s="111"/>
      <c r="Q756" s="111"/>
      <c r="R756" s="112"/>
      <c r="S756" s="111"/>
    </row>
    <row r="757" spans="12:19" ht="12.75" x14ac:dyDescent="0.2">
      <c r="L757" s="113"/>
      <c r="O757" s="111"/>
      <c r="P757" s="111"/>
      <c r="Q757" s="111"/>
      <c r="R757" s="112"/>
      <c r="S757" s="111"/>
    </row>
    <row r="758" spans="12:19" ht="12.75" x14ac:dyDescent="0.2">
      <c r="L758" s="113"/>
      <c r="O758" s="111"/>
      <c r="P758" s="111"/>
      <c r="Q758" s="111"/>
      <c r="R758" s="112"/>
      <c r="S758" s="111"/>
    </row>
    <row r="759" spans="12:19" ht="12.75" x14ac:dyDescent="0.2">
      <c r="L759" s="113"/>
      <c r="O759" s="111"/>
      <c r="P759" s="111"/>
      <c r="Q759" s="111"/>
      <c r="R759" s="112"/>
      <c r="S759" s="111"/>
    </row>
    <row r="760" spans="12:19" ht="12.75" x14ac:dyDescent="0.2">
      <c r="L760" s="113"/>
      <c r="O760" s="111"/>
      <c r="P760" s="111"/>
      <c r="Q760" s="111"/>
      <c r="R760" s="112"/>
      <c r="S760" s="111"/>
    </row>
    <row r="761" spans="12:19" ht="12.75" x14ac:dyDescent="0.2">
      <c r="L761" s="113"/>
      <c r="O761" s="111"/>
      <c r="P761" s="111"/>
      <c r="Q761" s="111"/>
      <c r="R761" s="112"/>
      <c r="S761" s="111"/>
    </row>
    <row r="762" spans="12:19" ht="12.75" x14ac:dyDescent="0.2">
      <c r="L762" s="113"/>
      <c r="O762" s="111"/>
      <c r="P762" s="111"/>
      <c r="Q762" s="111"/>
      <c r="R762" s="112"/>
      <c r="S762" s="111"/>
    </row>
    <row r="763" spans="12:19" ht="12.75" x14ac:dyDescent="0.2">
      <c r="L763" s="113"/>
      <c r="O763" s="111"/>
      <c r="P763" s="111"/>
      <c r="Q763" s="111"/>
      <c r="R763" s="112"/>
      <c r="S763" s="111"/>
    </row>
    <row r="764" spans="12:19" ht="12.75" x14ac:dyDescent="0.2">
      <c r="L764" s="113"/>
      <c r="O764" s="111"/>
      <c r="P764" s="111"/>
      <c r="Q764" s="111"/>
      <c r="R764" s="112"/>
      <c r="S764" s="111"/>
    </row>
    <row r="765" spans="12:19" ht="12.75" x14ac:dyDescent="0.2">
      <c r="L765" s="113"/>
      <c r="O765" s="111"/>
      <c r="P765" s="111"/>
      <c r="Q765" s="111"/>
      <c r="R765" s="112"/>
      <c r="S765" s="111"/>
    </row>
    <row r="766" spans="12:19" ht="12.75" x14ac:dyDescent="0.2">
      <c r="L766" s="113"/>
      <c r="O766" s="111"/>
      <c r="P766" s="111"/>
      <c r="Q766" s="111"/>
      <c r="R766" s="112"/>
      <c r="S766" s="111"/>
    </row>
    <row r="767" spans="12:19" ht="12.75" x14ac:dyDescent="0.2">
      <c r="L767" s="113"/>
      <c r="O767" s="111"/>
      <c r="P767" s="111"/>
      <c r="Q767" s="111"/>
      <c r="R767" s="112"/>
      <c r="S767" s="111"/>
    </row>
    <row r="768" spans="12:19" ht="12.75" x14ac:dyDescent="0.2">
      <c r="L768" s="113"/>
      <c r="O768" s="111"/>
      <c r="P768" s="111"/>
      <c r="Q768" s="111"/>
      <c r="R768" s="112"/>
      <c r="S768" s="111"/>
    </row>
    <row r="769" spans="12:19" ht="12.75" x14ac:dyDescent="0.2">
      <c r="L769" s="113"/>
      <c r="O769" s="111"/>
      <c r="P769" s="111"/>
      <c r="Q769" s="111"/>
      <c r="R769" s="112"/>
      <c r="S769" s="111"/>
    </row>
    <row r="770" spans="12:19" ht="12.75" x14ac:dyDescent="0.2">
      <c r="L770" s="113"/>
      <c r="O770" s="111"/>
      <c r="P770" s="111"/>
      <c r="Q770" s="111"/>
      <c r="R770" s="112"/>
      <c r="S770" s="111"/>
    </row>
    <row r="771" spans="12:19" ht="12.75" x14ac:dyDescent="0.2">
      <c r="L771" s="113"/>
      <c r="O771" s="111"/>
      <c r="P771" s="111"/>
      <c r="Q771" s="111"/>
      <c r="R771" s="112"/>
      <c r="S771" s="111"/>
    </row>
    <row r="772" spans="12:19" ht="12.75" x14ac:dyDescent="0.2">
      <c r="L772" s="113"/>
      <c r="O772" s="111"/>
      <c r="P772" s="111"/>
      <c r="Q772" s="111"/>
      <c r="R772" s="112"/>
      <c r="S772" s="111"/>
    </row>
    <row r="773" spans="12:19" ht="12.75" x14ac:dyDescent="0.2">
      <c r="L773" s="113"/>
      <c r="O773" s="111"/>
      <c r="P773" s="111"/>
      <c r="Q773" s="111"/>
      <c r="R773" s="112"/>
      <c r="S773" s="111"/>
    </row>
    <row r="774" spans="12:19" ht="12.75" x14ac:dyDescent="0.2">
      <c r="L774" s="113"/>
      <c r="O774" s="111"/>
      <c r="P774" s="111"/>
      <c r="Q774" s="111"/>
      <c r="R774" s="112"/>
      <c r="S774" s="111"/>
    </row>
    <row r="775" spans="12:19" ht="12.75" x14ac:dyDescent="0.2">
      <c r="L775" s="113"/>
      <c r="O775" s="111"/>
      <c r="P775" s="111"/>
      <c r="Q775" s="111"/>
      <c r="R775" s="112"/>
      <c r="S775" s="111"/>
    </row>
    <row r="776" spans="12:19" ht="12.75" x14ac:dyDescent="0.2">
      <c r="L776" s="113"/>
      <c r="O776" s="111"/>
      <c r="P776" s="111"/>
      <c r="Q776" s="111"/>
      <c r="R776" s="112"/>
      <c r="S776" s="111"/>
    </row>
    <row r="777" spans="12:19" ht="12.75" x14ac:dyDescent="0.2">
      <c r="L777" s="113"/>
      <c r="O777" s="111"/>
      <c r="P777" s="111"/>
      <c r="Q777" s="111"/>
      <c r="R777" s="112"/>
      <c r="S777" s="111"/>
    </row>
    <row r="778" spans="12:19" ht="12.75" x14ac:dyDescent="0.2">
      <c r="L778" s="113"/>
      <c r="O778" s="111"/>
      <c r="P778" s="111"/>
      <c r="Q778" s="111"/>
      <c r="R778" s="112"/>
      <c r="S778" s="111"/>
    </row>
    <row r="779" spans="12:19" ht="12.75" x14ac:dyDescent="0.2">
      <c r="L779" s="113"/>
      <c r="O779" s="111"/>
      <c r="P779" s="111"/>
      <c r="Q779" s="111"/>
      <c r="R779" s="112"/>
      <c r="S779" s="111"/>
    </row>
    <row r="780" spans="12:19" ht="12.75" x14ac:dyDescent="0.2">
      <c r="L780" s="113"/>
      <c r="O780" s="111"/>
      <c r="P780" s="111"/>
      <c r="Q780" s="111"/>
      <c r="R780" s="112"/>
      <c r="S780" s="111"/>
    </row>
    <row r="781" spans="12:19" ht="12.75" x14ac:dyDescent="0.2">
      <c r="L781" s="113"/>
      <c r="O781" s="111"/>
      <c r="P781" s="111"/>
      <c r="Q781" s="111"/>
      <c r="R781" s="112"/>
      <c r="S781" s="111"/>
    </row>
    <row r="782" spans="12:19" ht="12.75" x14ac:dyDescent="0.2">
      <c r="L782" s="113"/>
      <c r="O782" s="111"/>
      <c r="P782" s="111"/>
      <c r="Q782" s="111"/>
      <c r="R782" s="112"/>
      <c r="S782" s="111"/>
    </row>
    <row r="783" spans="12:19" ht="12.75" x14ac:dyDescent="0.2">
      <c r="L783" s="113"/>
      <c r="O783" s="111"/>
      <c r="P783" s="111"/>
      <c r="Q783" s="111"/>
      <c r="R783" s="112"/>
      <c r="S783" s="111"/>
    </row>
    <row r="784" spans="12:19" ht="12.75" x14ac:dyDescent="0.2">
      <c r="L784" s="113"/>
      <c r="O784" s="111"/>
      <c r="P784" s="111"/>
      <c r="Q784" s="111"/>
      <c r="R784" s="112"/>
      <c r="S784" s="111"/>
    </row>
    <row r="785" spans="12:19" ht="12.75" x14ac:dyDescent="0.2">
      <c r="L785" s="113"/>
      <c r="O785" s="111"/>
      <c r="P785" s="111"/>
      <c r="Q785" s="111"/>
      <c r="R785" s="112"/>
      <c r="S785" s="111"/>
    </row>
    <row r="786" spans="12:19" ht="12.75" x14ac:dyDescent="0.2">
      <c r="L786" s="113"/>
      <c r="O786" s="111"/>
      <c r="P786" s="111"/>
      <c r="Q786" s="111"/>
      <c r="R786" s="112"/>
      <c r="S786" s="111"/>
    </row>
    <row r="787" spans="12:19" ht="12.75" x14ac:dyDescent="0.2">
      <c r="L787" s="113"/>
      <c r="O787" s="111"/>
      <c r="P787" s="111"/>
      <c r="Q787" s="111"/>
      <c r="R787" s="112"/>
      <c r="S787" s="111"/>
    </row>
    <row r="788" spans="12:19" ht="12.75" x14ac:dyDescent="0.2">
      <c r="L788" s="113"/>
      <c r="O788" s="111"/>
      <c r="P788" s="111"/>
      <c r="Q788" s="111"/>
      <c r="R788" s="112"/>
      <c r="S788" s="111"/>
    </row>
    <row r="789" spans="12:19" ht="12.75" x14ac:dyDescent="0.2">
      <c r="L789" s="113"/>
      <c r="O789" s="111"/>
      <c r="P789" s="111"/>
      <c r="Q789" s="111"/>
      <c r="R789" s="112"/>
      <c r="S789" s="111"/>
    </row>
    <row r="790" spans="12:19" ht="12.75" x14ac:dyDescent="0.2">
      <c r="L790" s="113"/>
      <c r="O790" s="111"/>
      <c r="P790" s="111"/>
      <c r="Q790" s="111"/>
      <c r="R790" s="112"/>
      <c r="S790" s="111"/>
    </row>
    <row r="791" spans="12:19" ht="12.75" x14ac:dyDescent="0.2">
      <c r="L791" s="113"/>
      <c r="O791" s="111"/>
      <c r="P791" s="111"/>
      <c r="Q791" s="111"/>
      <c r="R791" s="112"/>
      <c r="S791" s="111"/>
    </row>
    <row r="792" spans="12:19" ht="12.75" x14ac:dyDescent="0.2">
      <c r="L792" s="113"/>
      <c r="O792" s="111"/>
      <c r="P792" s="111"/>
      <c r="Q792" s="111"/>
      <c r="R792" s="112"/>
      <c r="S792" s="111"/>
    </row>
    <row r="793" spans="12:19" ht="12.75" x14ac:dyDescent="0.2">
      <c r="L793" s="113"/>
      <c r="O793" s="111"/>
      <c r="P793" s="111"/>
      <c r="Q793" s="111"/>
      <c r="R793" s="112"/>
      <c r="S793" s="111"/>
    </row>
    <row r="794" spans="12:19" ht="12.75" x14ac:dyDescent="0.2">
      <c r="L794" s="113"/>
      <c r="O794" s="111"/>
      <c r="P794" s="111"/>
      <c r="Q794" s="111"/>
      <c r="R794" s="112"/>
      <c r="S794" s="111"/>
    </row>
    <row r="795" spans="12:19" ht="12.75" x14ac:dyDescent="0.2">
      <c r="L795" s="113"/>
      <c r="O795" s="111"/>
      <c r="P795" s="111"/>
      <c r="Q795" s="111"/>
      <c r="R795" s="112"/>
      <c r="S795" s="111"/>
    </row>
    <row r="796" spans="12:19" ht="12.75" x14ac:dyDescent="0.2">
      <c r="L796" s="113"/>
      <c r="O796" s="111"/>
      <c r="P796" s="111"/>
      <c r="Q796" s="111"/>
      <c r="R796" s="112"/>
      <c r="S796" s="111"/>
    </row>
    <row r="797" spans="12:19" ht="12.75" x14ac:dyDescent="0.2">
      <c r="L797" s="113"/>
      <c r="O797" s="111"/>
      <c r="P797" s="111"/>
      <c r="Q797" s="111"/>
      <c r="R797" s="112"/>
      <c r="S797" s="111"/>
    </row>
    <row r="798" spans="12:19" ht="12.75" x14ac:dyDescent="0.2">
      <c r="L798" s="113"/>
      <c r="O798" s="111"/>
      <c r="P798" s="111"/>
      <c r="Q798" s="111"/>
      <c r="R798" s="112"/>
      <c r="S798" s="111"/>
    </row>
    <row r="799" spans="12:19" ht="12.75" x14ac:dyDescent="0.2">
      <c r="L799" s="113"/>
      <c r="O799" s="111"/>
      <c r="P799" s="111"/>
      <c r="Q799" s="111"/>
      <c r="R799" s="112"/>
      <c r="S799" s="111"/>
    </row>
    <row r="800" spans="12:19" ht="12.75" x14ac:dyDescent="0.2">
      <c r="L800" s="113"/>
      <c r="O800" s="111"/>
      <c r="P800" s="111"/>
      <c r="Q800" s="111"/>
      <c r="R800" s="112"/>
      <c r="S800" s="111"/>
    </row>
    <row r="801" spans="12:19" ht="12.75" x14ac:dyDescent="0.2">
      <c r="L801" s="113"/>
      <c r="O801" s="111"/>
      <c r="P801" s="111"/>
      <c r="Q801" s="111"/>
      <c r="R801" s="112"/>
      <c r="S801" s="111"/>
    </row>
    <row r="802" spans="12:19" ht="12.75" x14ac:dyDescent="0.2">
      <c r="L802" s="113"/>
      <c r="O802" s="111"/>
      <c r="P802" s="111"/>
      <c r="Q802" s="111"/>
      <c r="R802" s="112"/>
      <c r="S802" s="111"/>
    </row>
    <row r="803" spans="12:19" ht="12.75" x14ac:dyDescent="0.2">
      <c r="L803" s="113"/>
      <c r="O803" s="111"/>
      <c r="P803" s="111"/>
      <c r="Q803" s="111"/>
      <c r="R803" s="112"/>
      <c r="S803" s="111"/>
    </row>
    <row r="804" spans="12:19" ht="12.75" x14ac:dyDescent="0.2">
      <c r="L804" s="113"/>
      <c r="O804" s="111"/>
      <c r="P804" s="111"/>
      <c r="Q804" s="111"/>
      <c r="R804" s="112"/>
      <c r="S804" s="111"/>
    </row>
    <row r="805" spans="12:19" ht="12.75" x14ac:dyDescent="0.2">
      <c r="L805" s="113"/>
      <c r="O805" s="111"/>
      <c r="P805" s="111"/>
      <c r="Q805" s="111"/>
      <c r="R805" s="112"/>
      <c r="S805" s="111"/>
    </row>
    <row r="806" spans="12:19" ht="12.75" x14ac:dyDescent="0.2">
      <c r="L806" s="113"/>
      <c r="O806" s="111"/>
      <c r="P806" s="111"/>
      <c r="Q806" s="111"/>
      <c r="R806" s="112"/>
      <c r="S806" s="111"/>
    </row>
    <row r="807" spans="12:19" ht="12.75" x14ac:dyDescent="0.2">
      <c r="L807" s="113"/>
      <c r="O807" s="111"/>
      <c r="P807" s="111"/>
      <c r="Q807" s="111"/>
      <c r="R807" s="112"/>
      <c r="S807" s="111"/>
    </row>
    <row r="808" spans="12:19" ht="12.75" x14ac:dyDescent="0.2">
      <c r="L808" s="113"/>
      <c r="O808" s="111"/>
      <c r="P808" s="111"/>
      <c r="Q808" s="111"/>
      <c r="R808" s="112"/>
      <c r="S808" s="111"/>
    </row>
    <row r="809" spans="12:19" ht="12.75" x14ac:dyDescent="0.2">
      <c r="L809" s="113"/>
      <c r="O809" s="111"/>
      <c r="P809" s="111"/>
      <c r="Q809" s="111"/>
      <c r="R809" s="112"/>
      <c r="S809" s="111"/>
    </row>
    <row r="810" spans="12:19" ht="12.75" x14ac:dyDescent="0.2">
      <c r="L810" s="113"/>
      <c r="O810" s="111"/>
      <c r="P810" s="111"/>
      <c r="Q810" s="111"/>
      <c r="R810" s="112"/>
      <c r="S810" s="111"/>
    </row>
    <row r="811" spans="12:19" ht="12.75" x14ac:dyDescent="0.2">
      <c r="L811" s="113"/>
      <c r="O811" s="111"/>
      <c r="P811" s="111"/>
      <c r="Q811" s="111"/>
      <c r="R811" s="112"/>
      <c r="S811" s="111"/>
    </row>
    <row r="812" spans="12:19" ht="12.75" x14ac:dyDescent="0.2">
      <c r="L812" s="113"/>
      <c r="O812" s="111"/>
      <c r="P812" s="111"/>
      <c r="Q812" s="111"/>
      <c r="R812" s="112"/>
      <c r="S812" s="111"/>
    </row>
    <row r="813" spans="12:19" ht="12.75" x14ac:dyDescent="0.2">
      <c r="L813" s="113"/>
      <c r="O813" s="111"/>
      <c r="P813" s="111"/>
      <c r="Q813" s="111"/>
      <c r="R813" s="112"/>
      <c r="S813" s="111"/>
    </row>
    <row r="814" spans="12:19" ht="12.75" x14ac:dyDescent="0.2">
      <c r="L814" s="113"/>
      <c r="O814" s="111"/>
      <c r="P814" s="111"/>
      <c r="Q814" s="111"/>
      <c r="R814" s="112"/>
      <c r="S814" s="111"/>
    </row>
    <row r="815" spans="12:19" ht="12.75" x14ac:dyDescent="0.2">
      <c r="L815" s="113"/>
      <c r="O815" s="111"/>
      <c r="P815" s="111"/>
      <c r="Q815" s="111"/>
      <c r="R815" s="112"/>
      <c r="S815" s="111"/>
    </row>
    <row r="816" spans="12:19" ht="12.75" x14ac:dyDescent="0.2">
      <c r="L816" s="113"/>
      <c r="O816" s="111"/>
      <c r="P816" s="111"/>
      <c r="Q816" s="111"/>
      <c r="R816" s="112"/>
      <c r="S816" s="111"/>
    </row>
    <row r="817" spans="12:19" ht="12.75" x14ac:dyDescent="0.2">
      <c r="L817" s="113"/>
      <c r="O817" s="111"/>
      <c r="P817" s="111"/>
      <c r="Q817" s="111"/>
      <c r="R817" s="112"/>
      <c r="S817" s="111"/>
    </row>
    <row r="818" spans="12:19" ht="12.75" x14ac:dyDescent="0.2">
      <c r="L818" s="113"/>
      <c r="O818" s="111"/>
      <c r="P818" s="111"/>
      <c r="Q818" s="111"/>
      <c r="R818" s="112"/>
      <c r="S818" s="111"/>
    </row>
    <row r="819" spans="12:19" ht="12.75" x14ac:dyDescent="0.2">
      <c r="L819" s="113"/>
      <c r="O819" s="111"/>
      <c r="P819" s="111"/>
      <c r="Q819" s="111"/>
      <c r="R819" s="112"/>
      <c r="S819" s="111"/>
    </row>
    <row r="820" spans="12:19" ht="12.75" x14ac:dyDescent="0.2">
      <c r="L820" s="113"/>
      <c r="O820" s="111"/>
      <c r="P820" s="111"/>
      <c r="Q820" s="111"/>
      <c r="R820" s="112"/>
      <c r="S820" s="111"/>
    </row>
    <row r="821" spans="12:19" ht="12.75" x14ac:dyDescent="0.2">
      <c r="L821" s="113"/>
      <c r="O821" s="111"/>
      <c r="P821" s="111"/>
      <c r="Q821" s="111"/>
      <c r="R821" s="112"/>
      <c r="S821" s="111"/>
    </row>
    <row r="822" spans="12:19" ht="12.75" x14ac:dyDescent="0.2">
      <c r="L822" s="113"/>
      <c r="O822" s="111"/>
      <c r="P822" s="111"/>
      <c r="Q822" s="111"/>
      <c r="R822" s="112"/>
      <c r="S822" s="111"/>
    </row>
    <row r="823" spans="12:19" ht="12.75" x14ac:dyDescent="0.2">
      <c r="L823" s="113"/>
      <c r="O823" s="111"/>
      <c r="P823" s="111"/>
      <c r="Q823" s="111"/>
      <c r="R823" s="112"/>
      <c r="S823" s="111"/>
    </row>
    <row r="824" spans="12:19" ht="12.75" x14ac:dyDescent="0.2">
      <c r="L824" s="113"/>
      <c r="O824" s="111"/>
      <c r="P824" s="111"/>
      <c r="Q824" s="111"/>
      <c r="R824" s="112"/>
      <c r="S824" s="111"/>
    </row>
    <row r="825" spans="12:19" ht="12.75" x14ac:dyDescent="0.2">
      <c r="L825" s="113"/>
      <c r="O825" s="111"/>
      <c r="P825" s="111"/>
      <c r="Q825" s="111"/>
      <c r="R825" s="112"/>
      <c r="S825" s="111"/>
    </row>
    <row r="826" spans="12:19" ht="12.75" x14ac:dyDescent="0.2">
      <c r="L826" s="113"/>
      <c r="O826" s="111"/>
      <c r="P826" s="111"/>
      <c r="Q826" s="111"/>
      <c r="R826" s="112"/>
      <c r="S826" s="111"/>
    </row>
    <row r="827" spans="12:19" ht="12.75" x14ac:dyDescent="0.2">
      <c r="L827" s="113"/>
      <c r="O827" s="111"/>
      <c r="P827" s="111"/>
      <c r="Q827" s="111"/>
      <c r="R827" s="112"/>
      <c r="S827" s="111"/>
    </row>
    <row r="828" spans="12:19" ht="12.75" x14ac:dyDescent="0.2">
      <c r="L828" s="113"/>
      <c r="O828" s="111"/>
      <c r="P828" s="111"/>
      <c r="Q828" s="111"/>
      <c r="R828" s="112"/>
      <c r="S828" s="111"/>
    </row>
    <row r="829" spans="12:19" ht="12.75" x14ac:dyDescent="0.2">
      <c r="L829" s="113"/>
      <c r="O829" s="111"/>
      <c r="P829" s="111"/>
      <c r="Q829" s="111"/>
      <c r="R829" s="112"/>
      <c r="S829" s="111"/>
    </row>
    <row r="830" spans="12:19" ht="12.75" x14ac:dyDescent="0.2">
      <c r="L830" s="113"/>
      <c r="O830" s="111"/>
      <c r="P830" s="111"/>
      <c r="Q830" s="111"/>
      <c r="R830" s="112"/>
      <c r="S830" s="111"/>
    </row>
    <row r="831" spans="12:19" ht="12.75" x14ac:dyDescent="0.2">
      <c r="L831" s="113"/>
      <c r="O831" s="111"/>
      <c r="P831" s="111"/>
      <c r="Q831" s="111"/>
      <c r="R831" s="112"/>
      <c r="S831" s="111"/>
    </row>
    <row r="832" spans="12:19" ht="12.75" x14ac:dyDescent="0.2">
      <c r="L832" s="113"/>
      <c r="O832" s="111"/>
      <c r="P832" s="111"/>
      <c r="Q832" s="111"/>
      <c r="R832" s="112"/>
      <c r="S832" s="111"/>
    </row>
    <row r="833" spans="12:19" ht="12.75" x14ac:dyDescent="0.2">
      <c r="L833" s="113"/>
      <c r="O833" s="111"/>
      <c r="P833" s="111"/>
      <c r="Q833" s="111"/>
      <c r="R833" s="112"/>
      <c r="S833" s="111"/>
    </row>
    <row r="834" spans="12:19" ht="12.75" x14ac:dyDescent="0.2">
      <c r="L834" s="113"/>
      <c r="O834" s="111"/>
      <c r="P834" s="111"/>
      <c r="Q834" s="111"/>
      <c r="R834" s="112"/>
      <c r="S834" s="111"/>
    </row>
    <row r="835" spans="12:19" ht="12.75" x14ac:dyDescent="0.2">
      <c r="L835" s="113"/>
      <c r="O835" s="111"/>
      <c r="P835" s="111"/>
      <c r="Q835" s="111"/>
      <c r="R835" s="112"/>
      <c r="S835" s="111"/>
    </row>
    <row r="836" spans="12:19" ht="12.75" x14ac:dyDescent="0.2">
      <c r="L836" s="113"/>
      <c r="O836" s="111"/>
      <c r="P836" s="111"/>
      <c r="Q836" s="111"/>
      <c r="R836" s="112"/>
      <c r="S836" s="111"/>
    </row>
    <row r="837" spans="12:19" ht="12.75" x14ac:dyDescent="0.2">
      <c r="L837" s="113"/>
      <c r="O837" s="111"/>
      <c r="P837" s="111"/>
      <c r="Q837" s="111"/>
      <c r="R837" s="112"/>
      <c r="S837" s="111"/>
    </row>
    <row r="838" spans="12:19" ht="12.75" x14ac:dyDescent="0.2">
      <c r="L838" s="113"/>
      <c r="O838" s="111"/>
      <c r="P838" s="111"/>
      <c r="Q838" s="111"/>
      <c r="R838" s="112"/>
      <c r="S838" s="111"/>
    </row>
    <row r="839" spans="12:19" ht="12.75" x14ac:dyDescent="0.2">
      <c r="L839" s="113"/>
      <c r="O839" s="111"/>
      <c r="P839" s="111"/>
      <c r="Q839" s="111"/>
      <c r="R839" s="112"/>
      <c r="S839" s="111"/>
    </row>
    <row r="840" spans="12:19" ht="12.75" x14ac:dyDescent="0.2">
      <c r="L840" s="113"/>
      <c r="O840" s="111"/>
      <c r="P840" s="111"/>
      <c r="Q840" s="111"/>
      <c r="R840" s="112"/>
      <c r="S840" s="111"/>
    </row>
    <row r="841" spans="12:19" ht="12.75" x14ac:dyDescent="0.2">
      <c r="L841" s="113"/>
      <c r="O841" s="111"/>
      <c r="P841" s="111"/>
      <c r="Q841" s="111"/>
      <c r="R841" s="112"/>
      <c r="S841" s="111"/>
    </row>
    <row r="842" spans="12:19" ht="12.75" x14ac:dyDescent="0.2">
      <c r="L842" s="113"/>
      <c r="O842" s="111"/>
      <c r="P842" s="111"/>
      <c r="Q842" s="111"/>
      <c r="R842" s="112"/>
      <c r="S842" s="111"/>
    </row>
    <row r="843" spans="12:19" ht="12.75" x14ac:dyDescent="0.2">
      <c r="L843" s="113"/>
      <c r="O843" s="111"/>
      <c r="P843" s="111"/>
      <c r="Q843" s="111"/>
      <c r="R843" s="112"/>
      <c r="S843" s="111"/>
    </row>
    <row r="844" spans="12:19" ht="12.75" x14ac:dyDescent="0.2">
      <c r="L844" s="113"/>
      <c r="O844" s="111"/>
      <c r="P844" s="111"/>
      <c r="Q844" s="111"/>
      <c r="R844" s="112"/>
      <c r="S844" s="111"/>
    </row>
    <row r="845" spans="12:19" ht="12.75" x14ac:dyDescent="0.2">
      <c r="L845" s="113"/>
      <c r="O845" s="111"/>
      <c r="P845" s="111"/>
      <c r="Q845" s="111"/>
      <c r="R845" s="112"/>
      <c r="S845" s="111"/>
    </row>
    <row r="846" spans="12:19" ht="12.75" x14ac:dyDescent="0.2">
      <c r="L846" s="113"/>
      <c r="O846" s="111"/>
      <c r="P846" s="111"/>
      <c r="Q846" s="111"/>
      <c r="R846" s="112"/>
      <c r="S846" s="111"/>
    </row>
    <row r="847" spans="12:19" ht="12.75" x14ac:dyDescent="0.2">
      <c r="L847" s="113"/>
      <c r="O847" s="111"/>
      <c r="P847" s="111"/>
      <c r="Q847" s="111"/>
      <c r="R847" s="112"/>
      <c r="S847" s="111"/>
    </row>
    <row r="848" spans="12:19" ht="12.75" x14ac:dyDescent="0.2">
      <c r="L848" s="113"/>
      <c r="O848" s="111"/>
      <c r="P848" s="111"/>
      <c r="Q848" s="111"/>
      <c r="R848" s="112"/>
      <c r="S848" s="111"/>
    </row>
    <row r="849" spans="12:19" ht="12.75" x14ac:dyDescent="0.2">
      <c r="L849" s="113"/>
      <c r="O849" s="111"/>
      <c r="P849" s="111"/>
      <c r="Q849" s="111"/>
      <c r="R849" s="112"/>
      <c r="S849" s="111"/>
    </row>
    <row r="850" spans="12:19" ht="12.75" x14ac:dyDescent="0.2">
      <c r="L850" s="113"/>
      <c r="O850" s="111"/>
      <c r="P850" s="111"/>
      <c r="Q850" s="111"/>
      <c r="R850" s="112"/>
      <c r="S850" s="111"/>
    </row>
    <row r="851" spans="12:19" ht="12.75" x14ac:dyDescent="0.2">
      <c r="L851" s="113"/>
      <c r="O851" s="111"/>
      <c r="P851" s="111"/>
      <c r="Q851" s="111"/>
      <c r="R851" s="112"/>
      <c r="S851" s="111"/>
    </row>
    <row r="852" spans="12:19" ht="12.75" x14ac:dyDescent="0.2">
      <c r="L852" s="113"/>
      <c r="O852" s="111"/>
      <c r="P852" s="111"/>
      <c r="Q852" s="111"/>
      <c r="R852" s="112"/>
      <c r="S852" s="111"/>
    </row>
    <row r="853" spans="12:19" ht="12.75" x14ac:dyDescent="0.2">
      <c r="L853" s="113"/>
      <c r="O853" s="111"/>
      <c r="P853" s="111"/>
      <c r="Q853" s="111"/>
      <c r="R853" s="112"/>
      <c r="S853" s="111"/>
    </row>
    <row r="854" spans="12:19" ht="12.75" x14ac:dyDescent="0.2">
      <c r="L854" s="113"/>
      <c r="O854" s="111"/>
      <c r="P854" s="111"/>
      <c r="Q854" s="111"/>
      <c r="R854" s="112"/>
      <c r="S854" s="111"/>
    </row>
    <row r="855" spans="12:19" ht="12.75" x14ac:dyDescent="0.2">
      <c r="L855" s="113"/>
      <c r="O855" s="111"/>
      <c r="P855" s="111"/>
      <c r="Q855" s="111"/>
      <c r="R855" s="112"/>
      <c r="S855" s="111"/>
    </row>
    <row r="856" spans="12:19" ht="12.75" x14ac:dyDescent="0.2">
      <c r="L856" s="113"/>
      <c r="O856" s="111"/>
      <c r="P856" s="111"/>
      <c r="Q856" s="111"/>
      <c r="R856" s="112"/>
      <c r="S856" s="111"/>
    </row>
    <row r="857" spans="12:19" ht="12.75" x14ac:dyDescent="0.2">
      <c r="L857" s="113"/>
      <c r="O857" s="111"/>
      <c r="P857" s="111"/>
      <c r="Q857" s="111"/>
      <c r="R857" s="112"/>
      <c r="S857" s="111"/>
    </row>
    <row r="858" spans="12:19" ht="12.75" x14ac:dyDescent="0.2">
      <c r="L858" s="113"/>
      <c r="O858" s="111"/>
      <c r="P858" s="111"/>
      <c r="Q858" s="111"/>
      <c r="R858" s="112"/>
      <c r="S858" s="111"/>
    </row>
    <row r="859" spans="12:19" ht="12.75" x14ac:dyDescent="0.2">
      <c r="L859" s="113"/>
      <c r="O859" s="111"/>
      <c r="P859" s="111"/>
      <c r="Q859" s="111"/>
      <c r="R859" s="112"/>
      <c r="S859" s="111"/>
    </row>
    <row r="860" spans="12:19" ht="12.75" x14ac:dyDescent="0.2">
      <c r="L860" s="113"/>
      <c r="O860" s="111"/>
      <c r="P860" s="111"/>
      <c r="Q860" s="111"/>
      <c r="R860" s="112"/>
      <c r="S860" s="111"/>
    </row>
    <row r="861" spans="12:19" ht="12.75" x14ac:dyDescent="0.2">
      <c r="L861" s="113"/>
      <c r="O861" s="111"/>
      <c r="P861" s="111"/>
      <c r="Q861" s="111"/>
      <c r="R861" s="112"/>
      <c r="S861" s="111"/>
    </row>
    <row r="862" spans="12:19" ht="12.75" x14ac:dyDescent="0.2">
      <c r="L862" s="113"/>
      <c r="O862" s="111"/>
      <c r="P862" s="111"/>
      <c r="Q862" s="111"/>
      <c r="R862" s="112"/>
      <c r="S862" s="111"/>
    </row>
    <row r="863" spans="12:19" ht="12.75" x14ac:dyDescent="0.2">
      <c r="L863" s="113"/>
      <c r="O863" s="111"/>
      <c r="P863" s="111"/>
      <c r="Q863" s="111"/>
      <c r="R863" s="112"/>
      <c r="S863" s="111"/>
    </row>
    <row r="864" spans="12:19" ht="12.75" x14ac:dyDescent="0.2">
      <c r="L864" s="113"/>
      <c r="O864" s="111"/>
      <c r="P864" s="111"/>
      <c r="Q864" s="111"/>
      <c r="R864" s="112"/>
      <c r="S864" s="111"/>
    </row>
    <row r="865" spans="12:19" ht="12.75" x14ac:dyDescent="0.2">
      <c r="L865" s="113"/>
      <c r="O865" s="111"/>
      <c r="P865" s="111"/>
      <c r="Q865" s="111"/>
      <c r="R865" s="112"/>
      <c r="S865" s="111"/>
    </row>
    <row r="866" spans="12:19" ht="12.75" x14ac:dyDescent="0.2">
      <c r="L866" s="113"/>
      <c r="O866" s="111"/>
      <c r="P866" s="111"/>
      <c r="Q866" s="111"/>
      <c r="R866" s="112"/>
      <c r="S866" s="111"/>
    </row>
    <row r="867" spans="12:19" ht="12.75" x14ac:dyDescent="0.2">
      <c r="L867" s="113"/>
      <c r="O867" s="111"/>
      <c r="P867" s="111"/>
      <c r="Q867" s="111"/>
      <c r="R867" s="112"/>
      <c r="S867" s="111"/>
    </row>
    <row r="868" spans="12:19" ht="12.75" x14ac:dyDescent="0.2">
      <c r="L868" s="113"/>
      <c r="O868" s="111"/>
      <c r="P868" s="111"/>
      <c r="Q868" s="111"/>
      <c r="R868" s="112"/>
      <c r="S868" s="111"/>
    </row>
    <row r="869" spans="12:19" ht="12.75" x14ac:dyDescent="0.2">
      <c r="L869" s="113"/>
      <c r="O869" s="111"/>
      <c r="P869" s="111"/>
      <c r="Q869" s="111"/>
      <c r="R869" s="112"/>
      <c r="S869" s="111"/>
    </row>
    <row r="870" spans="12:19" ht="12.75" x14ac:dyDescent="0.2">
      <c r="L870" s="113"/>
      <c r="O870" s="111"/>
      <c r="P870" s="111"/>
      <c r="Q870" s="111"/>
      <c r="R870" s="112"/>
      <c r="S870" s="111"/>
    </row>
    <row r="871" spans="12:19" ht="12.75" x14ac:dyDescent="0.2">
      <c r="L871" s="113"/>
      <c r="O871" s="111"/>
      <c r="P871" s="111"/>
      <c r="Q871" s="111"/>
      <c r="R871" s="112"/>
      <c r="S871" s="111"/>
    </row>
    <row r="872" spans="12:19" ht="12.75" x14ac:dyDescent="0.2">
      <c r="L872" s="113"/>
      <c r="O872" s="111"/>
      <c r="P872" s="111"/>
      <c r="Q872" s="111"/>
      <c r="R872" s="112"/>
      <c r="S872" s="111"/>
    </row>
    <row r="873" spans="12:19" ht="12.75" x14ac:dyDescent="0.2">
      <c r="L873" s="113"/>
      <c r="O873" s="111"/>
      <c r="P873" s="111"/>
      <c r="Q873" s="111"/>
      <c r="R873" s="112"/>
      <c r="S873" s="111"/>
    </row>
    <row r="874" spans="12:19" ht="12.75" x14ac:dyDescent="0.2">
      <c r="L874" s="113"/>
      <c r="O874" s="111"/>
      <c r="P874" s="111"/>
      <c r="Q874" s="111"/>
      <c r="R874" s="112"/>
      <c r="S874" s="111"/>
    </row>
    <row r="875" spans="12:19" ht="12.75" x14ac:dyDescent="0.2">
      <c r="L875" s="113"/>
      <c r="O875" s="111"/>
      <c r="P875" s="111"/>
      <c r="Q875" s="111"/>
      <c r="R875" s="112"/>
      <c r="S875" s="111"/>
    </row>
    <row r="876" spans="12:19" ht="12.75" x14ac:dyDescent="0.2">
      <c r="L876" s="113"/>
      <c r="O876" s="111"/>
      <c r="P876" s="111"/>
      <c r="Q876" s="111"/>
      <c r="R876" s="112"/>
      <c r="S876" s="111"/>
    </row>
    <row r="877" spans="12:19" ht="12.75" x14ac:dyDescent="0.2">
      <c r="L877" s="113"/>
      <c r="O877" s="111"/>
      <c r="P877" s="111"/>
      <c r="Q877" s="111"/>
      <c r="R877" s="112"/>
      <c r="S877" s="111"/>
    </row>
    <row r="878" spans="12:19" ht="12.75" x14ac:dyDescent="0.2">
      <c r="L878" s="113"/>
      <c r="O878" s="111"/>
      <c r="P878" s="111"/>
      <c r="Q878" s="111"/>
      <c r="R878" s="112"/>
      <c r="S878" s="111"/>
    </row>
    <row r="879" spans="12:19" ht="12.75" x14ac:dyDescent="0.2">
      <c r="L879" s="113"/>
      <c r="O879" s="111"/>
      <c r="P879" s="111"/>
      <c r="Q879" s="111"/>
      <c r="R879" s="112"/>
      <c r="S879" s="111"/>
    </row>
    <row r="880" spans="12:19" ht="12.75" x14ac:dyDescent="0.2">
      <c r="L880" s="113"/>
      <c r="O880" s="111"/>
      <c r="P880" s="111"/>
      <c r="Q880" s="111"/>
      <c r="R880" s="112"/>
      <c r="S880" s="111"/>
    </row>
    <row r="881" spans="12:19" ht="12.75" x14ac:dyDescent="0.2">
      <c r="L881" s="113"/>
      <c r="O881" s="111"/>
      <c r="P881" s="111"/>
      <c r="Q881" s="111"/>
      <c r="R881" s="112"/>
      <c r="S881" s="111"/>
    </row>
    <row r="882" spans="12:19" ht="12.75" x14ac:dyDescent="0.2">
      <c r="L882" s="113"/>
      <c r="O882" s="111"/>
      <c r="P882" s="111"/>
      <c r="Q882" s="111"/>
      <c r="R882" s="112"/>
      <c r="S882" s="111"/>
    </row>
    <row r="883" spans="12:19" ht="12.75" x14ac:dyDescent="0.2">
      <c r="L883" s="113"/>
      <c r="O883" s="111"/>
      <c r="P883" s="111"/>
      <c r="Q883" s="111"/>
      <c r="R883" s="112"/>
      <c r="S883" s="111"/>
    </row>
    <row r="884" spans="12:19" ht="12.75" x14ac:dyDescent="0.2">
      <c r="L884" s="113"/>
      <c r="O884" s="111"/>
      <c r="P884" s="111"/>
      <c r="Q884" s="111"/>
      <c r="R884" s="112"/>
      <c r="S884" s="111"/>
    </row>
    <row r="885" spans="12:19" ht="12.75" x14ac:dyDescent="0.2">
      <c r="L885" s="113"/>
      <c r="O885" s="111"/>
      <c r="P885" s="111"/>
      <c r="Q885" s="111"/>
      <c r="R885" s="112"/>
      <c r="S885" s="111"/>
    </row>
    <row r="886" spans="12:19" ht="12.75" x14ac:dyDescent="0.2">
      <c r="L886" s="113"/>
      <c r="O886" s="111"/>
      <c r="P886" s="111"/>
      <c r="Q886" s="111"/>
      <c r="R886" s="112"/>
      <c r="S886" s="111"/>
    </row>
    <row r="887" spans="12:19" ht="12.75" x14ac:dyDescent="0.2">
      <c r="L887" s="113"/>
      <c r="O887" s="111"/>
      <c r="P887" s="111"/>
      <c r="Q887" s="111"/>
      <c r="R887" s="112"/>
      <c r="S887" s="111"/>
    </row>
    <row r="888" spans="12:19" ht="12.75" x14ac:dyDescent="0.2">
      <c r="L888" s="113"/>
      <c r="O888" s="111"/>
      <c r="P888" s="111"/>
      <c r="Q888" s="111"/>
      <c r="R888" s="112"/>
      <c r="S888" s="111"/>
    </row>
    <row r="889" spans="12:19" ht="12.75" x14ac:dyDescent="0.2">
      <c r="L889" s="113"/>
      <c r="O889" s="111"/>
      <c r="P889" s="111"/>
      <c r="Q889" s="111"/>
      <c r="R889" s="112"/>
      <c r="S889" s="111"/>
    </row>
    <row r="890" spans="12:19" ht="12.75" x14ac:dyDescent="0.2">
      <c r="L890" s="113"/>
      <c r="O890" s="111"/>
      <c r="P890" s="111"/>
      <c r="Q890" s="111"/>
      <c r="R890" s="112"/>
      <c r="S890" s="111"/>
    </row>
    <row r="891" spans="12:19" ht="12.75" x14ac:dyDescent="0.2">
      <c r="L891" s="113"/>
      <c r="O891" s="111"/>
      <c r="P891" s="111"/>
      <c r="Q891" s="111"/>
      <c r="R891" s="112"/>
      <c r="S891" s="111"/>
    </row>
    <row r="892" spans="12:19" ht="12.75" x14ac:dyDescent="0.2">
      <c r="L892" s="113"/>
      <c r="O892" s="111"/>
      <c r="P892" s="111"/>
      <c r="Q892" s="111"/>
      <c r="R892" s="112"/>
      <c r="S892" s="111"/>
    </row>
    <row r="893" spans="12:19" ht="12.75" x14ac:dyDescent="0.2">
      <c r="L893" s="113"/>
      <c r="O893" s="111"/>
      <c r="P893" s="111"/>
      <c r="Q893" s="111"/>
      <c r="R893" s="112"/>
      <c r="S893" s="111"/>
    </row>
    <row r="894" spans="12:19" ht="12.75" x14ac:dyDescent="0.2">
      <c r="L894" s="113"/>
      <c r="O894" s="111"/>
      <c r="P894" s="111"/>
      <c r="Q894" s="111"/>
      <c r="R894" s="112"/>
      <c r="S894" s="111"/>
    </row>
    <row r="895" spans="12:19" ht="12.75" x14ac:dyDescent="0.2">
      <c r="L895" s="113"/>
      <c r="O895" s="111"/>
      <c r="P895" s="111"/>
      <c r="Q895" s="111"/>
      <c r="R895" s="112"/>
      <c r="S895" s="111"/>
    </row>
    <row r="896" spans="12:19" ht="12.75" x14ac:dyDescent="0.2">
      <c r="L896" s="113"/>
      <c r="O896" s="111"/>
      <c r="P896" s="111"/>
      <c r="Q896" s="111"/>
      <c r="R896" s="112"/>
      <c r="S896" s="111"/>
    </row>
    <row r="897" spans="12:19" ht="12.75" x14ac:dyDescent="0.2">
      <c r="L897" s="113"/>
      <c r="O897" s="111"/>
      <c r="P897" s="111"/>
      <c r="Q897" s="111"/>
      <c r="R897" s="112"/>
      <c r="S897" s="111"/>
    </row>
    <row r="898" spans="12:19" ht="12.75" x14ac:dyDescent="0.2">
      <c r="L898" s="113"/>
      <c r="O898" s="111"/>
      <c r="P898" s="111"/>
      <c r="Q898" s="111"/>
      <c r="R898" s="112"/>
      <c r="S898" s="111"/>
    </row>
    <row r="899" spans="12:19" ht="12.75" x14ac:dyDescent="0.2">
      <c r="L899" s="113"/>
      <c r="O899" s="111"/>
      <c r="P899" s="111"/>
      <c r="Q899" s="111"/>
      <c r="R899" s="112"/>
      <c r="S899" s="111"/>
    </row>
    <row r="900" spans="12:19" ht="12.75" x14ac:dyDescent="0.2">
      <c r="L900" s="113"/>
      <c r="O900" s="111"/>
      <c r="P900" s="111"/>
      <c r="Q900" s="111"/>
      <c r="R900" s="112"/>
      <c r="S900" s="111"/>
    </row>
    <row r="901" spans="12:19" ht="12.75" x14ac:dyDescent="0.2">
      <c r="L901" s="113"/>
      <c r="O901" s="111"/>
      <c r="P901" s="111"/>
      <c r="Q901" s="111"/>
      <c r="R901" s="112"/>
      <c r="S901" s="111"/>
    </row>
    <row r="902" spans="12:19" ht="12.75" x14ac:dyDescent="0.2">
      <c r="L902" s="113"/>
      <c r="O902" s="111"/>
      <c r="P902" s="111"/>
      <c r="Q902" s="111"/>
      <c r="R902" s="112"/>
      <c r="S902" s="111"/>
    </row>
    <row r="903" spans="12:19" ht="12.75" x14ac:dyDescent="0.2">
      <c r="L903" s="113"/>
      <c r="O903" s="111"/>
      <c r="P903" s="111"/>
      <c r="Q903" s="111"/>
      <c r="R903" s="112"/>
      <c r="S903" s="111"/>
    </row>
    <row r="904" spans="12:19" ht="12.75" x14ac:dyDescent="0.2">
      <c r="L904" s="113"/>
      <c r="O904" s="111"/>
      <c r="P904" s="111"/>
      <c r="Q904" s="111"/>
      <c r="R904" s="112"/>
      <c r="S904" s="111"/>
    </row>
    <row r="905" spans="12:19" ht="12.75" x14ac:dyDescent="0.2">
      <c r="L905" s="113"/>
      <c r="O905" s="111"/>
      <c r="P905" s="111"/>
      <c r="Q905" s="111"/>
      <c r="R905" s="112"/>
      <c r="S905" s="111"/>
    </row>
    <row r="906" spans="12:19" ht="12.75" x14ac:dyDescent="0.2">
      <c r="L906" s="113"/>
      <c r="O906" s="111"/>
      <c r="P906" s="111"/>
      <c r="Q906" s="111"/>
      <c r="R906" s="112"/>
      <c r="S906" s="111"/>
    </row>
    <row r="907" spans="12:19" ht="12.75" x14ac:dyDescent="0.2">
      <c r="L907" s="113"/>
      <c r="O907" s="111"/>
      <c r="P907" s="111"/>
      <c r="Q907" s="111"/>
      <c r="R907" s="112"/>
      <c r="S907" s="111"/>
    </row>
    <row r="908" spans="12:19" ht="12.75" x14ac:dyDescent="0.2">
      <c r="L908" s="113"/>
      <c r="O908" s="111"/>
      <c r="P908" s="111"/>
      <c r="Q908" s="111"/>
      <c r="R908" s="112"/>
      <c r="S908" s="111"/>
    </row>
    <row r="909" spans="12:19" ht="12.75" x14ac:dyDescent="0.2">
      <c r="L909" s="113"/>
      <c r="O909" s="111"/>
      <c r="P909" s="111"/>
      <c r="Q909" s="111"/>
      <c r="R909" s="112"/>
      <c r="S909" s="111"/>
    </row>
    <row r="910" spans="12:19" ht="12.75" x14ac:dyDescent="0.2">
      <c r="L910" s="113"/>
      <c r="O910" s="111"/>
      <c r="P910" s="111"/>
      <c r="Q910" s="111"/>
      <c r="R910" s="112"/>
      <c r="S910" s="111"/>
    </row>
    <row r="911" spans="12:19" ht="12.75" x14ac:dyDescent="0.2">
      <c r="L911" s="113"/>
      <c r="O911" s="111"/>
      <c r="P911" s="111"/>
      <c r="Q911" s="111"/>
      <c r="R911" s="112"/>
      <c r="S911" s="111"/>
    </row>
    <row r="912" spans="12:19" ht="12.75" x14ac:dyDescent="0.2">
      <c r="L912" s="113"/>
      <c r="O912" s="111"/>
      <c r="P912" s="111"/>
      <c r="Q912" s="111"/>
      <c r="R912" s="112"/>
      <c r="S912" s="111"/>
    </row>
    <row r="913" spans="12:19" ht="12.75" x14ac:dyDescent="0.2">
      <c r="L913" s="113"/>
      <c r="O913" s="111"/>
      <c r="P913" s="111"/>
      <c r="Q913" s="111"/>
      <c r="R913" s="112"/>
      <c r="S913" s="111"/>
    </row>
    <row r="914" spans="12:19" ht="12.75" x14ac:dyDescent="0.2">
      <c r="L914" s="113"/>
      <c r="O914" s="111"/>
      <c r="P914" s="111"/>
      <c r="Q914" s="111"/>
      <c r="R914" s="112"/>
      <c r="S914" s="111"/>
    </row>
    <row r="915" spans="12:19" ht="12.75" x14ac:dyDescent="0.2">
      <c r="L915" s="113"/>
      <c r="O915" s="111"/>
      <c r="P915" s="111"/>
      <c r="Q915" s="111"/>
      <c r="R915" s="112"/>
      <c r="S915" s="111"/>
    </row>
    <row r="916" spans="12:19" ht="12.75" x14ac:dyDescent="0.2">
      <c r="L916" s="113"/>
      <c r="O916" s="111"/>
      <c r="P916" s="111"/>
      <c r="Q916" s="111"/>
      <c r="R916" s="112"/>
      <c r="S916" s="111"/>
    </row>
    <row r="917" spans="12:19" ht="12.75" x14ac:dyDescent="0.2">
      <c r="L917" s="113"/>
      <c r="O917" s="111"/>
      <c r="P917" s="111"/>
      <c r="Q917" s="111"/>
      <c r="R917" s="112"/>
      <c r="S917" s="111"/>
    </row>
    <row r="918" spans="12:19" ht="12.75" x14ac:dyDescent="0.2">
      <c r="L918" s="113"/>
      <c r="O918" s="111"/>
      <c r="P918" s="111"/>
      <c r="Q918" s="111"/>
      <c r="R918" s="112"/>
      <c r="S918" s="111"/>
    </row>
    <row r="919" spans="12:19" ht="12.75" x14ac:dyDescent="0.2">
      <c r="L919" s="113"/>
      <c r="O919" s="111"/>
      <c r="P919" s="111"/>
      <c r="Q919" s="111"/>
      <c r="R919" s="112"/>
      <c r="S919" s="111"/>
    </row>
    <row r="920" spans="12:19" ht="12.75" x14ac:dyDescent="0.2">
      <c r="L920" s="113"/>
      <c r="O920" s="111"/>
      <c r="P920" s="111"/>
      <c r="Q920" s="111"/>
      <c r="R920" s="112"/>
      <c r="S920" s="111"/>
    </row>
    <row r="921" spans="12:19" ht="12.75" x14ac:dyDescent="0.2">
      <c r="L921" s="113"/>
      <c r="O921" s="111"/>
      <c r="P921" s="111"/>
      <c r="Q921" s="111"/>
      <c r="R921" s="112"/>
      <c r="S921" s="111"/>
    </row>
    <row r="922" spans="12:19" ht="12.75" x14ac:dyDescent="0.2">
      <c r="L922" s="113"/>
      <c r="O922" s="111"/>
      <c r="P922" s="111"/>
      <c r="Q922" s="111"/>
      <c r="R922" s="112"/>
      <c r="S922" s="111"/>
    </row>
    <row r="923" spans="12:19" ht="12.75" x14ac:dyDescent="0.2">
      <c r="L923" s="113"/>
      <c r="O923" s="111"/>
      <c r="P923" s="111"/>
      <c r="Q923" s="111"/>
      <c r="R923" s="112"/>
      <c r="S923" s="111"/>
    </row>
    <row r="924" spans="12:19" ht="12.75" x14ac:dyDescent="0.2">
      <c r="L924" s="113"/>
      <c r="O924" s="111"/>
      <c r="P924" s="111"/>
      <c r="Q924" s="111"/>
      <c r="R924" s="112"/>
      <c r="S924" s="111"/>
    </row>
    <row r="925" spans="12:19" ht="12.75" x14ac:dyDescent="0.2">
      <c r="L925" s="113"/>
      <c r="O925" s="111"/>
      <c r="P925" s="111"/>
      <c r="Q925" s="111"/>
      <c r="R925" s="112"/>
      <c r="S925" s="111"/>
    </row>
    <row r="926" spans="12:19" ht="12.75" x14ac:dyDescent="0.2">
      <c r="L926" s="113"/>
      <c r="O926" s="111"/>
      <c r="P926" s="111"/>
      <c r="Q926" s="111"/>
      <c r="R926" s="112"/>
      <c r="S926" s="111"/>
    </row>
    <row r="927" spans="12:19" ht="12.75" x14ac:dyDescent="0.2">
      <c r="L927" s="113"/>
      <c r="O927" s="111"/>
      <c r="P927" s="111"/>
      <c r="Q927" s="111"/>
      <c r="R927" s="112"/>
      <c r="S927" s="111"/>
    </row>
    <row r="928" spans="12:19" ht="12.75" x14ac:dyDescent="0.2">
      <c r="L928" s="113"/>
      <c r="O928" s="111"/>
      <c r="P928" s="111"/>
      <c r="Q928" s="111"/>
      <c r="R928" s="112"/>
      <c r="S928" s="111"/>
    </row>
    <row r="929" spans="12:19" ht="12.75" x14ac:dyDescent="0.2">
      <c r="L929" s="113"/>
      <c r="O929" s="111"/>
      <c r="P929" s="111"/>
      <c r="Q929" s="111"/>
      <c r="R929" s="112"/>
      <c r="S929" s="111"/>
    </row>
    <row r="930" spans="12:19" ht="12.75" x14ac:dyDescent="0.2">
      <c r="L930" s="113"/>
      <c r="O930" s="111"/>
      <c r="P930" s="111"/>
      <c r="Q930" s="111"/>
      <c r="R930" s="112"/>
      <c r="S930" s="111"/>
    </row>
    <row r="931" spans="12:19" ht="12.75" x14ac:dyDescent="0.2">
      <c r="L931" s="113"/>
      <c r="O931" s="111"/>
      <c r="P931" s="111"/>
      <c r="Q931" s="111"/>
      <c r="R931" s="112"/>
      <c r="S931" s="111"/>
    </row>
    <row r="932" spans="12:19" ht="12.75" x14ac:dyDescent="0.2">
      <c r="L932" s="113"/>
      <c r="O932" s="111"/>
      <c r="P932" s="111"/>
      <c r="Q932" s="111"/>
      <c r="R932" s="112"/>
      <c r="S932" s="111"/>
    </row>
    <row r="933" spans="12:19" ht="12.75" x14ac:dyDescent="0.2">
      <c r="L933" s="113"/>
      <c r="O933" s="111"/>
      <c r="P933" s="111"/>
      <c r="Q933" s="111"/>
      <c r="R933" s="112"/>
      <c r="S933" s="111"/>
    </row>
    <row r="934" spans="12:19" ht="12.75" x14ac:dyDescent="0.2">
      <c r="L934" s="113"/>
      <c r="O934" s="111"/>
      <c r="P934" s="111"/>
      <c r="Q934" s="111"/>
      <c r="R934" s="112"/>
      <c r="S934" s="111"/>
    </row>
    <row r="935" spans="12:19" ht="12.75" x14ac:dyDescent="0.2">
      <c r="L935" s="113"/>
      <c r="O935" s="111"/>
      <c r="P935" s="111"/>
      <c r="Q935" s="111"/>
      <c r="R935" s="112"/>
      <c r="S935" s="111"/>
    </row>
    <row r="936" spans="12:19" ht="12.75" x14ac:dyDescent="0.2">
      <c r="L936" s="113"/>
      <c r="O936" s="111"/>
      <c r="P936" s="111"/>
      <c r="Q936" s="111"/>
      <c r="R936" s="112"/>
      <c r="S936" s="111"/>
    </row>
    <row r="937" spans="12:19" ht="12.75" x14ac:dyDescent="0.2">
      <c r="L937" s="113"/>
      <c r="O937" s="111"/>
      <c r="P937" s="111"/>
      <c r="Q937" s="111"/>
      <c r="R937" s="112"/>
      <c r="S937" s="111"/>
    </row>
    <row r="938" spans="12:19" ht="12.75" x14ac:dyDescent="0.2">
      <c r="L938" s="113"/>
      <c r="O938" s="111"/>
      <c r="P938" s="111"/>
      <c r="Q938" s="111"/>
      <c r="R938" s="112"/>
      <c r="S938" s="111"/>
    </row>
    <row r="939" spans="12:19" ht="12.75" x14ac:dyDescent="0.2">
      <c r="L939" s="113"/>
      <c r="O939" s="111"/>
      <c r="P939" s="111"/>
      <c r="Q939" s="111"/>
      <c r="R939" s="112"/>
      <c r="S939" s="111"/>
    </row>
    <row r="940" spans="12:19" ht="12.75" x14ac:dyDescent="0.2">
      <c r="L940" s="113"/>
      <c r="O940" s="111"/>
      <c r="P940" s="111"/>
      <c r="Q940" s="111"/>
      <c r="R940" s="112"/>
      <c r="S940" s="111"/>
    </row>
    <row r="941" spans="12:19" ht="12.75" x14ac:dyDescent="0.2">
      <c r="L941" s="113"/>
      <c r="O941" s="111"/>
      <c r="P941" s="111"/>
      <c r="Q941" s="111"/>
      <c r="R941" s="112"/>
      <c r="S941" s="111"/>
    </row>
    <row r="942" spans="12:19" ht="12.75" x14ac:dyDescent="0.2">
      <c r="L942" s="113"/>
      <c r="O942" s="111"/>
      <c r="P942" s="111"/>
      <c r="Q942" s="111"/>
      <c r="R942" s="112"/>
      <c r="S942" s="111"/>
    </row>
    <row r="943" spans="12:19" ht="12.75" x14ac:dyDescent="0.2">
      <c r="L943" s="113"/>
      <c r="O943" s="111"/>
      <c r="P943" s="111"/>
      <c r="Q943" s="111"/>
      <c r="R943" s="112"/>
      <c r="S943" s="111"/>
    </row>
    <row r="944" spans="12:19" ht="12.75" x14ac:dyDescent="0.2">
      <c r="L944" s="113"/>
      <c r="O944" s="111"/>
      <c r="P944" s="111"/>
      <c r="Q944" s="111"/>
      <c r="R944" s="112"/>
      <c r="S944" s="111"/>
    </row>
    <row r="945" spans="12:19" ht="12.75" x14ac:dyDescent="0.2">
      <c r="L945" s="113"/>
      <c r="O945" s="111"/>
      <c r="P945" s="111"/>
      <c r="Q945" s="111"/>
      <c r="R945" s="112"/>
      <c r="S945" s="111"/>
    </row>
    <row r="946" spans="12:19" ht="12.75" x14ac:dyDescent="0.2">
      <c r="L946" s="113"/>
      <c r="O946" s="111"/>
      <c r="P946" s="111"/>
      <c r="Q946" s="111"/>
      <c r="R946" s="112"/>
      <c r="S946" s="111"/>
    </row>
    <row r="947" spans="12:19" ht="12.75" x14ac:dyDescent="0.2">
      <c r="L947" s="113"/>
      <c r="O947" s="111"/>
      <c r="P947" s="111"/>
      <c r="Q947" s="111"/>
      <c r="R947" s="112"/>
      <c r="S947" s="111"/>
    </row>
    <row r="948" spans="12:19" ht="12.75" x14ac:dyDescent="0.2">
      <c r="L948" s="113"/>
      <c r="O948" s="111"/>
      <c r="P948" s="111"/>
      <c r="Q948" s="111"/>
      <c r="R948" s="112"/>
      <c r="S948" s="111"/>
    </row>
    <row r="949" spans="12:19" ht="12.75" x14ac:dyDescent="0.2">
      <c r="L949" s="113"/>
      <c r="O949" s="111"/>
      <c r="P949" s="111"/>
      <c r="Q949" s="111"/>
      <c r="R949" s="112"/>
      <c r="S949" s="111"/>
    </row>
    <row r="950" spans="12:19" ht="12.75" x14ac:dyDescent="0.2">
      <c r="L950" s="113"/>
      <c r="O950" s="111"/>
      <c r="P950" s="111"/>
      <c r="Q950" s="111"/>
      <c r="R950" s="112"/>
      <c r="S950" s="111"/>
    </row>
    <row r="951" spans="12:19" ht="12.75" x14ac:dyDescent="0.2">
      <c r="L951" s="113"/>
      <c r="O951" s="111"/>
      <c r="P951" s="111"/>
      <c r="Q951" s="111"/>
      <c r="R951" s="112"/>
      <c r="S951" s="111"/>
    </row>
    <row r="952" spans="12:19" ht="12.75" x14ac:dyDescent="0.2">
      <c r="L952" s="113"/>
      <c r="O952" s="111"/>
      <c r="P952" s="111"/>
      <c r="Q952" s="111"/>
      <c r="R952" s="112"/>
      <c r="S952" s="111"/>
    </row>
    <row r="953" spans="12:19" ht="12.75" x14ac:dyDescent="0.2">
      <c r="L953" s="113"/>
      <c r="O953" s="111"/>
      <c r="P953" s="111"/>
      <c r="Q953" s="111"/>
      <c r="R953" s="112"/>
      <c r="S953" s="111"/>
    </row>
    <row r="954" spans="12:19" ht="12.75" x14ac:dyDescent="0.2">
      <c r="L954" s="113"/>
      <c r="O954" s="111"/>
      <c r="P954" s="111"/>
      <c r="Q954" s="111"/>
      <c r="R954" s="112"/>
      <c r="S954" s="111"/>
    </row>
    <row r="955" spans="12:19" ht="12.75" x14ac:dyDescent="0.2">
      <c r="L955" s="113"/>
      <c r="O955" s="111"/>
      <c r="P955" s="111"/>
      <c r="Q955" s="111"/>
      <c r="R955" s="112"/>
      <c r="S955" s="111"/>
    </row>
    <row r="956" spans="12:19" ht="12.75" x14ac:dyDescent="0.2">
      <c r="L956" s="113"/>
      <c r="O956" s="111"/>
      <c r="P956" s="111"/>
      <c r="Q956" s="111"/>
      <c r="R956" s="112"/>
      <c r="S956" s="111"/>
    </row>
    <row r="957" spans="12:19" ht="12.75" x14ac:dyDescent="0.2">
      <c r="L957" s="113"/>
      <c r="O957" s="111"/>
      <c r="P957" s="111"/>
      <c r="Q957" s="111"/>
      <c r="R957" s="112"/>
      <c r="S957" s="111"/>
    </row>
    <row r="958" spans="12:19" ht="12.75" x14ac:dyDescent="0.2">
      <c r="L958" s="113"/>
      <c r="O958" s="111"/>
      <c r="P958" s="111"/>
      <c r="Q958" s="111"/>
      <c r="R958" s="112"/>
      <c r="S958" s="111"/>
    </row>
    <row r="959" spans="12:19" ht="12.75" x14ac:dyDescent="0.2">
      <c r="L959" s="113"/>
      <c r="O959" s="111"/>
      <c r="P959" s="111"/>
      <c r="Q959" s="111"/>
      <c r="R959" s="112"/>
      <c r="S959" s="111"/>
    </row>
    <row r="960" spans="12:19" ht="12.75" x14ac:dyDescent="0.2">
      <c r="L960" s="113"/>
      <c r="O960" s="111"/>
      <c r="P960" s="111"/>
      <c r="Q960" s="111"/>
      <c r="R960" s="112"/>
      <c r="S960" s="111"/>
    </row>
    <row r="961" spans="12:19" ht="12.75" x14ac:dyDescent="0.2">
      <c r="L961" s="113"/>
      <c r="O961" s="111"/>
      <c r="P961" s="111"/>
      <c r="Q961" s="111"/>
      <c r="R961" s="112"/>
      <c r="S961" s="111"/>
    </row>
    <row r="962" spans="12:19" ht="12.75" x14ac:dyDescent="0.2">
      <c r="L962" s="113"/>
      <c r="O962" s="111"/>
      <c r="P962" s="111"/>
      <c r="Q962" s="111"/>
      <c r="R962" s="112"/>
      <c r="S962" s="111"/>
    </row>
    <row r="963" spans="12:19" ht="12.75" x14ac:dyDescent="0.2">
      <c r="L963" s="113"/>
      <c r="O963" s="111"/>
      <c r="P963" s="111"/>
      <c r="Q963" s="111"/>
      <c r="R963" s="112"/>
      <c r="S963" s="111"/>
    </row>
    <row r="964" spans="12:19" ht="12.75" x14ac:dyDescent="0.2">
      <c r="L964" s="113"/>
      <c r="O964" s="111"/>
      <c r="P964" s="111"/>
      <c r="Q964" s="111"/>
      <c r="R964" s="112"/>
      <c r="S964" s="111"/>
    </row>
    <row r="965" spans="12:19" ht="12.75" x14ac:dyDescent="0.2">
      <c r="L965" s="113"/>
      <c r="O965" s="111"/>
      <c r="P965" s="111"/>
      <c r="Q965" s="111"/>
      <c r="R965" s="112"/>
      <c r="S965" s="111"/>
    </row>
    <row r="966" spans="12:19" ht="12.75" x14ac:dyDescent="0.2">
      <c r="L966" s="113"/>
      <c r="O966" s="111"/>
      <c r="P966" s="111"/>
      <c r="Q966" s="111"/>
      <c r="R966" s="112"/>
      <c r="S966" s="111"/>
    </row>
    <row r="967" spans="12:19" ht="12.75" x14ac:dyDescent="0.2">
      <c r="L967" s="113"/>
      <c r="O967" s="111"/>
      <c r="P967" s="111"/>
      <c r="Q967" s="111"/>
      <c r="R967" s="112"/>
      <c r="S967" s="111"/>
    </row>
    <row r="968" spans="12:19" ht="12.75" x14ac:dyDescent="0.2">
      <c r="L968" s="113"/>
      <c r="O968" s="111"/>
      <c r="P968" s="111"/>
      <c r="Q968" s="111"/>
      <c r="R968" s="112"/>
      <c r="S968" s="111"/>
    </row>
    <row r="969" spans="12:19" ht="12.75" x14ac:dyDescent="0.2">
      <c r="L969" s="113"/>
      <c r="O969" s="111"/>
      <c r="P969" s="111"/>
      <c r="Q969" s="111"/>
      <c r="R969" s="112"/>
      <c r="S969" s="111"/>
    </row>
    <row r="970" spans="12:19" ht="12.75" x14ac:dyDescent="0.2">
      <c r="L970" s="113"/>
      <c r="O970" s="111"/>
      <c r="P970" s="111"/>
      <c r="Q970" s="111"/>
      <c r="R970" s="112"/>
      <c r="S970" s="111"/>
    </row>
    <row r="971" spans="12:19" ht="12.75" x14ac:dyDescent="0.2">
      <c r="L971" s="113"/>
      <c r="O971" s="111"/>
      <c r="P971" s="111"/>
      <c r="Q971" s="111"/>
      <c r="R971" s="112"/>
      <c r="S971" s="111"/>
    </row>
    <row r="972" spans="12:19" ht="12.75" x14ac:dyDescent="0.2">
      <c r="L972" s="113"/>
      <c r="O972" s="111"/>
      <c r="P972" s="111"/>
      <c r="Q972" s="111"/>
      <c r="R972" s="112"/>
      <c r="S972" s="111"/>
    </row>
    <row r="973" spans="12:19" ht="12.75" x14ac:dyDescent="0.2">
      <c r="L973" s="113"/>
      <c r="O973" s="111"/>
      <c r="P973" s="111"/>
      <c r="Q973" s="111"/>
      <c r="R973" s="112"/>
      <c r="S973" s="111"/>
    </row>
    <row r="974" spans="12:19" ht="12.75" x14ac:dyDescent="0.2">
      <c r="L974" s="113"/>
      <c r="O974" s="111"/>
      <c r="P974" s="111"/>
      <c r="Q974" s="111"/>
      <c r="R974" s="112"/>
      <c r="S974" s="111"/>
    </row>
    <row r="975" spans="12:19" ht="12.75" x14ac:dyDescent="0.2">
      <c r="L975" s="113"/>
      <c r="O975" s="111"/>
      <c r="P975" s="111"/>
      <c r="Q975" s="111"/>
      <c r="R975" s="112"/>
      <c r="S975" s="111"/>
    </row>
    <row r="976" spans="12:19" ht="12.75" x14ac:dyDescent="0.2">
      <c r="L976" s="113"/>
      <c r="O976" s="111"/>
      <c r="P976" s="111"/>
      <c r="Q976" s="111"/>
      <c r="R976" s="112"/>
      <c r="S976" s="111"/>
    </row>
    <row r="977" spans="12:19" ht="12.75" x14ac:dyDescent="0.2">
      <c r="L977" s="113"/>
      <c r="O977" s="111"/>
      <c r="P977" s="111"/>
      <c r="Q977" s="111"/>
      <c r="R977" s="112"/>
      <c r="S977" s="111"/>
    </row>
    <row r="978" spans="12:19" ht="12.75" x14ac:dyDescent="0.2">
      <c r="L978" s="113"/>
      <c r="O978" s="111"/>
      <c r="P978" s="111"/>
      <c r="Q978" s="111"/>
      <c r="R978" s="112"/>
      <c r="S978" s="111"/>
    </row>
    <row r="979" spans="12:19" ht="12.75" x14ac:dyDescent="0.2">
      <c r="L979" s="113"/>
      <c r="O979" s="111"/>
      <c r="P979" s="111"/>
      <c r="Q979" s="111"/>
      <c r="R979" s="112"/>
      <c r="S979" s="111"/>
    </row>
    <row r="980" spans="12:19" ht="12.75" x14ac:dyDescent="0.2">
      <c r="L980" s="113"/>
      <c r="O980" s="111"/>
      <c r="P980" s="111"/>
      <c r="Q980" s="111"/>
      <c r="R980" s="112"/>
      <c r="S980" s="111"/>
    </row>
    <row r="981" spans="12:19" ht="12.75" x14ac:dyDescent="0.2">
      <c r="L981" s="113"/>
      <c r="O981" s="111"/>
      <c r="P981" s="111"/>
      <c r="Q981" s="111"/>
      <c r="R981" s="112"/>
      <c r="S981" s="111"/>
    </row>
    <row r="982" spans="12:19" ht="12.75" x14ac:dyDescent="0.2">
      <c r="L982" s="113"/>
      <c r="O982" s="111"/>
      <c r="P982" s="111"/>
      <c r="Q982" s="111"/>
      <c r="R982" s="112"/>
      <c r="S982" s="111"/>
    </row>
    <row r="983" spans="12:19" ht="12.75" x14ac:dyDescent="0.2">
      <c r="L983" s="113"/>
      <c r="O983" s="111"/>
      <c r="P983" s="111"/>
      <c r="Q983" s="111"/>
      <c r="R983" s="112"/>
      <c r="S983" s="111"/>
    </row>
    <row r="984" spans="12:19" ht="12.75" x14ac:dyDescent="0.2">
      <c r="L984" s="113"/>
      <c r="O984" s="111"/>
      <c r="P984" s="111"/>
      <c r="Q984" s="111"/>
      <c r="R984" s="112"/>
      <c r="S984" s="111"/>
    </row>
    <row r="985" spans="12:19" ht="12.75" x14ac:dyDescent="0.2">
      <c r="L985" s="113"/>
      <c r="O985" s="111"/>
      <c r="P985" s="111"/>
      <c r="Q985" s="111"/>
      <c r="R985" s="112"/>
      <c r="S985" s="111"/>
    </row>
    <row r="986" spans="12:19" ht="12.75" x14ac:dyDescent="0.2">
      <c r="L986" s="113"/>
      <c r="O986" s="111"/>
      <c r="P986" s="111"/>
      <c r="Q986" s="111"/>
      <c r="R986" s="112"/>
      <c r="S986" s="111"/>
    </row>
  </sheetData>
  <autoFilter ref="A1:Z227" xr:uid="{00000000-0009-0000-0000-000003000000}">
    <filterColumn colId="19">
      <filters>
        <filter val="Asignado"/>
        <filter val="Construido"/>
        <filter val="Construido (baño)"/>
        <filter val="Construido (VDE, baño)"/>
      </filters>
    </filterColumn>
  </autoFilter>
  <mergeCells count="4">
    <mergeCell ref="K191:L191"/>
    <mergeCell ref="K202:L202"/>
    <mergeCell ref="F219:G219"/>
    <mergeCell ref="K220:L220"/>
  </mergeCells>
  <conditionalFormatting sqref="R1:R986 Q14 O30:Q30 O44:Q44 Q46 Q96 O108 Q108 Q112 Q152 O182">
    <cfRule type="cellIs" dxfId="7" priority="1" operator="equal">
      <formula>"Activo"</formula>
    </cfRule>
    <cfRule type="cellIs" dxfId="6" priority="2" operator="equal">
      <formula>"Inactivo"</formula>
    </cfRule>
    <cfRule type="cellIs" dxfId="5" priority="3" operator="equal">
      <formula>"Activo para posconstrucciones"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H289"/>
  <sheetViews>
    <sheetView workbookViewId="0">
      <selection sqref="A1:AH210"/>
    </sheetView>
  </sheetViews>
  <sheetFormatPr defaultColWidth="12.5703125" defaultRowHeight="15.75" customHeight="1" x14ac:dyDescent="0.2"/>
  <cols>
    <col min="1" max="1" width="16.85546875" customWidth="1"/>
    <col min="2" max="2" width="33.140625" customWidth="1"/>
    <col min="3" max="3" width="11.140625" customWidth="1"/>
    <col min="4" max="4" width="14" customWidth="1"/>
    <col min="5" max="5" width="14.42578125" customWidth="1"/>
    <col min="6" max="6" width="16.85546875" customWidth="1"/>
    <col min="7" max="7" width="38" customWidth="1"/>
    <col min="8" max="8" width="24.5703125" customWidth="1"/>
    <col min="9" max="9" width="14" customWidth="1"/>
    <col min="10" max="10" width="18.5703125" customWidth="1"/>
    <col min="11" max="11" width="22.85546875" customWidth="1"/>
    <col min="12" max="12" width="23.5703125" customWidth="1"/>
    <col min="13" max="13" width="17.42578125" customWidth="1"/>
    <col min="14" max="15" width="24.28515625" customWidth="1"/>
    <col min="16" max="16" width="19.7109375" customWidth="1"/>
    <col min="17" max="17" width="22.5703125" customWidth="1"/>
    <col min="18" max="18" width="15.28515625" customWidth="1"/>
    <col min="19" max="19" width="14.140625" customWidth="1"/>
    <col min="20" max="20" width="15.28515625" customWidth="1"/>
    <col min="21" max="21" width="16.85546875" customWidth="1"/>
    <col min="22" max="22" width="15.28515625" customWidth="1"/>
    <col min="23" max="23" width="16.85546875" customWidth="1"/>
    <col min="24" max="24" width="15.28515625" customWidth="1"/>
    <col min="25" max="25" width="17.42578125" customWidth="1"/>
    <col min="26" max="26" width="16.28515625" customWidth="1"/>
    <col min="27" max="27" width="44.42578125" customWidth="1"/>
    <col min="28" max="28" width="15.140625" customWidth="1"/>
    <col min="29" max="29" width="62.42578125" customWidth="1"/>
    <col min="30" max="30" width="14.5703125" customWidth="1"/>
    <col min="31" max="31" width="67.85546875" customWidth="1"/>
    <col min="32" max="34" width="14.5703125" customWidth="1"/>
  </cols>
  <sheetData>
    <row r="1" spans="1:34" x14ac:dyDescent="0.2">
      <c r="A1" s="37" t="s">
        <v>2581</v>
      </c>
      <c r="B1" s="37" t="s">
        <v>2582</v>
      </c>
      <c r="C1" s="37" t="s">
        <v>2583</v>
      </c>
      <c r="D1" s="37" t="s">
        <v>2584</v>
      </c>
      <c r="E1" s="37" t="s">
        <v>2585</v>
      </c>
      <c r="F1" s="37" t="s">
        <v>2586</v>
      </c>
      <c r="G1" s="37" t="s">
        <v>2587</v>
      </c>
      <c r="H1" s="37" t="s">
        <v>2588</v>
      </c>
      <c r="I1" s="37" t="s">
        <v>2589</v>
      </c>
      <c r="J1" s="37" t="s">
        <v>2590</v>
      </c>
      <c r="K1" s="37" t="s">
        <v>2591</v>
      </c>
      <c r="L1" s="37" t="s">
        <v>2829</v>
      </c>
      <c r="M1" s="37" t="s">
        <v>2593</v>
      </c>
      <c r="N1" s="37" t="s">
        <v>2594</v>
      </c>
      <c r="O1" s="37" t="s">
        <v>2595</v>
      </c>
      <c r="P1" s="37" t="s">
        <v>2596</v>
      </c>
      <c r="Q1" s="37" t="s">
        <v>3826</v>
      </c>
      <c r="R1" s="37" t="s">
        <v>2598</v>
      </c>
      <c r="S1" s="37" t="s">
        <v>2599</v>
      </c>
      <c r="T1" s="37" t="s">
        <v>2600</v>
      </c>
      <c r="U1" s="37" t="s">
        <v>2601</v>
      </c>
      <c r="V1" s="37" t="s">
        <v>2602</v>
      </c>
      <c r="W1" s="37" t="s">
        <v>2603</v>
      </c>
      <c r="X1" s="37" t="s">
        <v>2604</v>
      </c>
      <c r="Y1" s="37" t="s">
        <v>2605</v>
      </c>
      <c r="Z1" s="37" t="s">
        <v>3827</v>
      </c>
      <c r="AA1" s="37" t="s">
        <v>2831</v>
      </c>
      <c r="AB1" s="37" t="s">
        <v>2832</v>
      </c>
      <c r="AC1" s="37" t="s">
        <v>2833</v>
      </c>
      <c r="AD1" s="37" t="s">
        <v>2834</v>
      </c>
      <c r="AE1" s="37" t="s">
        <v>3828</v>
      </c>
      <c r="AF1" s="37" t="s">
        <v>3829</v>
      </c>
      <c r="AG1" s="37" t="s">
        <v>3200</v>
      </c>
      <c r="AH1" s="37" t="s">
        <v>2835</v>
      </c>
    </row>
    <row r="2" spans="1:34" x14ac:dyDescent="0.2">
      <c r="A2" s="114">
        <v>44584</v>
      </c>
      <c r="B2" s="29" t="s">
        <v>3830</v>
      </c>
      <c r="C2" s="26"/>
      <c r="D2" s="29">
        <v>3132536994</v>
      </c>
      <c r="E2" s="26" t="s">
        <v>31</v>
      </c>
      <c r="F2" s="32"/>
      <c r="G2" s="29"/>
      <c r="H2" s="29"/>
      <c r="I2" s="29">
        <v>3004727292</v>
      </c>
      <c r="J2" s="29"/>
      <c r="K2" s="29"/>
      <c r="L2" s="29"/>
      <c r="M2" s="27" t="s">
        <v>2610</v>
      </c>
      <c r="N2" s="115">
        <v>44584</v>
      </c>
      <c r="O2" s="32" t="s">
        <v>2848</v>
      </c>
      <c r="P2" s="32"/>
      <c r="Q2" s="32"/>
      <c r="R2" s="32"/>
      <c r="S2" s="32"/>
      <c r="T2" s="32"/>
      <c r="U2" s="32"/>
      <c r="V2" s="32"/>
      <c r="W2" s="32"/>
      <c r="X2" s="32"/>
      <c r="Y2" s="32"/>
      <c r="Z2" s="32"/>
      <c r="AA2" s="32" t="s">
        <v>3831</v>
      </c>
      <c r="AB2" s="32" t="s">
        <v>3832</v>
      </c>
      <c r="AC2" s="32"/>
      <c r="AD2" s="32"/>
      <c r="AE2" s="32"/>
      <c r="AF2" s="32"/>
      <c r="AG2" s="32"/>
      <c r="AH2" s="32"/>
    </row>
    <row r="3" spans="1:34" x14ac:dyDescent="0.2">
      <c r="A3" s="114">
        <v>44584</v>
      </c>
      <c r="B3" s="29" t="s">
        <v>3833</v>
      </c>
      <c r="C3" s="26">
        <v>32091881</v>
      </c>
      <c r="D3" s="29">
        <v>3007316007</v>
      </c>
      <c r="E3" s="26" t="s">
        <v>31</v>
      </c>
      <c r="F3" s="32"/>
      <c r="G3" s="29" t="s">
        <v>3834</v>
      </c>
      <c r="H3" s="29"/>
      <c r="I3" s="29">
        <v>3017570276</v>
      </c>
      <c r="J3" s="29"/>
      <c r="K3" s="29"/>
      <c r="L3" s="29"/>
      <c r="M3" s="27" t="s">
        <v>2644</v>
      </c>
      <c r="N3" s="115">
        <v>44584</v>
      </c>
      <c r="O3" s="32" t="s">
        <v>2622</v>
      </c>
      <c r="P3" s="32" t="s">
        <v>2646</v>
      </c>
      <c r="Q3" s="115">
        <v>44611</v>
      </c>
      <c r="R3" s="32"/>
      <c r="S3" s="32"/>
      <c r="T3" s="32"/>
      <c r="U3" s="32"/>
      <c r="V3" s="32"/>
      <c r="W3" s="32"/>
      <c r="X3" s="32"/>
      <c r="Y3" s="32"/>
      <c r="Z3" s="32"/>
      <c r="AA3" s="32" t="s">
        <v>3835</v>
      </c>
      <c r="AB3" s="32" t="s">
        <v>3832</v>
      </c>
      <c r="AC3" s="32"/>
      <c r="AD3" s="32"/>
      <c r="AE3" s="32"/>
      <c r="AF3" s="32"/>
      <c r="AG3" s="32"/>
      <c r="AH3" s="32"/>
    </row>
    <row r="4" spans="1:34" x14ac:dyDescent="0.2">
      <c r="A4" s="114">
        <v>44584</v>
      </c>
      <c r="B4" s="29" t="s">
        <v>3836</v>
      </c>
      <c r="C4" s="26">
        <v>4349329</v>
      </c>
      <c r="D4" s="29">
        <v>3004727292</v>
      </c>
      <c r="E4" s="26" t="s">
        <v>31</v>
      </c>
      <c r="F4" s="32"/>
      <c r="G4" s="29"/>
      <c r="H4" s="29" t="s">
        <v>3830</v>
      </c>
      <c r="I4" s="29">
        <v>3132536994</v>
      </c>
      <c r="J4" s="29"/>
      <c r="K4" s="29"/>
      <c r="L4" s="29"/>
      <c r="M4" s="27" t="s">
        <v>2610</v>
      </c>
      <c r="N4" s="115">
        <v>44584</v>
      </c>
      <c r="O4" s="32" t="s">
        <v>2848</v>
      </c>
      <c r="P4" s="32"/>
      <c r="Q4" s="32"/>
      <c r="R4" s="32"/>
      <c r="S4" s="32"/>
      <c r="T4" s="32"/>
      <c r="U4" s="32"/>
      <c r="V4" s="32"/>
      <c r="W4" s="32"/>
      <c r="X4" s="32"/>
      <c r="Y4" s="32"/>
      <c r="Z4" s="32" t="s">
        <v>3831</v>
      </c>
      <c r="AA4" s="32"/>
      <c r="AB4" s="32"/>
      <c r="AC4" s="32"/>
      <c r="AD4" s="32"/>
      <c r="AE4" s="32"/>
      <c r="AF4" s="32"/>
      <c r="AG4" s="32"/>
      <c r="AH4" s="32"/>
    </row>
    <row r="5" spans="1:34" x14ac:dyDescent="0.2">
      <c r="A5" s="114">
        <v>44584</v>
      </c>
      <c r="B5" s="29" t="s">
        <v>3837</v>
      </c>
      <c r="C5" s="26">
        <v>43634883</v>
      </c>
      <c r="D5" s="29">
        <v>3004431592</v>
      </c>
      <c r="E5" s="26" t="s">
        <v>31</v>
      </c>
      <c r="F5" s="32"/>
      <c r="G5" s="29" t="s">
        <v>3838</v>
      </c>
      <c r="H5" s="29"/>
      <c r="I5" s="29">
        <v>3204095979</v>
      </c>
      <c r="J5" s="29"/>
      <c r="K5" s="29"/>
      <c r="L5" s="29"/>
      <c r="M5" s="27" t="s">
        <v>2644</v>
      </c>
      <c r="N5" s="115">
        <v>44584</v>
      </c>
      <c r="O5" s="32" t="s">
        <v>2848</v>
      </c>
      <c r="P5" s="32" t="s">
        <v>2646</v>
      </c>
      <c r="Q5" s="116">
        <v>44744</v>
      </c>
      <c r="R5" s="32"/>
      <c r="S5" s="32"/>
      <c r="T5" s="32"/>
      <c r="U5" s="32"/>
      <c r="V5" s="32"/>
      <c r="W5" s="32"/>
      <c r="X5" s="32"/>
      <c r="Y5" s="32"/>
      <c r="Z5" s="32"/>
      <c r="AA5" s="32" t="s">
        <v>3839</v>
      </c>
      <c r="AB5" s="32" t="s">
        <v>3832</v>
      </c>
      <c r="AC5" s="32"/>
      <c r="AD5" s="32"/>
      <c r="AE5" s="32"/>
      <c r="AF5" s="32"/>
      <c r="AG5" s="32"/>
      <c r="AH5" s="32"/>
    </row>
    <row r="6" spans="1:34" x14ac:dyDescent="0.2">
      <c r="A6" s="114">
        <v>44584</v>
      </c>
      <c r="B6" s="29" t="s">
        <v>3840</v>
      </c>
      <c r="C6" s="26">
        <v>98712363</v>
      </c>
      <c r="D6" s="29">
        <v>3006179719</v>
      </c>
      <c r="E6" s="26" t="s">
        <v>31</v>
      </c>
      <c r="F6" s="32"/>
      <c r="G6" s="29" t="s">
        <v>3841</v>
      </c>
      <c r="H6" s="29"/>
      <c r="I6" s="29">
        <v>3045824087</v>
      </c>
      <c r="J6" s="29"/>
      <c r="K6" s="29"/>
      <c r="L6" s="29"/>
      <c r="M6" s="27" t="s">
        <v>2610</v>
      </c>
      <c r="N6" s="115">
        <v>44584</v>
      </c>
      <c r="O6" s="32" t="s">
        <v>2848</v>
      </c>
      <c r="P6" s="32"/>
      <c r="Q6" s="32"/>
      <c r="R6" s="32"/>
      <c r="S6" s="32"/>
      <c r="T6" s="32"/>
      <c r="U6" s="32"/>
      <c r="V6" s="32"/>
      <c r="W6" s="32"/>
      <c r="X6" s="32"/>
      <c r="Y6" s="32"/>
      <c r="Z6" s="32"/>
      <c r="AA6" s="32" t="s">
        <v>3842</v>
      </c>
      <c r="AB6" s="32" t="s">
        <v>3832</v>
      </c>
      <c r="AC6" s="32"/>
      <c r="AD6" s="32"/>
      <c r="AE6" s="32"/>
      <c r="AF6" s="32"/>
      <c r="AG6" s="32"/>
      <c r="AH6" s="32"/>
    </row>
    <row r="7" spans="1:34" x14ac:dyDescent="0.2">
      <c r="A7" s="114">
        <v>44584</v>
      </c>
      <c r="B7" s="29" t="s">
        <v>3843</v>
      </c>
      <c r="C7" s="26">
        <v>14248323</v>
      </c>
      <c r="D7" s="29">
        <v>3206418895</v>
      </c>
      <c r="E7" s="26" t="s">
        <v>31</v>
      </c>
      <c r="F7" s="32"/>
      <c r="G7" s="29"/>
      <c r="H7" s="29"/>
      <c r="I7" s="29">
        <v>3147553062</v>
      </c>
      <c r="J7" s="29"/>
      <c r="K7" s="29"/>
      <c r="L7" s="29"/>
      <c r="M7" s="27" t="s">
        <v>2610</v>
      </c>
      <c r="N7" s="115">
        <v>44584</v>
      </c>
      <c r="O7" s="32" t="s">
        <v>2622</v>
      </c>
      <c r="P7" s="32"/>
      <c r="Q7" s="32"/>
      <c r="R7" s="32"/>
      <c r="S7" s="32"/>
      <c r="T7" s="32"/>
      <c r="U7" s="32"/>
      <c r="V7" s="32"/>
      <c r="W7" s="32"/>
      <c r="X7" s="32"/>
      <c r="Y7" s="32"/>
      <c r="Z7" s="32"/>
      <c r="AA7" s="32" t="s">
        <v>3844</v>
      </c>
      <c r="AB7" s="32" t="s">
        <v>3832</v>
      </c>
      <c r="AC7" s="32"/>
      <c r="AD7" s="32"/>
      <c r="AE7" s="32"/>
      <c r="AF7" s="32"/>
      <c r="AG7" s="32"/>
      <c r="AH7" s="32"/>
    </row>
    <row r="8" spans="1:34" x14ac:dyDescent="0.2">
      <c r="A8" s="114">
        <v>44584</v>
      </c>
      <c r="B8" s="29" t="s">
        <v>3845</v>
      </c>
      <c r="C8" s="26">
        <v>1015277121</v>
      </c>
      <c r="D8" s="29">
        <v>3012074409</v>
      </c>
      <c r="E8" s="26" t="s">
        <v>31</v>
      </c>
      <c r="F8" s="32"/>
      <c r="G8" s="29" t="s">
        <v>3846</v>
      </c>
      <c r="H8" s="29"/>
      <c r="I8" s="29">
        <v>2319201</v>
      </c>
      <c r="J8" s="29"/>
      <c r="K8" s="29"/>
      <c r="L8" s="29"/>
      <c r="M8" s="27" t="s">
        <v>2610</v>
      </c>
      <c r="N8" s="115">
        <v>44584</v>
      </c>
      <c r="O8" s="32" t="s">
        <v>2838</v>
      </c>
      <c r="P8" s="32"/>
      <c r="Q8" s="32"/>
      <c r="R8" s="32"/>
      <c r="S8" s="32"/>
      <c r="T8" s="32"/>
      <c r="U8" s="32"/>
      <c r="V8" s="32"/>
      <c r="W8" s="32"/>
      <c r="X8" s="32"/>
      <c r="Y8" s="32"/>
      <c r="Z8" s="32"/>
      <c r="AA8" s="32" t="s">
        <v>3847</v>
      </c>
      <c r="AB8" s="32" t="s">
        <v>3832</v>
      </c>
      <c r="AC8" s="32"/>
      <c r="AD8" s="32"/>
      <c r="AE8" s="32"/>
      <c r="AF8" s="32"/>
      <c r="AG8" s="32"/>
      <c r="AH8" s="32"/>
    </row>
    <row r="9" spans="1:34" x14ac:dyDescent="0.2">
      <c r="A9" s="114">
        <v>44584</v>
      </c>
      <c r="B9" s="29" t="s">
        <v>3848</v>
      </c>
      <c r="C9" s="26">
        <v>32476152</v>
      </c>
      <c r="D9" s="29">
        <v>3008031045</v>
      </c>
      <c r="E9" s="26" t="s">
        <v>31</v>
      </c>
      <c r="F9" s="32"/>
      <c r="G9" s="29" t="s">
        <v>3849</v>
      </c>
      <c r="H9" s="29" t="s">
        <v>3502</v>
      </c>
      <c r="I9" s="29">
        <v>3004390747</v>
      </c>
      <c r="J9" s="29"/>
      <c r="K9" s="29"/>
      <c r="L9" s="29"/>
      <c r="M9" s="27" t="s">
        <v>2610</v>
      </c>
      <c r="N9" s="115">
        <v>44584</v>
      </c>
      <c r="O9" s="32" t="s">
        <v>2622</v>
      </c>
      <c r="P9" s="32"/>
      <c r="Q9" s="32"/>
      <c r="R9" s="32"/>
      <c r="S9" s="32"/>
      <c r="T9" s="32"/>
      <c r="U9" s="32"/>
      <c r="V9" s="32"/>
      <c r="W9" s="32"/>
      <c r="X9" s="32"/>
      <c r="Y9" s="32"/>
      <c r="Z9" s="32"/>
      <c r="AA9" s="32" t="s">
        <v>3850</v>
      </c>
      <c r="AB9" s="32" t="s">
        <v>3832</v>
      </c>
      <c r="AC9" s="32" t="s">
        <v>3851</v>
      </c>
      <c r="AD9" s="115">
        <v>45108</v>
      </c>
      <c r="AE9" s="32"/>
      <c r="AF9" s="32"/>
      <c r="AG9" s="32"/>
      <c r="AH9" s="32"/>
    </row>
    <row r="10" spans="1:34" x14ac:dyDescent="0.2">
      <c r="A10" s="114">
        <v>44584</v>
      </c>
      <c r="B10" s="29" t="s">
        <v>3852</v>
      </c>
      <c r="C10" s="26">
        <v>50927525</v>
      </c>
      <c r="D10" s="29">
        <v>3015243377</v>
      </c>
      <c r="E10" s="26" t="s">
        <v>31</v>
      </c>
      <c r="F10" s="32"/>
      <c r="G10" s="29" t="s">
        <v>3853</v>
      </c>
      <c r="H10" s="29" t="s">
        <v>3854</v>
      </c>
      <c r="I10" s="29">
        <v>3044489472</v>
      </c>
      <c r="J10" s="29"/>
      <c r="K10" s="29"/>
      <c r="L10" s="29"/>
      <c r="M10" s="27" t="s">
        <v>2610</v>
      </c>
      <c r="N10" s="115">
        <v>44584</v>
      </c>
      <c r="O10" s="32" t="s">
        <v>2848</v>
      </c>
      <c r="P10" s="32"/>
      <c r="Q10" s="32"/>
      <c r="R10" s="32"/>
      <c r="S10" s="32"/>
      <c r="T10" s="32"/>
      <c r="U10" s="32"/>
      <c r="V10" s="32"/>
      <c r="W10" s="32"/>
      <c r="X10" s="32"/>
      <c r="Y10" s="32"/>
      <c r="Z10" s="32"/>
      <c r="AA10" s="32" t="s">
        <v>3855</v>
      </c>
      <c r="AB10" s="32"/>
      <c r="AC10" s="32" t="s">
        <v>3856</v>
      </c>
      <c r="AD10" s="32" t="s">
        <v>3832</v>
      </c>
      <c r="AE10" s="32"/>
      <c r="AF10" s="32"/>
      <c r="AG10" s="32"/>
      <c r="AH10" s="32"/>
    </row>
    <row r="11" spans="1:34" x14ac:dyDescent="0.2">
      <c r="A11" s="114">
        <v>44585</v>
      </c>
      <c r="B11" s="29" t="s">
        <v>3857</v>
      </c>
      <c r="C11" s="26">
        <v>1035580151</v>
      </c>
      <c r="D11" s="29">
        <v>3222254045</v>
      </c>
      <c r="E11" s="26" t="s">
        <v>31</v>
      </c>
      <c r="F11" s="32"/>
      <c r="G11" s="29" t="s">
        <v>3858</v>
      </c>
      <c r="H11" s="29" t="s">
        <v>3859</v>
      </c>
      <c r="I11" s="29">
        <v>3222254045</v>
      </c>
      <c r="J11" s="29"/>
      <c r="K11" s="29"/>
      <c r="L11" s="29"/>
      <c r="M11" s="27" t="s">
        <v>2610</v>
      </c>
      <c r="N11" s="115">
        <v>44585</v>
      </c>
      <c r="O11" s="32" t="s">
        <v>2622</v>
      </c>
      <c r="P11" s="32"/>
      <c r="Q11" s="32"/>
      <c r="R11" s="32"/>
      <c r="S11" s="32"/>
      <c r="T11" s="32"/>
      <c r="U11" s="32"/>
      <c r="V11" s="32"/>
      <c r="W11" s="32"/>
      <c r="X11" s="32"/>
      <c r="Y11" s="32"/>
      <c r="Z11" s="32" t="s">
        <v>3860</v>
      </c>
      <c r="AA11" s="32" t="s">
        <v>536</v>
      </c>
      <c r="AB11" s="32"/>
      <c r="AC11" s="32" t="s">
        <v>3861</v>
      </c>
      <c r="AD11" s="32" t="s">
        <v>3832</v>
      </c>
      <c r="AE11" s="32" t="s">
        <v>3862</v>
      </c>
      <c r="AF11" s="115">
        <v>44787</v>
      </c>
      <c r="AG11" s="32"/>
      <c r="AH11" s="32"/>
    </row>
    <row r="12" spans="1:34" x14ac:dyDescent="0.2">
      <c r="A12" s="114">
        <v>45094</v>
      </c>
      <c r="B12" s="29" t="s">
        <v>828</v>
      </c>
      <c r="C12" s="26"/>
      <c r="D12" s="29">
        <v>3005967542</v>
      </c>
      <c r="E12" s="26" t="s">
        <v>31</v>
      </c>
      <c r="F12" s="32"/>
      <c r="G12" s="29"/>
      <c r="H12" s="29" t="s">
        <v>829</v>
      </c>
      <c r="I12" s="29">
        <v>3117429746</v>
      </c>
      <c r="J12" s="29"/>
      <c r="K12" s="29"/>
      <c r="L12" s="29"/>
      <c r="M12" s="27" t="s">
        <v>2613</v>
      </c>
      <c r="N12" s="32"/>
      <c r="O12" s="32" t="s">
        <v>2841</v>
      </c>
      <c r="P12" s="32"/>
      <c r="Q12" s="32"/>
      <c r="R12" s="32"/>
      <c r="S12" s="32"/>
      <c r="T12" s="32"/>
      <c r="U12" s="32"/>
      <c r="V12" s="32"/>
      <c r="W12" s="32"/>
      <c r="X12" s="32"/>
      <c r="Y12" s="32"/>
      <c r="Z12" s="32" t="s">
        <v>3863</v>
      </c>
      <c r="AA12" s="32"/>
      <c r="AB12" s="32"/>
      <c r="AC12" s="32"/>
      <c r="AD12" s="32"/>
      <c r="AE12" s="32"/>
      <c r="AF12" s="32"/>
      <c r="AG12" s="32"/>
      <c r="AH12" s="32"/>
    </row>
    <row r="13" spans="1:34" x14ac:dyDescent="0.2">
      <c r="A13" s="114">
        <v>45094</v>
      </c>
      <c r="B13" s="29" t="s">
        <v>3864</v>
      </c>
      <c r="C13" s="26"/>
      <c r="D13" s="29">
        <v>3013865335</v>
      </c>
      <c r="E13" s="26" t="s">
        <v>31</v>
      </c>
      <c r="F13" s="32"/>
      <c r="G13" s="29"/>
      <c r="H13" s="29"/>
      <c r="I13" s="29"/>
      <c r="J13" s="29"/>
      <c r="K13" s="29"/>
      <c r="L13" s="29"/>
      <c r="M13" s="27" t="s">
        <v>2613</v>
      </c>
      <c r="N13" s="32"/>
      <c r="O13" s="32" t="s">
        <v>2841</v>
      </c>
      <c r="P13" s="32"/>
      <c r="Q13" s="32"/>
      <c r="R13" s="32"/>
      <c r="S13" s="32"/>
      <c r="T13" s="32"/>
      <c r="U13" s="32"/>
      <c r="V13" s="32"/>
      <c r="W13" s="32"/>
      <c r="X13" s="32"/>
      <c r="Y13" s="32"/>
      <c r="Z13" s="32" t="s">
        <v>842</v>
      </c>
      <c r="AA13" s="32"/>
      <c r="AB13" s="32"/>
      <c r="AC13" s="32"/>
      <c r="AD13" s="32"/>
      <c r="AE13" s="32"/>
      <c r="AF13" s="32"/>
      <c r="AG13" s="32"/>
      <c r="AH13" s="32"/>
    </row>
    <row r="14" spans="1:34" x14ac:dyDescent="0.2">
      <c r="A14" s="29" t="s">
        <v>3865</v>
      </c>
      <c r="B14" s="29" t="s">
        <v>3866</v>
      </c>
      <c r="C14" s="26"/>
      <c r="D14" s="29">
        <v>3059370059</v>
      </c>
      <c r="E14" s="26" t="s">
        <v>31</v>
      </c>
      <c r="F14" s="32"/>
      <c r="G14" s="29"/>
      <c r="H14" s="29"/>
      <c r="I14" s="29"/>
      <c r="J14" s="29"/>
      <c r="K14" s="29"/>
      <c r="L14" s="29"/>
      <c r="M14" s="27" t="s">
        <v>2613</v>
      </c>
      <c r="N14" s="32"/>
      <c r="O14" s="32" t="s">
        <v>2841</v>
      </c>
      <c r="P14" s="32"/>
      <c r="Q14" s="32"/>
      <c r="R14" s="32"/>
      <c r="S14" s="32"/>
      <c r="T14" s="32"/>
      <c r="U14" s="32"/>
      <c r="V14" s="32"/>
      <c r="W14" s="32"/>
      <c r="X14" s="32"/>
      <c r="Y14" s="32"/>
      <c r="Z14" s="32"/>
      <c r="AA14" s="32"/>
      <c r="AB14" s="32"/>
      <c r="AC14" s="32"/>
      <c r="AD14" s="32"/>
      <c r="AE14" s="32"/>
      <c r="AF14" s="32"/>
      <c r="AG14" s="32"/>
      <c r="AH14" s="32"/>
    </row>
    <row r="15" spans="1:34" x14ac:dyDescent="0.2">
      <c r="A15" s="117">
        <v>44682</v>
      </c>
      <c r="B15" s="29" t="s">
        <v>3867</v>
      </c>
      <c r="C15" s="26"/>
      <c r="D15" s="29">
        <v>3015144706</v>
      </c>
      <c r="E15" s="26" t="s">
        <v>31</v>
      </c>
      <c r="F15" s="32"/>
      <c r="G15" s="29" t="s">
        <v>3868</v>
      </c>
      <c r="H15" s="29"/>
      <c r="I15" s="29">
        <v>3017809936</v>
      </c>
      <c r="J15" s="29"/>
      <c r="K15" s="29"/>
      <c r="L15" s="29"/>
      <c r="M15" s="27" t="s">
        <v>2610</v>
      </c>
      <c r="N15" s="116">
        <v>44682</v>
      </c>
      <c r="O15" s="32" t="s">
        <v>2838</v>
      </c>
      <c r="P15" s="32"/>
      <c r="Q15" s="32"/>
      <c r="R15" s="32"/>
      <c r="S15" s="32"/>
      <c r="T15" s="32"/>
      <c r="U15" s="32"/>
      <c r="V15" s="32"/>
      <c r="W15" s="32"/>
      <c r="X15" s="32"/>
      <c r="Y15" s="32"/>
      <c r="Z15" s="32"/>
      <c r="AA15" s="32" t="s">
        <v>3869</v>
      </c>
      <c r="AB15" s="115">
        <v>44682</v>
      </c>
      <c r="AC15" s="32"/>
      <c r="AD15" s="32"/>
      <c r="AE15" s="32"/>
      <c r="AF15" s="32"/>
      <c r="AG15" s="32"/>
      <c r="AH15" s="32"/>
    </row>
    <row r="16" spans="1:34" x14ac:dyDescent="0.2">
      <c r="A16" s="117">
        <v>44682</v>
      </c>
      <c r="B16" s="29" t="s">
        <v>3870</v>
      </c>
      <c r="C16" s="26">
        <v>1128424810</v>
      </c>
      <c r="D16" s="29">
        <v>3003978383</v>
      </c>
      <c r="E16" s="26" t="s">
        <v>31</v>
      </c>
      <c r="F16" s="32"/>
      <c r="G16" s="29"/>
      <c r="H16" s="29" t="s">
        <v>3871</v>
      </c>
      <c r="I16" s="29">
        <v>3042380793</v>
      </c>
      <c r="J16" s="29"/>
      <c r="K16" s="29"/>
      <c r="L16" s="29"/>
      <c r="M16" s="27" t="s">
        <v>2610</v>
      </c>
      <c r="N16" s="116">
        <v>44682</v>
      </c>
      <c r="O16" s="32" t="s">
        <v>2838</v>
      </c>
      <c r="P16" s="32"/>
      <c r="Q16" s="32"/>
      <c r="R16" s="32"/>
      <c r="S16" s="32"/>
      <c r="T16" s="32"/>
      <c r="U16" s="32"/>
      <c r="V16" s="32"/>
      <c r="W16" s="32"/>
      <c r="X16" s="32"/>
      <c r="Y16" s="32"/>
      <c r="Z16" s="32"/>
      <c r="AA16" s="32" t="s">
        <v>3872</v>
      </c>
      <c r="AB16" s="115">
        <v>44682</v>
      </c>
      <c r="AC16" s="32"/>
      <c r="AD16" s="32"/>
      <c r="AE16" s="32"/>
      <c r="AF16" s="32"/>
      <c r="AG16" s="32"/>
      <c r="AH16" s="32"/>
    </row>
    <row r="17" spans="1:34" x14ac:dyDescent="0.2">
      <c r="A17" s="117">
        <v>44682</v>
      </c>
      <c r="B17" s="29" t="s">
        <v>3873</v>
      </c>
      <c r="C17" s="26">
        <v>43987518</v>
      </c>
      <c r="D17" s="29">
        <v>3042798586</v>
      </c>
      <c r="E17" s="26" t="s">
        <v>31</v>
      </c>
      <c r="F17" s="32"/>
      <c r="G17" s="29"/>
      <c r="H17" s="29"/>
      <c r="I17" s="29"/>
      <c r="J17" s="29"/>
      <c r="K17" s="29"/>
      <c r="L17" s="29"/>
      <c r="M17" s="27" t="s">
        <v>2610</v>
      </c>
      <c r="N17" s="116">
        <v>44682</v>
      </c>
      <c r="O17" s="32" t="s">
        <v>2838</v>
      </c>
      <c r="P17" s="32"/>
      <c r="Q17" s="32"/>
      <c r="R17" s="32"/>
      <c r="S17" s="32"/>
      <c r="T17" s="32"/>
      <c r="U17" s="32"/>
      <c r="V17" s="32"/>
      <c r="W17" s="32"/>
      <c r="X17" s="32"/>
      <c r="Y17" s="32"/>
      <c r="Z17" s="32" t="s">
        <v>3874</v>
      </c>
      <c r="AA17" s="32"/>
      <c r="AB17" s="32"/>
      <c r="AC17" s="32"/>
      <c r="AD17" s="32"/>
      <c r="AE17" s="32"/>
      <c r="AF17" s="32"/>
      <c r="AG17" s="32"/>
      <c r="AH17" s="32"/>
    </row>
    <row r="18" spans="1:34" x14ac:dyDescent="0.2">
      <c r="A18" s="29" t="s">
        <v>2949</v>
      </c>
      <c r="B18" s="29" t="s">
        <v>3875</v>
      </c>
      <c r="C18" s="26"/>
      <c r="D18" s="29">
        <v>3135908612</v>
      </c>
      <c r="E18" s="26" t="s">
        <v>31</v>
      </c>
      <c r="F18" s="32"/>
      <c r="G18" s="29"/>
      <c r="H18" s="29" t="s">
        <v>795</v>
      </c>
      <c r="I18" s="29">
        <v>3135903409</v>
      </c>
      <c r="J18" s="29"/>
      <c r="K18" s="29"/>
      <c r="L18" s="29"/>
      <c r="M18" s="27" t="s">
        <v>2613</v>
      </c>
      <c r="N18" s="32"/>
      <c r="O18" s="32" t="s">
        <v>2841</v>
      </c>
      <c r="P18" s="32"/>
      <c r="Q18" s="32"/>
      <c r="R18" s="32"/>
      <c r="S18" s="32"/>
      <c r="T18" s="32"/>
      <c r="U18" s="32"/>
      <c r="V18" s="32"/>
      <c r="W18" s="32"/>
      <c r="X18" s="32"/>
      <c r="Y18" s="32"/>
      <c r="Z18" s="32" t="s">
        <v>3876</v>
      </c>
      <c r="AA18" s="32"/>
      <c r="AB18" s="32"/>
      <c r="AC18" s="32"/>
      <c r="AD18" s="32"/>
      <c r="AE18" s="32"/>
      <c r="AF18" s="32"/>
      <c r="AG18" s="32"/>
      <c r="AH18" s="32"/>
    </row>
    <row r="19" spans="1:34" x14ac:dyDescent="0.2">
      <c r="A19" s="114">
        <v>44757</v>
      </c>
      <c r="B19" s="29" t="s">
        <v>435</v>
      </c>
      <c r="C19" s="26"/>
      <c r="D19" s="29">
        <v>3005718712</v>
      </c>
      <c r="E19" s="26" t="s">
        <v>31</v>
      </c>
      <c r="F19" s="32"/>
      <c r="G19" s="29"/>
      <c r="H19" s="29"/>
      <c r="I19" s="29"/>
      <c r="J19" s="29"/>
      <c r="K19" s="29"/>
      <c r="L19" s="29"/>
      <c r="M19" s="27" t="s">
        <v>2613</v>
      </c>
      <c r="N19" s="32"/>
      <c r="O19" s="32" t="s">
        <v>2841</v>
      </c>
      <c r="P19" s="32"/>
      <c r="Q19" s="32"/>
      <c r="R19" s="32"/>
      <c r="S19" s="32"/>
      <c r="T19" s="32"/>
      <c r="U19" s="32"/>
      <c r="V19" s="32"/>
      <c r="W19" s="32"/>
      <c r="X19" s="32"/>
      <c r="Y19" s="32"/>
      <c r="Z19" s="32"/>
      <c r="AA19" s="32" t="s">
        <v>3877</v>
      </c>
      <c r="AB19" s="115">
        <v>45086</v>
      </c>
      <c r="AC19" s="32"/>
      <c r="AD19" s="32"/>
      <c r="AE19" s="32"/>
      <c r="AF19" s="32"/>
      <c r="AG19" s="32"/>
      <c r="AH19" s="32"/>
    </row>
    <row r="20" spans="1:34" x14ac:dyDescent="0.2">
      <c r="A20" s="114">
        <v>44696</v>
      </c>
      <c r="B20" s="29" t="s">
        <v>156</v>
      </c>
      <c r="C20" s="26"/>
      <c r="D20" s="29">
        <v>3016438125</v>
      </c>
      <c r="E20" s="26" t="s">
        <v>31</v>
      </c>
      <c r="F20" s="32"/>
      <c r="G20" s="29"/>
      <c r="H20" s="29" t="s">
        <v>157</v>
      </c>
      <c r="I20" s="29">
        <v>3193833322</v>
      </c>
      <c r="J20" s="29"/>
      <c r="K20" s="29"/>
      <c r="L20" s="29"/>
      <c r="M20" s="27" t="s">
        <v>2613</v>
      </c>
      <c r="N20" s="32"/>
      <c r="O20" s="32" t="s">
        <v>2841</v>
      </c>
      <c r="P20" s="32"/>
      <c r="Q20" s="32"/>
      <c r="R20" s="32"/>
      <c r="S20" s="32"/>
      <c r="T20" s="32"/>
      <c r="U20" s="32"/>
      <c r="V20" s="32"/>
      <c r="W20" s="32"/>
      <c r="X20" s="32"/>
      <c r="Y20" s="32"/>
      <c r="Z20" s="32" t="s">
        <v>3878</v>
      </c>
      <c r="AA20" s="32" t="s">
        <v>3879</v>
      </c>
      <c r="AB20" s="115">
        <v>45072</v>
      </c>
      <c r="AC20" s="32"/>
      <c r="AD20" s="32"/>
      <c r="AE20" s="32"/>
      <c r="AF20" s="32"/>
      <c r="AG20" s="32"/>
      <c r="AH20" s="32"/>
    </row>
    <row r="21" spans="1:34" x14ac:dyDescent="0.2">
      <c r="A21" s="114">
        <v>44696</v>
      </c>
      <c r="B21" s="29" t="s">
        <v>3880</v>
      </c>
      <c r="C21" s="26"/>
      <c r="D21" s="29">
        <v>3242045294</v>
      </c>
      <c r="E21" s="26" t="s">
        <v>31</v>
      </c>
      <c r="F21" s="32"/>
      <c r="G21" s="29"/>
      <c r="H21" s="29" t="s">
        <v>3881</v>
      </c>
      <c r="I21" s="29">
        <v>3046625508</v>
      </c>
      <c r="J21" s="29"/>
      <c r="K21" s="29"/>
      <c r="L21" s="29"/>
      <c r="M21" s="27" t="s">
        <v>2610</v>
      </c>
      <c r="N21" s="115">
        <v>45074</v>
      </c>
      <c r="O21" s="32" t="s">
        <v>2656</v>
      </c>
      <c r="P21" s="32"/>
      <c r="Q21" s="32"/>
      <c r="R21" s="32"/>
      <c r="S21" s="32"/>
      <c r="T21" s="32"/>
      <c r="U21" s="32"/>
      <c r="V21" s="32"/>
      <c r="W21" s="32"/>
      <c r="X21" s="32"/>
      <c r="Y21" s="32"/>
      <c r="Z21" s="32" t="s">
        <v>3882</v>
      </c>
      <c r="AA21" s="32" t="s">
        <v>3883</v>
      </c>
      <c r="AB21" s="115">
        <v>45072</v>
      </c>
      <c r="AC21" s="32" t="s">
        <v>3884</v>
      </c>
      <c r="AD21" s="32" t="s">
        <v>3885</v>
      </c>
      <c r="AE21" s="32"/>
      <c r="AF21" s="32"/>
      <c r="AG21" s="32"/>
      <c r="AH21" s="32"/>
    </row>
    <row r="22" spans="1:34" x14ac:dyDescent="0.2">
      <c r="A22" s="114">
        <v>44703</v>
      </c>
      <c r="B22" s="29" t="s">
        <v>3886</v>
      </c>
      <c r="C22" s="26">
        <v>98463603</v>
      </c>
      <c r="D22" s="29">
        <v>3117412645</v>
      </c>
      <c r="E22" s="26" t="s">
        <v>31</v>
      </c>
      <c r="F22" s="32"/>
      <c r="G22" s="29" t="s">
        <v>3887</v>
      </c>
      <c r="H22" s="29" t="s">
        <v>130</v>
      </c>
      <c r="I22" s="29">
        <v>3024163430</v>
      </c>
      <c r="J22" s="29"/>
      <c r="K22" s="29"/>
      <c r="L22" s="29"/>
      <c r="M22" s="27" t="s">
        <v>2610</v>
      </c>
      <c r="N22" s="115">
        <v>44703</v>
      </c>
      <c r="O22" s="32" t="s">
        <v>2838</v>
      </c>
      <c r="P22" s="32"/>
      <c r="Q22" s="32"/>
      <c r="R22" s="32"/>
      <c r="S22" s="32"/>
      <c r="T22" s="32"/>
      <c r="U22" s="32"/>
      <c r="V22" s="32"/>
      <c r="W22" s="32"/>
      <c r="X22" s="32"/>
      <c r="Y22" s="32"/>
      <c r="Z22" s="32"/>
      <c r="AA22" s="32" t="s">
        <v>133</v>
      </c>
      <c r="AB22" s="115">
        <v>44696</v>
      </c>
      <c r="AC22" s="32" t="s">
        <v>3888</v>
      </c>
      <c r="AD22" s="115">
        <v>44703</v>
      </c>
      <c r="AE22" s="32"/>
      <c r="AF22" s="32"/>
      <c r="AG22" s="32"/>
      <c r="AH22" s="32"/>
    </row>
    <row r="23" spans="1:34" x14ac:dyDescent="0.2">
      <c r="A23" s="114">
        <v>45074</v>
      </c>
      <c r="B23" s="29" t="s">
        <v>3889</v>
      </c>
      <c r="C23" s="26">
        <v>43751027</v>
      </c>
      <c r="D23" s="29">
        <v>3117167421</v>
      </c>
      <c r="E23" s="26" t="s">
        <v>31</v>
      </c>
      <c r="F23" s="32"/>
      <c r="G23" s="29"/>
      <c r="H23" s="29" t="s">
        <v>3890</v>
      </c>
      <c r="I23" s="29">
        <v>3226699464</v>
      </c>
      <c r="J23" s="29"/>
      <c r="K23" s="29"/>
      <c r="L23" s="29"/>
      <c r="M23" s="27" t="s">
        <v>2613</v>
      </c>
      <c r="N23" s="32"/>
      <c r="O23" s="32" t="s">
        <v>2841</v>
      </c>
      <c r="P23" s="32"/>
      <c r="Q23" s="32"/>
      <c r="R23" s="32"/>
      <c r="S23" s="32"/>
      <c r="T23" s="32"/>
      <c r="U23" s="32"/>
      <c r="V23" s="32"/>
      <c r="W23" s="32"/>
      <c r="X23" s="32"/>
      <c r="Y23" s="32"/>
      <c r="Z23" s="32" t="s">
        <v>3891</v>
      </c>
      <c r="AA23" s="32" t="s">
        <v>3892</v>
      </c>
      <c r="AB23" s="115">
        <v>45087</v>
      </c>
      <c r="AC23" s="32"/>
      <c r="AD23" s="32"/>
      <c r="AE23" s="32"/>
      <c r="AF23" s="32"/>
      <c r="AG23" s="32"/>
      <c r="AH23" s="32"/>
    </row>
    <row r="24" spans="1:34" x14ac:dyDescent="0.2">
      <c r="A24" s="114">
        <v>44703</v>
      </c>
      <c r="B24" s="29" t="s">
        <v>3893</v>
      </c>
      <c r="C24" s="26">
        <v>21870891</v>
      </c>
      <c r="D24" s="29">
        <v>3017553997</v>
      </c>
      <c r="E24" s="26" t="s">
        <v>31</v>
      </c>
      <c r="F24" s="32"/>
      <c r="G24" s="29" t="s">
        <v>3894</v>
      </c>
      <c r="H24" s="29" t="s">
        <v>136</v>
      </c>
      <c r="I24" s="29">
        <v>3115188437</v>
      </c>
      <c r="J24" s="29"/>
      <c r="K24" s="29"/>
      <c r="L24" s="29"/>
      <c r="M24" s="27" t="s">
        <v>2644</v>
      </c>
      <c r="N24" s="115">
        <v>44703</v>
      </c>
      <c r="O24" s="32" t="s">
        <v>2838</v>
      </c>
      <c r="P24" s="32" t="s">
        <v>2646</v>
      </c>
      <c r="Q24" s="115">
        <v>44758</v>
      </c>
      <c r="R24" s="32"/>
      <c r="S24" s="32"/>
      <c r="T24" s="32"/>
      <c r="U24" s="32"/>
      <c r="V24" s="32"/>
      <c r="W24" s="32"/>
      <c r="X24" s="32"/>
      <c r="Y24" s="32"/>
      <c r="Z24" s="32"/>
      <c r="AA24" s="32" t="s">
        <v>140</v>
      </c>
      <c r="AB24" s="115">
        <v>44696</v>
      </c>
      <c r="AC24" s="32" t="s">
        <v>3895</v>
      </c>
      <c r="AD24" s="115">
        <v>44703</v>
      </c>
      <c r="AE24" s="32"/>
      <c r="AF24" s="32"/>
      <c r="AG24" s="32"/>
      <c r="AH24" s="32"/>
    </row>
    <row r="25" spans="1:34" x14ac:dyDescent="0.2">
      <c r="A25" s="114">
        <v>44703</v>
      </c>
      <c r="B25" s="29" t="s">
        <v>3896</v>
      </c>
      <c r="C25" s="26">
        <v>21667807</v>
      </c>
      <c r="D25" s="29">
        <v>3117780890</v>
      </c>
      <c r="E25" s="26" t="s">
        <v>31</v>
      </c>
      <c r="F25" s="32"/>
      <c r="G25" s="29"/>
      <c r="H25" s="29"/>
      <c r="I25" s="29">
        <v>3022793317</v>
      </c>
      <c r="J25" s="29"/>
      <c r="K25" s="29"/>
      <c r="L25" s="29"/>
      <c r="M25" s="27" t="s">
        <v>2610</v>
      </c>
      <c r="N25" s="115">
        <v>44703</v>
      </c>
      <c r="O25" s="32" t="s">
        <v>2838</v>
      </c>
      <c r="P25" s="32"/>
      <c r="Q25" s="32"/>
      <c r="R25" s="32"/>
      <c r="S25" s="32"/>
      <c r="T25" s="32"/>
      <c r="U25" s="32"/>
      <c r="V25" s="32"/>
      <c r="W25" s="32"/>
      <c r="X25" s="32"/>
      <c r="Y25" s="32"/>
      <c r="Z25" s="32" t="s">
        <v>3897</v>
      </c>
      <c r="AA25" s="32" t="s">
        <v>3898</v>
      </c>
      <c r="AB25" s="32" t="s">
        <v>3899</v>
      </c>
      <c r="AC25" s="32" t="s">
        <v>3900</v>
      </c>
      <c r="AD25" s="32" t="s">
        <v>3901</v>
      </c>
      <c r="AE25" s="32"/>
      <c r="AF25" s="32"/>
      <c r="AG25" s="32"/>
      <c r="AH25" s="32"/>
    </row>
    <row r="26" spans="1:34" x14ac:dyDescent="0.2">
      <c r="A26" s="117">
        <v>44717</v>
      </c>
      <c r="B26" s="29" t="s">
        <v>3902</v>
      </c>
      <c r="C26" s="26">
        <v>1001018152</v>
      </c>
      <c r="D26" s="29">
        <v>3015896248</v>
      </c>
      <c r="E26" s="26" t="s">
        <v>31</v>
      </c>
      <c r="F26" s="32"/>
      <c r="G26" s="29"/>
      <c r="H26" s="29" t="s">
        <v>3903</v>
      </c>
      <c r="I26" s="29"/>
      <c r="J26" s="29"/>
      <c r="K26" s="29"/>
      <c r="L26" s="29"/>
      <c r="M26" s="27" t="s">
        <v>2610</v>
      </c>
      <c r="N26" s="116">
        <v>44717</v>
      </c>
      <c r="O26" s="32" t="s">
        <v>2838</v>
      </c>
      <c r="P26" s="32"/>
      <c r="Q26" s="32"/>
      <c r="R26" s="32"/>
      <c r="S26" s="32"/>
      <c r="T26" s="32"/>
      <c r="U26" s="32"/>
      <c r="V26" s="32"/>
      <c r="W26" s="32"/>
      <c r="X26" s="32"/>
      <c r="Y26" s="32"/>
      <c r="Z26" s="32"/>
      <c r="AA26" s="32" t="s">
        <v>3904</v>
      </c>
      <c r="AB26" s="115">
        <v>44696</v>
      </c>
      <c r="AC26" s="32" t="s">
        <v>3905</v>
      </c>
      <c r="AD26" s="118">
        <v>44687</v>
      </c>
      <c r="AE26" s="32"/>
      <c r="AF26" s="32"/>
      <c r="AG26" s="32"/>
      <c r="AH26" s="32"/>
    </row>
    <row r="27" spans="1:34" x14ac:dyDescent="0.2">
      <c r="A27" s="117">
        <v>44717</v>
      </c>
      <c r="B27" s="29" t="s">
        <v>3906</v>
      </c>
      <c r="C27" s="26"/>
      <c r="D27" s="29">
        <v>3043638763</v>
      </c>
      <c r="E27" s="26" t="s">
        <v>31</v>
      </c>
      <c r="F27" s="32"/>
      <c r="G27" s="29"/>
      <c r="H27" s="29" t="s">
        <v>340</v>
      </c>
      <c r="I27" s="29">
        <v>3045675972</v>
      </c>
      <c r="J27" s="29"/>
      <c r="K27" s="29"/>
      <c r="L27" s="29"/>
      <c r="M27" s="27" t="s">
        <v>2610</v>
      </c>
      <c r="N27" s="115">
        <v>45087</v>
      </c>
      <c r="O27" s="32" t="s">
        <v>2841</v>
      </c>
      <c r="P27" s="32"/>
      <c r="Q27" s="32"/>
      <c r="R27" s="32"/>
      <c r="S27" s="32"/>
      <c r="T27" s="32"/>
      <c r="U27" s="32"/>
      <c r="V27" s="32"/>
      <c r="W27" s="32"/>
      <c r="X27" s="32"/>
      <c r="Y27" s="32"/>
      <c r="Z27" s="32" t="s">
        <v>345</v>
      </c>
      <c r="AA27" s="32" t="s">
        <v>3907</v>
      </c>
      <c r="AB27" s="115">
        <v>45072</v>
      </c>
      <c r="AC27" s="32"/>
      <c r="AD27" s="32"/>
      <c r="AE27" s="32"/>
      <c r="AF27" s="32"/>
      <c r="AG27" s="32"/>
      <c r="AH27" s="32"/>
    </row>
    <row r="28" spans="1:34" x14ac:dyDescent="0.2">
      <c r="A28" s="117">
        <v>44717</v>
      </c>
      <c r="B28" s="29" t="s">
        <v>3908</v>
      </c>
      <c r="C28" s="26">
        <v>42965435</v>
      </c>
      <c r="D28" s="29">
        <v>3016027020</v>
      </c>
      <c r="E28" s="26" t="s">
        <v>31</v>
      </c>
      <c r="F28" s="32"/>
      <c r="G28" s="29" t="s">
        <v>3909</v>
      </c>
      <c r="H28" s="29" t="s">
        <v>3910</v>
      </c>
      <c r="I28" s="29"/>
      <c r="J28" s="29"/>
      <c r="K28" s="29"/>
      <c r="L28" s="29"/>
      <c r="M28" s="27" t="s">
        <v>2644</v>
      </c>
      <c r="N28" s="116">
        <v>44717</v>
      </c>
      <c r="O28" s="32" t="s">
        <v>2622</v>
      </c>
      <c r="P28" s="32" t="s">
        <v>2646</v>
      </c>
      <c r="Q28" s="115">
        <v>44758</v>
      </c>
      <c r="R28" s="32"/>
      <c r="S28" s="32"/>
      <c r="T28" s="32"/>
      <c r="U28" s="32"/>
      <c r="V28" s="32"/>
      <c r="W28" s="32"/>
      <c r="X28" s="32"/>
      <c r="Y28" s="32"/>
      <c r="Z28" s="32"/>
      <c r="AA28" s="32" t="s">
        <v>3911</v>
      </c>
      <c r="AB28" s="115">
        <v>44717</v>
      </c>
      <c r="AC28" s="32"/>
      <c r="AD28" s="32"/>
      <c r="AE28" s="32"/>
      <c r="AF28" s="32"/>
      <c r="AG28" s="32"/>
      <c r="AH28" s="32"/>
    </row>
    <row r="29" spans="1:34" x14ac:dyDescent="0.2">
      <c r="A29" s="117">
        <v>44717</v>
      </c>
      <c r="B29" s="29" t="s">
        <v>3912</v>
      </c>
      <c r="C29" s="26">
        <v>43731142</v>
      </c>
      <c r="D29" s="29">
        <v>3015140662</v>
      </c>
      <c r="E29" s="26" t="s">
        <v>31</v>
      </c>
      <c r="F29" s="32"/>
      <c r="G29" s="29"/>
      <c r="H29" s="29" t="s">
        <v>3913</v>
      </c>
      <c r="I29" s="29">
        <v>3002007479</v>
      </c>
      <c r="J29" s="29"/>
      <c r="K29" s="29"/>
      <c r="L29" s="29"/>
      <c r="M29" s="27" t="s">
        <v>2644</v>
      </c>
      <c r="N29" s="116">
        <v>44717</v>
      </c>
      <c r="O29" s="32" t="s">
        <v>2622</v>
      </c>
      <c r="P29" s="32" t="s">
        <v>2646</v>
      </c>
      <c r="Q29" s="116">
        <v>44744</v>
      </c>
      <c r="R29" s="32"/>
      <c r="S29" s="32"/>
      <c r="T29" s="32"/>
      <c r="U29" s="32"/>
      <c r="V29" s="32"/>
      <c r="W29" s="32"/>
      <c r="X29" s="32"/>
      <c r="Y29" s="32"/>
      <c r="Z29" s="32"/>
      <c r="AA29" s="32" t="s">
        <v>3914</v>
      </c>
      <c r="AB29" s="115">
        <v>44703</v>
      </c>
      <c r="AC29" s="32" t="s">
        <v>3915</v>
      </c>
      <c r="AD29" s="118">
        <v>44687</v>
      </c>
      <c r="AE29" s="32"/>
      <c r="AF29" s="32"/>
      <c r="AG29" s="32"/>
      <c r="AH29" s="32"/>
    </row>
    <row r="30" spans="1:34" x14ac:dyDescent="0.2">
      <c r="A30" s="117">
        <v>44717</v>
      </c>
      <c r="B30" s="29" t="s">
        <v>3916</v>
      </c>
      <c r="C30" s="26">
        <v>43487291</v>
      </c>
      <c r="D30" s="29">
        <v>3015140662</v>
      </c>
      <c r="E30" s="26" t="s">
        <v>31</v>
      </c>
      <c r="F30" s="32"/>
      <c r="G30" s="29"/>
      <c r="H30" s="29" t="s">
        <v>248</v>
      </c>
      <c r="I30" s="29">
        <v>3015140662</v>
      </c>
      <c r="J30" s="29"/>
      <c r="K30" s="29"/>
      <c r="L30" s="29"/>
      <c r="M30" s="27" t="s">
        <v>2644</v>
      </c>
      <c r="N30" s="116">
        <v>44717</v>
      </c>
      <c r="O30" s="32" t="s">
        <v>2622</v>
      </c>
      <c r="P30" s="32" t="s">
        <v>2646</v>
      </c>
      <c r="Q30" s="115">
        <v>44877</v>
      </c>
      <c r="R30" s="32"/>
      <c r="S30" s="32"/>
      <c r="T30" s="32"/>
      <c r="U30" s="32"/>
      <c r="V30" s="32"/>
      <c r="W30" s="32"/>
      <c r="X30" s="32"/>
      <c r="Y30" s="32"/>
      <c r="Z30" s="32"/>
      <c r="AA30" s="32" t="s">
        <v>3917</v>
      </c>
      <c r="AB30" s="115">
        <v>44696</v>
      </c>
      <c r="AC30" s="32" t="s">
        <v>3918</v>
      </c>
      <c r="AD30" s="115">
        <v>44717</v>
      </c>
      <c r="AE30" s="32"/>
      <c r="AF30" s="32"/>
      <c r="AG30" s="32"/>
      <c r="AH30" s="32"/>
    </row>
    <row r="31" spans="1:34" x14ac:dyDescent="0.2">
      <c r="A31" s="114">
        <v>45094</v>
      </c>
      <c r="B31" s="29" t="s">
        <v>834</v>
      </c>
      <c r="C31" s="26"/>
      <c r="D31" s="29">
        <v>3006366964</v>
      </c>
      <c r="E31" s="26" t="s">
        <v>31</v>
      </c>
      <c r="F31" s="32"/>
      <c r="G31" s="29"/>
      <c r="H31" s="29"/>
      <c r="I31" s="29">
        <v>3059370059</v>
      </c>
      <c r="J31" s="29"/>
      <c r="K31" s="29"/>
      <c r="L31" s="29"/>
      <c r="M31" s="27" t="s">
        <v>2613</v>
      </c>
      <c r="N31" s="32"/>
      <c r="O31" s="32" t="s">
        <v>2841</v>
      </c>
      <c r="P31" s="32"/>
      <c r="Q31" s="32"/>
      <c r="R31" s="32"/>
      <c r="S31" s="32"/>
      <c r="T31" s="32"/>
      <c r="U31" s="32"/>
      <c r="V31" s="32"/>
      <c r="W31" s="32"/>
      <c r="X31" s="32"/>
      <c r="Y31" s="32"/>
      <c r="Z31" s="32"/>
      <c r="AA31" s="32"/>
      <c r="AB31" s="32"/>
      <c r="AC31" s="32"/>
      <c r="AD31" s="32"/>
      <c r="AE31" s="32"/>
      <c r="AF31" s="32"/>
      <c r="AG31" s="32"/>
      <c r="AH31" s="32"/>
    </row>
    <row r="32" spans="1:34" x14ac:dyDescent="0.2">
      <c r="A32" s="29" t="s">
        <v>3865</v>
      </c>
      <c r="B32" s="29" t="s">
        <v>3919</v>
      </c>
      <c r="C32" s="26"/>
      <c r="D32" s="29">
        <v>3003324099</v>
      </c>
      <c r="E32" s="26" t="s">
        <v>31</v>
      </c>
      <c r="F32" s="32"/>
      <c r="G32" s="29"/>
      <c r="H32" s="29"/>
      <c r="I32" s="29"/>
      <c r="J32" s="29"/>
      <c r="K32" s="29"/>
      <c r="L32" s="29"/>
      <c r="M32" s="27" t="s">
        <v>2613</v>
      </c>
      <c r="N32" s="32"/>
      <c r="O32" s="32" t="s">
        <v>2841</v>
      </c>
      <c r="P32" s="32"/>
      <c r="Q32" s="32"/>
      <c r="R32" s="32"/>
      <c r="S32" s="32"/>
      <c r="T32" s="32"/>
      <c r="U32" s="32"/>
      <c r="V32" s="32"/>
      <c r="W32" s="32"/>
      <c r="X32" s="32"/>
      <c r="Y32" s="32"/>
      <c r="Z32" s="32" t="s">
        <v>3920</v>
      </c>
      <c r="AA32" s="32" t="s">
        <v>3921</v>
      </c>
      <c r="AB32" s="32" t="s">
        <v>3922</v>
      </c>
      <c r="AC32" s="32"/>
      <c r="AD32" s="32"/>
      <c r="AE32" s="32"/>
      <c r="AF32" s="32"/>
      <c r="AG32" s="32"/>
      <c r="AH32" s="32"/>
    </row>
    <row r="33" spans="1:34" x14ac:dyDescent="0.2">
      <c r="A33" s="117">
        <v>44717</v>
      </c>
      <c r="B33" s="29" t="s">
        <v>3923</v>
      </c>
      <c r="C33" s="26">
        <v>1001809311</v>
      </c>
      <c r="D33" s="29">
        <v>3003031116</v>
      </c>
      <c r="E33" s="26" t="s">
        <v>31</v>
      </c>
      <c r="F33" s="32"/>
      <c r="G33" s="29" t="s">
        <v>3924</v>
      </c>
      <c r="H33" s="29"/>
      <c r="I33" s="29">
        <v>3016176198</v>
      </c>
      <c r="J33" s="29"/>
      <c r="K33" s="29"/>
      <c r="L33" s="29"/>
      <c r="M33" s="27" t="s">
        <v>2610</v>
      </c>
      <c r="N33" s="116">
        <v>44717</v>
      </c>
      <c r="O33" s="32" t="s">
        <v>2622</v>
      </c>
      <c r="P33" s="32"/>
      <c r="Q33" s="32"/>
      <c r="R33" s="32"/>
      <c r="S33" s="32"/>
      <c r="T33" s="32"/>
      <c r="U33" s="32"/>
      <c r="V33" s="32"/>
      <c r="W33" s="32"/>
      <c r="X33" s="32"/>
      <c r="Y33" s="32"/>
      <c r="Z33" s="32"/>
      <c r="AA33" s="32" t="s">
        <v>3925</v>
      </c>
      <c r="AB33" s="115">
        <v>44717</v>
      </c>
      <c r="AC33" s="32"/>
      <c r="AD33" s="32"/>
      <c r="AE33" s="32"/>
      <c r="AF33" s="32"/>
      <c r="AG33" s="32"/>
      <c r="AH33" s="32"/>
    </row>
    <row r="34" spans="1:34" x14ac:dyDescent="0.2">
      <c r="A34" s="114">
        <v>44724</v>
      </c>
      <c r="B34" s="29" t="s">
        <v>386</v>
      </c>
      <c r="C34" s="26"/>
      <c r="D34" s="29">
        <v>3205677376</v>
      </c>
      <c r="E34" s="26" t="s">
        <v>31</v>
      </c>
      <c r="F34" s="32"/>
      <c r="G34" s="29"/>
      <c r="H34" s="29"/>
      <c r="I34" s="29"/>
      <c r="J34" s="29"/>
      <c r="K34" s="29"/>
      <c r="L34" s="29"/>
      <c r="M34" s="27" t="s">
        <v>2610</v>
      </c>
      <c r="N34" s="115">
        <v>45074</v>
      </c>
      <c r="O34" s="32" t="s">
        <v>2838</v>
      </c>
      <c r="P34" s="32"/>
      <c r="Q34" s="32"/>
      <c r="R34" s="32"/>
      <c r="S34" s="32"/>
      <c r="T34" s="32"/>
      <c r="U34" s="32"/>
      <c r="V34" s="32"/>
      <c r="W34" s="32"/>
      <c r="X34" s="32"/>
      <c r="Y34" s="32"/>
      <c r="Z34" s="32" t="s">
        <v>388</v>
      </c>
      <c r="AA34" s="32" t="s">
        <v>3907</v>
      </c>
      <c r="AB34" s="115">
        <v>45072</v>
      </c>
      <c r="AC34" s="32" t="s">
        <v>3926</v>
      </c>
      <c r="AD34" s="32" t="s">
        <v>3885</v>
      </c>
      <c r="AE34" s="32"/>
      <c r="AF34" s="32"/>
      <c r="AG34" s="32"/>
      <c r="AH34" s="32"/>
    </row>
    <row r="35" spans="1:34" x14ac:dyDescent="0.2">
      <c r="A35" s="114">
        <v>44724</v>
      </c>
      <c r="B35" s="29" t="s">
        <v>378</v>
      </c>
      <c r="C35" s="26"/>
      <c r="D35" s="29">
        <v>3016087224</v>
      </c>
      <c r="E35" s="26" t="s">
        <v>31</v>
      </c>
      <c r="F35" s="32"/>
      <c r="G35" s="29"/>
      <c r="H35" s="29"/>
      <c r="I35" s="29"/>
      <c r="J35" s="29"/>
      <c r="K35" s="29"/>
      <c r="L35" s="29"/>
      <c r="M35" s="27" t="s">
        <v>2613</v>
      </c>
      <c r="N35" s="32"/>
      <c r="O35" s="32" t="s">
        <v>2841</v>
      </c>
      <c r="P35" s="32"/>
      <c r="Q35" s="32"/>
      <c r="R35" s="32"/>
      <c r="S35" s="32"/>
      <c r="T35" s="32"/>
      <c r="U35" s="32"/>
      <c r="V35" s="32"/>
      <c r="W35" s="32"/>
      <c r="X35" s="32"/>
      <c r="Y35" s="32"/>
      <c r="Z35" s="32"/>
      <c r="AA35" s="32" t="s">
        <v>3927</v>
      </c>
      <c r="AB35" s="115">
        <v>45086</v>
      </c>
      <c r="AC35" s="32"/>
      <c r="AD35" s="32"/>
      <c r="AE35" s="32"/>
      <c r="AF35" s="32"/>
      <c r="AG35" s="32"/>
      <c r="AH35" s="32"/>
    </row>
    <row r="36" spans="1:34" x14ac:dyDescent="0.2">
      <c r="A36" s="114">
        <v>44724</v>
      </c>
      <c r="B36" s="29" t="s">
        <v>356</v>
      </c>
      <c r="C36" s="26"/>
      <c r="D36" s="29">
        <v>3012824387</v>
      </c>
      <c r="E36" s="26" t="s">
        <v>31</v>
      </c>
      <c r="F36" s="32"/>
      <c r="G36" s="29"/>
      <c r="H36" s="29" t="s">
        <v>363</v>
      </c>
      <c r="I36" s="29">
        <v>3046367226</v>
      </c>
      <c r="J36" s="29"/>
      <c r="K36" s="29"/>
      <c r="L36" s="29"/>
      <c r="M36" s="27" t="s">
        <v>2613</v>
      </c>
      <c r="N36" s="32"/>
      <c r="O36" s="32" t="s">
        <v>2841</v>
      </c>
      <c r="P36" s="32"/>
      <c r="Q36" s="32"/>
      <c r="R36" s="32"/>
      <c r="S36" s="32"/>
      <c r="T36" s="32"/>
      <c r="U36" s="32"/>
      <c r="V36" s="32"/>
      <c r="W36" s="32"/>
      <c r="X36" s="32"/>
      <c r="Y36" s="32"/>
      <c r="Z36" s="32" t="s">
        <v>360</v>
      </c>
      <c r="AA36" s="32" t="s">
        <v>3928</v>
      </c>
      <c r="AB36" s="115">
        <v>45086</v>
      </c>
      <c r="AC36" s="32"/>
      <c r="AD36" s="32"/>
      <c r="AE36" s="32"/>
      <c r="AF36" s="32"/>
      <c r="AG36" s="32"/>
      <c r="AH36" s="32"/>
    </row>
    <row r="37" spans="1:34" x14ac:dyDescent="0.2">
      <c r="A37" s="114">
        <v>44724</v>
      </c>
      <c r="B37" s="29" t="s">
        <v>362</v>
      </c>
      <c r="C37" s="26"/>
      <c r="D37" s="29">
        <v>3212444957</v>
      </c>
      <c r="E37" s="26" t="s">
        <v>31</v>
      </c>
      <c r="F37" s="32"/>
      <c r="G37" s="29"/>
      <c r="H37" s="29" t="s">
        <v>363</v>
      </c>
      <c r="I37" s="29">
        <v>3057781951</v>
      </c>
      <c r="J37" s="29"/>
      <c r="K37" s="29"/>
      <c r="L37" s="29"/>
      <c r="M37" s="27" t="s">
        <v>2613</v>
      </c>
      <c r="N37" s="32"/>
      <c r="O37" s="32" t="s">
        <v>2841</v>
      </c>
      <c r="P37" s="32"/>
      <c r="Q37" s="32"/>
      <c r="R37" s="32"/>
      <c r="S37" s="32"/>
      <c r="T37" s="32"/>
      <c r="U37" s="32"/>
      <c r="V37" s="32"/>
      <c r="W37" s="32"/>
      <c r="X37" s="32"/>
      <c r="Y37" s="32"/>
      <c r="Z37" s="32" t="s">
        <v>369</v>
      </c>
      <c r="AA37" s="32" t="s">
        <v>3928</v>
      </c>
      <c r="AB37" s="115">
        <v>45086</v>
      </c>
      <c r="AC37" s="32"/>
      <c r="AD37" s="32"/>
      <c r="AE37" s="32"/>
      <c r="AF37" s="32"/>
      <c r="AG37" s="32"/>
      <c r="AH37" s="32"/>
    </row>
    <row r="38" spans="1:34" x14ac:dyDescent="0.2">
      <c r="A38" s="114">
        <v>44738</v>
      </c>
      <c r="B38" s="29" t="s">
        <v>3929</v>
      </c>
      <c r="C38" s="26"/>
      <c r="D38" s="29"/>
      <c r="E38" s="26" t="s">
        <v>31</v>
      </c>
      <c r="F38" s="32"/>
      <c r="G38" s="29"/>
      <c r="H38" s="29"/>
      <c r="I38" s="29"/>
      <c r="J38" s="29"/>
      <c r="K38" s="29"/>
      <c r="L38" s="29"/>
      <c r="M38" s="27" t="s">
        <v>2610</v>
      </c>
      <c r="N38" s="115">
        <v>44738</v>
      </c>
      <c r="O38" s="32" t="s">
        <v>2622</v>
      </c>
      <c r="P38" s="32"/>
      <c r="Q38" s="32"/>
      <c r="R38" s="32"/>
      <c r="S38" s="32"/>
      <c r="T38" s="32"/>
      <c r="U38" s="32"/>
      <c r="V38" s="32"/>
      <c r="W38" s="32"/>
      <c r="X38" s="32"/>
      <c r="Y38" s="32"/>
      <c r="Z38" s="32" t="s">
        <v>3930</v>
      </c>
      <c r="AA38" s="32"/>
      <c r="AB38" s="32"/>
      <c r="AC38" s="32"/>
      <c r="AD38" s="32"/>
      <c r="AE38" s="32"/>
      <c r="AF38" s="32"/>
      <c r="AG38" s="32"/>
      <c r="AH38" s="32"/>
    </row>
    <row r="39" spans="1:34" x14ac:dyDescent="0.2">
      <c r="A39" s="114">
        <v>44738</v>
      </c>
      <c r="B39" s="29" t="s">
        <v>394</v>
      </c>
      <c r="C39" s="26"/>
      <c r="D39" s="29">
        <v>3007130003</v>
      </c>
      <c r="E39" s="26" t="s">
        <v>31</v>
      </c>
      <c r="F39" s="32"/>
      <c r="G39" s="29"/>
      <c r="H39" s="29" t="s">
        <v>334</v>
      </c>
      <c r="I39" s="29">
        <v>3127717052</v>
      </c>
      <c r="J39" s="29"/>
      <c r="K39" s="29"/>
      <c r="L39" s="29"/>
      <c r="M39" s="27" t="s">
        <v>2613</v>
      </c>
      <c r="N39" s="32"/>
      <c r="O39" s="32" t="s">
        <v>2841</v>
      </c>
      <c r="P39" s="32"/>
      <c r="Q39" s="32"/>
      <c r="R39" s="32"/>
      <c r="S39" s="32"/>
      <c r="T39" s="32"/>
      <c r="U39" s="32"/>
      <c r="V39" s="32"/>
      <c r="W39" s="32"/>
      <c r="X39" s="32"/>
      <c r="Y39" s="32"/>
      <c r="Z39" s="32"/>
      <c r="AA39" s="32" t="s">
        <v>3931</v>
      </c>
      <c r="AB39" s="115">
        <v>45086</v>
      </c>
      <c r="AC39" s="32"/>
      <c r="AD39" s="32"/>
      <c r="AE39" s="32"/>
      <c r="AF39" s="32"/>
      <c r="AG39" s="32"/>
      <c r="AH39" s="32"/>
    </row>
    <row r="40" spans="1:34" x14ac:dyDescent="0.2">
      <c r="A40" s="114">
        <v>44738</v>
      </c>
      <c r="B40" s="29" t="s">
        <v>3932</v>
      </c>
      <c r="C40" s="26">
        <v>1128467862</v>
      </c>
      <c r="D40" s="29">
        <v>3123694934</v>
      </c>
      <c r="E40" s="26" t="s">
        <v>31</v>
      </c>
      <c r="F40" s="32"/>
      <c r="G40" s="29" t="s">
        <v>3933</v>
      </c>
      <c r="H40" s="29" t="s">
        <v>3934</v>
      </c>
      <c r="I40" s="29">
        <v>3128285525</v>
      </c>
      <c r="J40" s="29"/>
      <c r="K40" s="29"/>
      <c r="L40" s="29"/>
      <c r="M40" s="27" t="s">
        <v>2644</v>
      </c>
      <c r="N40" s="115">
        <v>45102</v>
      </c>
      <c r="O40" s="32" t="s">
        <v>2622</v>
      </c>
      <c r="P40" s="32" t="s">
        <v>2646</v>
      </c>
      <c r="Q40" s="115">
        <v>45136</v>
      </c>
      <c r="R40" s="32"/>
      <c r="S40" s="32"/>
      <c r="T40" s="32"/>
      <c r="U40" s="32"/>
      <c r="V40" s="32"/>
      <c r="W40" s="32"/>
      <c r="X40" s="32"/>
      <c r="Y40" s="32"/>
      <c r="Z40" s="32" t="s">
        <v>3935</v>
      </c>
      <c r="AA40" s="32" t="s">
        <v>3883</v>
      </c>
      <c r="AB40" s="115">
        <v>45086</v>
      </c>
      <c r="AC40" s="32"/>
      <c r="AD40" s="32"/>
      <c r="AE40" s="32"/>
      <c r="AF40" s="32"/>
      <c r="AG40" s="32"/>
      <c r="AH40" s="32"/>
    </row>
    <row r="41" spans="1:34" x14ac:dyDescent="0.2">
      <c r="A41" s="114">
        <v>44738</v>
      </c>
      <c r="B41" s="29" t="s">
        <v>398</v>
      </c>
      <c r="C41" s="26"/>
      <c r="D41" s="29">
        <v>3113083936</v>
      </c>
      <c r="E41" s="26" t="s">
        <v>31</v>
      </c>
      <c r="F41" s="32"/>
      <c r="G41" s="29"/>
      <c r="H41" s="29" t="s">
        <v>399</v>
      </c>
      <c r="I41" s="29">
        <v>3005941351</v>
      </c>
      <c r="J41" s="29"/>
      <c r="K41" s="29"/>
      <c r="L41" s="29"/>
      <c r="M41" s="27" t="s">
        <v>2610</v>
      </c>
      <c r="N41" s="115">
        <v>45087</v>
      </c>
      <c r="O41" s="32" t="s">
        <v>2841</v>
      </c>
      <c r="P41" s="32"/>
      <c r="Q41" s="32"/>
      <c r="R41" s="32"/>
      <c r="S41" s="32"/>
      <c r="T41" s="32"/>
      <c r="U41" s="32"/>
      <c r="V41" s="32"/>
      <c r="W41" s="32"/>
      <c r="X41" s="32"/>
      <c r="Y41" s="32"/>
      <c r="Z41" s="32"/>
      <c r="AA41" s="32" t="s">
        <v>3883</v>
      </c>
      <c r="AB41" s="115">
        <v>45086</v>
      </c>
      <c r="AC41" s="32"/>
      <c r="AD41" s="32"/>
      <c r="AE41" s="32"/>
      <c r="AF41" s="32"/>
      <c r="AG41" s="32"/>
      <c r="AH41" s="32"/>
    </row>
    <row r="42" spans="1:34" x14ac:dyDescent="0.2">
      <c r="A42" s="117">
        <v>44745</v>
      </c>
      <c r="B42" s="29" t="s">
        <v>404</v>
      </c>
      <c r="C42" s="26"/>
      <c r="D42" s="29">
        <v>3117843858</v>
      </c>
      <c r="E42" s="26" t="s">
        <v>31</v>
      </c>
      <c r="F42" s="32"/>
      <c r="G42" s="29"/>
      <c r="H42" s="29" t="s">
        <v>3936</v>
      </c>
      <c r="I42" s="29">
        <v>3007676176</v>
      </c>
      <c r="J42" s="29"/>
      <c r="K42" s="29"/>
      <c r="L42" s="29"/>
      <c r="M42" s="27" t="s">
        <v>2610</v>
      </c>
      <c r="N42" s="115">
        <v>45087</v>
      </c>
      <c r="O42" s="32" t="s">
        <v>2841</v>
      </c>
      <c r="P42" s="32"/>
      <c r="Q42" s="32"/>
      <c r="R42" s="32"/>
      <c r="S42" s="32"/>
      <c r="T42" s="32"/>
      <c r="U42" s="32"/>
      <c r="V42" s="32"/>
      <c r="W42" s="32"/>
      <c r="X42" s="32"/>
      <c r="Y42" s="32"/>
      <c r="Z42" s="32"/>
      <c r="AA42" s="32" t="s">
        <v>3907</v>
      </c>
      <c r="AB42" s="115">
        <v>45086</v>
      </c>
      <c r="AC42" s="32" t="s">
        <v>3937</v>
      </c>
      <c r="AD42" s="118">
        <v>45205</v>
      </c>
      <c r="AE42" s="32"/>
      <c r="AF42" s="32"/>
      <c r="AG42" s="32"/>
      <c r="AH42" s="32"/>
    </row>
    <row r="43" spans="1:34" x14ac:dyDescent="0.2">
      <c r="A43" s="114">
        <v>44755</v>
      </c>
      <c r="B43" s="29" t="s">
        <v>412</v>
      </c>
      <c r="C43" s="26"/>
      <c r="D43" s="29">
        <v>3022156174</v>
      </c>
      <c r="E43" s="26" t="s">
        <v>31</v>
      </c>
      <c r="F43" s="32"/>
      <c r="G43" s="29"/>
      <c r="H43" s="29" t="s">
        <v>413</v>
      </c>
      <c r="I43" s="29">
        <v>3117849621</v>
      </c>
      <c r="J43" s="29"/>
      <c r="K43" s="29"/>
      <c r="L43" s="29"/>
      <c r="M43" s="27" t="s">
        <v>2610</v>
      </c>
      <c r="N43" s="115">
        <v>45087</v>
      </c>
      <c r="O43" s="32" t="s">
        <v>2841</v>
      </c>
      <c r="P43" s="32"/>
      <c r="Q43" s="32"/>
      <c r="R43" s="32"/>
      <c r="S43" s="32"/>
      <c r="T43" s="32"/>
      <c r="U43" s="32"/>
      <c r="V43" s="32"/>
      <c r="W43" s="32"/>
      <c r="X43" s="32"/>
      <c r="Y43" s="32"/>
      <c r="Z43" s="32"/>
      <c r="AA43" s="32" t="s">
        <v>3907</v>
      </c>
      <c r="AB43" s="115">
        <v>45086</v>
      </c>
      <c r="AC43" s="32"/>
      <c r="AD43" s="32"/>
      <c r="AE43" s="32"/>
      <c r="AF43" s="32"/>
      <c r="AG43" s="32"/>
      <c r="AH43" s="32"/>
    </row>
    <row r="44" spans="1:34" x14ac:dyDescent="0.2">
      <c r="A44" s="29" t="s">
        <v>3865</v>
      </c>
      <c r="B44" s="29" t="s">
        <v>3938</v>
      </c>
      <c r="C44" s="26"/>
      <c r="D44" s="29">
        <v>3136661455</v>
      </c>
      <c r="E44" s="26" t="s">
        <v>31</v>
      </c>
      <c r="F44" s="32"/>
      <c r="G44" s="29"/>
      <c r="H44" s="29"/>
      <c r="I44" s="29">
        <v>3223700823</v>
      </c>
      <c r="J44" s="29"/>
      <c r="K44" s="29"/>
      <c r="L44" s="29"/>
      <c r="M44" s="27" t="s">
        <v>2613</v>
      </c>
      <c r="N44" s="32"/>
      <c r="O44" s="32" t="s">
        <v>2841</v>
      </c>
      <c r="P44" s="32"/>
      <c r="Q44" s="32"/>
      <c r="R44" s="32"/>
      <c r="S44" s="32"/>
      <c r="T44" s="32"/>
      <c r="U44" s="32"/>
      <c r="V44" s="32"/>
      <c r="W44" s="32"/>
      <c r="X44" s="32"/>
      <c r="Y44" s="32"/>
      <c r="Z44" s="32" t="s">
        <v>1238</v>
      </c>
      <c r="AA44" s="32"/>
      <c r="AB44" s="32"/>
      <c r="AC44" s="32"/>
      <c r="AD44" s="32"/>
      <c r="AE44" s="32"/>
      <c r="AF44" s="32"/>
      <c r="AG44" s="32"/>
      <c r="AH44" s="32"/>
    </row>
    <row r="45" spans="1:34" x14ac:dyDescent="0.2">
      <c r="A45" s="114">
        <v>44857</v>
      </c>
      <c r="B45" s="29" t="s">
        <v>3939</v>
      </c>
      <c r="C45" s="26"/>
      <c r="D45" s="29">
        <v>3113563262</v>
      </c>
      <c r="E45" s="26" t="s">
        <v>31</v>
      </c>
      <c r="F45" s="32"/>
      <c r="G45" s="29"/>
      <c r="H45" s="29" t="s">
        <v>718</v>
      </c>
      <c r="I45" s="29">
        <v>3504844924</v>
      </c>
      <c r="J45" s="29"/>
      <c r="K45" s="29"/>
      <c r="L45" s="29"/>
      <c r="M45" s="27" t="s">
        <v>2613</v>
      </c>
      <c r="N45" s="32"/>
      <c r="O45" s="32" t="s">
        <v>2841</v>
      </c>
      <c r="P45" s="32"/>
      <c r="Q45" s="32"/>
      <c r="R45" s="32"/>
      <c r="S45" s="32"/>
      <c r="T45" s="32"/>
      <c r="U45" s="32"/>
      <c r="V45" s="32"/>
      <c r="W45" s="32"/>
      <c r="X45" s="32"/>
      <c r="Y45" s="32"/>
      <c r="Z45" s="32" t="s">
        <v>3940</v>
      </c>
      <c r="AA45" s="32"/>
      <c r="AB45" s="32"/>
      <c r="AC45" s="32"/>
      <c r="AD45" s="32"/>
      <c r="AE45" s="32"/>
      <c r="AF45" s="32"/>
      <c r="AG45" s="32"/>
      <c r="AH45" s="32"/>
    </row>
    <row r="46" spans="1:34" x14ac:dyDescent="0.2">
      <c r="A46" s="114">
        <v>44765</v>
      </c>
      <c r="B46" s="29" t="s">
        <v>3941</v>
      </c>
      <c r="C46" s="26">
        <v>39178451</v>
      </c>
      <c r="D46" s="29">
        <v>3233133858</v>
      </c>
      <c r="E46" s="26" t="s">
        <v>31</v>
      </c>
      <c r="F46" s="32"/>
      <c r="G46" s="29"/>
      <c r="H46" s="29" t="s">
        <v>3942</v>
      </c>
      <c r="I46" s="29">
        <v>3146407427</v>
      </c>
      <c r="J46" s="29"/>
      <c r="K46" s="29"/>
      <c r="L46" s="29"/>
      <c r="M46" s="27" t="s">
        <v>2644</v>
      </c>
      <c r="N46" s="115">
        <v>44765</v>
      </c>
      <c r="O46" s="32" t="s">
        <v>2622</v>
      </c>
      <c r="P46" s="32" t="s">
        <v>2646</v>
      </c>
      <c r="Q46" s="115">
        <v>44877</v>
      </c>
      <c r="R46" s="32"/>
      <c r="S46" s="32"/>
      <c r="T46" s="32"/>
      <c r="U46" s="32"/>
      <c r="V46" s="32"/>
      <c r="W46" s="32"/>
      <c r="X46" s="32"/>
      <c r="Y46" s="32"/>
      <c r="Z46" s="32" t="s">
        <v>3943</v>
      </c>
      <c r="AA46" s="32" t="s">
        <v>3944</v>
      </c>
      <c r="AB46" s="115">
        <v>45074</v>
      </c>
      <c r="AC46" s="32"/>
      <c r="AD46" s="32"/>
      <c r="AE46" s="32"/>
      <c r="AF46" s="32"/>
      <c r="AG46" s="32" t="s">
        <v>3945</v>
      </c>
      <c r="AH46" s="32"/>
    </row>
    <row r="47" spans="1:34" x14ac:dyDescent="0.2">
      <c r="A47" s="114">
        <v>44765</v>
      </c>
      <c r="B47" s="29" t="s">
        <v>3946</v>
      </c>
      <c r="C47" s="26">
        <v>43889122</v>
      </c>
      <c r="D47" s="29">
        <v>3128639963</v>
      </c>
      <c r="E47" s="26" t="s">
        <v>31</v>
      </c>
      <c r="F47" s="32"/>
      <c r="G47" s="29" t="s">
        <v>3947</v>
      </c>
      <c r="H47" s="29" t="s">
        <v>3948</v>
      </c>
      <c r="I47" s="29">
        <v>3046489101</v>
      </c>
      <c r="J47" s="29"/>
      <c r="K47" s="29"/>
      <c r="L47" s="29"/>
      <c r="M47" s="27" t="s">
        <v>2610</v>
      </c>
      <c r="N47" s="115">
        <v>44765</v>
      </c>
      <c r="O47" s="32" t="s">
        <v>2622</v>
      </c>
      <c r="P47" s="32"/>
      <c r="Q47" s="32"/>
      <c r="R47" s="32"/>
      <c r="S47" s="32"/>
      <c r="T47" s="32"/>
      <c r="U47" s="32"/>
      <c r="V47" s="32"/>
      <c r="W47" s="32"/>
      <c r="X47" s="32"/>
      <c r="Y47" s="32"/>
      <c r="Z47" s="32" t="s">
        <v>3949</v>
      </c>
      <c r="AA47" s="32"/>
      <c r="AB47" s="32"/>
      <c r="AC47" s="32"/>
      <c r="AD47" s="32"/>
      <c r="AE47" s="32"/>
      <c r="AF47" s="32"/>
      <c r="AG47" s="32"/>
      <c r="AH47" s="32"/>
    </row>
    <row r="48" spans="1:34" x14ac:dyDescent="0.2">
      <c r="A48" s="114">
        <v>44773</v>
      </c>
      <c r="B48" s="29" t="s">
        <v>3950</v>
      </c>
      <c r="C48" s="26">
        <v>32257571</v>
      </c>
      <c r="D48" s="29">
        <v>3003563750</v>
      </c>
      <c r="E48" s="26" t="s">
        <v>31</v>
      </c>
      <c r="F48" s="32"/>
      <c r="G48" s="29" t="s">
        <v>3951</v>
      </c>
      <c r="H48" s="29" t="s">
        <v>114</v>
      </c>
      <c r="I48" s="29">
        <v>3043269737</v>
      </c>
      <c r="J48" s="29"/>
      <c r="K48" s="29"/>
      <c r="L48" s="29"/>
      <c r="M48" s="27" t="s">
        <v>2610</v>
      </c>
      <c r="N48" s="115">
        <v>44773</v>
      </c>
      <c r="O48" s="32" t="s">
        <v>2848</v>
      </c>
      <c r="P48" s="32"/>
      <c r="Q48" s="32"/>
      <c r="R48" s="32"/>
      <c r="S48" s="32"/>
      <c r="T48" s="32"/>
      <c r="U48" s="32"/>
      <c r="V48" s="32"/>
      <c r="W48" s="32"/>
      <c r="X48" s="32"/>
      <c r="Y48" s="32"/>
      <c r="Z48" s="32"/>
      <c r="AA48" s="32" t="s">
        <v>118</v>
      </c>
      <c r="AB48" s="115">
        <v>44696</v>
      </c>
      <c r="AC48" s="32" t="s">
        <v>3952</v>
      </c>
      <c r="AD48" s="32" t="s">
        <v>3953</v>
      </c>
      <c r="AE48" s="32"/>
      <c r="AF48" s="32"/>
      <c r="AG48" s="32"/>
      <c r="AH48" s="32"/>
    </row>
    <row r="49" spans="1:34" x14ac:dyDescent="0.2">
      <c r="A49" s="114">
        <v>44773</v>
      </c>
      <c r="B49" s="29" t="s">
        <v>3954</v>
      </c>
      <c r="C49" s="26">
        <v>1068579767</v>
      </c>
      <c r="D49" s="29">
        <v>3235352308</v>
      </c>
      <c r="E49" s="26" t="s">
        <v>31</v>
      </c>
      <c r="F49" s="32"/>
      <c r="G49" s="29" t="s">
        <v>3955</v>
      </c>
      <c r="H49" s="29" t="s">
        <v>3956</v>
      </c>
      <c r="I49" s="29">
        <v>3117451877</v>
      </c>
      <c r="J49" s="29"/>
      <c r="K49" s="29"/>
      <c r="L49" s="29"/>
      <c r="M49" s="27" t="s">
        <v>2644</v>
      </c>
      <c r="N49" s="115">
        <v>44773</v>
      </c>
      <c r="O49" s="32" t="s">
        <v>2622</v>
      </c>
      <c r="P49" s="32" t="s">
        <v>2646</v>
      </c>
      <c r="Q49" s="115">
        <v>44877</v>
      </c>
      <c r="R49" s="32"/>
      <c r="S49" s="32"/>
      <c r="T49" s="32"/>
      <c r="U49" s="32"/>
      <c r="V49" s="32"/>
      <c r="W49" s="32"/>
      <c r="X49" s="32"/>
      <c r="Y49" s="32"/>
      <c r="Z49" s="32" t="s">
        <v>3957</v>
      </c>
      <c r="AA49" s="32" t="s">
        <v>3958</v>
      </c>
      <c r="AB49" s="115">
        <v>45074</v>
      </c>
      <c r="AC49" s="32"/>
      <c r="AD49" s="32"/>
      <c r="AE49" s="32"/>
      <c r="AF49" s="32"/>
      <c r="AG49" s="32" t="s">
        <v>3945</v>
      </c>
      <c r="AH49" s="32"/>
    </row>
    <row r="50" spans="1:34" x14ac:dyDescent="0.2">
      <c r="A50" s="114">
        <v>44773</v>
      </c>
      <c r="B50" s="29" t="s">
        <v>3959</v>
      </c>
      <c r="C50" s="26"/>
      <c r="D50" s="29">
        <v>3128788106</v>
      </c>
      <c r="E50" s="26" t="s">
        <v>31</v>
      </c>
      <c r="F50" s="32"/>
      <c r="G50" s="29" t="s">
        <v>3960</v>
      </c>
      <c r="H50" s="29" t="s">
        <v>3961</v>
      </c>
      <c r="I50" s="29"/>
      <c r="J50" s="29"/>
      <c r="K50" s="29"/>
      <c r="L50" s="29"/>
      <c r="M50" s="27" t="s">
        <v>2610</v>
      </c>
      <c r="N50" s="115">
        <v>44773</v>
      </c>
      <c r="O50" s="32" t="s">
        <v>2838</v>
      </c>
      <c r="P50" s="32"/>
      <c r="Q50" s="32"/>
      <c r="R50" s="32"/>
      <c r="S50" s="32"/>
      <c r="T50" s="32"/>
      <c r="U50" s="32"/>
      <c r="V50" s="32"/>
      <c r="W50" s="32"/>
      <c r="X50" s="32"/>
      <c r="Y50" s="32"/>
      <c r="Z50" s="32" t="s">
        <v>3962</v>
      </c>
      <c r="AA50" s="32"/>
      <c r="AB50" s="32"/>
      <c r="AC50" s="32"/>
      <c r="AD50" s="32"/>
      <c r="AE50" s="32"/>
      <c r="AF50" s="32"/>
      <c r="AG50" s="32"/>
      <c r="AH50" s="32"/>
    </row>
    <row r="51" spans="1:34" x14ac:dyDescent="0.2">
      <c r="A51" s="114">
        <v>44773</v>
      </c>
      <c r="B51" s="29" t="s">
        <v>3963</v>
      </c>
      <c r="C51" s="26">
        <v>16653726</v>
      </c>
      <c r="D51" s="29">
        <v>3005963426</v>
      </c>
      <c r="E51" s="26" t="s">
        <v>31</v>
      </c>
      <c r="F51" s="32"/>
      <c r="G51" s="29" t="s">
        <v>3964</v>
      </c>
      <c r="H51" s="29" t="s">
        <v>3965</v>
      </c>
      <c r="I51" s="29">
        <v>3106901121</v>
      </c>
      <c r="J51" s="29"/>
      <c r="K51" s="29"/>
      <c r="L51" s="29"/>
      <c r="M51" s="27" t="s">
        <v>2610</v>
      </c>
      <c r="N51" s="115">
        <v>44773</v>
      </c>
      <c r="O51" s="32" t="s">
        <v>2848</v>
      </c>
      <c r="P51" s="32"/>
      <c r="Q51" s="32"/>
      <c r="R51" s="32"/>
      <c r="S51" s="32"/>
      <c r="T51" s="32"/>
      <c r="U51" s="32"/>
      <c r="V51" s="32"/>
      <c r="W51" s="32"/>
      <c r="X51" s="32"/>
      <c r="Y51" s="32"/>
      <c r="Z51" s="32" t="s">
        <v>3966</v>
      </c>
      <c r="AA51" s="32"/>
      <c r="AB51" s="32"/>
      <c r="AC51" s="32"/>
      <c r="AD51" s="32"/>
      <c r="AE51" s="32"/>
      <c r="AF51" s="32"/>
      <c r="AG51" s="32"/>
      <c r="AH51" s="32"/>
    </row>
    <row r="52" spans="1:34" x14ac:dyDescent="0.2">
      <c r="A52" s="114">
        <v>44794</v>
      </c>
      <c r="B52" s="29" t="s">
        <v>579</v>
      </c>
      <c r="C52" s="26"/>
      <c r="D52" s="29">
        <v>3227300373</v>
      </c>
      <c r="E52" s="26" t="s">
        <v>31</v>
      </c>
      <c r="F52" s="32"/>
      <c r="G52" s="29"/>
      <c r="H52" s="29" t="s">
        <v>580</v>
      </c>
      <c r="I52" s="29">
        <v>3013602786</v>
      </c>
      <c r="J52" s="29"/>
      <c r="K52" s="29"/>
      <c r="L52" s="29"/>
      <c r="M52" s="27" t="s">
        <v>2613</v>
      </c>
      <c r="N52" s="32"/>
      <c r="O52" s="32" t="s">
        <v>2841</v>
      </c>
      <c r="P52" s="32"/>
      <c r="Q52" s="32"/>
      <c r="R52" s="32"/>
      <c r="S52" s="32"/>
      <c r="T52" s="32"/>
      <c r="U52" s="32"/>
      <c r="V52" s="32"/>
      <c r="W52" s="32"/>
      <c r="X52" s="32"/>
      <c r="Y52" s="32"/>
      <c r="Z52" s="32" t="s">
        <v>3967</v>
      </c>
      <c r="AA52" s="32" t="s">
        <v>3968</v>
      </c>
      <c r="AB52" s="115">
        <v>45087</v>
      </c>
      <c r="AC52" s="32"/>
      <c r="AD52" s="32"/>
      <c r="AE52" s="32"/>
      <c r="AF52" s="32"/>
      <c r="AG52" s="32" t="s">
        <v>3969</v>
      </c>
      <c r="AH52" s="32"/>
    </row>
    <row r="53" spans="1:34" x14ac:dyDescent="0.2">
      <c r="A53" s="114">
        <v>44773</v>
      </c>
      <c r="B53" s="29" t="s">
        <v>3970</v>
      </c>
      <c r="C53" s="26">
        <v>8290234</v>
      </c>
      <c r="D53" s="29">
        <v>3007609469</v>
      </c>
      <c r="E53" s="26" t="s">
        <v>31</v>
      </c>
      <c r="F53" s="32"/>
      <c r="G53" s="29" t="s">
        <v>3971</v>
      </c>
      <c r="H53" s="29" t="s">
        <v>3972</v>
      </c>
      <c r="I53" s="29">
        <v>3007744106</v>
      </c>
      <c r="J53" s="29"/>
      <c r="K53" s="29"/>
      <c r="L53" s="29"/>
      <c r="M53" s="27" t="s">
        <v>2610</v>
      </c>
      <c r="N53" s="115">
        <v>44773</v>
      </c>
      <c r="O53" s="32" t="s">
        <v>2838</v>
      </c>
      <c r="P53" s="32"/>
      <c r="Q53" s="32"/>
      <c r="R53" s="32"/>
      <c r="S53" s="32"/>
      <c r="T53" s="32"/>
      <c r="U53" s="32"/>
      <c r="V53" s="32"/>
      <c r="W53" s="32"/>
      <c r="X53" s="32"/>
      <c r="Y53" s="32"/>
      <c r="Z53" s="32" t="s">
        <v>3973</v>
      </c>
      <c r="AA53" s="32"/>
      <c r="AB53" s="32"/>
      <c r="AC53" s="32"/>
      <c r="AD53" s="32"/>
      <c r="AE53" s="32"/>
      <c r="AF53" s="32"/>
      <c r="AG53" s="32"/>
      <c r="AH53" s="32"/>
    </row>
    <row r="54" spans="1:34" x14ac:dyDescent="0.2">
      <c r="A54" s="114">
        <v>44773</v>
      </c>
      <c r="B54" s="29" t="s">
        <v>3974</v>
      </c>
      <c r="C54" s="26">
        <v>21791960</v>
      </c>
      <c r="D54" s="29"/>
      <c r="E54" s="26" t="s">
        <v>31</v>
      </c>
      <c r="F54" s="32"/>
      <c r="G54" s="29" t="s">
        <v>3960</v>
      </c>
      <c r="H54" s="29" t="s">
        <v>3959</v>
      </c>
      <c r="I54" s="29">
        <v>3128788106</v>
      </c>
      <c r="J54" s="29"/>
      <c r="K54" s="29"/>
      <c r="L54" s="29"/>
      <c r="M54" s="27" t="s">
        <v>2610</v>
      </c>
      <c r="N54" s="115">
        <v>44773</v>
      </c>
      <c r="O54" s="32" t="s">
        <v>2838</v>
      </c>
      <c r="P54" s="32"/>
      <c r="Q54" s="32"/>
      <c r="R54" s="32"/>
      <c r="S54" s="32"/>
      <c r="T54" s="32"/>
      <c r="U54" s="32"/>
      <c r="V54" s="32"/>
      <c r="W54" s="32"/>
      <c r="X54" s="32"/>
      <c r="Y54" s="32"/>
      <c r="Z54" s="32" t="s">
        <v>3975</v>
      </c>
      <c r="AA54" s="32"/>
      <c r="AB54" s="32"/>
      <c r="AC54" s="32"/>
      <c r="AD54" s="32"/>
      <c r="AE54" s="32"/>
      <c r="AF54" s="32"/>
      <c r="AG54" s="32"/>
      <c r="AH54" s="32"/>
    </row>
    <row r="55" spans="1:34" x14ac:dyDescent="0.2">
      <c r="A55" s="114">
        <v>44773</v>
      </c>
      <c r="B55" s="29" t="s">
        <v>3976</v>
      </c>
      <c r="C55" s="26">
        <v>1007430159</v>
      </c>
      <c r="D55" s="29">
        <v>3242951071</v>
      </c>
      <c r="E55" s="26" t="s">
        <v>31</v>
      </c>
      <c r="F55" s="32"/>
      <c r="G55" s="29" t="s">
        <v>3977</v>
      </c>
      <c r="H55" s="29" t="s">
        <v>151</v>
      </c>
      <c r="I55" s="29">
        <v>3015765105</v>
      </c>
      <c r="J55" s="29"/>
      <c r="K55" s="29"/>
      <c r="L55" s="29"/>
      <c r="M55" s="27" t="s">
        <v>2610</v>
      </c>
      <c r="N55" s="115">
        <v>44773</v>
      </c>
      <c r="O55" s="32" t="s">
        <v>2622</v>
      </c>
      <c r="P55" s="32"/>
      <c r="Q55" s="32"/>
      <c r="R55" s="32"/>
      <c r="S55" s="32"/>
      <c r="T55" s="32"/>
      <c r="U55" s="32"/>
      <c r="V55" s="32"/>
      <c r="W55" s="32"/>
      <c r="X55" s="32"/>
      <c r="Y55" s="32"/>
      <c r="Z55" s="32"/>
      <c r="AA55" s="32" t="s">
        <v>154</v>
      </c>
      <c r="AB55" s="115">
        <v>44696</v>
      </c>
      <c r="AC55" s="32" t="s">
        <v>3978</v>
      </c>
      <c r="AD55" s="115">
        <v>44773</v>
      </c>
      <c r="AE55" s="32"/>
      <c r="AF55" s="32"/>
      <c r="AG55" s="32"/>
      <c r="AH55" s="32"/>
    </row>
    <row r="56" spans="1:34" x14ac:dyDescent="0.2">
      <c r="A56" s="114">
        <v>44773</v>
      </c>
      <c r="B56" s="29" t="s">
        <v>3979</v>
      </c>
      <c r="C56" s="26">
        <v>1128423570</v>
      </c>
      <c r="D56" s="29">
        <v>3242672540</v>
      </c>
      <c r="E56" s="26" t="s">
        <v>31</v>
      </c>
      <c r="F56" s="32"/>
      <c r="G56" s="29" t="s">
        <v>3980</v>
      </c>
      <c r="H56" s="29" t="s">
        <v>3981</v>
      </c>
      <c r="I56" s="29">
        <v>3122671177</v>
      </c>
      <c r="J56" s="29"/>
      <c r="K56" s="29"/>
      <c r="L56" s="29"/>
      <c r="M56" s="27" t="s">
        <v>2610</v>
      </c>
      <c r="N56" s="115">
        <v>44773</v>
      </c>
      <c r="O56" s="32" t="s">
        <v>2838</v>
      </c>
      <c r="P56" s="32"/>
      <c r="Q56" s="32"/>
      <c r="R56" s="32"/>
      <c r="S56" s="32"/>
      <c r="T56" s="32"/>
      <c r="U56" s="32"/>
      <c r="V56" s="32"/>
      <c r="W56" s="32"/>
      <c r="X56" s="32"/>
      <c r="Y56" s="32"/>
      <c r="Z56" s="32" t="s">
        <v>3982</v>
      </c>
      <c r="AA56" s="32"/>
      <c r="AB56" s="32"/>
      <c r="AC56" s="32"/>
      <c r="AD56" s="32"/>
      <c r="AE56" s="32"/>
      <c r="AF56" s="32"/>
      <c r="AG56" s="32"/>
      <c r="AH56" s="32"/>
    </row>
    <row r="57" spans="1:34" x14ac:dyDescent="0.2">
      <c r="A57" s="117">
        <v>44779</v>
      </c>
      <c r="B57" s="29" t="s">
        <v>3983</v>
      </c>
      <c r="C57" s="26">
        <v>70600895</v>
      </c>
      <c r="D57" s="29">
        <v>3012174714</v>
      </c>
      <c r="E57" s="26" t="s">
        <v>31</v>
      </c>
      <c r="F57" s="32"/>
      <c r="G57" s="29" t="s">
        <v>3984</v>
      </c>
      <c r="H57" s="29" t="s">
        <v>3985</v>
      </c>
      <c r="I57" s="29">
        <v>3003411674</v>
      </c>
      <c r="J57" s="29"/>
      <c r="K57" s="29"/>
      <c r="L57" s="29"/>
      <c r="M57" s="27" t="s">
        <v>2644</v>
      </c>
      <c r="N57" s="116">
        <v>44779</v>
      </c>
      <c r="O57" s="32" t="s">
        <v>2838</v>
      </c>
      <c r="P57" s="32" t="s">
        <v>2646</v>
      </c>
      <c r="Q57" s="115">
        <v>44877</v>
      </c>
      <c r="R57" s="32"/>
      <c r="S57" s="32"/>
      <c r="T57" s="32"/>
      <c r="U57" s="32"/>
      <c r="V57" s="32"/>
      <c r="W57" s="32"/>
      <c r="X57" s="32"/>
      <c r="Y57" s="32"/>
      <c r="Z57" s="32" t="s">
        <v>3986</v>
      </c>
      <c r="AA57" s="32"/>
      <c r="AB57" s="32"/>
      <c r="AC57" s="32"/>
      <c r="AD57" s="32"/>
      <c r="AE57" s="32"/>
      <c r="AF57" s="32"/>
      <c r="AG57" s="32"/>
      <c r="AH57" s="32"/>
    </row>
    <row r="58" spans="1:34" x14ac:dyDescent="0.2">
      <c r="A58" s="114">
        <v>44787</v>
      </c>
      <c r="B58" s="29" t="s">
        <v>3987</v>
      </c>
      <c r="C58" s="26">
        <v>1001509689</v>
      </c>
      <c r="D58" s="29">
        <v>3126023501</v>
      </c>
      <c r="E58" s="26" t="s">
        <v>31</v>
      </c>
      <c r="F58" s="32"/>
      <c r="G58" s="29"/>
      <c r="H58" s="29"/>
      <c r="I58" s="29"/>
      <c r="J58" s="29"/>
      <c r="K58" s="29"/>
      <c r="L58" s="29"/>
      <c r="M58" s="27" t="s">
        <v>2610</v>
      </c>
      <c r="N58" s="115">
        <v>44787</v>
      </c>
      <c r="O58" s="32" t="s">
        <v>2622</v>
      </c>
      <c r="P58" s="32"/>
      <c r="Q58" s="32"/>
      <c r="R58" s="32"/>
      <c r="S58" s="32"/>
      <c r="T58" s="32"/>
      <c r="U58" s="32"/>
      <c r="V58" s="32"/>
      <c r="W58" s="32"/>
      <c r="X58" s="32"/>
      <c r="Y58" s="32"/>
      <c r="Z58" s="32" t="s">
        <v>3988</v>
      </c>
      <c r="AA58" s="32" t="s">
        <v>3989</v>
      </c>
      <c r="AB58" s="115">
        <v>44864</v>
      </c>
      <c r="AC58" s="32"/>
      <c r="AD58" s="32" t="s">
        <v>3990</v>
      </c>
      <c r="AE58" s="32"/>
      <c r="AF58" s="32"/>
      <c r="AG58" s="32" t="s">
        <v>3991</v>
      </c>
      <c r="AH58" s="32"/>
    </row>
    <row r="59" spans="1:34" x14ac:dyDescent="0.2">
      <c r="A59" s="114">
        <v>44787</v>
      </c>
      <c r="B59" s="29" t="s">
        <v>3992</v>
      </c>
      <c r="C59" s="26">
        <v>117222688</v>
      </c>
      <c r="D59" s="29">
        <v>3004431592</v>
      </c>
      <c r="E59" s="26" t="s">
        <v>31</v>
      </c>
      <c r="F59" s="32"/>
      <c r="G59" s="29" t="s">
        <v>3993</v>
      </c>
      <c r="H59" s="29" t="s">
        <v>82</v>
      </c>
      <c r="I59" s="29">
        <v>3204095979</v>
      </c>
      <c r="J59" s="29"/>
      <c r="K59" s="29"/>
      <c r="L59" s="29"/>
      <c r="M59" s="27" t="s">
        <v>2610</v>
      </c>
      <c r="N59" s="115">
        <v>44787</v>
      </c>
      <c r="O59" s="32" t="s">
        <v>2848</v>
      </c>
      <c r="P59" s="32"/>
      <c r="Q59" s="32"/>
      <c r="R59" s="32"/>
      <c r="S59" s="32"/>
      <c r="T59" s="32"/>
      <c r="U59" s="32"/>
      <c r="V59" s="32"/>
      <c r="W59" s="32"/>
      <c r="X59" s="32"/>
      <c r="Y59" s="32"/>
      <c r="Z59" s="32"/>
      <c r="AA59" s="32" t="s">
        <v>87</v>
      </c>
      <c r="AB59" s="115">
        <v>44696</v>
      </c>
      <c r="AC59" s="32" t="s">
        <v>3994</v>
      </c>
      <c r="AD59" s="32" t="s">
        <v>3995</v>
      </c>
      <c r="AE59" s="32"/>
      <c r="AF59" s="32"/>
      <c r="AG59" s="32"/>
      <c r="AH59" s="32"/>
    </row>
    <row r="60" spans="1:34" x14ac:dyDescent="0.2">
      <c r="A60" s="114">
        <v>44787</v>
      </c>
      <c r="B60" s="29" t="s">
        <v>3996</v>
      </c>
      <c r="C60" s="26">
        <v>1017189511</v>
      </c>
      <c r="D60" s="29">
        <v>3003972304</v>
      </c>
      <c r="E60" s="26" t="s">
        <v>31</v>
      </c>
      <c r="F60" s="32"/>
      <c r="G60" s="29" t="s">
        <v>3997</v>
      </c>
      <c r="H60" s="29" t="s">
        <v>120</v>
      </c>
      <c r="I60" s="29">
        <v>3126087749</v>
      </c>
      <c r="J60" s="29"/>
      <c r="K60" s="29"/>
      <c r="L60" s="29"/>
      <c r="M60" s="27" t="s">
        <v>2610</v>
      </c>
      <c r="N60" s="115">
        <v>44787</v>
      </c>
      <c r="O60" s="32" t="s">
        <v>2848</v>
      </c>
      <c r="P60" s="32"/>
      <c r="Q60" s="32"/>
      <c r="R60" s="32"/>
      <c r="S60" s="32"/>
      <c r="T60" s="32"/>
      <c r="U60" s="32"/>
      <c r="V60" s="32"/>
      <c r="W60" s="32"/>
      <c r="X60" s="32"/>
      <c r="Y60" s="32"/>
      <c r="Z60" s="32"/>
      <c r="AA60" s="32" t="s">
        <v>3998</v>
      </c>
      <c r="AB60" s="115">
        <v>44696</v>
      </c>
      <c r="AC60" s="32" t="s">
        <v>3999</v>
      </c>
      <c r="AD60" s="32" t="s">
        <v>4000</v>
      </c>
      <c r="AE60" s="32"/>
      <c r="AF60" s="32"/>
      <c r="AG60" s="32"/>
      <c r="AH60" s="32"/>
    </row>
    <row r="61" spans="1:34" x14ac:dyDescent="0.2">
      <c r="A61" s="114">
        <v>44696</v>
      </c>
      <c r="B61" s="29" t="s">
        <v>4001</v>
      </c>
      <c r="C61" s="26"/>
      <c r="D61" s="29">
        <v>3234494670</v>
      </c>
      <c r="E61" s="26" t="s">
        <v>31</v>
      </c>
      <c r="F61" s="32"/>
      <c r="G61" s="29"/>
      <c r="H61" s="29" t="s">
        <v>4002</v>
      </c>
      <c r="I61" s="29">
        <v>3013168627</v>
      </c>
      <c r="J61" s="29"/>
      <c r="K61" s="29"/>
      <c r="L61" s="29"/>
      <c r="M61" s="27" t="s">
        <v>2613</v>
      </c>
      <c r="N61" s="32"/>
      <c r="O61" s="32" t="s">
        <v>2841</v>
      </c>
      <c r="P61" s="32"/>
      <c r="Q61" s="32"/>
      <c r="R61" s="32"/>
      <c r="S61" s="32"/>
      <c r="T61" s="32"/>
      <c r="U61" s="32"/>
      <c r="V61" s="32"/>
      <c r="W61" s="32"/>
      <c r="X61" s="32"/>
      <c r="Y61" s="32"/>
      <c r="Z61" s="32"/>
      <c r="AA61" s="32" t="s">
        <v>4003</v>
      </c>
      <c r="AB61" s="115">
        <v>44696</v>
      </c>
      <c r="AC61" s="32" t="s">
        <v>4004</v>
      </c>
      <c r="AD61" s="32" t="s">
        <v>4005</v>
      </c>
      <c r="AE61" s="32" t="s">
        <v>4006</v>
      </c>
      <c r="AF61" s="32" t="s">
        <v>4007</v>
      </c>
      <c r="AG61" s="32"/>
      <c r="AH61" s="32"/>
    </row>
    <row r="62" spans="1:34" x14ac:dyDescent="0.2">
      <c r="A62" s="114">
        <v>44787</v>
      </c>
      <c r="B62" s="29" t="s">
        <v>90</v>
      </c>
      <c r="C62" s="26">
        <v>39413891</v>
      </c>
      <c r="D62" s="29">
        <v>3216956922</v>
      </c>
      <c r="E62" s="26" t="s">
        <v>31</v>
      </c>
      <c r="F62" s="32"/>
      <c r="G62" s="29" t="s">
        <v>4008</v>
      </c>
      <c r="H62" s="29" t="s">
        <v>4009</v>
      </c>
      <c r="I62" s="29">
        <v>3014861737</v>
      </c>
      <c r="J62" s="29"/>
      <c r="K62" s="29"/>
      <c r="L62" s="29"/>
      <c r="M62" s="27" t="s">
        <v>2610</v>
      </c>
      <c r="N62" s="115">
        <v>44787</v>
      </c>
      <c r="O62" s="32" t="s">
        <v>2656</v>
      </c>
      <c r="P62" s="32"/>
      <c r="Q62" s="32"/>
      <c r="R62" s="32"/>
      <c r="S62" s="32"/>
      <c r="T62" s="32"/>
      <c r="U62" s="32"/>
      <c r="V62" s="32"/>
      <c r="W62" s="32"/>
      <c r="X62" s="32"/>
      <c r="Y62" s="32"/>
      <c r="Z62" s="32"/>
      <c r="AA62" s="32" t="s">
        <v>4010</v>
      </c>
      <c r="AB62" s="115">
        <v>44696</v>
      </c>
      <c r="AC62" s="32" t="s">
        <v>4011</v>
      </c>
      <c r="AD62" s="32" t="s">
        <v>3995</v>
      </c>
      <c r="AE62" s="32"/>
      <c r="AF62" s="32"/>
      <c r="AG62" s="32"/>
      <c r="AH62" s="32"/>
    </row>
    <row r="63" spans="1:34" x14ac:dyDescent="0.2">
      <c r="A63" s="114">
        <v>44787</v>
      </c>
      <c r="B63" s="29" t="s">
        <v>4012</v>
      </c>
      <c r="C63" s="26">
        <v>52337246</v>
      </c>
      <c r="D63" s="29">
        <v>3017792478</v>
      </c>
      <c r="E63" s="26" t="s">
        <v>31</v>
      </c>
      <c r="F63" s="32"/>
      <c r="G63" s="29" t="s">
        <v>4013</v>
      </c>
      <c r="H63" s="29" t="s">
        <v>4014</v>
      </c>
      <c r="I63" s="29">
        <v>3223729009</v>
      </c>
      <c r="J63" s="29"/>
      <c r="K63" s="29"/>
      <c r="L63" s="29"/>
      <c r="M63" s="27" t="s">
        <v>2610</v>
      </c>
      <c r="N63" s="115">
        <v>44787</v>
      </c>
      <c r="O63" s="32" t="s">
        <v>2622</v>
      </c>
      <c r="P63" s="32"/>
      <c r="Q63" s="32"/>
      <c r="R63" s="32"/>
      <c r="S63" s="32"/>
      <c r="T63" s="32"/>
      <c r="U63" s="32"/>
      <c r="V63" s="32"/>
      <c r="W63" s="32"/>
      <c r="X63" s="32"/>
      <c r="Y63" s="32"/>
      <c r="Z63" s="32" t="s">
        <v>4015</v>
      </c>
      <c r="AA63" s="32"/>
      <c r="AB63" s="32"/>
      <c r="AC63" s="32"/>
      <c r="AD63" s="32"/>
      <c r="AE63" s="32"/>
      <c r="AF63" s="32"/>
      <c r="AG63" s="32"/>
      <c r="AH63" s="32"/>
    </row>
    <row r="64" spans="1:34" x14ac:dyDescent="0.2">
      <c r="A64" s="114">
        <v>45137</v>
      </c>
      <c r="B64" s="29" t="s">
        <v>4016</v>
      </c>
      <c r="C64" s="26"/>
      <c r="D64" s="29">
        <v>3104553906</v>
      </c>
      <c r="E64" s="26" t="s">
        <v>31</v>
      </c>
      <c r="F64" s="32"/>
      <c r="G64" s="29"/>
      <c r="H64" s="29"/>
      <c r="I64" s="29">
        <v>3167782298</v>
      </c>
      <c r="J64" s="29"/>
      <c r="K64" s="29"/>
      <c r="L64" s="29"/>
      <c r="M64" s="27" t="s">
        <v>2613</v>
      </c>
      <c r="N64" s="32"/>
      <c r="O64" s="32" t="s">
        <v>2841</v>
      </c>
      <c r="P64" s="32"/>
      <c r="Q64" s="32"/>
      <c r="R64" s="32"/>
      <c r="S64" s="32"/>
      <c r="T64" s="32"/>
      <c r="U64" s="32"/>
      <c r="V64" s="32"/>
      <c r="W64" s="32"/>
      <c r="X64" s="32"/>
      <c r="Y64" s="32"/>
      <c r="Z64" s="32"/>
      <c r="AA64" s="32"/>
      <c r="AB64" s="32"/>
      <c r="AC64" s="32"/>
      <c r="AD64" s="32"/>
      <c r="AE64" s="32"/>
      <c r="AF64" s="32"/>
      <c r="AG64" s="32"/>
      <c r="AH64" s="32"/>
    </row>
    <row r="65" spans="1:34" x14ac:dyDescent="0.2">
      <c r="A65" s="114">
        <v>44787</v>
      </c>
      <c r="B65" s="29" t="s">
        <v>4017</v>
      </c>
      <c r="C65" s="26">
        <v>43026540</v>
      </c>
      <c r="D65" s="29">
        <v>3007676176</v>
      </c>
      <c r="E65" s="26" t="s">
        <v>31</v>
      </c>
      <c r="F65" s="32"/>
      <c r="G65" s="29" t="s">
        <v>4018</v>
      </c>
      <c r="H65" s="29"/>
      <c r="I65" s="29">
        <v>3126257403</v>
      </c>
      <c r="J65" s="29"/>
      <c r="K65" s="29"/>
      <c r="L65" s="29"/>
      <c r="M65" s="27" t="s">
        <v>2610</v>
      </c>
      <c r="N65" s="32" t="s">
        <v>4019</v>
      </c>
      <c r="O65" s="32" t="s">
        <v>2848</v>
      </c>
      <c r="P65" s="32"/>
      <c r="Q65" s="32"/>
      <c r="R65" s="32"/>
      <c r="S65" s="32"/>
      <c r="T65" s="32"/>
      <c r="U65" s="32"/>
      <c r="V65" s="32"/>
      <c r="W65" s="32"/>
      <c r="X65" s="32"/>
      <c r="Y65" s="32"/>
      <c r="Z65" s="32" t="s">
        <v>4020</v>
      </c>
      <c r="AA65" s="32" t="s">
        <v>4021</v>
      </c>
      <c r="AB65" s="115">
        <v>45087</v>
      </c>
      <c r="AC65" s="32"/>
      <c r="AD65" s="32"/>
      <c r="AE65" s="32"/>
      <c r="AF65" s="32"/>
      <c r="AG65" s="32"/>
      <c r="AH65" s="32"/>
    </row>
    <row r="66" spans="1:34" x14ac:dyDescent="0.2">
      <c r="A66" s="114">
        <v>44787</v>
      </c>
      <c r="B66" s="29" t="s">
        <v>4022</v>
      </c>
      <c r="C66" s="26">
        <v>22193642</v>
      </c>
      <c r="D66" s="29">
        <v>3104726362</v>
      </c>
      <c r="E66" s="26" t="s">
        <v>31</v>
      </c>
      <c r="F66" s="32"/>
      <c r="G66" s="29" t="s">
        <v>4023</v>
      </c>
      <c r="H66" s="29" t="s">
        <v>3769</v>
      </c>
      <c r="I66" s="29">
        <v>3128246526</v>
      </c>
      <c r="J66" s="29"/>
      <c r="K66" s="29"/>
      <c r="L66" s="29"/>
      <c r="M66" s="27" t="s">
        <v>2610</v>
      </c>
      <c r="N66" s="115">
        <v>44787</v>
      </c>
      <c r="O66" s="32" t="s">
        <v>2622</v>
      </c>
      <c r="P66" s="32"/>
      <c r="Q66" s="32"/>
      <c r="R66" s="32"/>
      <c r="S66" s="32"/>
      <c r="T66" s="32"/>
      <c r="U66" s="32"/>
      <c r="V66" s="32"/>
      <c r="W66" s="32"/>
      <c r="X66" s="32"/>
      <c r="Y66" s="32"/>
      <c r="Z66" s="32" t="s">
        <v>4024</v>
      </c>
      <c r="AA66" s="32"/>
      <c r="AB66" s="32"/>
      <c r="AC66" s="32"/>
      <c r="AD66" s="32"/>
      <c r="AE66" s="32"/>
      <c r="AF66" s="32"/>
      <c r="AG66" s="32"/>
      <c r="AH66" s="32"/>
    </row>
    <row r="67" spans="1:34" x14ac:dyDescent="0.2">
      <c r="A67" s="114">
        <v>44787</v>
      </c>
      <c r="B67" s="29" t="s">
        <v>4025</v>
      </c>
      <c r="C67" s="26">
        <v>1063721145</v>
      </c>
      <c r="D67" s="29">
        <v>3234188576</v>
      </c>
      <c r="E67" s="26" t="s">
        <v>31</v>
      </c>
      <c r="F67" s="32"/>
      <c r="G67" s="29" t="s">
        <v>4026</v>
      </c>
      <c r="H67" s="29" t="s">
        <v>4027</v>
      </c>
      <c r="I67" s="29">
        <v>3146372166</v>
      </c>
      <c r="J67" s="29"/>
      <c r="K67" s="29"/>
      <c r="L67" s="29"/>
      <c r="M67" s="27" t="s">
        <v>2610</v>
      </c>
      <c r="N67" s="115">
        <v>44787</v>
      </c>
      <c r="O67" s="32" t="s">
        <v>2656</v>
      </c>
      <c r="P67" s="32"/>
      <c r="Q67" s="32"/>
      <c r="R67" s="32"/>
      <c r="S67" s="32"/>
      <c r="T67" s="32"/>
      <c r="U67" s="32"/>
      <c r="V67" s="32"/>
      <c r="W67" s="32"/>
      <c r="X67" s="32"/>
      <c r="Y67" s="32"/>
      <c r="Z67" s="32" t="s">
        <v>4028</v>
      </c>
      <c r="AA67" s="32" t="s">
        <v>4029</v>
      </c>
      <c r="AB67" s="115">
        <v>44696</v>
      </c>
      <c r="AC67" s="32" t="s">
        <v>4030</v>
      </c>
      <c r="AD67" s="32" t="s">
        <v>4000</v>
      </c>
      <c r="AE67" s="32"/>
      <c r="AF67" s="32"/>
      <c r="AG67" s="32"/>
      <c r="AH67" s="32"/>
    </row>
    <row r="68" spans="1:34" x14ac:dyDescent="0.2">
      <c r="A68" s="114">
        <v>44787</v>
      </c>
      <c r="B68" s="29" t="s">
        <v>4031</v>
      </c>
      <c r="C68" s="26">
        <v>1077420619</v>
      </c>
      <c r="D68" s="29">
        <v>3243007732</v>
      </c>
      <c r="E68" s="26" t="s">
        <v>31</v>
      </c>
      <c r="F68" s="32"/>
      <c r="G68" s="29" t="s">
        <v>4032</v>
      </c>
      <c r="H68" s="29" t="s">
        <v>4033</v>
      </c>
      <c r="I68" s="29" t="s">
        <v>4034</v>
      </c>
      <c r="J68" s="29"/>
      <c r="K68" s="29"/>
      <c r="L68" s="29"/>
      <c r="M68" s="27" t="s">
        <v>2610</v>
      </c>
      <c r="N68" s="115">
        <v>44787</v>
      </c>
      <c r="O68" s="32" t="s">
        <v>2838</v>
      </c>
      <c r="P68" s="32"/>
      <c r="Q68" s="32"/>
      <c r="R68" s="32"/>
      <c r="S68" s="32"/>
      <c r="T68" s="32"/>
      <c r="U68" s="32"/>
      <c r="V68" s="32"/>
      <c r="W68" s="32"/>
      <c r="X68" s="32"/>
      <c r="Y68" s="32"/>
      <c r="Z68" s="32" t="s">
        <v>4035</v>
      </c>
      <c r="AA68" s="32"/>
      <c r="AB68" s="32"/>
      <c r="AC68" s="32"/>
      <c r="AD68" s="32"/>
      <c r="AE68" s="32"/>
      <c r="AF68" s="32"/>
      <c r="AG68" s="32"/>
      <c r="AH68" s="32"/>
    </row>
    <row r="69" spans="1:34" x14ac:dyDescent="0.2">
      <c r="A69" s="114">
        <v>44787</v>
      </c>
      <c r="B69" s="29" t="s">
        <v>524</v>
      </c>
      <c r="C69" s="26">
        <v>152441447</v>
      </c>
      <c r="D69" s="29">
        <v>3007902783</v>
      </c>
      <c r="E69" s="26" t="s">
        <v>31</v>
      </c>
      <c r="F69" s="32"/>
      <c r="G69" s="29"/>
      <c r="H69" s="29" t="s">
        <v>4036</v>
      </c>
      <c r="I69" s="29">
        <v>3025148414</v>
      </c>
      <c r="J69" s="29"/>
      <c r="K69" s="29"/>
      <c r="L69" s="29"/>
      <c r="M69" s="27" t="s">
        <v>2610</v>
      </c>
      <c r="N69" s="115">
        <v>44787</v>
      </c>
      <c r="O69" s="32" t="s">
        <v>2838</v>
      </c>
      <c r="P69" s="32"/>
      <c r="Q69" s="32"/>
      <c r="R69" s="32"/>
      <c r="S69" s="32"/>
      <c r="T69" s="32"/>
      <c r="U69" s="32"/>
      <c r="V69" s="32"/>
      <c r="W69" s="32"/>
      <c r="X69" s="32"/>
      <c r="Y69" s="32"/>
      <c r="Z69" s="32" t="s">
        <v>4037</v>
      </c>
      <c r="AA69" s="32" t="s">
        <v>529</v>
      </c>
      <c r="AB69" s="32" t="s">
        <v>4038</v>
      </c>
      <c r="AC69" s="32"/>
      <c r="AD69" s="32"/>
      <c r="AE69" s="32"/>
      <c r="AF69" s="32"/>
      <c r="AG69" s="32"/>
      <c r="AH69" s="32"/>
    </row>
    <row r="70" spans="1:34" x14ac:dyDescent="0.2">
      <c r="A70" s="114">
        <v>44787</v>
      </c>
      <c r="B70" s="29" t="s">
        <v>4039</v>
      </c>
      <c r="C70" s="26">
        <v>78767028</v>
      </c>
      <c r="D70" s="29">
        <v>3124519759</v>
      </c>
      <c r="E70" s="26" t="s">
        <v>31</v>
      </c>
      <c r="F70" s="32"/>
      <c r="G70" s="29" t="s">
        <v>4040</v>
      </c>
      <c r="H70" s="29"/>
      <c r="I70" s="29">
        <v>3205868911</v>
      </c>
      <c r="J70" s="29"/>
      <c r="K70" s="29"/>
      <c r="L70" s="29"/>
      <c r="M70" s="27" t="s">
        <v>2610</v>
      </c>
      <c r="N70" s="115">
        <v>44787</v>
      </c>
      <c r="O70" s="32" t="s">
        <v>2656</v>
      </c>
      <c r="P70" s="32"/>
      <c r="Q70" s="32"/>
      <c r="R70" s="32"/>
      <c r="S70" s="32"/>
      <c r="T70" s="32"/>
      <c r="U70" s="32"/>
      <c r="V70" s="32"/>
      <c r="W70" s="32"/>
      <c r="X70" s="32"/>
      <c r="Y70" s="32"/>
      <c r="Z70" s="32" t="s">
        <v>4041</v>
      </c>
      <c r="AA70" s="32"/>
      <c r="AB70" s="32"/>
      <c r="AC70" s="32"/>
      <c r="AD70" s="32"/>
      <c r="AE70" s="32"/>
      <c r="AF70" s="32"/>
      <c r="AG70" s="32"/>
      <c r="AH70" s="32"/>
    </row>
    <row r="71" spans="1:34" x14ac:dyDescent="0.2">
      <c r="A71" s="114">
        <v>44787</v>
      </c>
      <c r="B71" s="29" t="s">
        <v>4042</v>
      </c>
      <c r="C71" s="26">
        <v>15489075</v>
      </c>
      <c r="D71" s="29">
        <v>3014758711</v>
      </c>
      <c r="E71" s="26" t="s">
        <v>31</v>
      </c>
      <c r="F71" s="32"/>
      <c r="G71" s="29"/>
      <c r="H71" s="29" t="s">
        <v>4043</v>
      </c>
      <c r="I71" s="29">
        <v>3043413772</v>
      </c>
      <c r="J71" s="29"/>
      <c r="K71" s="29"/>
      <c r="L71" s="29"/>
      <c r="M71" s="27" t="s">
        <v>2610</v>
      </c>
      <c r="N71" s="115">
        <v>44787</v>
      </c>
      <c r="O71" s="32" t="s">
        <v>2848</v>
      </c>
      <c r="P71" s="32"/>
      <c r="Q71" s="32"/>
      <c r="R71" s="32"/>
      <c r="S71" s="32"/>
      <c r="T71" s="32"/>
      <c r="U71" s="32"/>
      <c r="V71" s="32"/>
      <c r="W71" s="32"/>
      <c r="X71" s="32"/>
      <c r="Y71" s="32"/>
      <c r="Z71" s="32" t="s">
        <v>4044</v>
      </c>
      <c r="AA71" s="32"/>
      <c r="AB71" s="32"/>
      <c r="AC71" s="32"/>
      <c r="AD71" s="32"/>
      <c r="AE71" s="32"/>
      <c r="AF71" s="32"/>
      <c r="AG71" s="32"/>
      <c r="AH71" s="32"/>
    </row>
    <row r="72" spans="1:34" x14ac:dyDescent="0.2">
      <c r="A72" s="114">
        <v>44787</v>
      </c>
      <c r="B72" s="29" t="s">
        <v>4045</v>
      </c>
      <c r="C72" s="26">
        <v>39410165</v>
      </c>
      <c r="D72" s="29">
        <v>3017715291</v>
      </c>
      <c r="E72" s="26" t="s">
        <v>31</v>
      </c>
      <c r="F72" s="32"/>
      <c r="G72" s="29" t="s">
        <v>4046</v>
      </c>
      <c r="H72" s="29" t="s">
        <v>4047</v>
      </c>
      <c r="I72" s="29">
        <v>3156154008</v>
      </c>
      <c r="J72" s="29"/>
      <c r="K72" s="29"/>
      <c r="L72" s="29"/>
      <c r="M72" s="27" t="s">
        <v>2644</v>
      </c>
      <c r="N72" s="115">
        <v>44787</v>
      </c>
      <c r="O72" s="32" t="s">
        <v>2838</v>
      </c>
      <c r="P72" s="32" t="s">
        <v>2646</v>
      </c>
      <c r="Q72" s="115">
        <v>44877</v>
      </c>
      <c r="R72" s="32"/>
      <c r="S72" s="32"/>
      <c r="T72" s="32"/>
      <c r="U72" s="32"/>
      <c r="V72" s="32"/>
      <c r="W72" s="32"/>
      <c r="X72" s="32"/>
      <c r="Y72" s="32"/>
      <c r="Z72" s="32" t="s">
        <v>4048</v>
      </c>
      <c r="AA72" s="32"/>
      <c r="AB72" s="32"/>
      <c r="AC72" s="32"/>
      <c r="AD72" s="32"/>
      <c r="AE72" s="32"/>
      <c r="AF72" s="32"/>
      <c r="AG72" s="32"/>
      <c r="AH72" s="32"/>
    </row>
    <row r="73" spans="1:34" x14ac:dyDescent="0.2">
      <c r="A73" s="114">
        <v>44787</v>
      </c>
      <c r="B73" s="29" t="s">
        <v>4049</v>
      </c>
      <c r="C73" s="26">
        <v>54253971</v>
      </c>
      <c r="D73" s="29">
        <v>3242873480</v>
      </c>
      <c r="E73" s="26" t="s">
        <v>31</v>
      </c>
      <c r="F73" s="32"/>
      <c r="G73" s="29"/>
      <c r="H73" s="29" t="s">
        <v>4050</v>
      </c>
      <c r="I73" s="29">
        <v>3147325405</v>
      </c>
      <c r="J73" s="29"/>
      <c r="K73" s="29"/>
      <c r="L73" s="29"/>
      <c r="M73" s="27" t="s">
        <v>2610</v>
      </c>
      <c r="N73" s="115">
        <v>44787</v>
      </c>
      <c r="O73" s="32" t="s">
        <v>2838</v>
      </c>
      <c r="P73" s="32"/>
      <c r="Q73" s="32"/>
      <c r="R73" s="32"/>
      <c r="S73" s="32"/>
      <c r="T73" s="32"/>
      <c r="U73" s="32"/>
      <c r="V73" s="32"/>
      <c r="W73" s="32"/>
      <c r="X73" s="32"/>
      <c r="Y73" s="32"/>
      <c r="Z73" s="32" t="s">
        <v>4051</v>
      </c>
      <c r="AA73" s="32"/>
      <c r="AB73" s="32"/>
      <c r="AC73" s="32"/>
      <c r="AD73" s="32"/>
      <c r="AE73" s="32"/>
      <c r="AF73" s="32"/>
      <c r="AG73" s="32"/>
      <c r="AH73" s="32"/>
    </row>
    <row r="74" spans="1:34" x14ac:dyDescent="0.2">
      <c r="A74" s="114">
        <v>44787</v>
      </c>
      <c r="B74" s="29" t="s">
        <v>4052</v>
      </c>
      <c r="C74" s="26"/>
      <c r="D74" s="29">
        <v>3023855955</v>
      </c>
      <c r="E74" s="26" t="s">
        <v>31</v>
      </c>
      <c r="F74" s="32"/>
      <c r="G74" s="29"/>
      <c r="H74" s="29"/>
      <c r="I74" s="29"/>
      <c r="J74" s="29"/>
      <c r="K74" s="29"/>
      <c r="L74" s="29"/>
      <c r="M74" s="27" t="s">
        <v>2610</v>
      </c>
      <c r="N74" s="115">
        <v>45087</v>
      </c>
      <c r="O74" s="32" t="s">
        <v>2838</v>
      </c>
      <c r="P74" s="32"/>
      <c r="Q74" s="32"/>
      <c r="R74" s="32"/>
      <c r="S74" s="32"/>
      <c r="T74" s="32"/>
      <c r="U74" s="32"/>
      <c r="V74" s="32"/>
      <c r="W74" s="32"/>
      <c r="X74" s="32"/>
      <c r="Y74" s="32"/>
      <c r="Z74" s="32"/>
      <c r="AA74" s="32" t="s">
        <v>3883</v>
      </c>
      <c r="AB74" s="115">
        <v>45086</v>
      </c>
      <c r="AC74" s="32" t="s">
        <v>4053</v>
      </c>
      <c r="AD74" s="118">
        <v>45205</v>
      </c>
      <c r="AE74" s="32"/>
      <c r="AF74" s="32"/>
      <c r="AG74" s="32"/>
      <c r="AH74" s="32"/>
    </row>
    <row r="75" spans="1:34" x14ac:dyDescent="0.2">
      <c r="A75" s="114">
        <v>44787</v>
      </c>
      <c r="B75" s="29" t="s">
        <v>4054</v>
      </c>
      <c r="C75" s="26">
        <v>43148863</v>
      </c>
      <c r="D75" s="29">
        <v>3004472547</v>
      </c>
      <c r="E75" s="26" t="s">
        <v>31</v>
      </c>
      <c r="F75" s="32"/>
      <c r="G75" s="29" t="s">
        <v>4055</v>
      </c>
      <c r="H75" s="29" t="s">
        <v>4056</v>
      </c>
      <c r="I75" s="29">
        <v>3014379538</v>
      </c>
      <c r="J75" s="29"/>
      <c r="K75" s="29"/>
      <c r="L75" s="29"/>
      <c r="M75" s="27" t="s">
        <v>2610</v>
      </c>
      <c r="N75" s="115">
        <v>44787</v>
      </c>
      <c r="O75" s="32" t="s">
        <v>2838</v>
      </c>
      <c r="P75" s="32"/>
      <c r="Q75" s="32"/>
      <c r="R75" s="32"/>
      <c r="S75" s="32"/>
      <c r="T75" s="32"/>
      <c r="U75" s="32"/>
      <c r="V75" s="32"/>
      <c r="W75" s="32"/>
      <c r="X75" s="32"/>
      <c r="Y75" s="32"/>
      <c r="Z75" s="32" t="s">
        <v>4057</v>
      </c>
      <c r="AA75" s="32"/>
      <c r="AB75" s="32"/>
      <c r="AC75" s="32"/>
      <c r="AD75" s="32"/>
      <c r="AE75" s="32"/>
      <c r="AF75" s="32"/>
      <c r="AG75" s="32"/>
      <c r="AH75" s="32"/>
    </row>
    <row r="76" spans="1:34" x14ac:dyDescent="0.2">
      <c r="A76" s="114">
        <v>45087</v>
      </c>
      <c r="B76" s="29" t="s">
        <v>4058</v>
      </c>
      <c r="C76" s="26"/>
      <c r="D76" s="29">
        <v>3002293546</v>
      </c>
      <c r="E76" s="26" t="s">
        <v>31</v>
      </c>
      <c r="F76" s="32"/>
      <c r="G76" s="29"/>
      <c r="H76" s="29"/>
      <c r="I76" s="29"/>
      <c r="J76" s="29"/>
      <c r="K76" s="29"/>
      <c r="L76" s="29"/>
      <c r="M76" s="27" t="s">
        <v>2613</v>
      </c>
      <c r="N76" s="32"/>
      <c r="O76" s="32" t="s">
        <v>2841</v>
      </c>
      <c r="P76" s="32"/>
      <c r="Q76" s="32"/>
      <c r="R76" s="32"/>
      <c r="S76" s="32"/>
      <c r="T76" s="32"/>
      <c r="U76" s="32"/>
      <c r="V76" s="32"/>
      <c r="W76" s="32"/>
      <c r="X76" s="32"/>
      <c r="Y76" s="32"/>
      <c r="Z76" s="32"/>
      <c r="AA76" s="32"/>
      <c r="AB76" s="32"/>
      <c r="AC76" s="32"/>
      <c r="AD76" s="32"/>
      <c r="AE76" s="32"/>
      <c r="AF76" s="32"/>
      <c r="AG76" s="32"/>
      <c r="AH76" s="32"/>
    </row>
    <row r="77" spans="1:34" x14ac:dyDescent="0.2">
      <c r="A77" s="114">
        <v>44794</v>
      </c>
      <c r="B77" s="29" t="s">
        <v>4059</v>
      </c>
      <c r="C77" s="26"/>
      <c r="D77" s="29">
        <v>3043413772</v>
      </c>
      <c r="E77" s="26" t="s">
        <v>31</v>
      </c>
      <c r="F77" s="32"/>
      <c r="G77" s="29"/>
      <c r="H77" s="29" t="s">
        <v>593</v>
      </c>
      <c r="I77" s="29">
        <v>3014758711</v>
      </c>
      <c r="J77" s="29"/>
      <c r="K77" s="29"/>
      <c r="L77" s="29"/>
      <c r="M77" s="27" t="s">
        <v>2613</v>
      </c>
      <c r="N77" s="32"/>
      <c r="O77" s="32" t="s">
        <v>2841</v>
      </c>
      <c r="P77" s="32"/>
      <c r="Q77" s="32"/>
      <c r="R77" s="32"/>
      <c r="S77" s="32"/>
      <c r="T77" s="32"/>
      <c r="U77" s="32"/>
      <c r="V77" s="32"/>
      <c r="W77" s="32"/>
      <c r="X77" s="32"/>
      <c r="Y77" s="32"/>
      <c r="Z77" s="32" t="s">
        <v>4060</v>
      </c>
      <c r="AA77" s="32" t="s">
        <v>4061</v>
      </c>
      <c r="AB77" s="115">
        <v>45087</v>
      </c>
      <c r="AC77" s="32" t="s">
        <v>4062</v>
      </c>
      <c r="AD77" s="118">
        <v>45208</v>
      </c>
      <c r="AE77" s="32"/>
      <c r="AF77" s="32"/>
      <c r="AG77" s="32"/>
      <c r="AH77" s="32"/>
    </row>
    <row r="78" spans="1:34" x14ac:dyDescent="0.2">
      <c r="A78" s="114">
        <v>45087</v>
      </c>
      <c r="B78" s="29" t="s">
        <v>4063</v>
      </c>
      <c r="C78" s="26"/>
      <c r="D78" s="29">
        <v>3007149995</v>
      </c>
      <c r="E78" s="26" t="s">
        <v>31</v>
      </c>
      <c r="F78" s="32"/>
      <c r="G78" s="29"/>
      <c r="H78" s="29" t="s">
        <v>4064</v>
      </c>
      <c r="I78" s="29">
        <v>3043638763</v>
      </c>
      <c r="J78" s="29"/>
      <c r="K78" s="29"/>
      <c r="L78" s="29"/>
      <c r="M78" s="27" t="s">
        <v>2613</v>
      </c>
      <c r="N78" s="32"/>
      <c r="O78" s="32" t="s">
        <v>2841</v>
      </c>
      <c r="P78" s="32"/>
      <c r="Q78" s="32"/>
      <c r="R78" s="32"/>
      <c r="S78" s="32"/>
      <c r="T78" s="32"/>
      <c r="U78" s="32"/>
      <c r="V78" s="32"/>
      <c r="W78" s="32"/>
      <c r="X78" s="32"/>
      <c r="Y78" s="32"/>
      <c r="Z78" s="32"/>
      <c r="AA78" s="32"/>
      <c r="AB78" s="32"/>
      <c r="AC78" s="32"/>
      <c r="AD78" s="32"/>
      <c r="AE78" s="32"/>
      <c r="AF78" s="32"/>
      <c r="AG78" s="32"/>
      <c r="AH78" s="32"/>
    </row>
    <row r="79" spans="1:34" x14ac:dyDescent="0.2">
      <c r="A79" s="29" t="s">
        <v>3865</v>
      </c>
      <c r="B79" s="29" t="s">
        <v>4065</v>
      </c>
      <c r="C79" s="26"/>
      <c r="D79" s="29">
        <v>3006237043</v>
      </c>
      <c r="E79" s="26" t="s">
        <v>31</v>
      </c>
      <c r="F79" s="32"/>
      <c r="G79" s="29"/>
      <c r="H79" s="29"/>
      <c r="I79" s="29">
        <v>3245769191</v>
      </c>
      <c r="J79" s="29"/>
      <c r="K79" s="29"/>
      <c r="L79" s="29"/>
      <c r="M79" s="27" t="s">
        <v>2613</v>
      </c>
      <c r="N79" s="32"/>
      <c r="O79" s="32" t="s">
        <v>2841</v>
      </c>
      <c r="P79" s="32"/>
      <c r="Q79" s="32"/>
      <c r="R79" s="32"/>
      <c r="S79" s="32"/>
      <c r="T79" s="32"/>
      <c r="U79" s="32"/>
      <c r="V79" s="32"/>
      <c r="W79" s="32"/>
      <c r="X79" s="32"/>
      <c r="Y79" s="32"/>
      <c r="Z79" s="32" t="s">
        <v>4066</v>
      </c>
      <c r="AA79" s="32"/>
      <c r="AB79" s="32"/>
      <c r="AC79" s="32"/>
      <c r="AD79" s="32"/>
      <c r="AE79" s="32"/>
      <c r="AF79" s="32"/>
      <c r="AG79" s="32"/>
      <c r="AH79" s="32"/>
    </row>
    <row r="80" spans="1:34" x14ac:dyDescent="0.2">
      <c r="A80" s="29" t="s">
        <v>3865</v>
      </c>
      <c r="B80" s="29" t="s">
        <v>4067</v>
      </c>
      <c r="C80" s="26"/>
      <c r="D80" s="29">
        <v>3117192114</v>
      </c>
      <c r="E80" s="26" t="s">
        <v>31</v>
      </c>
      <c r="F80" s="32"/>
      <c r="G80" s="29"/>
      <c r="H80" s="29"/>
      <c r="I80" s="29"/>
      <c r="J80" s="29"/>
      <c r="K80" s="29"/>
      <c r="L80" s="29"/>
      <c r="M80" s="27" t="s">
        <v>2613</v>
      </c>
      <c r="N80" s="32"/>
      <c r="O80" s="32" t="s">
        <v>2841</v>
      </c>
      <c r="P80" s="32"/>
      <c r="Q80" s="32"/>
      <c r="R80" s="32"/>
      <c r="S80" s="32"/>
      <c r="T80" s="32"/>
      <c r="U80" s="32"/>
      <c r="V80" s="32"/>
      <c r="W80" s="32"/>
      <c r="X80" s="32"/>
      <c r="Y80" s="32"/>
      <c r="Z80" s="32"/>
      <c r="AA80" s="32"/>
      <c r="AB80" s="32"/>
      <c r="AC80" s="32"/>
      <c r="AD80" s="32"/>
      <c r="AE80" s="32"/>
      <c r="AF80" s="32"/>
      <c r="AG80" s="32"/>
      <c r="AH80" s="32"/>
    </row>
    <row r="81" spans="1:34" x14ac:dyDescent="0.2">
      <c r="A81" s="29" t="s">
        <v>3865</v>
      </c>
      <c r="B81" s="29" t="s">
        <v>4068</v>
      </c>
      <c r="C81" s="26"/>
      <c r="D81" s="29" t="s">
        <v>4069</v>
      </c>
      <c r="E81" s="26" t="s">
        <v>31</v>
      </c>
      <c r="F81" s="32"/>
      <c r="G81" s="29"/>
      <c r="H81" s="29"/>
      <c r="I81" s="29"/>
      <c r="J81" s="29"/>
      <c r="K81" s="29"/>
      <c r="L81" s="29"/>
      <c r="M81" s="27" t="s">
        <v>2613</v>
      </c>
      <c r="N81" s="32"/>
      <c r="O81" s="32" t="s">
        <v>2841</v>
      </c>
      <c r="P81" s="32"/>
      <c r="Q81" s="32"/>
      <c r="R81" s="32"/>
      <c r="S81" s="32"/>
      <c r="T81" s="32"/>
      <c r="U81" s="32"/>
      <c r="V81" s="32"/>
      <c r="W81" s="32"/>
      <c r="X81" s="32"/>
      <c r="Y81" s="32"/>
      <c r="Z81" s="32"/>
      <c r="AA81" s="32"/>
      <c r="AB81" s="32"/>
      <c r="AC81" s="32"/>
      <c r="AD81" s="32"/>
      <c r="AE81" s="32"/>
      <c r="AF81" s="32"/>
      <c r="AG81" s="32"/>
      <c r="AH81" s="32"/>
    </row>
    <row r="82" spans="1:34" x14ac:dyDescent="0.2">
      <c r="A82" s="114">
        <v>45074</v>
      </c>
      <c r="B82" s="29" t="s">
        <v>4070</v>
      </c>
      <c r="C82" s="26"/>
      <c r="D82" s="29">
        <v>3128795357</v>
      </c>
      <c r="E82" s="26" t="s">
        <v>31</v>
      </c>
      <c r="F82" s="32"/>
      <c r="G82" s="29"/>
      <c r="H82" s="29"/>
      <c r="I82" s="29"/>
      <c r="J82" s="29"/>
      <c r="K82" s="29"/>
      <c r="L82" s="29"/>
      <c r="M82" s="27" t="s">
        <v>2613</v>
      </c>
      <c r="N82" s="32"/>
      <c r="O82" s="32" t="s">
        <v>2841</v>
      </c>
      <c r="P82" s="32"/>
      <c r="Q82" s="32"/>
      <c r="R82" s="32"/>
      <c r="S82" s="32"/>
      <c r="T82" s="32"/>
      <c r="U82" s="32"/>
      <c r="V82" s="32"/>
      <c r="W82" s="32"/>
      <c r="X82" s="32"/>
      <c r="Y82" s="32"/>
      <c r="Z82" s="32"/>
      <c r="AA82" s="32"/>
      <c r="AB82" s="32"/>
      <c r="AC82" s="32"/>
      <c r="AD82" s="32"/>
      <c r="AE82" s="32"/>
      <c r="AF82" s="32"/>
      <c r="AG82" s="32"/>
      <c r="AH82" s="32"/>
    </row>
    <row r="83" spans="1:34" x14ac:dyDescent="0.2">
      <c r="A83" s="117">
        <v>44843</v>
      </c>
      <c r="B83" s="29" t="s">
        <v>686</v>
      </c>
      <c r="C83" s="26"/>
      <c r="D83" s="29">
        <v>3107745708</v>
      </c>
      <c r="E83" s="26" t="s">
        <v>31</v>
      </c>
      <c r="F83" s="32"/>
      <c r="G83" s="29"/>
      <c r="H83" s="29" t="s">
        <v>687</v>
      </c>
      <c r="I83" s="29">
        <v>3007368424</v>
      </c>
      <c r="J83" s="29"/>
      <c r="K83" s="29"/>
      <c r="L83" s="29"/>
      <c r="M83" s="27" t="s">
        <v>2644</v>
      </c>
      <c r="N83" s="116">
        <v>45108</v>
      </c>
      <c r="O83" s="32" t="s">
        <v>2622</v>
      </c>
      <c r="P83" s="32" t="s">
        <v>2646</v>
      </c>
      <c r="Q83" s="115">
        <v>45122</v>
      </c>
      <c r="R83" s="32"/>
      <c r="S83" s="32"/>
      <c r="T83" s="32"/>
      <c r="U83" s="32"/>
      <c r="V83" s="32"/>
      <c r="W83" s="32"/>
      <c r="X83" s="32"/>
      <c r="Y83" s="32"/>
      <c r="Z83" s="32"/>
      <c r="AA83" s="32"/>
      <c r="AB83" s="32"/>
      <c r="AC83" s="32"/>
      <c r="AD83" s="32"/>
      <c r="AE83" s="32"/>
      <c r="AF83" s="32"/>
      <c r="AG83" s="32"/>
      <c r="AH83" s="32"/>
    </row>
    <row r="84" spans="1:34" x14ac:dyDescent="0.2">
      <c r="A84" s="114">
        <v>45094</v>
      </c>
      <c r="B84" s="29" t="s">
        <v>821</v>
      </c>
      <c r="C84" s="26"/>
      <c r="D84" s="29">
        <v>3002881615</v>
      </c>
      <c r="E84" s="26" t="s">
        <v>31</v>
      </c>
      <c r="F84" s="32"/>
      <c r="G84" s="29"/>
      <c r="H84" s="29" t="s">
        <v>2694</v>
      </c>
      <c r="I84" s="29">
        <v>3005966771</v>
      </c>
      <c r="J84" s="29"/>
      <c r="K84" s="29"/>
      <c r="L84" s="29"/>
      <c r="M84" s="27" t="s">
        <v>2613</v>
      </c>
      <c r="N84" s="32"/>
      <c r="O84" s="32" t="s">
        <v>2841</v>
      </c>
      <c r="P84" s="32"/>
      <c r="Q84" s="32"/>
      <c r="R84" s="32"/>
      <c r="S84" s="32"/>
      <c r="T84" s="32"/>
      <c r="U84" s="32"/>
      <c r="V84" s="32"/>
      <c r="W84" s="32"/>
      <c r="X84" s="32"/>
      <c r="Y84" s="32"/>
      <c r="Z84" s="32" t="s">
        <v>827</v>
      </c>
      <c r="AA84" s="32"/>
      <c r="AB84" s="32"/>
      <c r="AC84" s="32"/>
      <c r="AD84" s="32"/>
      <c r="AE84" s="32"/>
      <c r="AF84" s="32"/>
      <c r="AG84" s="32"/>
      <c r="AH84" s="32"/>
    </row>
    <row r="85" spans="1:34" x14ac:dyDescent="0.2">
      <c r="A85" s="29" t="s">
        <v>3865</v>
      </c>
      <c r="B85" s="29" t="s">
        <v>4071</v>
      </c>
      <c r="C85" s="26"/>
      <c r="D85" s="29">
        <v>3044358657</v>
      </c>
      <c r="E85" s="26" t="s">
        <v>31</v>
      </c>
      <c r="F85" s="32"/>
      <c r="G85" s="29"/>
      <c r="H85" s="29"/>
      <c r="I85" s="29"/>
      <c r="J85" s="29"/>
      <c r="K85" s="29"/>
      <c r="L85" s="29"/>
      <c r="M85" s="27" t="s">
        <v>2613</v>
      </c>
      <c r="N85" s="32"/>
      <c r="O85" s="32" t="s">
        <v>2841</v>
      </c>
      <c r="P85" s="32"/>
      <c r="Q85" s="32"/>
      <c r="R85" s="32"/>
      <c r="S85" s="32"/>
      <c r="T85" s="32"/>
      <c r="U85" s="32"/>
      <c r="V85" s="32"/>
      <c r="W85" s="32"/>
      <c r="X85" s="32"/>
      <c r="Y85" s="32"/>
      <c r="Z85" s="32"/>
      <c r="AA85" s="32"/>
      <c r="AB85" s="32"/>
      <c r="AC85" s="32"/>
      <c r="AD85" s="32"/>
      <c r="AE85" s="32"/>
      <c r="AF85" s="32"/>
      <c r="AG85" s="32"/>
      <c r="AH85" s="32"/>
    </row>
    <row r="86" spans="1:34" x14ac:dyDescent="0.2">
      <c r="A86" s="114">
        <v>44703</v>
      </c>
      <c r="B86" s="29" t="s">
        <v>205</v>
      </c>
      <c r="C86" s="26"/>
      <c r="D86" s="29">
        <v>3103777629</v>
      </c>
      <c r="E86" s="26" t="s">
        <v>31</v>
      </c>
      <c r="F86" s="32"/>
      <c r="G86" s="29"/>
      <c r="H86" s="29"/>
      <c r="I86" s="29"/>
      <c r="J86" s="29"/>
      <c r="K86" s="29"/>
      <c r="L86" s="29"/>
      <c r="M86" s="27" t="s">
        <v>2613</v>
      </c>
      <c r="N86" s="32"/>
      <c r="O86" s="32" t="s">
        <v>2841</v>
      </c>
      <c r="P86" s="32"/>
      <c r="Q86" s="32"/>
      <c r="R86" s="32"/>
      <c r="S86" s="32"/>
      <c r="T86" s="32"/>
      <c r="U86" s="32"/>
      <c r="V86" s="32"/>
      <c r="W86" s="32"/>
      <c r="X86" s="32"/>
      <c r="Y86" s="32"/>
      <c r="Z86" s="32"/>
      <c r="AA86" s="32" t="s">
        <v>3883</v>
      </c>
      <c r="AB86" s="115">
        <v>45072</v>
      </c>
      <c r="AC86" s="32"/>
      <c r="AD86" s="32"/>
      <c r="AE86" s="32"/>
      <c r="AF86" s="32"/>
      <c r="AG86" s="32"/>
      <c r="AH86" s="32"/>
    </row>
    <row r="87" spans="1:34" x14ac:dyDescent="0.2">
      <c r="A87" s="114">
        <v>44857</v>
      </c>
      <c r="B87" s="29" t="s">
        <v>141</v>
      </c>
      <c r="C87" s="26">
        <v>43151936</v>
      </c>
      <c r="D87" s="29">
        <v>3218871791</v>
      </c>
      <c r="E87" s="26" t="s">
        <v>31</v>
      </c>
      <c r="F87" s="32"/>
      <c r="G87" s="29" t="s">
        <v>4072</v>
      </c>
      <c r="H87" s="29" t="s">
        <v>4073</v>
      </c>
      <c r="I87" s="29">
        <v>3017483051</v>
      </c>
      <c r="J87" s="29"/>
      <c r="K87" s="29"/>
      <c r="L87" s="29"/>
      <c r="M87" s="27" t="s">
        <v>2610</v>
      </c>
      <c r="N87" s="115">
        <v>44857</v>
      </c>
      <c r="O87" s="32" t="s">
        <v>2838</v>
      </c>
      <c r="P87" s="32"/>
      <c r="Q87" s="32"/>
      <c r="R87" s="32"/>
      <c r="S87" s="32"/>
      <c r="T87" s="32"/>
      <c r="U87" s="32"/>
      <c r="V87" s="32"/>
      <c r="W87" s="32"/>
      <c r="X87" s="32"/>
      <c r="Y87" s="32"/>
      <c r="Z87" s="32"/>
      <c r="AA87" s="32" t="s">
        <v>144</v>
      </c>
      <c r="AB87" s="115">
        <v>44696</v>
      </c>
      <c r="AC87" s="32" t="s">
        <v>4074</v>
      </c>
      <c r="AD87" s="32" t="s">
        <v>4000</v>
      </c>
      <c r="AE87" s="32" t="s">
        <v>4075</v>
      </c>
      <c r="AF87" s="119">
        <v>44857</v>
      </c>
      <c r="AG87" s="32"/>
      <c r="AH87" s="32"/>
    </row>
    <row r="88" spans="1:34" x14ac:dyDescent="0.2">
      <c r="A88" s="114">
        <v>44857</v>
      </c>
      <c r="B88" s="29" t="s">
        <v>4076</v>
      </c>
      <c r="C88" s="26">
        <v>39327770</v>
      </c>
      <c r="D88" s="29">
        <v>3008853868</v>
      </c>
      <c r="E88" s="26" t="s">
        <v>31</v>
      </c>
      <c r="F88" s="32"/>
      <c r="G88" s="29" t="s">
        <v>4077</v>
      </c>
      <c r="H88" s="29" t="s">
        <v>4078</v>
      </c>
      <c r="I88" s="29">
        <v>3003411674</v>
      </c>
      <c r="J88" s="29"/>
      <c r="K88" s="29"/>
      <c r="L88" s="29"/>
      <c r="M88" s="27" t="s">
        <v>2610</v>
      </c>
      <c r="N88" s="115">
        <v>44857</v>
      </c>
      <c r="O88" s="32" t="s">
        <v>2838</v>
      </c>
      <c r="P88" s="32"/>
      <c r="Q88" s="32"/>
      <c r="R88" s="32"/>
      <c r="S88" s="32"/>
      <c r="T88" s="32"/>
      <c r="U88" s="32"/>
      <c r="V88" s="32"/>
      <c r="W88" s="32"/>
      <c r="X88" s="32"/>
      <c r="Y88" s="32"/>
      <c r="Z88" s="32" t="s">
        <v>4079</v>
      </c>
      <c r="AA88" s="32"/>
      <c r="AB88" s="32"/>
      <c r="AC88" s="32"/>
      <c r="AD88" s="32"/>
      <c r="AE88" s="32"/>
      <c r="AF88" s="32"/>
      <c r="AG88" s="32"/>
      <c r="AH88" s="32"/>
    </row>
    <row r="89" spans="1:34" x14ac:dyDescent="0.2">
      <c r="A89" s="29" t="s">
        <v>3865</v>
      </c>
      <c r="B89" s="29" t="s">
        <v>4080</v>
      </c>
      <c r="C89" s="26"/>
      <c r="D89" s="29">
        <v>3243307464</v>
      </c>
      <c r="E89" s="26" t="s">
        <v>31</v>
      </c>
      <c r="F89" s="32"/>
      <c r="G89" s="29"/>
      <c r="H89" s="29"/>
      <c r="I89" s="29"/>
      <c r="J89" s="29"/>
      <c r="K89" s="29"/>
      <c r="L89" s="29"/>
      <c r="M89" s="27" t="s">
        <v>2613</v>
      </c>
      <c r="N89" s="32"/>
      <c r="O89" s="32" t="s">
        <v>2841</v>
      </c>
      <c r="P89" s="32"/>
      <c r="Q89" s="32"/>
      <c r="R89" s="32"/>
      <c r="S89" s="32"/>
      <c r="T89" s="32"/>
      <c r="U89" s="32"/>
      <c r="V89" s="32"/>
      <c r="W89" s="32"/>
      <c r="X89" s="32"/>
      <c r="Y89" s="32"/>
      <c r="Z89" s="32"/>
      <c r="AA89" s="32"/>
      <c r="AB89" s="32"/>
      <c r="AC89" s="32"/>
      <c r="AD89" s="32"/>
      <c r="AE89" s="32"/>
      <c r="AF89" s="32"/>
      <c r="AG89" s="32"/>
      <c r="AH89" s="32"/>
    </row>
    <row r="90" spans="1:34" x14ac:dyDescent="0.2">
      <c r="A90" s="114">
        <v>44857</v>
      </c>
      <c r="B90" s="29" t="s">
        <v>4081</v>
      </c>
      <c r="C90" s="26"/>
      <c r="D90" s="29">
        <v>3013168627</v>
      </c>
      <c r="E90" s="26" t="s">
        <v>31</v>
      </c>
      <c r="F90" s="32"/>
      <c r="G90" s="29"/>
      <c r="H90" s="29" t="s">
        <v>4082</v>
      </c>
      <c r="I90" s="29">
        <v>3216956922</v>
      </c>
      <c r="J90" s="29"/>
      <c r="K90" s="29"/>
      <c r="L90" s="29"/>
      <c r="M90" s="27" t="s">
        <v>2613</v>
      </c>
      <c r="N90" s="32"/>
      <c r="O90" s="32" t="s">
        <v>2841</v>
      </c>
      <c r="P90" s="32"/>
      <c r="Q90" s="32"/>
      <c r="R90" s="32"/>
      <c r="S90" s="32"/>
      <c r="T90" s="32"/>
      <c r="U90" s="32"/>
      <c r="V90" s="32"/>
      <c r="W90" s="32"/>
      <c r="X90" s="32"/>
      <c r="Y90" s="32"/>
      <c r="Z90" s="32" t="s">
        <v>4083</v>
      </c>
      <c r="AA90" s="32"/>
      <c r="AB90" s="32"/>
      <c r="AC90" s="32"/>
      <c r="AD90" s="32"/>
      <c r="AE90" s="32"/>
      <c r="AF90" s="32"/>
      <c r="AG90" s="32"/>
      <c r="AH90" s="32"/>
    </row>
    <row r="91" spans="1:34" x14ac:dyDescent="0.2">
      <c r="A91" s="114">
        <v>44857</v>
      </c>
      <c r="B91" s="29" t="s">
        <v>4084</v>
      </c>
      <c r="C91" s="26"/>
      <c r="D91" s="29">
        <v>3007392844</v>
      </c>
      <c r="E91" s="26" t="s">
        <v>31</v>
      </c>
      <c r="F91" s="32"/>
      <c r="G91" s="29"/>
      <c r="H91" s="29" t="s">
        <v>4085</v>
      </c>
      <c r="I91" s="29">
        <v>3115058108</v>
      </c>
      <c r="J91" s="29"/>
      <c r="K91" s="29"/>
      <c r="L91" s="29"/>
      <c r="M91" s="27" t="s">
        <v>2644</v>
      </c>
      <c r="N91" s="115">
        <v>44857</v>
      </c>
      <c r="O91" s="32" t="s">
        <v>2622</v>
      </c>
      <c r="P91" s="32" t="s">
        <v>2646</v>
      </c>
      <c r="Q91" s="115">
        <v>44877</v>
      </c>
      <c r="R91" s="32"/>
      <c r="S91" s="32"/>
      <c r="T91" s="32"/>
      <c r="U91" s="32"/>
      <c r="V91" s="32"/>
      <c r="W91" s="32"/>
      <c r="X91" s="32"/>
      <c r="Y91" s="32"/>
      <c r="Z91" s="32" t="s">
        <v>4086</v>
      </c>
      <c r="AA91" s="32"/>
      <c r="AB91" s="32"/>
      <c r="AC91" s="32"/>
      <c r="AD91" s="32"/>
      <c r="AE91" s="32"/>
      <c r="AF91" s="32"/>
      <c r="AG91" s="32"/>
      <c r="AH91" s="32"/>
    </row>
    <row r="92" spans="1:34" x14ac:dyDescent="0.2">
      <c r="A92" s="114">
        <v>44857</v>
      </c>
      <c r="B92" s="29" t="s">
        <v>4087</v>
      </c>
      <c r="C92" s="26">
        <v>44000760</v>
      </c>
      <c r="D92" s="29">
        <v>3005638087</v>
      </c>
      <c r="E92" s="26" t="s">
        <v>31</v>
      </c>
      <c r="F92" s="32"/>
      <c r="G92" s="29" t="s">
        <v>4088</v>
      </c>
      <c r="H92" s="29" t="s">
        <v>4089</v>
      </c>
      <c r="I92" s="29">
        <v>3243714474</v>
      </c>
      <c r="J92" s="29"/>
      <c r="K92" s="29"/>
      <c r="L92" s="29"/>
      <c r="M92" s="27" t="s">
        <v>2644</v>
      </c>
      <c r="N92" s="115">
        <v>44857</v>
      </c>
      <c r="O92" s="32" t="s">
        <v>2622</v>
      </c>
      <c r="P92" s="32" t="s">
        <v>2646</v>
      </c>
      <c r="Q92" s="115">
        <v>44877</v>
      </c>
      <c r="R92" s="32"/>
      <c r="S92" s="32"/>
      <c r="T92" s="32"/>
      <c r="U92" s="32"/>
      <c r="V92" s="32"/>
      <c r="W92" s="32"/>
      <c r="X92" s="32"/>
      <c r="Y92" s="32"/>
      <c r="Z92" s="32" t="s">
        <v>4090</v>
      </c>
      <c r="AA92" s="32"/>
      <c r="AB92" s="32"/>
      <c r="AC92" s="32"/>
      <c r="AD92" s="32"/>
      <c r="AE92" s="32"/>
      <c r="AF92" s="32"/>
      <c r="AG92" s="32"/>
      <c r="AH92" s="32"/>
    </row>
    <row r="93" spans="1:34" x14ac:dyDescent="0.2">
      <c r="A93" s="114">
        <v>44857</v>
      </c>
      <c r="B93" s="29" t="s">
        <v>4091</v>
      </c>
      <c r="C93" s="26"/>
      <c r="D93" s="29">
        <v>3017483051</v>
      </c>
      <c r="E93" s="26" t="s">
        <v>31</v>
      </c>
      <c r="F93" s="32"/>
      <c r="G93" s="29" t="s">
        <v>4092</v>
      </c>
      <c r="H93" s="29" t="s">
        <v>4093</v>
      </c>
      <c r="I93" s="29" t="s">
        <v>4094</v>
      </c>
      <c r="J93" s="29"/>
      <c r="K93" s="29"/>
      <c r="L93" s="29"/>
      <c r="M93" s="27" t="s">
        <v>2610</v>
      </c>
      <c r="N93" s="115">
        <v>44857</v>
      </c>
      <c r="O93" s="32" t="s">
        <v>2838</v>
      </c>
      <c r="P93" s="32"/>
      <c r="Q93" s="32"/>
      <c r="R93" s="32"/>
      <c r="S93" s="32"/>
      <c r="T93" s="32"/>
      <c r="U93" s="32"/>
      <c r="V93" s="32"/>
      <c r="W93" s="32"/>
      <c r="X93" s="32"/>
      <c r="Y93" s="32"/>
      <c r="Z93" s="32"/>
      <c r="AA93" s="32" t="s">
        <v>4075</v>
      </c>
      <c r="AB93" s="115">
        <v>44857</v>
      </c>
      <c r="AC93" s="32"/>
      <c r="AD93" s="32"/>
      <c r="AE93" s="32"/>
      <c r="AF93" s="32"/>
      <c r="AG93" s="32"/>
      <c r="AH93" s="32"/>
    </row>
    <row r="94" spans="1:34" x14ac:dyDescent="0.2">
      <c r="A94" s="114">
        <v>44857</v>
      </c>
      <c r="B94" s="29" t="s">
        <v>4095</v>
      </c>
      <c r="C94" s="26">
        <v>70321867</v>
      </c>
      <c r="D94" s="29">
        <v>3003212319</v>
      </c>
      <c r="E94" s="26" t="s">
        <v>31</v>
      </c>
      <c r="F94" s="32"/>
      <c r="G94" s="29" t="s">
        <v>4096</v>
      </c>
      <c r="H94" s="29" t="s">
        <v>4097</v>
      </c>
      <c r="I94" s="29">
        <v>3003212319</v>
      </c>
      <c r="J94" s="29"/>
      <c r="K94" s="29"/>
      <c r="L94" s="29"/>
      <c r="M94" s="27" t="s">
        <v>2644</v>
      </c>
      <c r="N94" s="115">
        <v>44857</v>
      </c>
      <c r="O94" s="32" t="s">
        <v>2622</v>
      </c>
      <c r="P94" s="32" t="s">
        <v>2646</v>
      </c>
      <c r="Q94" s="115">
        <v>44877</v>
      </c>
      <c r="R94" s="32"/>
      <c r="S94" s="32"/>
      <c r="T94" s="32"/>
      <c r="U94" s="32"/>
      <c r="V94" s="32"/>
      <c r="W94" s="32"/>
      <c r="X94" s="32"/>
      <c r="Y94" s="32"/>
      <c r="Z94" s="32" t="s">
        <v>4098</v>
      </c>
      <c r="AA94" s="32"/>
      <c r="AB94" s="32"/>
      <c r="AC94" s="32"/>
      <c r="AD94" s="32"/>
      <c r="AE94" s="32"/>
      <c r="AF94" s="32"/>
      <c r="AG94" s="32"/>
      <c r="AH94" s="32"/>
    </row>
    <row r="95" spans="1:34" x14ac:dyDescent="0.2">
      <c r="A95" s="114">
        <v>44857</v>
      </c>
      <c r="B95" s="29" t="s">
        <v>4099</v>
      </c>
      <c r="C95" s="26">
        <v>43189165</v>
      </c>
      <c r="D95" s="29">
        <v>3013762348</v>
      </c>
      <c r="E95" s="26" t="s">
        <v>31</v>
      </c>
      <c r="F95" s="32"/>
      <c r="G95" s="29" t="s">
        <v>4100</v>
      </c>
      <c r="H95" s="29" t="s">
        <v>4101</v>
      </c>
      <c r="I95" s="29">
        <v>3043568002</v>
      </c>
      <c r="J95" s="29"/>
      <c r="K95" s="29"/>
      <c r="L95" s="29"/>
      <c r="M95" s="27" t="s">
        <v>2610</v>
      </c>
      <c r="N95" s="115">
        <v>44857</v>
      </c>
      <c r="O95" s="32" t="s">
        <v>2848</v>
      </c>
      <c r="P95" s="32"/>
      <c r="Q95" s="32"/>
      <c r="R95" s="32"/>
      <c r="S95" s="32"/>
      <c r="T95" s="32"/>
      <c r="U95" s="32"/>
      <c r="V95" s="32"/>
      <c r="W95" s="32"/>
      <c r="X95" s="32"/>
      <c r="Y95" s="32"/>
      <c r="Z95" s="32" t="s">
        <v>4102</v>
      </c>
      <c r="AA95" s="32"/>
      <c r="AB95" s="32"/>
      <c r="AC95" s="32"/>
      <c r="AD95" s="32"/>
      <c r="AE95" s="32"/>
      <c r="AF95" s="32"/>
      <c r="AG95" s="32"/>
      <c r="AH95" s="32"/>
    </row>
    <row r="96" spans="1:34" x14ac:dyDescent="0.2">
      <c r="A96" s="114">
        <v>44703</v>
      </c>
      <c r="B96" s="29" t="s">
        <v>4103</v>
      </c>
      <c r="C96" s="26"/>
      <c r="D96" s="29">
        <v>3146001223</v>
      </c>
      <c r="E96" s="26" t="s">
        <v>31</v>
      </c>
      <c r="F96" s="32"/>
      <c r="G96" s="29"/>
      <c r="H96" s="29" t="s">
        <v>4104</v>
      </c>
      <c r="I96" s="29">
        <v>3128189653</v>
      </c>
      <c r="J96" s="29"/>
      <c r="K96" s="29"/>
      <c r="L96" s="29"/>
      <c r="M96" s="27" t="s">
        <v>2613</v>
      </c>
      <c r="N96" s="32"/>
      <c r="O96" s="32" t="s">
        <v>2841</v>
      </c>
      <c r="P96" s="32"/>
      <c r="Q96" s="32"/>
      <c r="R96" s="32"/>
      <c r="S96" s="32"/>
      <c r="T96" s="32"/>
      <c r="U96" s="32"/>
      <c r="V96" s="32"/>
      <c r="W96" s="32"/>
      <c r="X96" s="32"/>
      <c r="Y96" s="32"/>
      <c r="Z96" s="32" t="s">
        <v>239</v>
      </c>
      <c r="AA96" s="32" t="s">
        <v>3907</v>
      </c>
      <c r="AB96" s="115">
        <v>45072</v>
      </c>
      <c r="AC96" s="32"/>
      <c r="AD96" s="32"/>
      <c r="AE96" s="32"/>
      <c r="AF96" s="32"/>
      <c r="AG96" s="32"/>
      <c r="AH96" s="32"/>
    </row>
    <row r="97" spans="1:34" x14ac:dyDescent="0.2">
      <c r="A97" s="114">
        <v>44864</v>
      </c>
      <c r="B97" s="29" t="s">
        <v>4105</v>
      </c>
      <c r="C97" s="26">
        <v>1000392977</v>
      </c>
      <c r="D97" s="29">
        <v>3002784147</v>
      </c>
      <c r="E97" s="26" t="s">
        <v>31</v>
      </c>
      <c r="F97" s="32"/>
      <c r="G97" s="29" t="s">
        <v>4106</v>
      </c>
      <c r="H97" s="29" t="s">
        <v>4107</v>
      </c>
      <c r="I97" s="29">
        <v>3016208784</v>
      </c>
      <c r="J97" s="29"/>
      <c r="K97" s="29"/>
      <c r="L97" s="29"/>
      <c r="M97" s="27" t="s">
        <v>2610</v>
      </c>
      <c r="N97" s="115">
        <v>44864</v>
      </c>
      <c r="O97" s="32" t="s">
        <v>2848</v>
      </c>
      <c r="P97" s="32"/>
      <c r="Q97" s="32"/>
      <c r="R97" s="32"/>
      <c r="S97" s="32"/>
      <c r="T97" s="32"/>
      <c r="U97" s="32"/>
      <c r="V97" s="32"/>
      <c r="W97" s="32"/>
      <c r="X97" s="32"/>
      <c r="Y97" s="32"/>
      <c r="Z97" s="32" t="s">
        <v>4108</v>
      </c>
      <c r="AA97" s="32"/>
      <c r="AB97" s="32"/>
      <c r="AC97" s="32"/>
      <c r="AD97" s="32"/>
      <c r="AE97" s="32"/>
      <c r="AF97" s="32"/>
      <c r="AG97" s="32"/>
      <c r="AH97" s="32"/>
    </row>
    <row r="98" spans="1:34" x14ac:dyDescent="0.2">
      <c r="A98" s="114">
        <v>44864</v>
      </c>
      <c r="B98" s="29" t="s">
        <v>3771</v>
      </c>
      <c r="C98" s="26"/>
      <c r="D98" s="29">
        <v>3015055420</v>
      </c>
      <c r="E98" s="26" t="s">
        <v>31</v>
      </c>
      <c r="F98" s="32"/>
      <c r="G98" s="29"/>
      <c r="H98" s="29" t="s">
        <v>4109</v>
      </c>
      <c r="I98" s="29">
        <v>3022193711</v>
      </c>
      <c r="J98" s="29"/>
      <c r="K98" s="29"/>
      <c r="L98" s="29"/>
      <c r="M98" s="27" t="s">
        <v>2610</v>
      </c>
      <c r="N98" s="115">
        <v>44864</v>
      </c>
      <c r="O98" s="32" t="s">
        <v>2656</v>
      </c>
      <c r="P98" s="32"/>
      <c r="Q98" s="32"/>
      <c r="R98" s="32"/>
      <c r="S98" s="32"/>
      <c r="T98" s="32"/>
      <c r="U98" s="32"/>
      <c r="V98" s="32"/>
      <c r="W98" s="32"/>
      <c r="X98" s="32"/>
      <c r="Y98" s="32"/>
      <c r="Z98" s="32" t="s">
        <v>4110</v>
      </c>
      <c r="AA98" s="32"/>
      <c r="AB98" s="32"/>
      <c r="AC98" s="32"/>
      <c r="AD98" s="32"/>
      <c r="AE98" s="32"/>
      <c r="AF98" s="32"/>
      <c r="AG98" s="32"/>
      <c r="AH98" s="32"/>
    </row>
    <row r="99" spans="1:34" x14ac:dyDescent="0.2">
      <c r="A99" s="117">
        <v>44868</v>
      </c>
      <c r="B99" s="29" t="s">
        <v>4111</v>
      </c>
      <c r="C99" s="26"/>
      <c r="D99" s="29">
        <v>3023597476</v>
      </c>
      <c r="E99" s="26" t="s">
        <v>31</v>
      </c>
      <c r="F99" s="32"/>
      <c r="G99" s="29" t="s">
        <v>4112</v>
      </c>
      <c r="H99" s="29" t="s">
        <v>4113</v>
      </c>
      <c r="I99" s="29">
        <v>3243815660</v>
      </c>
      <c r="J99" s="29"/>
      <c r="K99" s="29"/>
      <c r="L99" s="29"/>
      <c r="M99" s="27" t="s">
        <v>2610</v>
      </c>
      <c r="N99" s="116">
        <v>44868</v>
      </c>
      <c r="O99" s="32" t="s">
        <v>2622</v>
      </c>
      <c r="P99" s="32"/>
      <c r="Q99" s="32"/>
      <c r="R99" s="32"/>
      <c r="S99" s="32"/>
      <c r="T99" s="32"/>
      <c r="U99" s="32"/>
      <c r="V99" s="32"/>
      <c r="W99" s="32"/>
      <c r="X99" s="32"/>
      <c r="Y99" s="32"/>
      <c r="Z99" s="32" t="s">
        <v>4114</v>
      </c>
      <c r="AA99" s="32"/>
      <c r="AB99" s="32"/>
      <c r="AC99" s="32"/>
      <c r="AD99" s="32"/>
      <c r="AE99" s="32"/>
      <c r="AF99" s="32"/>
      <c r="AG99" s="32"/>
      <c r="AH99" s="32"/>
    </row>
    <row r="100" spans="1:34" x14ac:dyDescent="0.2">
      <c r="A100" s="117">
        <v>44868</v>
      </c>
      <c r="B100" s="29" t="s">
        <v>4115</v>
      </c>
      <c r="C100" s="26">
        <v>21592366</v>
      </c>
      <c r="D100" s="29">
        <v>3022193711</v>
      </c>
      <c r="E100" s="26" t="s">
        <v>31</v>
      </c>
      <c r="F100" s="32"/>
      <c r="G100" s="29"/>
      <c r="H100" s="29" t="s">
        <v>3771</v>
      </c>
      <c r="I100" s="29">
        <v>3015055420</v>
      </c>
      <c r="J100" s="29"/>
      <c r="K100" s="29"/>
      <c r="L100" s="29"/>
      <c r="M100" s="27" t="s">
        <v>2610</v>
      </c>
      <c r="N100" s="32" t="s">
        <v>4116</v>
      </c>
      <c r="O100" s="32" t="s">
        <v>2656</v>
      </c>
      <c r="P100" s="32"/>
      <c r="Q100" s="32"/>
      <c r="R100" s="32"/>
      <c r="S100" s="32"/>
      <c r="T100" s="32"/>
      <c r="U100" s="32"/>
      <c r="V100" s="32"/>
      <c r="W100" s="32"/>
      <c r="X100" s="32"/>
      <c r="Y100" s="32"/>
      <c r="Z100" s="32" t="s">
        <v>4110</v>
      </c>
      <c r="AA100" s="32" t="s">
        <v>4117</v>
      </c>
      <c r="AB100" s="115">
        <v>45108</v>
      </c>
      <c r="AC100" s="32"/>
      <c r="AD100" s="32"/>
      <c r="AE100" s="32"/>
      <c r="AF100" s="32"/>
      <c r="AG100" s="32"/>
      <c r="AH100" s="32"/>
    </row>
    <row r="101" spans="1:34" x14ac:dyDescent="0.2">
      <c r="A101" s="117">
        <v>44868</v>
      </c>
      <c r="B101" s="29" t="s">
        <v>4118</v>
      </c>
      <c r="C101" s="26">
        <v>43341627</v>
      </c>
      <c r="D101" s="29">
        <v>3113709212</v>
      </c>
      <c r="E101" s="26" t="s">
        <v>31</v>
      </c>
      <c r="F101" s="32"/>
      <c r="G101" s="29" t="s">
        <v>4119</v>
      </c>
      <c r="H101" s="29" t="s">
        <v>4120</v>
      </c>
      <c r="I101" s="29">
        <v>3166117633</v>
      </c>
      <c r="J101" s="29"/>
      <c r="K101" s="29"/>
      <c r="L101" s="29"/>
      <c r="M101" s="27" t="s">
        <v>2610</v>
      </c>
      <c r="N101" s="116">
        <v>44868</v>
      </c>
      <c r="O101" s="32" t="s">
        <v>2656</v>
      </c>
      <c r="P101" s="32"/>
      <c r="Q101" s="32"/>
      <c r="R101" s="32"/>
      <c r="S101" s="32"/>
      <c r="T101" s="32"/>
      <c r="U101" s="32"/>
      <c r="V101" s="32"/>
      <c r="W101" s="32"/>
      <c r="X101" s="32"/>
      <c r="Y101" s="32"/>
      <c r="Z101" s="32" t="s">
        <v>4121</v>
      </c>
      <c r="AA101" s="32" t="s">
        <v>332</v>
      </c>
      <c r="AB101" s="115">
        <v>44717</v>
      </c>
      <c r="AC101" s="32"/>
      <c r="AD101" s="32"/>
      <c r="AE101" s="32"/>
      <c r="AF101" s="32"/>
      <c r="AG101" s="32"/>
      <c r="AH101" s="32"/>
    </row>
    <row r="102" spans="1:34" x14ac:dyDescent="0.2">
      <c r="A102" s="117">
        <v>44868</v>
      </c>
      <c r="B102" s="29" t="s">
        <v>4122</v>
      </c>
      <c r="C102" s="26">
        <v>98588841</v>
      </c>
      <c r="D102" s="29">
        <v>3024140093</v>
      </c>
      <c r="E102" s="26" t="s">
        <v>31</v>
      </c>
      <c r="F102" s="32"/>
      <c r="G102" s="29"/>
      <c r="H102" s="29" t="s">
        <v>4123</v>
      </c>
      <c r="I102" s="29">
        <v>3006223557</v>
      </c>
      <c r="J102" s="29"/>
      <c r="K102" s="29"/>
      <c r="L102" s="29"/>
      <c r="M102" s="27" t="s">
        <v>2610</v>
      </c>
      <c r="N102" s="116">
        <v>44868</v>
      </c>
      <c r="O102" s="32" t="s">
        <v>2656</v>
      </c>
      <c r="P102" s="32"/>
      <c r="Q102" s="32"/>
      <c r="R102" s="32"/>
      <c r="S102" s="32"/>
      <c r="T102" s="32"/>
      <c r="U102" s="32"/>
      <c r="V102" s="32"/>
      <c r="W102" s="32"/>
      <c r="X102" s="32"/>
      <c r="Y102" s="32"/>
      <c r="Z102" s="32"/>
      <c r="AA102" s="32" t="s">
        <v>4124</v>
      </c>
      <c r="AB102" s="115">
        <v>44868</v>
      </c>
      <c r="AC102" s="32"/>
      <c r="AD102" s="32"/>
      <c r="AE102" s="32"/>
      <c r="AF102" s="32"/>
      <c r="AG102" s="32"/>
      <c r="AH102" s="32"/>
    </row>
    <row r="103" spans="1:34" x14ac:dyDescent="0.2">
      <c r="A103" s="114">
        <v>44696</v>
      </c>
      <c r="B103" s="29" t="s">
        <v>185</v>
      </c>
      <c r="C103" s="26"/>
      <c r="D103" s="29">
        <v>3022386120</v>
      </c>
      <c r="E103" s="26" t="s">
        <v>31</v>
      </c>
      <c r="F103" s="32"/>
      <c r="G103" s="29"/>
      <c r="H103" s="29" t="s">
        <v>186</v>
      </c>
      <c r="I103" s="29">
        <v>3242045294</v>
      </c>
      <c r="J103" s="29"/>
      <c r="K103" s="29"/>
      <c r="L103" s="29"/>
      <c r="M103" s="27" t="s">
        <v>2613</v>
      </c>
      <c r="N103" s="32"/>
      <c r="O103" s="32" t="s">
        <v>2841</v>
      </c>
      <c r="P103" s="32"/>
      <c r="Q103" s="32"/>
      <c r="R103" s="32"/>
      <c r="S103" s="32"/>
      <c r="T103" s="32"/>
      <c r="U103" s="32"/>
      <c r="V103" s="32"/>
      <c r="W103" s="32"/>
      <c r="X103" s="32"/>
      <c r="Y103" s="32"/>
      <c r="Z103" s="32"/>
      <c r="AA103" s="32" t="s">
        <v>4125</v>
      </c>
      <c r="AB103" s="115">
        <v>45072</v>
      </c>
      <c r="AC103" s="32"/>
      <c r="AD103" s="32"/>
      <c r="AE103" s="32"/>
      <c r="AF103" s="32"/>
      <c r="AG103" s="32" t="s">
        <v>3969</v>
      </c>
      <c r="AH103" s="32"/>
    </row>
    <row r="104" spans="1:34" x14ac:dyDescent="0.2">
      <c r="A104" s="114">
        <v>45032</v>
      </c>
      <c r="B104" s="29" t="s">
        <v>4126</v>
      </c>
      <c r="C104" s="26">
        <v>1001501208</v>
      </c>
      <c r="D104" s="29">
        <v>3117145542</v>
      </c>
      <c r="E104" s="26" t="s">
        <v>31</v>
      </c>
      <c r="F104" s="32"/>
      <c r="G104" s="29" t="s">
        <v>4127</v>
      </c>
      <c r="H104" s="29" t="s">
        <v>2631</v>
      </c>
      <c r="I104" s="29">
        <v>3238429535</v>
      </c>
      <c r="J104" s="29"/>
      <c r="K104" s="29"/>
      <c r="L104" s="29"/>
      <c r="M104" s="27" t="s">
        <v>2610</v>
      </c>
      <c r="N104" s="115">
        <v>45032</v>
      </c>
      <c r="O104" s="32" t="s">
        <v>2838</v>
      </c>
      <c r="P104" s="32"/>
      <c r="Q104" s="32"/>
      <c r="R104" s="32"/>
      <c r="S104" s="32"/>
      <c r="T104" s="32"/>
      <c r="U104" s="32"/>
      <c r="V104" s="32"/>
      <c r="W104" s="32"/>
      <c r="X104" s="32"/>
      <c r="Y104" s="32"/>
      <c r="Z104" s="32" t="s">
        <v>4128</v>
      </c>
      <c r="AA104" s="32"/>
      <c r="AB104" s="32"/>
      <c r="AC104" s="32"/>
      <c r="AD104" s="32"/>
      <c r="AE104" s="32"/>
      <c r="AF104" s="32"/>
      <c r="AG104" s="32"/>
      <c r="AH104" s="32"/>
    </row>
    <row r="105" spans="1:34" x14ac:dyDescent="0.2">
      <c r="A105" s="29" t="s">
        <v>3865</v>
      </c>
      <c r="B105" s="29" t="s">
        <v>4129</v>
      </c>
      <c r="C105" s="26"/>
      <c r="D105" s="29">
        <v>3136912194</v>
      </c>
      <c r="E105" s="26" t="s">
        <v>31</v>
      </c>
      <c r="F105" s="32"/>
      <c r="G105" s="29"/>
      <c r="H105" s="29"/>
      <c r="I105" s="29"/>
      <c r="J105" s="29"/>
      <c r="K105" s="29"/>
      <c r="L105" s="29"/>
      <c r="M105" s="27" t="s">
        <v>2613</v>
      </c>
      <c r="N105" s="32"/>
      <c r="O105" s="32" t="s">
        <v>2841</v>
      </c>
      <c r="P105" s="32"/>
      <c r="Q105" s="32"/>
      <c r="R105" s="32"/>
      <c r="S105" s="32"/>
      <c r="T105" s="32"/>
      <c r="U105" s="32"/>
      <c r="V105" s="32"/>
      <c r="W105" s="32"/>
      <c r="X105" s="32"/>
      <c r="Y105" s="32"/>
      <c r="Z105" s="32"/>
      <c r="AA105" s="32"/>
      <c r="AB105" s="32"/>
      <c r="AC105" s="32"/>
      <c r="AD105" s="32"/>
      <c r="AE105" s="32"/>
      <c r="AF105" s="32"/>
      <c r="AG105" s="32"/>
      <c r="AH105" s="32"/>
    </row>
    <row r="106" spans="1:34" x14ac:dyDescent="0.2">
      <c r="A106" s="114">
        <v>44787</v>
      </c>
      <c r="B106" s="29" t="s">
        <v>4130</v>
      </c>
      <c r="C106" s="26"/>
      <c r="D106" s="29">
        <v>3015140662</v>
      </c>
      <c r="E106" s="26" t="s">
        <v>31</v>
      </c>
      <c r="F106" s="32"/>
      <c r="G106" s="29"/>
      <c r="H106" s="29" t="s">
        <v>4131</v>
      </c>
      <c r="I106" s="29">
        <v>3017483052</v>
      </c>
      <c r="J106" s="29"/>
      <c r="K106" s="29"/>
      <c r="L106" s="29"/>
      <c r="M106" s="27" t="s">
        <v>2613</v>
      </c>
      <c r="N106" s="32"/>
      <c r="O106" s="32" t="s">
        <v>2841</v>
      </c>
      <c r="P106" s="32"/>
      <c r="Q106" s="32"/>
      <c r="R106" s="32"/>
      <c r="S106" s="32"/>
      <c r="T106" s="32"/>
      <c r="U106" s="32"/>
      <c r="V106" s="32"/>
      <c r="W106" s="32"/>
      <c r="X106" s="32"/>
      <c r="Y106" s="32"/>
      <c r="Z106" s="32"/>
      <c r="AA106" s="32" t="s">
        <v>4004</v>
      </c>
      <c r="AB106" s="115">
        <v>45086</v>
      </c>
      <c r="AC106" s="32"/>
      <c r="AD106" s="32"/>
      <c r="AE106" s="32"/>
      <c r="AF106" s="32"/>
      <c r="AG106" s="32"/>
      <c r="AH106" s="32"/>
    </row>
    <row r="107" spans="1:34" x14ac:dyDescent="0.2">
      <c r="A107" s="114">
        <v>45074</v>
      </c>
      <c r="B107" s="29" t="s">
        <v>4132</v>
      </c>
      <c r="C107" s="26"/>
      <c r="D107" s="29"/>
      <c r="E107" s="26" t="s">
        <v>31</v>
      </c>
      <c r="F107" s="32"/>
      <c r="G107" s="29"/>
      <c r="H107" s="29"/>
      <c r="I107" s="29"/>
      <c r="J107" s="29"/>
      <c r="K107" s="29"/>
      <c r="L107" s="29"/>
      <c r="M107" s="27" t="s">
        <v>2610</v>
      </c>
      <c r="N107" s="115">
        <v>45074</v>
      </c>
      <c r="O107" s="32"/>
      <c r="P107" s="32"/>
      <c r="Q107" s="32"/>
      <c r="R107" s="32"/>
      <c r="S107" s="32"/>
      <c r="T107" s="32"/>
      <c r="U107" s="32"/>
      <c r="V107" s="32"/>
      <c r="W107" s="32"/>
      <c r="X107" s="32"/>
      <c r="Y107" s="32"/>
      <c r="Z107" s="32"/>
      <c r="AA107" s="32" t="s">
        <v>4133</v>
      </c>
      <c r="AB107" s="115">
        <v>45074</v>
      </c>
      <c r="AC107" s="32"/>
      <c r="AD107" s="32"/>
      <c r="AE107" s="32"/>
      <c r="AF107" s="32"/>
      <c r="AG107" s="32"/>
      <c r="AH107" s="32"/>
    </row>
    <row r="108" spans="1:34" x14ac:dyDescent="0.2">
      <c r="A108" s="114">
        <v>45074</v>
      </c>
      <c r="B108" s="29" t="s">
        <v>811</v>
      </c>
      <c r="C108" s="26"/>
      <c r="D108" s="29">
        <v>3002995129</v>
      </c>
      <c r="E108" s="26" t="s">
        <v>31</v>
      </c>
      <c r="F108" s="32"/>
      <c r="G108" s="29"/>
      <c r="H108" s="29" t="s">
        <v>4134</v>
      </c>
      <c r="I108" s="29">
        <v>3023363360</v>
      </c>
      <c r="J108" s="29"/>
      <c r="K108" s="29"/>
      <c r="L108" s="29"/>
      <c r="M108" s="27" t="s">
        <v>2610</v>
      </c>
      <c r="N108" s="115">
        <v>45087</v>
      </c>
      <c r="O108" s="32"/>
      <c r="P108" s="32"/>
      <c r="Q108" s="32"/>
      <c r="R108" s="32"/>
      <c r="S108" s="32"/>
      <c r="T108" s="32"/>
      <c r="U108" s="32"/>
      <c r="V108" s="32"/>
      <c r="W108" s="32"/>
      <c r="X108" s="32"/>
      <c r="Y108" s="32"/>
      <c r="Z108" s="32"/>
      <c r="AA108" s="32" t="s">
        <v>4135</v>
      </c>
      <c r="AB108" s="115">
        <v>45087</v>
      </c>
      <c r="AC108" s="32"/>
      <c r="AD108" s="32"/>
      <c r="AE108" s="32"/>
      <c r="AF108" s="32"/>
      <c r="AG108" s="32"/>
      <c r="AH108" s="32"/>
    </row>
    <row r="109" spans="1:34" x14ac:dyDescent="0.2">
      <c r="A109" s="114">
        <v>45087</v>
      </c>
      <c r="B109" s="29" t="s">
        <v>4136</v>
      </c>
      <c r="C109" s="26"/>
      <c r="D109" s="29">
        <v>3023855955</v>
      </c>
      <c r="E109" s="26" t="s">
        <v>31</v>
      </c>
      <c r="F109" s="32"/>
      <c r="G109" s="29"/>
      <c r="H109" s="29"/>
      <c r="I109" s="29">
        <v>3205868911</v>
      </c>
      <c r="J109" s="29"/>
      <c r="K109" s="29"/>
      <c r="L109" s="29"/>
      <c r="M109" s="27" t="s">
        <v>2610</v>
      </c>
      <c r="N109" s="32"/>
      <c r="O109" s="32"/>
      <c r="P109" s="32"/>
      <c r="Q109" s="32"/>
      <c r="R109" s="32"/>
      <c r="S109" s="32"/>
      <c r="T109" s="32"/>
      <c r="U109" s="32"/>
      <c r="V109" s="32"/>
      <c r="W109" s="32"/>
      <c r="X109" s="32"/>
      <c r="Y109" s="32"/>
      <c r="Z109" s="32"/>
      <c r="AA109" s="32"/>
      <c r="AB109" s="32"/>
      <c r="AC109" s="32"/>
      <c r="AD109" s="32"/>
      <c r="AE109" s="32"/>
      <c r="AF109" s="32"/>
      <c r="AG109" s="32"/>
      <c r="AH109" s="32"/>
    </row>
    <row r="110" spans="1:34" x14ac:dyDescent="0.2">
      <c r="A110" s="29" t="s">
        <v>2949</v>
      </c>
      <c r="B110" s="29" t="s">
        <v>646</v>
      </c>
      <c r="C110" s="26"/>
      <c r="D110" s="29">
        <v>3215046669</v>
      </c>
      <c r="E110" s="26" t="s">
        <v>31</v>
      </c>
      <c r="F110" s="32"/>
      <c r="G110" s="29"/>
      <c r="H110" s="29" t="s">
        <v>647</v>
      </c>
      <c r="I110" s="29">
        <v>3222254045</v>
      </c>
      <c r="J110" s="29"/>
      <c r="K110" s="29"/>
      <c r="L110" s="29"/>
      <c r="M110" s="27" t="s">
        <v>2613</v>
      </c>
      <c r="N110" s="32"/>
      <c r="O110" s="32" t="s">
        <v>2841</v>
      </c>
      <c r="P110" s="32"/>
      <c r="Q110" s="32"/>
      <c r="R110" s="32"/>
      <c r="S110" s="32"/>
      <c r="T110" s="32"/>
      <c r="U110" s="32"/>
      <c r="V110" s="32"/>
      <c r="W110" s="32"/>
      <c r="X110" s="32"/>
      <c r="Y110" s="32"/>
      <c r="Z110" s="32" t="s">
        <v>649</v>
      </c>
      <c r="AA110" s="32" t="s">
        <v>3907</v>
      </c>
      <c r="AB110" s="115">
        <v>45087</v>
      </c>
      <c r="AC110" s="32"/>
      <c r="AD110" s="32"/>
      <c r="AE110" s="32"/>
      <c r="AF110" s="32"/>
      <c r="AG110" s="32"/>
      <c r="AH110" s="32"/>
    </row>
    <row r="111" spans="1:34" x14ac:dyDescent="0.2">
      <c r="A111" s="29" t="s">
        <v>3865</v>
      </c>
      <c r="B111" s="29" t="s">
        <v>4137</v>
      </c>
      <c r="C111" s="26"/>
      <c r="D111" s="29">
        <v>3008031045</v>
      </c>
      <c r="E111" s="26" t="s">
        <v>31</v>
      </c>
      <c r="F111" s="32"/>
      <c r="G111" s="29"/>
      <c r="H111" s="29" t="s">
        <v>4138</v>
      </c>
      <c r="I111" s="29"/>
      <c r="J111" s="29"/>
      <c r="K111" s="29"/>
      <c r="L111" s="29"/>
      <c r="M111" s="27" t="s">
        <v>2613</v>
      </c>
      <c r="N111" s="32"/>
      <c r="O111" s="32" t="s">
        <v>2841</v>
      </c>
      <c r="P111" s="32"/>
      <c r="Q111" s="32"/>
      <c r="R111" s="32"/>
      <c r="S111" s="32"/>
      <c r="T111" s="32"/>
      <c r="U111" s="32"/>
      <c r="V111" s="32"/>
      <c r="W111" s="32"/>
      <c r="X111" s="32"/>
      <c r="Y111" s="32"/>
      <c r="Z111" s="32"/>
      <c r="AA111" s="32"/>
      <c r="AB111" s="32"/>
      <c r="AC111" s="32"/>
      <c r="AD111" s="32"/>
      <c r="AE111" s="32"/>
      <c r="AF111" s="32"/>
      <c r="AG111" s="32"/>
      <c r="AH111" s="32"/>
    </row>
    <row r="112" spans="1:34" x14ac:dyDescent="0.2">
      <c r="A112" s="29" t="s">
        <v>3865</v>
      </c>
      <c r="B112" s="29" t="s">
        <v>4139</v>
      </c>
      <c r="C112" s="26"/>
      <c r="D112" s="29">
        <v>3146917732</v>
      </c>
      <c r="E112" s="26" t="s">
        <v>31</v>
      </c>
      <c r="F112" s="32"/>
      <c r="G112" s="29"/>
      <c r="H112" s="29"/>
      <c r="I112" s="29"/>
      <c r="J112" s="29"/>
      <c r="K112" s="29"/>
      <c r="L112" s="29"/>
      <c r="M112" s="27" t="s">
        <v>2613</v>
      </c>
      <c r="N112" s="32"/>
      <c r="O112" s="32" t="s">
        <v>2841</v>
      </c>
      <c r="P112" s="32"/>
      <c r="Q112" s="32"/>
      <c r="R112" s="32"/>
      <c r="S112" s="32"/>
      <c r="T112" s="32"/>
      <c r="U112" s="32"/>
      <c r="V112" s="32"/>
      <c r="W112" s="32"/>
      <c r="X112" s="32"/>
      <c r="Y112" s="32"/>
      <c r="Z112" s="32"/>
      <c r="AA112" s="32"/>
      <c r="AB112" s="32"/>
      <c r="AC112" s="32"/>
      <c r="AD112" s="32"/>
      <c r="AE112" s="32"/>
      <c r="AF112" s="32"/>
      <c r="AG112" s="32"/>
      <c r="AH112" s="32"/>
    </row>
    <row r="113" spans="1:34" x14ac:dyDescent="0.2">
      <c r="A113" s="114">
        <v>45087</v>
      </c>
      <c r="B113" s="29" t="s">
        <v>4140</v>
      </c>
      <c r="C113" s="26">
        <v>8411157</v>
      </c>
      <c r="D113" s="29">
        <v>3246351688</v>
      </c>
      <c r="E113" s="26" t="s">
        <v>31</v>
      </c>
      <c r="F113" s="32"/>
      <c r="G113" s="29"/>
      <c r="H113" s="29" t="s">
        <v>4141</v>
      </c>
      <c r="I113" s="29">
        <v>3002995129</v>
      </c>
      <c r="J113" s="29"/>
      <c r="K113" s="29"/>
      <c r="L113" s="29"/>
      <c r="M113" s="27" t="s">
        <v>2610</v>
      </c>
      <c r="N113" s="115">
        <v>45087</v>
      </c>
      <c r="O113" s="32" t="s">
        <v>2622</v>
      </c>
      <c r="P113" s="32"/>
      <c r="Q113" s="32"/>
      <c r="R113" s="32"/>
      <c r="S113" s="32"/>
      <c r="T113" s="32"/>
      <c r="U113" s="32"/>
      <c r="V113" s="32"/>
      <c r="W113" s="32"/>
      <c r="X113" s="32"/>
      <c r="Y113" s="32"/>
      <c r="Z113" s="32"/>
      <c r="AA113" s="32" t="s">
        <v>4142</v>
      </c>
      <c r="AB113" s="115">
        <v>45087</v>
      </c>
      <c r="AC113" s="32"/>
      <c r="AD113" s="32"/>
      <c r="AE113" s="32"/>
      <c r="AF113" s="32"/>
      <c r="AG113" s="32"/>
      <c r="AH113" s="32"/>
    </row>
    <row r="114" spans="1:34" x14ac:dyDescent="0.2">
      <c r="A114" s="29" t="s">
        <v>3865</v>
      </c>
      <c r="B114" s="29" t="s">
        <v>4143</v>
      </c>
      <c r="C114" s="26"/>
      <c r="D114" s="29">
        <v>3008031045</v>
      </c>
      <c r="E114" s="26" t="s">
        <v>31</v>
      </c>
      <c r="F114" s="32"/>
      <c r="G114" s="29"/>
      <c r="H114" s="29"/>
      <c r="I114" s="29">
        <v>3127434852</v>
      </c>
      <c r="J114" s="29"/>
      <c r="K114" s="29"/>
      <c r="L114" s="29"/>
      <c r="M114" s="27" t="s">
        <v>2613</v>
      </c>
      <c r="N114" s="32"/>
      <c r="O114" s="32" t="s">
        <v>2841</v>
      </c>
      <c r="P114" s="32"/>
      <c r="Q114" s="32"/>
      <c r="R114" s="32"/>
      <c r="S114" s="32"/>
      <c r="T114" s="32"/>
      <c r="U114" s="32"/>
      <c r="V114" s="32"/>
      <c r="W114" s="32"/>
      <c r="X114" s="32"/>
      <c r="Y114" s="32"/>
      <c r="Z114" s="32"/>
      <c r="AA114" s="32"/>
      <c r="AB114" s="32"/>
      <c r="AC114" s="32"/>
      <c r="AD114" s="32"/>
      <c r="AE114" s="32"/>
      <c r="AF114" s="32"/>
      <c r="AG114" s="32"/>
      <c r="AH114" s="32"/>
    </row>
    <row r="115" spans="1:34" x14ac:dyDescent="0.2">
      <c r="A115" s="29" t="s">
        <v>3865</v>
      </c>
      <c r="B115" s="29" t="s">
        <v>4144</v>
      </c>
      <c r="C115" s="26"/>
      <c r="D115" s="29">
        <v>3014096627</v>
      </c>
      <c r="E115" s="26" t="s">
        <v>31</v>
      </c>
      <c r="F115" s="32"/>
      <c r="G115" s="29"/>
      <c r="H115" s="29" t="s">
        <v>1319</v>
      </c>
      <c r="I115" s="29">
        <v>3017847288</v>
      </c>
      <c r="J115" s="29"/>
      <c r="K115" s="29"/>
      <c r="L115" s="29"/>
      <c r="M115" s="27" t="s">
        <v>2613</v>
      </c>
      <c r="N115" s="32"/>
      <c r="O115" s="32" t="s">
        <v>2841</v>
      </c>
      <c r="P115" s="32"/>
      <c r="Q115" s="32"/>
      <c r="R115" s="32"/>
      <c r="S115" s="32"/>
      <c r="T115" s="32"/>
      <c r="U115" s="32"/>
      <c r="V115" s="32"/>
      <c r="W115" s="32"/>
      <c r="X115" s="32"/>
      <c r="Y115" s="32"/>
      <c r="Z115" s="32" t="s">
        <v>4145</v>
      </c>
      <c r="AA115" s="32"/>
      <c r="AB115" s="32"/>
      <c r="AC115" s="32"/>
      <c r="AD115" s="32"/>
      <c r="AE115" s="32"/>
      <c r="AF115" s="32"/>
      <c r="AG115" s="32"/>
      <c r="AH115" s="32"/>
    </row>
    <row r="116" spans="1:34" x14ac:dyDescent="0.2">
      <c r="A116" s="114">
        <v>45087</v>
      </c>
      <c r="B116" s="29" t="s">
        <v>4146</v>
      </c>
      <c r="C116" s="26"/>
      <c r="D116" s="29"/>
      <c r="E116" s="26" t="s">
        <v>31</v>
      </c>
      <c r="F116" s="32"/>
      <c r="G116" s="29"/>
      <c r="H116" s="29" t="s">
        <v>4147</v>
      </c>
      <c r="I116" s="29">
        <v>3002293546</v>
      </c>
      <c r="J116" s="29"/>
      <c r="K116" s="29"/>
      <c r="L116" s="29"/>
      <c r="M116" s="27" t="s">
        <v>2613</v>
      </c>
      <c r="N116" s="32"/>
      <c r="O116" s="32" t="s">
        <v>2841</v>
      </c>
      <c r="P116" s="32"/>
      <c r="Q116" s="32"/>
      <c r="R116" s="32"/>
      <c r="S116" s="32"/>
      <c r="T116" s="32"/>
      <c r="U116" s="32"/>
      <c r="V116" s="32"/>
      <c r="W116" s="32"/>
      <c r="X116" s="32"/>
      <c r="Y116" s="32"/>
      <c r="Z116" s="32"/>
      <c r="AA116" s="32" t="s">
        <v>4148</v>
      </c>
      <c r="AB116" s="115">
        <v>45087</v>
      </c>
      <c r="AC116" s="32"/>
      <c r="AD116" s="32"/>
      <c r="AE116" s="32"/>
      <c r="AF116" s="32"/>
      <c r="AG116" s="32"/>
      <c r="AH116" s="32"/>
    </row>
    <row r="117" spans="1:34" x14ac:dyDescent="0.2">
      <c r="A117" s="114">
        <v>44787</v>
      </c>
      <c r="B117" s="29" t="s">
        <v>4149</v>
      </c>
      <c r="C117" s="26"/>
      <c r="D117" s="29">
        <v>3148383578</v>
      </c>
      <c r="E117" s="26" t="s">
        <v>31</v>
      </c>
      <c r="F117" s="32"/>
      <c r="G117" s="29"/>
      <c r="H117" s="29" t="s">
        <v>4150</v>
      </c>
      <c r="I117" s="29">
        <v>3148383578</v>
      </c>
      <c r="J117" s="29"/>
      <c r="K117" s="29"/>
      <c r="L117" s="29"/>
      <c r="M117" s="27" t="s">
        <v>2613</v>
      </c>
      <c r="N117" s="32"/>
      <c r="O117" s="32" t="s">
        <v>2841</v>
      </c>
      <c r="P117" s="32"/>
      <c r="Q117" s="32"/>
      <c r="R117" s="32"/>
      <c r="S117" s="32"/>
      <c r="T117" s="32"/>
      <c r="U117" s="32"/>
      <c r="V117" s="32"/>
      <c r="W117" s="32"/>
      <c r="X117" s="32"/>
      <c r="Y117" s="32"/>
      <c r="Z117" s="32" t="s">
        <v>4151</v>
      </c>
      <c r="AA117" s="32" t="s">
        <v>3907</v>
      </c>
      <c r="AB117" s="115">
        <v>45086</v>
      </c>
      <c r="AC117" s="32"/>
      <c r="AD117" s="32"/>
      <c r="AE117" s="32"/>
      <c r="AF117" s="32"/>
      <c r="AG117" s="32"/>
      <c r="AH117" s="32"/>
    </row>
    <row r="118" spans="1:34" x14ac:dyDescent="0.2">
      <c r="A118" s="114">
        <v>44773</v>
      </c>
      <c r="B118" s="29" t="s">
        <v>469</v>
      </c>
      <c r="C118" s="26"/>
      <c r="D118" s="29" t="s">
        <v>4152</v>
      </c>
      <c r="E118" s="26" t="s">
        <v>31</v>
      </c>
      <c r="F118" s="32"/>
      <c r="G118" s="29"/>
      <c r="H118" s="29" t="s">
        <v>470</v>
      </c>
      <c r="I118" s="29">
        <v>3126023501</v>
      </c>
      <c r="J118" s="29"/>
      <c r="K118" s="29"/>
      <c r="L118" s="29"/>
      <c r="M118" s="27" t="s">
        <v>2613</v>
      </c>
      <c r="N118" s="32"/>
      <c r="O118" s="32" t="s">
        <v>2841</v>
      </c>
      <c r="P118" s="32"/>
      <c r="Q118" s="32"/>
      <c r="R118" s="32"/>
      <c r="S118" s="32"/>
      <c r="T118" s="32"/>
      <c r="U118" s="32"/>
      <c r="V118" s="32"/>
      <c r="W118" s="32"/>
      <c r="X118" s="32"/>
      <c r="Y118" s="32"/>
      <c r="Z118" s="32"/>
      <c r="AA118" s="32" t="s">
        <v>4004</v>
      </c>
      <c r="AB118" s="115">
        <v>45086</v>
      </c>
      <c r="AC118" s="32"/>
      <c r="AD118" s="32"/>
      <c r="AE118" s="32"/>
      <c r="AF118" s="32"/>
      <c r="AG118" s="32"/>
      <c r="AH118" s="32"/>
    </row>
    <row r="119" spans="1:34" x14ac:dyDescent="0.2">
      <c r="A119" s="117">
        <v>45108</v>
      </c>
      <c r="B119" s="29" t="s">
        <v>4153</v>
      </c>
      <c r="C119" s="26">
        <v>5824089</v>
      </c>
      <c r="D119" s="29">
        <v>3146417171</v>
      </c>
      <c r="E119" s="26" t="s">
        <v>31</v>
      </c>
      <c r="F119" s="32"/>
      <c r="G119" s="29"/>
      <c r="H119" s="29" t="s">
        <v>4154</v>
      </c>
      <c r="I119" s="29">
        <v>3115207464</v>
      </c>
      <c r="J119" s="29"/>
      <c r="K119" s="29"/>
      <c r="L119" s="29"/>
      <c r="M119" s="27" t="s">
        <v>2644</v>
      </c>
      <c r="N119" s="116">
        <v>45108</v>
      </c>
      <c r="O119" s="32" t="s">
        <v>2622</v>
      </c>
      <c r="P119" s="32" t="s">
        <v>2646</v>
      </c>
      <c r="Q119" s="115">
        <v>45122</v>
      </c>
      <c r="R119" s="32"/>
      <c r="S119" s="32"/>
      <c r="T119" s="32"/>
      <c r="U119" s="32"/>
      <c r="V119" s="32"/>
      <c r="W119" s="32"/>
      <c r="X119" s="32"/>
      <c r="Y119" s="32"/>
      <c r="Z119" s="32"/>
      <c r="AA119" s="32"/>
      <c r="AB119" s="32"/>
      <c r="AC119" s="32"/>
      <c r="AD119" s="32"/>
      <c r="AE119" s="32"/>
      <c r="AF119" s="32"/>
      <c r="AG119" s="32"/>
      <c r="AH119" s="32"/>
    </row>
    <row r="120" spans="1:34" x14ac:dyDescent="0.2">
      <c r="A120" s="114">
        <v>45074</v>
      </c>
      <c r="B120" s="29" t="s">
        <v>4155</v>
      </c>
      <c r="C120" s="26">
        <v>8320881</v>
      </c>
      <c r="D120" s="29">
        <v>3148934808</v>
      </c>
      <c r="E120" s="26" t="s">
        <v>31</v>
      </c>
      <c r="F120" s="32"/>
      <c r="G120" s="29" t="s">
        <v>4156</v>
      </c>
      <c r="H120" s="29" t="s">
        <v>580</v>
      </c>
      <c r="I120" s="29">
        <v>3226284540</v>
      </c>
      <c r="J120" s="29"/>
      <c r="K120" s="29"/>
      <c r="L120" s="29"/>
      <c r="M120" s="27" t="s">
        <v>2610</v>
      </c>
      <c r="N120" s="116">
        <v>45108</v>
      </c>
      <c r="O120" s="32" t="s">
        <v>2838</v>
      </c>
      <c r="P120" s="32"/>
      <c r="Q120" s="32"/>
      <c r="R120" s="32"/>
      <c r="S120" s="32"/>
      <c r="T120" s="32"/>
      <c r="U120" s="32"/>
      <c r="V120" s="32"/>
      <c r="W120" s="32"/>
      <c r="X120" s="32"/>
      <c r="Y120" s="32"/>
      <c r="Z120" s="32" t="s">
        <v>4157</v>
      </c>
      <c r="AA120" s="32"/>
      <c r="AB120" s="32"/>
      <c r="AC120" s="32"/>
      <c r="AD120" s="32"/>
      <c r="AE120" s="32"/>
      <c r="AF120" s="32"/>
      <c r="AG120" s="32"/>
      <c r="AH120" s="32"/>
    </row>
    <row r="121" spans="1:34" x14ac:dyDescent="0.2">
      <c r="A121" s="117">
        <v>45108</v>
      </c>
      <c r="B121" s="29" t="s">
        <v>4158</v>
      </c>
      <c r="C121" s="26">
        <v>32144566</v>
      </c>
      <c r="D121" s="29">
        <v>3188000525</v>
      </c>
      <c r="E121" s="26" t="s">
        <v>31</v>
      </c>
      <c r="F121" s="32"/>
      <c r="G121" s="29" t="s">
        <v>4159</v>
      </c>
      <c r="H121" s="29" t="s">
        <v>3502</v>
      </c>
      <c r="I121" s="29">
        <v>3008031045</v>
      </c>
      <c r="J121" s="29"/>
      <c r="K121" s="29"/>
      <c r="L121" s="29"/>
      <c r="M121" s="27" t="s">
        <v>2610</v>
      </c>
      <c r="N121" s="116">
        <v>45108</v>
      </c>
      <c r="O121" s="32" t="s">
        <v>2838</v>
      </c>
      <c r="P121" s="32"/>
      <c r="Q121" s="32"/>
      <c r="R121" s="32"/>
      <c r="S121" s="32"/>
      <c r="T121" s="32"/>
      <c r="U121" s="32"/>
      <c r="V121" s="32"/>
      <c r="W121" s="32"/>
      <c r="X121" s="32"/>
      <c r="Y121" s="32"/>
      <c r="Z121" s="32" t="s">
        <v>4160</v>
      </c>
      <c r="AA121" s="32"/>
      <c r="AB121" s="32"/>
      <c r="AC121" s="32"/>
      <c r="AD121" s="32"/>
      <c r="AE121" s="32"/>
      <c r="AF121" s="32"/>
      <c r="AG121" s="32"/>
      <c r="AH121" s="32"/>
    </row>
    <row r="122" spans="1:34" x14ac:dyDescent="0.2">
      <c r="A122" s="117">
        <v>45108</v>
      </c>
      <c r="B122" s="29" t="s">
        <v>4161</v>
      </c>
      <c r="C122" s="26">
        <v>43149600</v>
      </c>
      <c r="D122" s="29">
        <v>3213465968</v>
      </c>
      <c r="E122" s="26" t="s">
        <v>31</v>
      </c>
      <c r="F122" s="32"/>
      <c r="G122" s="29"/>
      <c r="H122" s="29" t="s">
        <v>4162</v>
      </c>
      <c r="I122" s="29">
        <v>3005323190</v>
      </c>
      <c r="J122" s="29"/>
      <c r="K122" s="29"/>
      <c r="L122" s="29"/>
      <c r="M122" s="27" t="s">
        <v>2610</v>
      </c>
      <c r="N122" s="116">
        <v>45108</v>
      </c>
      <c r="O122" s="32" t="s">
        <v>2622</v>
      </c>
      <c r="P122" s="32"/>
      <c r="Q122" s="32"/>
      <c r="R122" s="32"/>
      <c r="S122" s="32"/>
      <c r="T122" s="32"/>
      <c r="U122" s="32"/>
      <c r="V122" s="32"/>
      <c r="W122" s="32"/>
      <c r="X122" s="32"/>
      <c r="Y122" s="32"/>
      <c r="Z122" s="32" t="s">
        <v>4163</v>
      </c>
      <c r="AA122" s="32"/>
      <c r="AB122" s="32"/>
      <c r="AC122" s="32"/>
      <c r="AD122" s="32"/>
      <c r="AE122" s="32"/>
      <c r="AF122" s="32"/>
      <c r="AG122" s="32"/>
      <c r="AH122" s="32"/>
    </row>
    <row r="123" spans="1:34" x14ac:dyDescent="0.2">
      <c r="A123" s="117">
        <v>45108</v>
      </c>
      <c r="B123" s="29" t="s">
        <v>4164</v>
      </c>
      <c r="C123" s="26">
        <v>3608539</v>
      </c>
      <c r="D123" s="29">
        <v>3205667543</v>
      </c>
      <c r="E123" s="26" t="s">
        <v>31</v>
      </c>
      <c r="F123" s="32"/>
      <c r="G123" s="29"/>
      <c r="H123" s="29" t="s">
        <v>4165</v>
      </c>
      <c r="I123" s="29">
        <v>3008031045</v>
      </c>
      <c r="J123" s="29"/>
      <c r="K123" s="29"/>
      <c r="L123" s="29"/>
      <c r="M123" s="27" t="s">
        <v>2610</v>
      </c>
      <c r="N123" s="116">
        <v>45108</v>
      </c>
      <c r="O123" s="32" t="s">
        <v>2622</v>
      </c>
      <c r="P123" s="32"/>
      <c r="Q123" s="32"/>
      <c r="R123" s="32"/>
      <c r="S123" s="32"/>
      <c r="T123" s="32"/>
      <c r="U123" s="32"/>
      <c r="V123" s="32"/>
      <c r="W123" s="32"/>
      <c r="X123" s="32"/>
      <c r="Y123" s="32"/>
      <c r="Z123" s="32" t="s">
        <v>4166</v>
      </c>
      <c r="AA123" s="32"/>
      <c r="AB123" s="32"/>
      <c r="AC123" s="32"/>
      <c r="AD123" s="32"/>
      <c r="AE123" s="32"/>
      <c r="AF123" s="32"/>
      <c r="AG123" s="32"/>
      <c r="AH123" s="32"/>
    </row>
    <row r="124" spans="1:34" x14ac:dyDescent="0.2">
      <c r="A124" s="117">
        <v>45108</v>
      </c>
      <c r="B124" s="29" t="s">
        <v>4167</v>
      </c>
      <c r="C124" s="26">
        <v>1214718626</v>
      </c>
      <c r="D124" s="29">
        <v>3212474448</v>
      </c>
      <c r="E124" s="26" t="s">
        <v>31</v>
      </c>
      <c r="F124" s="32"/>
      <c r="G124" s="29"/>
      <c r="H124" s="29" t="s">
        <v>4168</v>
      </c>
      <c r="I124" s="29">
        <v>3148070828</v>
      </c>
      <c r="J124" s="29"/>
      <c r="K124" s="29"/>
      <c r="L124" s="29"/>
      <c r="M124" s="27" t="s">
        <v>2610</v>
      </c>
      <c r="N124" s="116">
        <v>45108</v>
      </c>
      <c r="O124" s="32" t="s">
        <v>2848</v>
      </c>
      <c r="P124" s="32"/>
      <c r="Q124" s="32"/>
      <c r="R124" s="32"/>
      <c r="S124" s="32"/>
      <c r="T124" s="32"/>
      <c r="U124" s="32"/>
      <c r="V124" s="32"/>
      <c r="W124" s="32"/>
      <c r="X124" s="32"/>
      <c r="Y124" s="32"/>
      <c r="Z124" s="32" t="s">
        <v>4169</v>
      </c>
      <c r="AA124" s="32"/>
      <c r="AB124" s="32"/>
      <c r="AC124" s="32"/>
      <c r="AD124" s="32"/>
      <c r="AE124" s="32"/>
      <c r="AF124" s="32"/>
      <c r="AG124" s="32"/>
      <c r="AH124" s="32"/>
    </row>
    <row r="125" spans="1:34" x14ac:dyDescent="0.2">
      <c r="A125" s="29"/>
      <c r="B125" s="29" t="s">
        <v>4170</v>
      </c>
      <c r="C125" s="26"/>
      <c r="D125" s="29"/>
      <c r="E125" s="26" t="s">
        <v>31</v>
      </c>
      <c r="F125" s="32"/>
      <c r="G125" s="29"/>
      <c r="H125" s="29"/>
      <c r="I125" s="29"/>
      <c r="J125" s="29"/>
      <c r="K125" s="29"/>
      <c r="L125" s="29"/>
      <c r="M125" s="27" t="s">
        <v>2644</v>
      </c>
      <c r="N125" s="32"/>
      <c r="O125" s="32"/>
      <c r="P125" s="32" t="s">
        <v>2646</v>
      </c>
      <c r="Q125" s="115">
        <v>44492</v>
      </c>
      <c r="R125" s="32"/>
      <c r="S125" s="32"/>
      <c r="T125" s="32"/>
      <c r="U125" s="32"/>
      <c r="V125" s="32"/>
      <c r="W125" s="32"/>
      <c r="X125" s="32"/>
      <c r="Y125" s="32"/>
      <c r="Z125" s="32"/>
      <c r="AA125" s="32"/>
      <c r="AB125" s="32"/>
      <c r="AC125" s="32"/>
      <c r="AD125" s="32"/>
      <c r="AE125" s="32"/>
      <c r="AF125" s="32"/>
      <c r="AG125" s="32"/>
      <c r="AH125" s="32"/>
    </row>
    <row r="126" spans="1:34" x14ac:dyDescent="0.2">
      <c r="A126" s="29"/>
      <c r="B126" s="29" t="s">
        <v>4171</v>
      </c>
      <c r="C126" s="26"/>
      <c r="D126" s="29"/>
      <c r="E126" s="26" t="s">
        <v>31</v>
      </c>
      <c r="F126" s="32"/>
      <c r="G126" s="29"/>
      <c r="H126" s="29"/>
      <c r="I126" s="29"/>
      <c r="J126" s="29"/>
      <c r="K126" s="29"/>
      <c r="L126" s="29"/>
      <c r="M126" s="27" t="s">
        <v>2644</v>
      </c>
      <c r="N126" s="32"/>
      <c r="O126" s="32"/>
      <c r="P126" s="32" t="s">
        <v>2646</v>
      </c>
      <c r="Q126" s="115">
        <v>44611</v>
      </c>
      <c r="R126" s="32"/>
      <c r="S126" s="32"/>
      <c r="T126" s="32"/>
      <c r="U126" s="32"/>
      <c r="V126" s="32"/>
      <c r="W126" s="32"/>
      <c r="X126" s="32"/>
      <c r="Y126" s="32"/>
      <c r="Z126" s="32"/>
      <c r="AA126" s="32"/>
      <c r="AB126" s="32"/>
      <c r="AC126" s="32"/>
      <c r="AD126" s="32"/>
      <c r="AE126" s="32"/>
      <c r="AF126" s="32"/>
      <c r="AG126" s="32"/>
      <c r="AH126" s="32"/>
    </row>
    <row r="127" spans="1:34" x14ac:dyDescent="0.2">
      <c r="A127" s="29"/>
      <c r="B127" s="29" t="s">
        <v>4172</v>
      </c>
      <c r="C127" s="26"/>
      <c r="D127" s="29"/>
      <c r="E127" s="26" t="s">
        <v>31</v>
      </c>
      <c r="F127" s="32"/>
      <c r="G127" s="29"/>
      <c r="H127" s="29"/>
      <c r="I127" s="29"/>
      <c r="J127" s="29"/>
      <c r="K127" s="29"/>
      <c r="L127" s="29"/>
      <c r="M127" s="27" t="s">
        <v>2644</v>
      </c>
      <c r="N127" s="32"/>
      <c r="O127" s="32"/>
      <c r="P127" s="32" t="s">
        <v>2646</v>
      </c>
      <c r="Q127" s="115">
        <v>44611</v>
      </c>
      <c r="R127" s="32"/>
      <c r="S127" s="32"/>
      <c r="T127" s="32"/>
      <c r="U127" s="32"/>
      <c r="V127" s="32"/>
      <c r="W127" s="32"/>
      <c r="X127" s="32"/>
      <c r="Y127" s="32"/>
      <c r="Z127" s="32"/>
      <c r="AA127" s="32"/>
      <c r="AB127" s="32"/>
      <c r="AC127" s="32"/>
      <c r="AD127" s="32"/>
      <c r="AE127" s="32"/>
      <c r="AF127" s="32"/>
      <c r="AG127" s="32"/>
      <c r="AH127" s="32"/>
    </row>
    <row r="128" spans="1:34" x14ac:dyDescent="0.2">
      <c r="A128" s="29"/>
      <c r="B128" s="29" t="s">
        <v>4173</v>
      </c>
      <c r="C128" s="26"/>
      <c r="D128" s="29"/>
      <c r="E128" s="26" t="s">
        <v>31</v>
      </c>
      <c r="F128" s="32"/>
      <c r="G128" s="29"/>
      <c r="H128" s="29"/>
      <c r="I128" s="29"/>
      <c r="J128" s="29"/>
      <c r="K128" s="29"/>
      <c r="L128" s="29"/>
      <c r="M128" s="27" t="s">
        <v>2644</v>
      </c>
      <c r="N128" s="32"/>
      <c r="O128" s="32"/>
      <c r="P128" s="32" t="s">
        <v>2646</v>
      </c>
      <c r="Q128" s="115">
        <v>44666</v>
      </c>
      <c r="R128" s="32"/>
      <c r="S128" s="32"/>
      <c r="T128" s="32"/>
      <c r="U128" s="32"/>
      <c r="V128" s="32"/>
      <c r="W128" s="32"/>
      <c r="X128" s="32"/>
      <c r="Y128" s="32"/>
      <c r="Z128" s="32"/>
      <c r="AA128" s="32"/>
      <c r="AB128" s="32"/>
      <c r="AC128" s="32"/>
      <c r="AD128" s="32"/>
      <c r="AE128" s="32"/>
      <c r="AF128" s="32"/>
      <c r="AG128" s="32"/>
      <c r="AH128" s="32"/>
    </row>
    <row r="129" spans="1:34" x14ac:dyDescent="0.2">
      <c r="A129" s="29"/>
      <c r="B129" s="29" t="s">
        <v>4174</v>
      </c>
      <c r="C129" s="26"/>
      <c r="D129" s="29"/>
      <c r="E129" s="26" t="s">
        <v>31</v>
      </c>
      <c r="F129" s="32"/>
      <c r="G129" s="29"/>
      <c r="H129" s="29"/>
      <c r="I129" s="29"/>
      <c r="J129" s="29"/>
      <c r="K129" s="29"/>
      <c r="L129" s="29"/>
      <c r="M129" s="27" t="s">
        <v>2644</v>
      </c>
      <c r="N129" s="32"/>
      <c r="O129" s="32"/>
      <c r="P129" s="32" t="s">
        <v>2646</v>
      </c>
      <c r="Q129" s="115">
        <v>44492</v>
      </c>
      <c r="R129" s="32"/>
      <c r="S129" s="32"/>
      <c r="T129" s="32"/>
      <c r="U129" s="32"/>
      <c r="V129" s="32"/>
      <c r="W129" s="32"/>
      <c r="X129" s="32"/>
      <c r="Y129" s="32"/>
      <c r="Z129" s="32"/>
      <c r="AA129" s="32"/>
      <c r="AB129" s="32"/>
      <c r="AC129" s="32"/>
      <c r="AD129" s="32"/>
      <c r="AE129" s="32"/>
      <c r="AF129" s="32"/>
      <c r="AG129" s="32"/>
      <c r="AH129" s="32"/>
    </row>
    <row r="130" spans="1:34" x14ac:dyDescent="0.2">
      <c r="A130" s="29"/>
      <c r="B130" s="29" t="s">
        <v>4175</v>
      </c>
      <c r="C130" s="26"/>
      <c r="D130" s="29"/>
      <c r="E130" s="26" t="s">
        <v>31</v>
      </c>
      <c r="F130" s="32"/>
      <c r="G130" s="29"/>
      <c r="H130" s="29"/>
      <c r="I130" s="29"/>
      <c r="J130" s="29"/>
      <c r="K130" s="29"/>
      <c r="L130" s="29"/>
      <c r="M130" s="27" t="s">
        <v>2644</v>
      </c>
      <c r="N130" s="32"/>
      <c r="O130" s="32"/>
      <c r="P130" s="32" t="s">
        <v>2646</v>
      </c>
      <c r="Q130" s="116">
        <v>44744</v>
      </c>
      <c r="R130" s="32"/>
      <c r="S130" s="32"/>
      <c r="T130" s="32"/>
      <c r="U130" s="32"/>
      <c r="V130" s="32"/>
      <c r="W130" s="32"/>
      <c r="X130" s="32"/>
      <c r="Y130" s="32"/>
      <c r="Z130" s="32"/>
      <c r="AA130" s="32"/>
      <c r="AB130" s="32"/>
      <c r="AC130" s="32"/>
      <c r="AD130" s="32"/>
      <c r="AE130" s="32"/>
      <c r="AF130" s="32"/>
      <c r="AG130" s="32"/>
      <c r="AH130" s="32"/>
    </row>
    <row r="131" spans="1:34" x14ac:dyDescent="0.2">
      <c r="A131" s="29"/>
      <c r="B131" s="29" t="s">
        <v>4176</v>
      </c>
      <c r="C131" s="26"/>
      <c r="D131" s="29"/>
      <c r="E131" s="26" t="s">
        <v>31</v>
      </c>
      <c r="F131" s="32"/>
      <c r="G131" s="29"/>
      <c r="H131" s="29"/>
      <c r="I131" s="29"/>
      <c r="J131" s="29"/>
      <c r="K131" s="29"/>
      <c r="L131" s="29"/>
      <c r="M131" s="27" t="s">
        <v>2644</v>
      </c>
      <c r="N131" s="32"/>
      <c r="O131" s="32"/>
      <c r="P131" s="32" t="s">
        <v>2646</v>
      </c>
      <c r="Q131" s="115">
        <v>44611</v>
      </c>
      <c r="R131" s="32"/>
      <c r="S131" s="32"/>
      <c r="T131" s="32"/>
      <c r="U131" s="32"/>
      <c r="V131" s="32"/>
      <c r="W131" s="32"/>
      <c r="X131" s="32"/>
      <c r="Y131" s="32"/>
      <c r="Z131" s="32"/>
      <c r="AA131" s="32"/>
      <c r="AB131" s="32"/>
      <c r="AC131" s="32"/>
      <c r="AD131" s="32"/>
      <c r="AE131" s="32"/>
      <c r="AF131" s="32"/>
      <c r="AG131" s="32"/>
      <c r="AH131" s="32"/>
    </row>
    <row r="132" spans="1:34" x14ac:dyDescent="0.2">
      <c r="A132" s="29"/>
      <c r="B132" s="29" t="s">
        <v>4177</v>
      </c>
      <c r="C132" s="26"/>
      <c r="D132" s="29"/>
      <c r="E132" s="26" t="s">
        <v>31</v>
      </c>
      <c r="F132" s="32"/>
      <c r="G132" s="29"/>
      <c r="H132" s="29"/>
      <c r="I132" s="29"/>
      <c r="J132" s="29"/>
      <c r="K132" s="29"/>
      <c r="L132" s="29"/>
      <c r="M132" s="27" t="s">
        <v>2644</v>
      </c>
      <c r="N132" s="32"/>
      <c r="O132" s="32"/>
      <c r="P132" s="32" t="s">
        <v>2646</v>
      </c>
      <c r="Q132" s="115">
        <v>44492</v>
      </c>
      <c r="R132" s="32"/>
      <c r="S132" s="32"/>
      <c r="T132" s="32"/>
      <c r="U132" s="32"/>
      <c r="V132" s="32"/>
      <c r="W132" s="32"/>
      <c r="X132" s="32"/>
      <c r="Y132" s="32"/>
      <c r="Z132" s="32"/>
      <c r="AA132" s="32"/>
      <c r="AB132" s="32"/>
      <c r="AC132" s="32"/>
      <c r="AD132" s="32"/>
      <c r="AE132" s="32"/>
      <c r="AF132" s="32"/>
      <c r="AG132" s="32"/>
      <c r="AH132" s="32"/>
    </row>
    <row r="133" spans="1:34" x14ac:dyDescent="0.2">
      <c r="A133" s="29"/>
      <c r="B133" s="29" t="s">
        <v>4178</v>
      </c>
      <c r="C133" s="26">
        <v>39421044</v>
      </c>
      <c r="D133" s="29"/>
      <c r="E133" s="26" t="s">
        <v>31</v>
      </c>
      <c r="F133" s="32"/>
      <c r="G133" s="29"/>
      <c r="H133" s="29"/>
      <c r="I133" s="29"/>
      <c r="J133" s="29"/>
      <c r="K133" s="29"/>
      <c r="L133" s="29"/>
      <c r="M133" s="27" t="s">
        <v>2644</v>
      </c>
      <c r="N133" s="32"/>
      <c r="O133" s="32"/>
      <c r="P133" s="32" t="s">
        <v>2646</v>
      </c>
      <c r="Q133" s="115">
        <v>44877</v>
      </c>
      <c r="R133" s="32"/>
      <c r="S133" s="32"/>
      <c r="T133" s="32"/>
      <c r="U133" s="32"/>
      <c r="V133" s="32"/>
      <c r="W133" s="32"/>
      <c r="X133" s="32"/>
      <c r="Y133" s="32"/>
      <c r="Z133" s="32"/>
      <c r="AA133" s="32"/>
      <c r="AB133" s="32"/>
      <c r="AC133" s="32"/>
      <c r="AD133" s="32"/>
      <c r="AE133" s="32"/>
      <c r="AF133" s="32"/>
      <c r="AG133" s="32"/>
      <c r="AH133" s="32"/>
    </row>
    <row r="134" spans="1:34" x14ac:dyDescent="0.2">
      <c r="A134" s="29"/>
      <c r="B134" s="29" t="s">
        <v>4179</v>
      </c>
      <c r="C134" s="26"/>
      <c r="D134" s="29"/>
      <c r="E134" s="26" t="s">
        <v>31</v>
      </c>
      <c r="F134" s="32"/>
      <c r="G134" s="29"/>
      <c r="H134" s="29"/>
      <c r="I134" s="29"/>
      <c r="J134" s="29"/>
      <c r="K134" s="29"/>
      <c r="L134" s="29"/>
      <c r="M134" s="27" t="s">
        <v>2644</v>
      </c>
      <c r="N134" s="32"/>
      <c r="O134" s="32"/>
      <c r="P134" s="32" t="s">
        <v>2646</v>
      </c>
      <c r="Q134" s="115">
        <v>44579</v>
      </c>
      <c r="R134" s="32"/>
      <c r="S134" s="32"/>
      <c r="T134" s="32"/>
      <c r="U134" s="32"/>
      <c r="V134" s="32"/>
      <c r="W134" s="32"/>
      <c r="X134" s="32"/>
      <c r="Y134" s="32"/>
      <c r="Z134" s="32"/>
      <c r="AA134" s="32"/>
      <c r="AB134" s="32"/>
      <c r="AC134" s="32"/>
      <c r="AD134" s="32"/>
      <c r="AE134" s="32"/>
      <c r="AF134" s="32"/>
      <c r="AG134" s="32"/>
      <c r="AH134" s="32"/>
    </row>
    <row r="135" spans="1:34" x14ac:dyDescent="0.2">
      <c r="A135" s="29"/>
      <c r="B135" s="29" t="s">
        <v>4180</v>
      </c>
      <c r="C135" s="26"/>
      <c r="D135" s="29"/>
      <c r="E135" s="26" t="s">
        <v>31</v>
      </c>
      <c r="F135" s="32"/>
      <c r="G135" s="29"/>
      <c r="H135" s="29"/>
      <c r="I135" s="29"/>
      <c r="J135" s="29"/>
      <c r="K135" s="29"/>
      <c r="L135" s="29"/>
      <c r="M135" s="27" t="s">
        <v>2644</v>
      </c>
      <c r="N135" s="32"/>
      <c r="O135" s="32"/>
      <c r="P135" s="32" t="s">
        <v>2646</v>
      </c>
      <c r="Q135" s="115">
        <v>44611</v>
      </c>
      <c r="R135" s="32"/>
      <c r="S135" s="32"/>
      <c r="T135" s="32"/>
      <c r="U135" s="32"/>
      <c r="V135" s="32"/>
      <c r="W135" s="32"/>
      <c r="X135" s="32"/>
      <c r="Y135" s="32"/>
      <c r="Z135" s="32"/>
      <c r="AA135" s="32"/>
      <c r="AB135" s="32"/>
      <c r="AC135" s="32"/>
      <c r="AD135" s="32"/>
      <c r="AE135" s="32"/>
      <c r="AF135" s="32"/>
      <c r="AG135" s="32"/>
      <c r="AH135" s="32"/>
    </row>
    <row r="136" spans="1:34" x14ac:dyDescent="0.2">
      <c r="A136" s="29"/>
      <c r="B136" s="29" t="s">
        <v>4181</v>
      </c>
      <c r="C136" s="26"/>
      <c r="D136" s="29"/>
      <c r="E136" s="26" t="s">
        <v>31</v>
      </c>
      <c r="F136" s="32"/>
      <c r="G136" s="29"/>
      <c r="H136" s="29"/>
      <c r="I136" s="29"/>
      <c r="J136" s="29"/>
      <c r="K136" s="29"/>
      <c r="L136" s="29"/>
      <c r="M136" s="27" t="s">
        <v>2644</v>
      </c>
      <c r="N136" s="32"/>
      <c r="O136" s="32"/>
      <c r="P136" s="32" t="s">
        <v>2646</v>
      </c>
      <c r="Q136" s="115">
        <v>44666</v>
      </c>
      <c r="R136" s="32"/>
      <c r="S136" s="32"/>
      <c r="T136" s="32"/>
      <c r="U136" s="32"/>
      <c r="V136" s="32"/>
      <c r="W136" s="32"/>
      <c r="X136" s="32"/>
      <c r="Y136" s="32"/>
      <c r="Z136" s="32"/>
      <c r="AA136" s="32"/>
      <c r="AB136" s="32"/>
      <c r="AC136" s="32"/>
      <c r="AD136" s="32"/>
      <c r="AE136" s="32"/>
      <c r="AF136" s="32"/>
      <c r="AG136" s="32"/>
      <c r="AH136" s="32"/>
    </row>
    <row r="137" spans="1:34" x14ac:dyDescent="0.2">
      <c r="A137" s="29"/>
      <c r="B137" s="29" t="s">
        <v>4182</v>
      </c>
      <c r="C137" s="26"/>
      <c r="D137" s="29"/>
      <c r="E137" s="26" t="s">
        <v>31</v>
      </c>
      <c r="F137" s="32"/>
      <c r="G137" s="29"/>
      <c r="H137" s="29"/>
      <c r="I137" s="29"/>
      <c r="J137" s="29"/>
      <c r="K137" s="29"/>
      <c r="L137" s="29"/>
      <c r="M137" s="27" t="s">
        <v>2644</v>
      </c>
      <c r="N137" s="32"/>
      <c r="O137" s="32"/>
      <c r="P137" s="32" t="s">
        <v>2646</v>
      </c>
      <c r="Q137" s="115">
        <v>44666</v>
      </c>
      <c r="R137" s="32"/>
      <c r="S137" s="32"/>
      <c r="T137" s="32"/>
      <c r="U137" s="32"/>
      <c r="V137" s="32"/>
      <c r="W137" s="32"/>
      <c r="X137" s="32"/>
      <c r="Y137" s="32"/>
      <c r="Z137" s="32"/>
      <c r="AA137" s="32"/>
      <c r="AB137" s="32"/>
      <c r="AC137" s="32"/>
      <c r="AD137" s="32"/>
      <c r="AE137" s="32"/>
      <c r="AF137" s="32"/>
      <c r="AG137" s="32"/>
      <c r="AH137" s="32"/>
    </row>
    <row r="138" spans="1:34" x14ac:dyDescent="0.2">
      <c r="A138" s="29" t="s">
        <v>3865</v>
      </c>
      <c r="B138" s="29" t="s">
        <v>1323</v>
      </c>
      <c r="C138" s="26"/>
      <c r="D138" s="29">
        <v>3015710434</v>
      </c>
      <c r="E138" s="26" t="s">
        <v>31</v>
      </c>
      <c r="F138" s="32"/>
      <c r="G138" s="29"/>
      <c r="H138" s="29" t="s">
        <v>1324</v>
      </c>
      <c r="I138" s="29">
        <v>3106237233</v>
      </c>
      <c r="J138" s="29"/>
      <c r="K138" s="29"/>
      <c r="L138" s="29"/>
      <c r="M138" s="27" t="s">
        <v>2613</v>
      </c>
      <c r="N138" s="32"/>
      <c r="O138" s="32" t="s">
        <v>2841</v>
      </c>
      <c r="P138" s="32"/>
      <c r="Q138" s="32"/>
      <c r="R138" s="32"/>
      <c r="S138" s="32"/>
      <c r="T138" s="32"/>
      <c r="U138" s="32"/>
      <c r="V138" s="32"/>
      <c r="W138" s="32"/>
      <c r="X138" s="32"/>
      <c r="Y138" s="32"/>
      <c r="Z138" s="32" t="s">
        <v>1327</v>
      </c>
      <c r="AA138" s="32"/>
      <c r="AB138" s="32"/>
      <c r="AC138" s="32"/>
      <c r="AD138" s="32"/>
      <c r="AE138" s="32"/>
      <c r="AF138" s="32"/>
      <c r="AG138" s="32"/>
      <c r="AH138" s="32"/>
    </row>
    <row r="139" spans="1:34" x14ac:dyDescent="0.2">
      <c r="A139" s="117">
        <v>44843</v>
      </c>
      <c r="B139" s="29" t="s">
        <v>689</v>
      </c>
      <c r="C139" s="26"/>
      <c r="D139" s="29">
        <v>3013839099</v>
      </c>
      <c r="E139" s="26" t="s">
        <v>31</v>
      </c>
      <c r="F139" s="32"/>
      <c r="G139" s="29"/>
      <c r="H139" s="29" t="s">
        <v>690</v>
      </c>
      <c r="I139" s="29">
        <v>3242884834</v>
      </c>
      <c r="J139" s="29"/>
      <c r="K139" s="29"/>
      <c r="L139" s="29"/>
      <c r="M139" s="27" t="s">
        <v>2613</v>
      </c>
      <c r="N139" s="32"/>
      <c r="O139" s="32" t="s">
        <v>2841</v>
      </c>
      <c r="P139" s="32"/>
      <c r="Q139" s="32"/>
      <c r="R139" s="32"/>
      <c r="S139" s="32"/>
      <c r="T139" s="32"/>
      <c r="U139" s="32"/>
      <c r="V139" s="32"/>
      <c r="W139" s="32"/>
      <c r="X139" s="32"/>
      <c r="Y139" s="32"/>
      <c r="Z139" s="32"/>
      <c r="AA139" s="32"/>
      <c r="AB139" s="32"/>
      <c r="AC139" s="32"/>
      <c r="AD139" s="32"/>
      <c r="AE139" s="32"/>
      <c r="AF139" s="32"/>
      <c r="AG139" s="32"/>
      <c r="AH139" s="32"/>
    </row>
    <row r="140" spans="1:34" x14ac:dyDescent="0.2">
      <c r="A140" s="114">
        <v>44668</v>
      </c>
      <c r="B140" s="29" t="s">
        <v>42</v>
      </c>
      <c r="C140" s="26"/>
      <c r="D140" s="29">
        <v>3238078844</v>
      </c>
      <c r="E140" s="26" t="s">
        <v>31</v>
      </c>
      <c r="F140" s="32"/>
      <c r="G140" s="29"/>
      <c r="H140" s="29" t="s">
        <v>43</v>
      </c>
      <c r="I140" s="29">
        <v>3108445468</v>
      </c>
      <c r="J140" s="29"/>
      <c r="K140" s="29"/>
      <c r="L140" s="29"/>
      <c r="M140" s="27" t="s">
        <v>2613</v>
      </c>
      <c r="N140" s="32"/>
      <c r="O140" s="32" t="s">
        <v>2841</v>
      </c>
      <c r="P140" s="32"/>
      <c r="Q140" s="32"/>
      <c r="R140" s="32"/>
      <c r="S140" s="32"/>
      <c r="T140" s="32"/>
      <c r="U140" s="32"/>
      <c r="V140" s="32"/>
      <c r="W140" s="32"/>
      <c r="X140" s="32"/>
      <c r="Y140" s="32"/>
      <c r="Z140" s="32" t="s">
        <v>48</v>
      </c>
      <c r="AA140" s="32" t="s">
        <v>4183</v>
      </c>
      <c r="AB140" s="115">
        <v>44707</v>
      </c>
      <c r="AC140" s="32"/>
      <c r="AD140" s="32"/>
      <c r="AE140" s="32"/>
      <c r="AF140" s="32"/>
      <c r="AG140" s="32"/>
      <c r="AH140" s="32"/>
    </row>
    <row r="141" spans="1:34" x14ac:dyDescent="0.2">
      <c r="A141" s="114">
        <v>45061</v>
      </c>
      <c r="B141" s="29" t="s">
        <v>4184</v>
      </c>
      <c r="C141" s="26">
        <v>21970181</v>
      </c>
      <c r="D141" s="29">
        <v>3147746287</v>
      </c>
      <c r="E141" s="26" t="s">
        <v>31</v>
      </c>
      <c r="F141" s="32"/>
      <c r="G141" s="29"/>
      <c r="H141" s="29"/>
      <c r="I141" s="29"/>
      <c r="J141" s="29"/>
      <c r="K141" s="29"/>
      <c r="L141" s="29"/>
      <c r="M141" s="27" t="s">
        <v>2613</v>
      </c>
      <c r="N141" s="32"/>
      <c r="O141" s="32" t="s">
        <v>2841</v>
      </c>
      <c r="P141" s="32"/>
      <c r="Q141" s="32"/>
      <c r="R141" s="32"/>
      <c r="S141" s="32"/>
      <c r="T141" s="32"/>
      <c r="U141" s="32"/>
      <c r="V141" s="32"/>
      <c r="W141" s="32"/>
      <c r="X141" s="32"/>
      <c r="Y141" s="32"/>
      <c r="Z141" s="32"/>
      <c r="AA141" s="32"/>
      <c r="AB141" s="32"/>
      <c r="AC141" s="32"/>
      <c r="AD141" s="32"/>
      <c r="AE141" s="32"/>
      <c r="AF141" s="32"/>
      <c r="AG141" s="32"/>
      <c r="AH141" s="32"/>
    </row>
    <row r="142" spans="1:34" x14ac:dyDescent="0.2">
      <c r="A142" s="29" t="s">
        <v>3865</v>
      </c>
      <c r="B142" s="29" t="s">
        <v>1268</v>
      </c>
      <c r="C142" s="26"/>
      <c r="D142" s="29">
        <v>3135534268</v>
      </c>
      <c r="E142" s="26" t="s">
        <v>31</v>
      </c>
      <c r="F142" s="32"/>
      <c r="G142" s="29"/>
      <c r="H142" s="29" t="s">
        <v>1269</v>
      </c>
      <c r="I142" s="29">
        <v>3194795701</v>
      </c>
      <c r="J142" s="29"/>
      <c r="K142" s="29"/>
      <c r="L142" s="29"/>
      <c r="M142" s="27" t="s">
        <v>2613</v>
      </c>
      <c r="N142" s="32"/>
      <c r="O142" s="32" t="s">
        <v>2841</v>
      </c>
      <c r="P142" s="32"/>
      <c r="Q142" s="32"/>
      <c r="R142" s="32"/>
      <c r="S142" s="32"/>
      <c r="T142" s="32"/>
      <c r="U142" s="32"/>
      <c r="V142" s="32"/>
      <c r="W142" s="32"/>
      <c r="X142" s="32"/>
      <c r="Y142" s="32"/>
      <c r="Z142" s="32"/>
      <c r="AA142" s="32"/>
      <c r="AB142" s="32"/>
      <c r="AC142" s="32"/>
      <c r="AD142" s="32"/>
      <c r="AE142" s="32"/>
      <c r="AF142" s="32"/>
      <c r="AG142" s="32"/>
      <c r="AH142" s="32"/>
    </row>
    <row r="143" spans="1:34" x14ac:dyDescent="0.2">
      <c r="A143" s="117">
        <v>44843</v>
      </c>
      <c r="B143" s="29" t="s">
        <v>4185</v>
      </c>
      <c r="C143" s="26"/>
      <c r="D143" s="29">
        <v>3005688113</v>
      </c>
      <c r="E143" s="26" t="s">
        <v>31</v>
      </c>
      <c r="F143" s="32"/>
      <c r="G143" s="29"/>
      <c r="H143" s="29" t="s">
        <v>4186</v>
      </c>
      <c r="I143" s="29">
        <v>3188000525</v>
      </c>
      <c r="J143" s="29"/>
      <c r="K143" s="29"/>
      <c r="L143" s="29"/>
      <c r="M143" s="27" t="s">
        <v>2613</v>
      </c>
      <c r="N143" s="32"/>
      <c r="O143" s="32" t="s">
        <v>2841</v>
      </c>
      <c r="P143" s="32"/>
      <c r="Q143" s="32"/>
      <c r="R143" s="32"/>
      <c r="S143" s="32"/>
      <c r="T143" s="32"/>
      <c r="U143" s="32"/>
      <c r="V143" s="32"/>
      <c r="W143" s="32"/>
      <c r="X143" s="32"/>
      <c r="Y143" s="32"/>
      <c r="Z143" s="32" t="s">
        <v>4187</v>
      </c>
      <c r="AA143" s="32"/>
      <c r="AB143" s="32" t="s">
        <v>1241</v>
      </c>
      <c r="AC143" s="32"/>
      <c r="AD143" s="32"/>
      <c r="AE143" s="32"/>
      <c r="AF143" s="32"/>
      <c r="AG143" s="32"/>
      <c r="AH143" s="32"/>
    </row>
    <row r="144" spans="1:34" x14ac:dyDescent="0.2">
      <c r="A144" s="117">
        <v>44717</v>
      </c>
      <c r="B144" s="29" t="s">
        <v>333</v>
      </c>
      <c r="C144" s="26"/>
      <c r="D144" s="29">
        <v>3008521058</v>
      </c>
      <c r="E144" s="26" t="s">
        <v>31</v>
      </c>
      <c r="F144" s="32"/>
      <c r="G144" s="29"/>
      <c r="H144" s="29" t="s">
        <v>334</v>
      </c>
      <c r="I144" s="29">
        <v>3002315490</v>
      </c>
      <c r="J144" s="29"/>
      <c r="K144" s="29"/>
      <c r="L144" s="29"/>
      <c r="M144" s="27" t="s">
        <v>2613</v>
      </c>
      <c r="N144" s="32"/>
      <c r="O144" s="32" t="s">
        <v>2841</v>
      </c>
      <c r="P144" s="32"/>
      <c r="Q144" s="32"/>
      <c r="R144" s="32"/>
      <c r="S144" s="32"/>
      <c r="T144" s="32"/>
      <c r="U144" s="32"/>
      <c r="V144" s="32"/>
      <c r="W144" s="32"/>
      <c r="X144" s="32"/>
      <c r="Y144" s="32"/>
      <c r="Z144" s="32" t="s">
        <v>4188</v>
      </c>
      <c r="AA144" s="32" t="s">
        <v>4004</v>
      </c>
      <c r="AB144" s="115">
        <v>45072</v>
      </c>
      <c r="AC144" s="32"/>
      <c r="AD144" s="32"/>
      <c r="AE144" s="32"/>
      <c r="AF144" s="32"/>
      <c r="AG144" s="32"/>
      <c r="AH144" s="32"/>
    </row>
    <row r="145" spans="1:34" x14ac:dyDescent="0.2">
      <c r="A145" s="114">
        <v>44757</v>
      </c>
      <c r="B145" s="29" t="s">
        <v>4189</v>
      </c>
      <c r="C145" s="26"/>
      <c r="D145" s="29">
        <v>3016617420</v>
      </c>
      <c r="E145" s="26" t="s">
        <v>31</v>
      </c>
      <c r="F145" s="32"/>
      <c r="G145" s="29"/>
      <c r="H145" s="29"/>
      <c r="I145" s="29"/>
      <c r="J145" s="29"/>
      <c r="K145" s="29"/>
      <c r="L145" s="29"/>
      <c r="M145" s="27" t="s">
        <v>2613</v>
      </c>
      <c r="N145" s="32"/>
      <c r="O145" s="32" t="s">
        <v>2841</v>
      </c>
      <c r="P145" s="32"/>
      <c r="Q145" s="32"/>
      <c r="R145" s="32"/>
      <c r="S145" s="32"/>
      <c r="T145" s="32"/>
      <c r="U145" s="32"/>
      <c r="V145" s="32"/>
      <c r="W145" s="32"/>
      <c r="X145" s="32"/>
      <c r="Y145" s="32"/>
      <c r="Z145" s="32" t="s">
        <v>430</v>
      </c>
      <c r="AA145" s="32" t="s">
        <v>3883</v>
      </c>
      <c r="AB145" s="115">
        <v>45086</v>
      </c>
      <c r="AC145" s="32"/>
      <c r="AD145" s="32"/>
      <c r="AE145" s="32"/>
      <c r="AF145" s="32"/>
      <c r="AG145" s="32"/>
      <c r="AH145" s="32"/>
    </row>
    <row r="146" spans="1:34" x14ac:dyDescent="0.2">
      <c r="A146" s="29" t="s">
        <v>3865</v>
      </c>
      <c r="B146" s="29" t="s">
        <v>1282</v>
      </c>
      <c r="C146" s="26"/>
      <c r="D146" s="29">
        <v>3002411706</v>
      </c>
      <c r="E146" s="26" t="s">
        <v>31</v>
      </c>
      <c r="F146" s="32"/>
      <c r="G146" s="29"/>
      <c r="H146" s="29" t="s">
        <v>1283</v>
      </c>
      <c r="I146" s="29">
        <v>3023161355</v>
      </c>
      <c r="J146" s="29"/>
      <c r="K146" s="29"/>
      <c r="L146" s="29"/>
      <c r="M146" s="27" t="s">
        <v>2613</v>
      </c>
      <c r="N146" s="32"/>
      <c r="O146" s="32" t="s">
        <v>2841</v>
      </c>
      <c r="P146" s="32"/>
      <c r="Q146" s="32"/>
      <c r="R146" s="32"/>
      <c r="S146" s="32"/>
      <c r="T146" s="32"/>
      <c r="U146" s="32"/>
      <c r="V146" s="32"/>
      <c r="W146" s="32"/>
      <c r="X146" s="32"/>
      <c r="Y146" s="32"/>
      <c r="Z146" s="32" t="s">
        <v>1286</v>
      </c>
      <c r="AA146" s="32"/>
      <c r="AB146" s="32"/>
      <c r="AC146" s="32"/>
      <c r="AD146" s="32"/>
      <c r="AE146" s="32"/>
      <c r="AF146" s="32"/>
      <c r="AG146" s="32"/>
      <c r="AH146" s="32"/>
    </row>
    <row r="147" spans="1:34" x14ac:dyDescent="0.2">
      <c r="A147" s="114">
        <v>45151</v>
      </c>
      <c r="B147" s="29" t="s">
        <v>4190</v>
      </c>
      <c r="C147" s="26"/>
      <c r="D147" s="29"/>
      <c r="E147" s="26" t="s">
        <v>31</v>
      </c>
      <c r="F147" s="32"/>
      <c r="G147" s="29"/>
      <c r="H147" s="29"/>
      <c r="I147" s="29"/>
      <c r="J147" s="29"/>
      <c r="K147" s="29"/>
      <c r="L147" s="29"/>
      <c r="M147" s="27" t="s">
        <v>2613</v>
      </c>
      <c r="N147" s="32"/>
      <c r="O147" s="32" t="s">
        <v>2841</v>
      </c>
      <c r="P147" s="32"/>
      <c r="Q147" s="32"/>
      <c r="R147" s="32"/>
      <c r="S147" s="32"/>
      <c r="T147" s="32"/>
      <c r="U147" s="32"/>
      <c r="V147" s="32"/>
      <c r="W147" s="32"/>
      <c r="X147" s="32"/>
      <c r="Y147" s="32"/>
      <c r="Z147" s="32"/>
      <c r="AA147" s="32"/>
      <c r="AB147" s="32"/>
      <c r="AC147" s="32"/>
      <c r="AD147" s="32"/>
      <c r="AE147" s="32"/>
      <c r="AF147" s="32"/>
      <c r="AG147" s="32"/>
      <c r="AH147" s="32"/>
    </row>
    <row r="148" spans="1:34" x14ac:dyDescent="0.2">
      <c r="A148" s="114">
        <v>45094</v>
      </c>
      <c r="B148" s="29" t="s">
        <v>815</v>
      </c>
      <c r="C148" s="26"/>
      <c r="D148" s="29">
        <v>3146417171</v>
      </c>
      <c r="E148" s="26" t="s">
        <v>31</v>
      </c>
      <c r="F148" s="32"/>
      <c r="G148" s="29"/>
      <c r="H148" s="29" t="s">
        <v>4191</v>
      </c>
      <c r="I148" s="29">
        <v>3115207464</v>
      </c>
      <c r="J148" s="29"/>
      <c r="K148" s="29"/>
      <c r="L148" s="29"/>
      <c r="M148" s="27" t="s">
        <v>2613</v>
      </c>
      <c r="N148" s="32"/>
      <c r="O148" s="32" t="s">
        <v>2841</v>
      </c>
      <c r="P148" s="32"/>
      <c r="Q148" s="32"/>
      <c r="R148" s="32"/>
      <c r="S148" s="32"/>
      <c r="T148" s="32"/>
      <c r="U148" s="32"/>
      <c r="V148" s="32"/>
      <c r="W148" s="32"/>
      <c r="X148" s="32"/>
      <c r="Y148" s="32"/>
      <c r="Z148" s="32" t="s">
        <v>4192</v>
      </c>
      <c r="AA148" s="32"/>
      <c r="AB148" s="32"/>
      <c r="AC148" s="32"/>
      <c r="AD148" s="32"/>
      <c r="AE148" s="32"/>
      <c r="AF148" s="32"/>
      <c r="AG148" s="32"/>
      <c r="AH148" s="32"/>
    </row>
    <row r="149" spans="1:34" x14ac:dyDescent="0.2">
      <c r="A149" s="117">
        <v>44717</v>
      </c>
      <c r="B149" s="29" t="s">
        <v>348</v>
      </c>
      <c r="C149" s="26"/>
      <c r="D149" s="29">
        <v>3003261366</v>
      </c>
      <c r="E149" s="26" t="s">
        <v>31</v>
      </c>
      <c r="F149" s="32"/>
      <c r="G149" s="29" t="s">
        <v>4193</v>
      </c>
      <c r="H149" s="29" t="s">
        <v>349</v>
      </c>
      <c r="I149" s="29">
        <v>3122839426</v>
      </c>
      <c r="J149" s="29"/>
      <c r="K149" s="29"/>
      <c r="L149" s="29"/>
      <c r="M149" s="27" t="s">
        <v>2613</v>
      </c>
      <c r="N149" s="32"/>
      <c r="O149" s="32" t="s">
        <v>2841</v>
      </c>
      <c r="P149" s="32"/>
      <c r="Q149" s="32"/>
      <c r="R149" s="32"/>
      <c r="S149" s="32"/>
      <c r="T149" s="32"/>
      <c r="U149" s="32"/>
      <c r="V149" s="32"/>
      <c r="W149" s="32"/>
      <c r="X149" s="32"/>
      <c r="Y149" s="32"/>
      <c r="Z149" s="32" t="s">
        <v>4194</v>
      </c>
      <c r="AA149" s="32" t="s">
        <v>4125</v>
      </c>
      <c r="AB149" s="115">
        <v>45072</v>
      </c>
      <c r="AC149" s="32" t="s">
        <v>4195</v>
      </c>
      <c r="AD149" s="118">
        <v>45208</v>
      </c>
      <c r="AE149" s="32" t="s">
        <v>4195</v>
      </c>
      <c r="AF149" s="120">
        <v>45179</v>
      </c>
      <c r="AG149" s="32" t="s">
        <v>3969</v>
      </c>
      <c r="AH149" s="32"/>
    </row>
    <row r="150" spans="1:34" x14ac:dyDescent="0.2">
      <c r="A150" s="114">
        <v>45032</v>
      </c>
      <c r="B150" s="29" t="s">
        <v>4196</v>
      </c>
      <c r="C150" s="26"/>
      <c r="D150" s="29">
        <v>3243192103</v>
      </c>
      <c r="E150" s="26" t="s">
        <v>31</v>
      </c>
      <c r="F150" s="32"/>
      <c r="G150" s="29"/>
      <c r="H150" s="29"/>
      <c r="I150" s="29"/>
      <c r="J150" s="29"/>
      <c r="K150" s="29"/>
      <c r="L150" s="29"/>
      <c r="M150" s="27" t="s">
        <v>2613</v>
      </c>
      <c r="N150" s="32"/>
      <c r="O150" s="32" t="s">
        <v>2841</v>
      </c>
      <c r="P150" s="32"/>
      <c r="Q150" s="32"/>
      <c r="R150" s="32"/>
      <c r="S150" s="32"/>
      <c r="T150" s="32"/>
      <c r="U150" s="32"/>
      <c r="V150" s="32"/>
      <c r="W150" s="32"/>
      <c r="X150" s="32"/>
      <c r="Y150" s="32"/>
      <c r="Z150" s="32" t="s">
        <v>809</v>
      </c>
      <c r="AA150" s="32"/>
      <c r="AB150" s="32"/>
      <c r="AC150" s="32"/>
      <c r="AD150" s="32"/>
      <c r="AE150" s="32"/>
      <c r="AF150" s="32"/>
      <c r="AG150" s="32"/>
      <c r="AH150" s="32"/>
    </row>
    <row r="151" spans="1:34" x14ac:dyDescent="0.2">
      <c r="A151" s="117">
        <v>44843</v>
      </c>
      <c r="B151" s="29" t="s">
        <v>4197</v>
      </c>
      <c r="C151" s="26"/>
      <c r="D151" s="29">
        <v>3115058108</v>
      </c>
      <c r="E151" s="26" t="s">
        <v>31</v>
      </c>
      <c r="F151" s="32"/>
      <c r="G151" s="29"/>
      <c r="H151" s="29" t="s">
        <v>4198</v>
      </c>
      <c r="I151" s="29">
        <v>3007392844</v>
      </c>
      <c r="J151" s="29"/>
      <c r="K151" s="29"/>
      <c r="L151" s="29"/>
      <c r="M151" s="27" t="s">
        <v>2613</v>
      </c>
      <c r="N151" s="32"/>
      <c r="O151" s="32" t="s">
        <v>2841</v>
      </c>
      <c r="P151" s="32"/>
      <c r="Q151" s="32"/>
      <c r="R151" s="32"/>
      <c r="S151" s="32"/>
      <c r="T151" s="32"/>
      <c r="U151" s="32"/>
      <c r="V151" s="32"/>
      <c r="W151" s="32"/>
      <c r="X151" s="32"/>
      <c r="Y151" s="32"/>
      <c r="Z151" s="32" t="s">
        <v>4199</v>
      </c>
      <c r="AA151" s="32" t="s">
        <v>3883</v>
      </c>
      <c r="AB151" s="115">
        <v>45087</v>
      </c>
      <c r="AC151" s="32"/>
      <c r="AD151" s="32"/>
      <c r="AE151" s="32"/>
      <c r="AF151" s="32"/>
      <c r="AG151" s="32"/>
      <c r="AH151" s="32"/>
    </row>
    <row r="152" spans="1:34" x14ac:dyDescent="0.2">
      <c r="A152" s="114">
        <v>44680</v>
      </c>
      <c r="B152" s="29" t="s">
        <v>4200</v>
      </c>
      <c r="C152" s="26"/>
      <c r="D152" s="29">
        <v>3108445468</v>
      </c>
      <c r="E152" s="26" t="s">
        <v>31</v>
      </c>
      <c r="F152" s="32"/>
      <c r="G152" s="29"/>
      <c r="H152" s="29" t="s">
        <v>42</v>
      </c>
      <c r="I152" s="29">
        <v>3106006379</v>
      </c>
      <c r="J152" s="29"/>
      <c r="K152" s="29"/>
      <c r="L152" s="29"/>
      <c r="M152" s="27" t="s">
        <v>2613</v>
      </c>
      <c r="N152" s="32"/>
      <c r="O152" s="32" t="s">
        <v>2841</v>
      </c>
      <c r="P152" s="32"/>
      <c r="Q152" s="32"/>
      <c r="R152" s="32"/>
      <c r="S152" s="32"/>
      <c r="T152" s="32"/>
      <c r="U152" s="32"/>
      <c r="V152" s="32"/>
      <c r="W152" s="32"/>
      <c r="X152" s="32"/>
      <c r="Y152" s="32"/>
      <c r="Z152" s="32"/>
      <c r="AA152" s="32" t="s">
        <v>4201</v>
      </c>
      <c r="AB152" s="115">
        <v>44707</v>
      </c>
      <c r="AC152" s="32"/>
      <c r="AD152" s="32"/>
      <c r="AE152" s="32"/>
      <c r="AF152" s="32"/>
      <c r="AG152" s="32"/>
      <c r="AH152" s="32"/>
    </row>
    <row r="153" spans="1:34" x14ac:dyDescent="0.2">
      <c r="A153" s="114">
        <v>44680</v>
      </c>
      <c r="B153" s="29" t="s">
        <v>63</v>
      </c>
      <c r="C153" s="26"/>
      <c r="D153" s="29">
        <v>3108258953</v>
      </c>
      <c r="E153" s="26" t="s">
        <v>31</v>
      </c>
      <c r="F153" s="32"/>
      <c r="G153" s="29"/>
      <c r="H153" s="29" t="s">
        <v>64</v>
      </c>
      <c r="I153" s="29">
        <v>3122771199</v>
      </c>
      <c r="J153" s="29"/>
      <c r="K153" s="29"/>
      <c r="L153" s="29"/>
      <c r="M153" s="27" t="s">
        <v>2613</v>
      </c>
      <c r="N153" s="32"/>
      <c r="O153" s="32" t="s">
        <v>2841</v>
      </c>
      <c r="P153" s="32"/>
      <c r="Q153" s="32"/>
      <c r="R153" s="32"/>
      <c r="S153" s="32"/>
      <c r="T153" s="32"/>
      <c r="U153" s="32"/>
      <c r="V153" s="32"/>
      <c r="W153" s="32"/>
      <c r="X153" s="32"/>
      <c r="Y153" s="32"/>
      <c r="Z153" s="32"/>
      <c r="AA153" s="32" t="s">
        <v>4125</v>
      </c>
      <c r="AB153" s="115">
        <v>44707</v>
      </c>
      <c r="AC153" s="32"/>
      <c r="AD153" s="32"/>
      <c r="AE153" s="32"/>
      <c r="AF153" s="32"/>
      <c r="AG153" s="32" t="s">
        <v>3969</v>
      </c>
      <c r="AH153" s="32"/>
    </row>
    <row r="154" spans="1:34" x14ac:dyDescent="0.2">
      <c r="A154" s="29" t="s">
        <v>3865</v>
      </c>
      <c r="B154" s="29" t="s">
        <v>4202</v>
      </c>
      <c r="C154" s="26"/>
      <c r="D154" s="29">
        <v>3014121010</v>
      </c>
      <c r="E154" s="26" t="s">
        <v>31</v>
      </c>
      <c r="F154" s="32"/>
      <c r="G154" s="29"/>
      <c r="H154" s="29" t="s">
        <v>363</v>
      </c>
      <c r="I154" s="29">
        <v>3028428688</v>
      </c>
      <c r="J154" s="29"/>
      <c r="K154" s="29"/>
      <c r="L154" s="29"/>
      <c r="M154" s="27" t="s">
        <v>2613</v>
      </c>
      <c r="N154" s="32"/>
      <c r="O154" s="32" t="s">
        <v>2841</v>
      </c>
      <c r="P154" s="32"/>
      <c r="Q154" s="32"/>
      <c r="R154" s="32"/>
      <c r="S154" s="32"/>
      <c r="T154" s="32"/>
      <c r="U154" s="32"/>
      <c r="V154" s="32"/>
      <c r="W154" s="32"/>
      <c r="X154" s="32"/>
      <c r="Y154" s="32"/>
      <c r="Z154" s="32" t="s">
        <v>1276</v>
      </c>
      <c r="AA154" s="32"/>
      <c r="AB154" s="32"/>
      <c r="AC154" s="32"/>
      <c r="AD154" s="32"/>
      <c r="AE154" s="32"/>
      <c r="AF154" s="32"/>
      <c r="AG154" s="32"/>
      <c r="AH154" s="32"/>
    </row>
    <row r="155" spans="1:34" x14ac:dyDescent="0.2">
      <c r="A155" s="117">
        <v>44843</v>
      </c>
      <c r="B155" s="29" t="s">
        <v>701</v>
      </c>
      <c r="C155" s="26"/>
      <c r="D155" s="29">
        <v>3013729048</v>
      </c>
      <c r="E155" s="26" t="s">
        <v>31</v>
      </c>
      <c r="F155" s="32"/>
      <c r="G155" s="29"/>
      <c r="H155" s="29"/>
      <c r="I155" s="29"/>
      <c r="J155" s="29"/>
      <c r="K155" s="29"/>
      <c r="L155" s="29"/>
      <c r="M155" s="27" t="s">
        <v>2613</v>
      </c>
      <c r="N155" s="32"/>
      <c r="O155" s="32" t="s">
        <v>2841</v>
      </c>
      <c r="P155" s="32"/>
      <c r="Q155" s="32"/>
      <c r="R155" s="32"/>
      <c r="S155" s="32"/>
      <c r="T155" s="32"/>
      <c r="U155" s="32"/>
      <c r="V155" s="32"/>
      <c r="W155" s="32"/>
      <c r="X155" s="32"/>
      <c r="Y155" s="32"/>
      <c r="Z155" s="32"/>
      <c r="AA155" s="32"/>
      <c r="AB155" s="32"/>
      <c r="AC155" s="32"/>
      <c r="AD155" s="32"/>
      <c r="AE155" s="32"/>
      <c r="AF155" s="32"/>
      <c r="AG155" s="32"/>
      <c r="AH155" s="32"/>
    </row>
    <row r="156" spans="1:34" x14ac:dyDescent="0.2">
      <c r="A156" s="29" t="s">
        <v>3865</v>
      </c>
      <c r="B156" s="29" t="s">
        <v>4203</v>
      </c>
      <c r="C156" s="26"/>
      <c r="D156" s="29">
        <v>300724414</v>
      </c>
      <c r="E156" s="26" t="s">
        <v>31</v>
      </c>
      <c r="F156" s="32"/>
      <c r="G156" s="29"/>
      <c r="H156" s="29" t="s">
        <v>4204</v>
      </c>
      <c r="I156" s="29">
        <v>3135534268</v>
      </c>
      <c r="J156" s="29"/>
      <c r="K156" s="29"/>
      <c r="L156" s="29"/>
      <c r="M156" s="27" t="s">
        <v>2613</v>
      </c>
      <c r="N156" s="32"/>
      <c r="O156" s="32" t="s">
        <v>2841</v>
      </c>
      <c r="P156" s="32"/>
      <c r="Q156" s="32"/>
      <c r="R156" s="32"/>
      <c r="S156" s="32"/>
      <c r="T156" s="32"/>
      <c r="U156" s="32"/>
      <c r="V156" s="32"/>
      <c r="W156" s="32"/>
      <c r="X156" s="32"/>
      <c r="Y156" s="32"/>
      <c r="Z156" s="32" t="s">
        <v>4205</v>
      </c>
      <c r="AA156" s="32"/>
      <c r="AB156" s="32"/>
      <c r="AC156" s="32"/>
      <c r="AD156" s="32"/>
      <c r="AE156" s="32"/>
      <c r="AF156" s="32"/>
      <c r="AG156" s="32"/>
      <c r="AH156" s="32"/>
    </row>
    <row r="157" spans="1:34" x14ac:dyDescent="0.2">
      <c r="A157" s="114">
        <v>45151</v>
      </c>
      <c r="B157" s="29" t="s">
        <v>4206</v>
      </c>
      <c r="C157" s="26"/>
      <c r="D157" s="29">
        <v>3014121010</v>
      </c>
      <c r="E157" s="26" t="s">
        <v>31</v>
      </c>
      <c r="F157" s="32"/>
      <c r="G157" s="29"/>
      <c r="H157" s="29"/>
      <c r="I157" s="29"/>
      <c r="J157" s="29"/>
      <c r="K157" s="29"/>
      <c r="L157" s="29"/>
      <c r="M157" s="27" t="s">
        <v>2613</v>
      </c>
      <c r="N157" s="32"/>
      <c r="O157" s="32" t="s">
        <v>2841</v>
      </c>
      <c r="P157" s="32"/>
      <c r="Q157" s="32"/>
      <c r="R157" s="32"/>
      <c r="S157" s="32"/>
      <c r="T157" s="32"/>
      <c r="U157" s="32"/>
      <c r="V157" s="32"/>
      <c r="W157" s="32"/>
      <c r="X157" s="32"/>
      <c r="Y157" s="32"/>
      <c r="Z157" s="32"/>
      <c r="AA157" s="32"/>
      <c r="AB157" s="32"/>
      <c r="AC157" s="32"/>
      <c r="AD157" s="32"/>
      <c r="AE157" s="32"/>
      <c r="AF157" s="32"/>
      <c r="AG157" s="32"/>
      <c r="AH157" s="32"/>
    </row>
    <row r="158" spans="1:34" x14ac:dyDescent="0.2">
      <c r="A158" s="29" t="s">
        <v>3865</v>
      </c>
      <c r="B158" s="29" t="s">
        <v>1243</v>
      </c>
      <c r="C158" s="26"/>
      <c r="D158" s="29">
        <v>3118438243</v>
      </c>
      <c r="E158" s="26" t="s">
        <v>31</v>
      </c>
      <c r="F158" s="32"/>
      <c r="G158" s="29"/>
      <c r="H158" s="29"/>
      <c r="I158" s="29"/>
      <c r="J158" s="29"/>
      <c r="K158" s="29"/>
      <c r="L158" s="29"/>
      <c r="M158" s="27" t="s">
        <v>2613</v>
      </c>
      <c r="N158" s="32"/>
      <c r="O158" s="32" t="s">
        <v>2841</v>
      </c>
      <c r="P158" s="32"/>
      <c r="Q158" s="32"/>
      <c r="R158" s="32"/>
      <c r="S158" s="32"/>
      <c r="T158" s="32"/>
      <c r="U158" s="32"/>
      <c r="V158" s="32"/>
      <c r="W158" s="32"/>
      <c r="X158" s="32"/>
      <c r="Y158" s="32"/>
      <c r="Z158" s="32"/>
      <c r="AA158" s="32"/>
      <c r="AB158" s="32"/>
      <c r="AC158" s="32"/>
      <c r="AD158" s="32"/>
      <c r="AE158" s="32"/>
      <c r="AF158" s="32"/>
      <c r="AG158" s="32"/>
      <c r="AH158" s="32"/>
    </row>
    <row r="159" spans="1:34" x14ac:dyDescent="0.2">
      <c r="A159" s="29" t="s">
        <v>3865</v>
      </c>
      <c r="B159" s="29" t="s">
        <v>4207</v>
      </c>
      <c r="C159" s="26"/>
      <c r="D159" s="29">
        <v>3145690883</v>
      </c>
      <c r="E159" s="26" t="s">
        <v>31</v>
      </c>
      <c r="F159" s="32"/>
      <c r="G159" s="29"/>
      <c r="H159" s="29"/>
      <c r="I159" s="29"/>
      <c r="J159" s="29"/>
      <c r="K159" s="29"/>
      <c r="L159" s="29"/>
      <c r="M159" s="27" t="s">
        <v>2613</v>
      </c>
      <c r="N159" s="32"/>
      <c r="O159" s="32" t="s">
        <v>2841</v>
      </c>
      <c r="P159" s="32"/>
      <c r="Q159" s="32"/>
      <c r="R159" s="32"/>
      <c r="S159" s="32"/>
      <c r="T159" s="32"/>
      <c r="U159" s="32"/>
      <c r="V159" s="32"/>
      <c r="W159" s="32"/>
      <c r="X159" s="32"/>
      <c r="Y159" s="32"/>
      <c r="Z159" s="32"/>
      <c r="AA159" s="32"/>
      <c r="AB159" s="32"/>
      <c r="AC159" s="32"/>
      <c r="AD159" s="32"/>
      <c r="AE159" s="32"/>
      <c r="AF159" s="32"/>
      <c r="AG159" s="32"/>
      <c r="AH159" s="32"/>
    </row>
    <row r="160" spans="1:34" x14ac:dyDescent="0.2">
      <c r="A160" s="29" t="s">
        <v>3865</v>
      </c>
      <c r="B160" s="29" t="s">
        <v>4208</v>
      </c>
      <c r="C160" s="26"/>
      <c r="D160" s="29">
        <v>3006334557</v>
      </c>
      <c r="E160" s="26" t="s">
        <v>31</v>
      </c>
      <c r="F160" s="32"/>
      <c r="G160" s="29"/>
      <c r="H160" s="29" t="s">
        <v>1304</v>
      </c>
      <c r="I160" s="29">
        <v>3137258361</v>
      </c>
      <c r="J160" s="29"/>
      <c r="K160" s="29"/>
      <c r="L160" s="29"/>
      <c r="M160" s="27" t="s">
        <v>2613</v>
      </c>
      <c r="N160" s="32"/>
      <c r="O160" s="32" t="s">
        <v>2841</v>
      </c>
      <c r="P160" s="32"/>
      <c r="Q160" s="32"/>
      <c r="R160" s="32"/>
      <c r="S160" s="32"/>
      <c r="T160" s="32"/>
      <c r="U160" s="32"/>
      <c r="V160" s="32"/>
      <c r="W160" s="32"/>
      <c r="X160" s="32"/>
      <c r="Y160" s="32"/>
      <c r="Z160" s="32"/>
      <c r="AA160" s="32"/>
      <c r="AB160" s="32"/>
      <c r="AC160" s="32"/>
      <c r="AD160" s="32"/>
      <c r="AE160" s="32"/>
      <c r="AF160" s="32"/>
      <c r="AG160" s="32"/>
      <c r="AH160" s="32"/>
    </row>
    <row r="161" spans="1:34" x14ac:dyDescent="0.2">
      <c r="A161" s="29" t="s">
        <v>3865</v>
      </c>
      <c r="B161" s="29" t="s">
        <v>4209</v>
      </c>
      <c r="C161" s="26"/>
      <c r="D161" s="29">
        <v>3011939028</v>
      </c>
      <c r="E161" s="26" t="s">
        <v>31</v>
      </c>
      <c r="F161" s="32"/>
      <c r="G161" s="29"/>
      <c r="H161" s="29"/>
      <c r="I161" s="29"/>
      <c r="J161" s="29"/>
      <c r="K161" s="29"/>
      <c r="L161" s="29"/>
      <c r="M161" s="27" t="s">
        <v>2613</v>
      </c>
      <c r="N161" s="32"/>
      <c r="O161" s="32" t="s">
        <v>2841</v>
      </c>
      <c r="P161" s="32"/>
      <c r="Q161" s="32"/>
      <c r="R161" s="32"/>
      <c r="S161" s="32"/>
      <c r="T161" s="32"/>
      <c r="U161" s="32"/>
      <c r="V161" s="32"/>
      <c r="W161" s="32"/>
      <c r="X161" s="32"/>
      <c r="Y161" s="32"/>
      <c r="Z161" s="32"/>
      <c r="AA161" s="32"/>
      <c r="AB161" s="32"/>
      <c r="AC161" s="32"/>
      <c r="AD161" s="32"/>
      <c r="AE161" s="32"/>
      <c r="AF161" s="32"/>
      <c r="AG161" s="32"/>
      <c r="AH161" s="32"/>
    </row>
    <row r="162" spans="1:34" x14ac:dyDescent="0.2">
      <c r="A162" s="117">
        <v>44843</v>
      </c>
      <c r="B162" s="29" t="s">
        <v>4210</v>
      </c>
      <c r="C162" s="26">
        <v>1128423570</v>
      </c>
      <c r="D162" s="29">
        <v>3137198219</v>
      </c>
      <c r="E162" s="26" t="s">
        <v>31</v>
      </c>
      <c r="F162" s="32"/>
      <c r="G162" s="29"/>
      <c r="H162" s="29" t="s">
        <v>4211</v>
      </c>
      <c r="I162" s="29">
        <v>3014136786</v>
      </c>
      <c r="J162" s="29"/>
      <c r="K162" s="29"/>
      <c r="L162" s="29"/>
      <c r="M162" s="27" t="s">
        <v>2613</v>
      </c>
      <c r="N162" s="32"/>
      <c r="O162" s="32" t="s">
        <v>2841</v>
      </c>
      <c r="P162" s="32"/>
      <c r="Q162" s="32"/>
      <c r="R162" s="32"/>
      <c r="S162" s="32"/>
      <c r="T162" s="32"/>
      <c r="U162" s="32"/>
      <c r="V162" s="32"/>
      <c r="W162" s="32"/>
      <c r="X162" s="32"/>
      <c r="Y162" s="32"/>
      <c r="Z162" s="32" t="s">
        <v>4212</v>
      </c>
      <c r="AA162" s="32" t="s">
        <v>4213</v>
      </c>
      <c r="AB162" s="115">
        <v>45087</v>
      </c>
      <c r="AC162" s="32"/>
      <c r="AD162" s="32"/>
      <c r="AE162" s="32"/>
      <c r="AF162" s="32"/>
      <c r="AG162" s="32"/>
      <c r="AH162" s="32"/>
    </row>
    <row r="163" spans="1:34" x14ac:dyDescent="0.2">
      <c r="A163" s="117">
        <v>44680</v>
      </c>
      <c r="B163" s="29" t="s">
        <v>57</v>
      </c>
      <c r="C163" s="26"/>
      <c r="D163" s="29">
        <v>3106239619</v>
      </c>
      <c r="E163" s="26" t="s">
        <v>31</v>
      </c>
      <c r="F163" s="32"/>
      <c r="G163" s="29"/>
      <c r="H163" s="29"/>
      <c r="I163" s="29"/>
      <c r="J163" s="29"/>
      <c r="K163" s="29"/>
      <c r="L163" s="29"/>
      <c r="M163" s="27" t="s">
        <v>2613</v>
      </c>
      <c r="N163" s="32"/>
      <c r="O163" s="32" t="s">
        <v>2841</v>
      </c>
      <c r="P163" s="32"/>
      <c r="Q163" s="32"/>
      <c r="R163" s="32"/>
      <c r="S163" s="32"/>
      <c r="T163" s="32"/>
      <c r="U163" s="32"/>
      <c r="V163" s="32"/>
      <c r="W163" s="32"/>
      <c r="X163" s="32"/>
      <c r="Y163" s="32"/>
      <c r="Z163" s="32"/>
      <c r="AA163" s="32"/>
      <c r="AB163" s="32"/>
      <c r="AC163" s="32"/>
      <c r="AD163" s="32"/>
      <c r="AE163" s="32"/>
      <c r="AF163" s="32"/>
      <c r="AG163" s="32"/>
      <c r="AH163" s="32"/>
    </row>
    <row r="164" spans="1:34" x14ac:dyDescent="0.2">
      <c r="A164" s="117">
        <v>44696</v>
      </c>
      <c r="B164" s="29" t="s">
        <v>4214</v>
      </c>
      <c r="C164" s="26"/>
      <c r="D164" s="29">
        <v>3016438125</v>
      </c>
      <c r="E164" s="26" t="s">
        <v>31</v>
      </c>
      <c r="F164" s="32"/>
      <c r="G164" s="29"/>
      <c r="H164" s="29" t="s">
        <v>166</v>
      </c>
      <c r="I164" s="29">
        <v>3193833322</v>
      </c>
      <c r="J164" s="29"/>
      <c r="K164" s="29"/>
      <c r="L164" s="29"/>
      <c r="M164" s="27" t="s">
        <v>2613</v>
      </c>
      <c r="N164" s="32"/>
      <c r="O164" s="32" t="s">
        <v>2841</v>
      </c>
      <c r="P164" s="32"/>
      <c r="Q164" s="32"/>
      <c r="R164" s="32"/>
      <c r="S164" s="32"/>
      <c r="T164" s="32"/>
      <c r="U164" s="32"/>
      <c r="V164" s="32"/>
      <c r="W164" s="32"/>
      <c r="X164" s="32"/>
      <c r="Y164" s="32"/>
      <c r="Z164" s="32" t="s">
        <v>3878</v>
      </c>
      <c r="AA164" s="32"/>
      <c r="AB164" s="32"/>
      <c r="AC164" s="32"/>
      <c r="AD164" s="32"/>
      <c r="AE164" s="32"/>
      <c r="AF164" s="32"/>
      <c r="AG164" s="32"/>
      <c r="AH164" s="32"/>
    </row>
    <row r="165" spans="1:34" x14ac:dyDescent="0.2">
      <c r="A165" s="117">
        <v>44696</v>
      </c>
      <c r="B165" s="29" t="s">
        <v>4215</v>
      </c>
      <c r="C165" s="26"/>
      <c r="D165" s="29">
        <v>3125473192</v>
      </c>
      <c r="E165" s="26" t="s">
        <v>31</v>
      </c>
      <c r="F165" s="32"/>
      <c r="G165" s="29"/>
      <c r="H165" s="29" t="s">
        <v>166</v>
      </c>
      <c r="I165" s="29">
        <v>3193833322</v>
      </c>
      <c r="J165" s="29"/>
      <c r="K165" s="29"/>
      <c r="L165" s="29"/>
      <c r="M165" s="27" t="s">
        <v>2613</v>
      </c>
      <c r="N165" s="32"/>
      <c r="O165" s="32" t="s">
        <v>2841</v>
      </c>
      <c r="P165" s="32"/>
      <c r="Q165" s="32"/>
      <c r="R165" s="32"/>
      <c r="S165" s="32"/>
      <c r="T165" s="32"/>
      <c r="U165" s="32"/>
      <c r="V165" s="32"/>
      <c r="W165" s="32"/>
      <c r="X165" s="32"/>
      <c r="Y165" s="32"/>
      <c r="Z165" s="32" t="s">
        <v>171</v>
      </c>
      <c r="AA165" s="32"/>
      <c r="AB165" s="32"/>
      <c r="AC165" s="32"/>
      <c r="AD165" s="32"/>
      <c r="AE165" s="32"/>
      <c r="AF165" s="32"/>
      <c r="AG165" s="32"/>
      <c r="AH165" s="32"/>
    </row>
    <row r="166" spans="1:34" x14ac:dyDescent="0.2">
      <c r="A166" s="117">
        <v>44704</v>
      </c>
      <c r="B166" s="29" t="s">
        <v>254</v>
      </c>
      <c r="C166" s="26"/>
      <c r="D166" s="29">
        <v>3104726362</v>
      </c>
      <c r="E166" s="26" t="s">
        <v>31</v>
      </c>
      <c r="F166" s="32"/>
      <c r="G166" s="29"/>
      <c r="H166" s="29"/>
      <c r="I166" s="29"/>
      <c r="J166" s="29"/>
      <c r="K166" s="29"/>
      <c r="L166" s="29"/>
      <c r="M166" s="27" t="s">
        <v>2613</v>
      </c>
      <c r="N166" s="32"/>
      <c r="O166" s="32" t="s">
        <v>2841</v>
      </c>
      <c r="P166" s="32"/>
      <c r="Q166" s="32"/>
      <c r="R166" s="32"/>
      <c r="S166" s="32"/>
      <c r="T166" s="32"/>
      <c r="U166" s="32"/>
      <c r="V166" s="32"/>
      <c r="W166" s="32"/>
      <c r="X166" s="32"/>
      <c r="Y166" s="32"/>
      <c r="Z166" s="32"/>
      <c r="AA166" s="32"/>
      <c r="AB166" s="32"/>
      <c r="AC166" s="32"/>
      <c r="AD166" s="32"/>
      <c r="AE166" s="32"/>
      <c r="AF166" s="32"/>
      <c r="AG166" s="32"/>
      <c r="AH166" s="32"/>
    </row>
    <row r="167" spans="1:34" x14ac:dyDescent="0.2">
      <c r="A167" s="117">
        <v>44755</v>
      </c>
      <c r="B167" s="29" t="s">
        <v>4216</v>
      </c>
      <c r="C167" s="26"/>
      <c r="D167" s="29">
        <v>3004823138</v>
      </c>
      <c r="E167" s="26" t="s">
        <v>31</v>
      </c>
      <c r="F167" s="32"/>
      <c r="G167" s="29"/>
      <c r="H167" s="29" t="s">
        <v>4217</v>
      </c>
      <c r="I167" s="29">
        <v>3043568002</v>
      </c>
      <c r="J167" s="29"/>
      <c r="K167" s="29"/>
      <c r="L167" s="29"/>
      <c r="M167" s="27" t="s">
        <v>2613</v>
      </c>
      <c r="N167" s="32"/>
      <c r="O167" s="32" t="s">
        <v>2841</v>
      </c>
      <c r="P167" s="32"/>
      <c r="Q167" s="32"/>
      <c r="R167" s="32"/>
      <c r="S167" s="32"/>
      <c r="T167" s="32"/>
      <c r="U167" s="32"/>
      <c r="V167" s="32"/>
      <c r="W167" s="32"/>
      <c r="X167" s="32"/>
      <c r="Y167" s="32"/>
      <c r="Z167" s="32"/>
      <c r="AA167" s="32"/>
      <c r="AB167" s="32"/>
      <c r="AC167" s="32"/>
      <c r="AD167" s="32"/>
      <c r="AE167" s="32"/>
      <c r="AF167" s="32"/>
      <c r="AG167" s="32"/>
      <c r="AH167" s="32"/>
    </row>
    <row r="168" spans="1:34" x14ac:dyDescent="0.2">
      <c r="A168" s="117">
        <v>44757</v>
      </c>
      <c r="B168" s="29" t="s">
        <v>4218</v>
      </c>
      <c r="C168" s="26"/>
      <c r="D168" s="29">
        <v>3007378377</v>
      </c>
      <c r="E168" s="26" t="s">
        <v>31</v>
      </c>
      <c r="F168" s="32"/>
      <c r="G168" s="29"/>
      <c r="H168" s="29"/>
      <c r="I168" s="29">
        <v>3246296014</v>
      </c>
      <c r="J168" s="29"/>
      <c r="K168" s="29"/>
      <c r="L168" s="29"/>
      <c r="M168" s="27" t="s">
        <v>2613</v>
      </c>
      <c r="N168" s="32"/>
      <c r="O168" s="32" t="s">
        <v>2841</v>
      </c>
      <c r="P168" s="32"/>
      <c r="Q168" s="32"/>
      <c r="R168" s="32"/>
      <c r="S168" s="32"/>
      <c r="T168" s="32"/>
      <c r="U168" s="32"/>
      <c r="V168" s="32"/>
      <c r="W168" s="32"/>
      <c r="X168" s="32"/>
      <c r="Y168" s="32"/>
      <c r="Z168" s="32"/>
      <c r="AA168" s="32"/>
      <c r="AB168" s="32"/>
      <c r="AC168" s="32"/>
      <c r="AD168" s="32"/>
      <c r="AE168" s="32"/>
      <c r="AF168" s="32"/>
      <c r="AG168" s="32"/>
      <c r="AH168" s="32"/>
    </row>
    <row r="169" spans="1:34" x14ac:dyDescent="0.2">
      <c r="A169" s="117">
        <v>44771</v>
      </c>
      <c r="B169" s="29" t="s">
        <v>4219</v>
      </c>
      <c r="C169" s="26"/>
      <c r="D169" s="29">
        <v>3012364960</v>
      </c>
      <c r="E169" s="26" t="s">
        <v>31</v>
      </c>
      <c r="F169" s="32"/>
      <c r="G169" s="29"/>
      <c r="H169" s="29"/>
      <c r="I169" s="29"/>
      <c r="J169" s="29"/>
      <c r="K169" s="29"/>
      <c r="L169" s="29"/>
      <c r="M169" s="27" t="s">
        <v>2613</v>
      </c>
      <c r="N169" s="32"/>
      <c r="O169" s="32" t="s">
        <v>2841</v>
      </c>
      <c r="P169" s="32"/>
      <c r="Q169" s="32"/>
      <c r="R169" s="32"/>
      <c r="S169" s="32"/>
      <c r="T169" s="32"/>
      <c r="U169" s="32"/>
      <c r="V169" s="32"/>
      <c r="W169" s="32"/>
      <c r="X169" s="32"/>
      <c r="Y169" s="32"/>
      <c r="Z169" s="32"/>
      <c r="AA169" s="32"/>
      <c r="AB169" s="32"/>
      <c r="AC169" s="32"/>
      <c r="AD169" s="32"/>
      <c r="AE169" s="32"/>
      <c r="AF169" s="32"/>
      <c r="AG169" s="32"/>
      <c r="AH169" s="32"/>
    </row>
    <row r="170" spans="1:34" x14ac:dyDescent="0.2">
      <c r="A170" s="117">
        <v>44771</v>
      </c>
      <c r="B170" s="29" t="s">
        <v>4220</v>
      </c>
      <c r="C170" s="26"/>
      <c r="D170" s="29">
        <v>3216956922</v>
      </c>
      <c r="E170" s="26" t="s">
        <v>31</v>
      </c>
      <c r="F170" s="32"/>
      <c r="G170" s="29"/>
      <c r="H170" s="29" t="s">
        <v>4221</v>
      </c>
      <c r="I170" s="29">
        <v>3214861737</v>
      </c>
      <c r="J170" s="29"/>
      <c r="K170" s="29"/>
      <c r="L170" s="29"/>
      <c r="M170" s="27" t="s">
        <v>2613</v>
      </c>
      <c r="N170" s="32"/>
      <c r="O170" s="32" t="s">
        <v>2841</v>
      </c>
      <c r="P170" s="32"/>
      <c r="Q170" s="32"/>
      <c r="R170" s="32"/>
      <c r="S170" s="32"/>
      <c r="T170" s="32"/>
      <c r="U170" s="32"/>
      <c r="V170" s="32"/>
      <c r="W170" s="32"/>
      <c r="X170" s="32"/>
      <c r="Y170" s="32"/>
      <c r="Z170" s="32"/>
      <c r="AA170" s="32"/>
      <c r="AB170" s="32"/>
      <c r="AC170" s="32"/>
      <c r="AD170" s="32"/>
      <c r="AE170" s="32"/>
      <c r="AF170" s="32"/>
      <c r="AG170" s="32"/>
      <c r="AH170" s="32"/>
    </row>
    <row r="171" spans="1:34" x14ac:dyDescent="0.2">
      <c r="A171" s="117">
        <v>44794</v>
      </c>
      <c r="B171" s="29" t="s">
        <v>4222</v>
      </c>
      <c r="C171" s="26"/>
      <c r="D171" s="29">
        <v>3227300373</v>
      </c>
      <c r="E171" s="26" t="s">
        <v>31</v>
      </c>
      <c r="F171" s="32"/>
      <c r="G171" s="29"/>
      <c r="H171" s="29" t="s">
        <v>580</v>
      </c>
      <c r="I171" s="29">
        <v>3013602786</v>
      </c>
      <c r="J171" s="29"/>
      <c r="K171" s="29"/>
      <c r="L171" s="29"/>
      <c r="M171" s="27" t="s">
        <v>2613</v>
      </c>
      <c r="N171" s="32"/>
      <c r="O171" s="32" t="s">
        <v>2841</v>
      </c>
      <c r="P171" s="32"/>
      <c r="Q171" s="32"/>
      <c r="R171" s="32"/>
      <c r="S171" s="32"/>
      <c r="T171" s="32"/>
      <c r="U171" s="32"/>
      <c r="V171" s="32"/>
      <c r="W171" s="32"/>
      <c r="X171" s="32"/>
      <c r="Y171" s="32"/>
      <c r="Z171" s="32" t="s">
        <v>3967</v>
      </c>
      <c r="AA171" s="32"/>
      <c r="AB171" s="32"/>
      <c r="AC171" s="32"/>
      <c r="AD171" s="32"/>
      <c r="AE171" s="32"/>
      <c r="AF171" s="32"/>
      <c r="AG171" s="32"/>
      <c r="AH171" s="32"/>
    </row>
    <row r="172" spans="1:34" x14ac:dyDescent="0.2">
      <c r="A172" s="117">
        <v>44822</v>
      </c>
      <c r="B172" s="29" t="s">
        <v>4223</v>
      </c>
      <c r="C172" s="26"/>
      <c r="D172" s="29">
        <v>3215046669</v>
      </c>
      <c r="E172" s="26" t="s">
        <v>31</v>
      </c>
      <c r="F172" s="32"/>
      <c r="G172" s="29"/>
      <c r="H172" s="29" t="s">
        <v>647</v>
      </c>
      <c r="I172" s="29">
        <v>3222254045</v>
      </c>
      <c r="J172" s="29"/>
      <c r="K172" s="29"/>
      <c r="L172" s="29"/>
      <c r="M172" s="27" t="s">
        <v>2613</v>
      </c>
      <c r="N172" s="32"/>
      <c r="O172" s="32" t="s">
        <v>2841</v>
      </c>
      <c r="P172" s="32"/>
      <c r="Q172" s="32"/>
      <c r="R172" s="32"/>
      <c r="S172" s="32"/>
      <c r="T172" s="32"/>
      <c r="U172" s="32"/>
      <c r="V172" s="32"/>
      <c r="W172" s="32"/>
      <c r="X172" s="32"/>
      <c r="Y172" s="32"/>
      <c r="Z172" s="32" t="s">
        <v>649</v>
      </c>
      <c r="AA172" s="32"/>
      <c r="AB172" s="32"/>
      <c r="AC172" s="32"/>
      <c r="AD172" s="32"/>
      <c r="AE172" s="32"/>
      <c r="AF172" s="32"/>
      <c r="AG172" s="32"/>
      <c r="AH172" s="32"/>
    </row>
    <row r="173" spans="1:34" x14ac:dyDescent="0.2">
      <c r="A173" s="117">
        <v>44843</v>
      </c>
      <c r="B173" s="29" t="s">
        <v>4224</v>
      </c>
      <c r="C173" s="26"/>
      <c r="D173" s="29">
        <v>3045824087</v>
      </c>
      <c r="E173" s="26" t="s">
        <v>31</v>
      </c>
      <c r="F173" s="32"/>
      <c r="G173" s="29"/>
      <c r="H173" s="29"/>
      <c r="I173" s="29"/>
      <c r="J173" s="29"/>
      <c r="K173" s="29"/>
      <c r="L173" s="29"/>
      <c r="M173" s="27" t="s">
        <v>2613</v>
      </c>
      <c r="N173" s="32"/>
      <c r="O173" s="32" t="s">
        <v>2841</v>
      </c>
      <c r="P173" s="32"/>
      <c r="Q173" s="32"/>
      <c r="R173" s="32"/>
      <c r="S173" s="32"/>
      <c r="T173" s="32"/>
      <c r="U173" s="32"/>
      <c r="V173" s="32"/>
      <c r="W173" s="32"/>
      <c r="X173" s="32"/>
      <c r="Y173" s="32"/>
      <c r="Z173" s="32"/>
      <c r="AA173" s="32"/>
      <c r="AB173" s="32"/>
      <c r="AC173" s="32"/>
      <c r="AD173" s="32"/>
      <c r="AE173" s="32"/>
      <c r="AF173" s="32"/>
      <c r="AG173" s="32"/>
      <c r="AH173" s="32"/>
    </row>
    <row r="174" spans="1:34" x14ac:dyDescent="0.2">
      <c r="A174" s="117">
        <v>44878</v>
      </c>
      <c r="B174" s="29" t="s">
        <v>4225</v>
      </c>
      <c r="C174" s="26"/>
      <c r="D174" s="29">
        <v>3016861124</v>
      </c>
      <c r="E174" s="26" t="s">
        <v>31</v>
      </c>
      <c r="F174" s="32"/>
      <c r="G174" s="29"/>
      <c r="H174" s="29" t="s">
        <v>4226</v>
      </c>
      <c r="I174" s="29">
        <v>3015778664</v>
      </c>
      <c r="J174" s="29"/>
      <c r="K174" s="29"/>
      <c r="L174" s="29"/>
      <c r="M174" s="27" t="s">
        <v>2613</v>
      </c>
      <c r="N174" s="32"/>
      <c r="O174" s="32" t="s">
        <v>2841</v>
      </c>
      <c r="P174" s="32"/>
      <c r="Q174" s="32"/>
      <c r="R174" s="32"/>
      <c r="S174" s="32"/>
      <c r="T174" s="32"/>
      <c r="U174" s="32"/>
      <c r="V174" s="32"/>
      <c r="W174" s="32"/>
      <c r="X174" s="32"/>
      <c r="Y174" s="32"/>
      <c r="Z174" s="32" t="s">
        <v>4227</v>
      </c>
      <c r="AA174" s="32"/>
      <c r="AB174" s="32"/>
      <c r="AC174" s="32"/>
      <c r="AD174" s="32"/>
      <c r="AE174" s="32"/>
      <c r="AF174" s="32"/>
      <c r="AG174" s="32"/>
      <c r="AH174" s="32"/>
    </row>
    <row r="175" spans="1:34" x14ac:dyDescent="0.2">
      <c r="A175" s="117">
        <v>44878</v>
      </c>
      <c r="B175" s="29" t="s">
        <v>4228</v>
      </c>
      <c r="C175" s="26"/>
      <c r="D175" s="29">
        <v>3024428198</v>
      </c>
      <c r="E175" s="26" t="s">
        <v>31</v>
      </c>
      <c r="F175" s="32"/>
      <c r="G175" s="29"/>
      <c r="H175" s="29"/>
      <c r="I175" s="29"/>
      <c r="J175" s="29"/>
      <c r="K175" s="29"/>
      <c r="L175" s="29"/>
      <c r="M175" s="27" t="s">
        <v>2613</v>
      </c>
      <c r="N175" s="32"/>
      <c r="O175" s="32" t="s">
        <v>2841</v>
      </c>
      <c r="P175" s="32"/>
      <c r="Q175" s="32"/>
      <c r="R175" s="32"/>
      <c r="S175" s="32"/>
      <c r="T175" s="32"/>
      <c r="U175" s="32"/>
      <c r="V175" s="32"/>
      <c r="W175" s="32"/>
      <c r="X175" s="32"/>
      <c r="Y175" s="32"/>
      <c r="Z175" s="32"/>
      <c r="AA175" s="32"/>
      <c r="AB175" s="32"/>
      <c r="AC175" s="32"/>
      <c r="AD175" s="32"/>
      <c r="AE175" s="32"/>
      <c r="AF175" s="32"/>
      <c r="AG175" s="32"/>
      <c r="AH175" s="32"/>
    </row>
    <row r="176" spans="1:34" x14ac:dyDescent="0.2">
      <c r="A176" s="117">
        <v>45250</v>
      </c>
      <c r="B176" s="29" t="s">
        <v>779</v>
      </c>
      <c r="C176" s="26"/>
      <c r="D176" s="29">
        <v>3003224631</v>
      </c>
      <c r="E176" s="26" t="s">
        <v>31</v>
      </c>
      <c r="F176" s="32"/>
      <c r="G176" s="29"/>
      <c r="H176" s="29"/>
      <c r="I176" s="29"/>
      <c r="J176" s="29"/>
      <c r="K176" s="29"/>
      <c r="L176" s="29"/>
      <c r="M176" s="27" t="s">
        <v>2613</v>
      </c>
      <c r="N176" s="32"/>
      <c r="O176" s="32" t="s">
        <v>2841</v>
      </c>
      <c r="P176" s="32"/>
      <c r="Q176" s="32"/>
      <c r="R176" s="32"/>
      <c r="S176" s="32"/>
      <c r="T176" s="32"/>
      <c r="U176" s="32"/>
      <c r="V176" s="32"/>
      <c r="W176" s="32"/>
      <c r="X176" s="32"/>
      <c r="Y176" s="32"/>
      <c r="Z176" s="32" t="s">
        <v>781</v>
      </c>
      <c r="AA176" s="32"/>
      <c r="AB176" s="32"/>
      <c r="AC176" s="32"/>
      <c r="AD176" s="32"/>
      <c r="AE176" s="32"/>
      <c r="AF176" s="32"/>
      <c r="AG176" s="32"/>
      <c r="AH176" s="32"/>
    </row>
    <row r="177" spans="1:34" x14ac:dyDescent="0.2">
      <c r="A177" s="117">
        <v>44892</v>
      </c>
      <c r="B177" s="29" t="s">
        <v>4229</v>
      </c>
      <c r="C177" s="26"/>
      <c r="D177" s="29">
        <v>3016479347</v>
      </c>
      <c r="E177" s="26" t="s">
        <v>31</v>
      </c>
      <c r="F177" s="32"/>
      <c r="G177" s="29"/>
      <c r="H177" s="29" t="s">
        <v>4230</v>
      </c>
      <c r="I177" s="29">
        <v>3146705496</v>
      </c>
      <c r="J177" s="29"/>
      <c r="K177" s="29"/>
      <c r="L177" s="29"/>
      <c r="M177" s="27" t="s">
        <v>2613</v>
      </c>
      <c r="N177" s="32"/>
      <c r="O177" s="32" t="s">
        <v>2841</v>
      </c>
      <c r="P177" s="32"/>
      <c r="Q177" s="32"/>
      <c r="R177" s="32"/>
      <c r="S177" s="32"/>
      <c r="T177" s="32"/>
      <c r="U177" s="32"/>
      <c r="V177" s="32"/>
      <c r="W177" s="32"/>
      <c r="X177" s="32"/>
      <c r="Y177" s="32"/>
      <c r="Z177" s="32" t="s">
        <v>787</v>
      </c>
      <c r="AA177" s="32"/>
      <c r="AB177" s="32"/>
      <c r="AC177" s="32"/>
      <c r="AD177" s="32"/>
      <c r="AE177" s="32"/>
      <c r="AF177" s="32"/>
      <c r="AG177" s="32"/>
      <c r="AH177" s="32"/>
    </row>
    <row r="178" spans="1:34" x14ac:dyDescent="0.2">
      <c r="A178" s="117">
        <v>45179</v>
      </c>
      <c r="B178" s="29" t="s">
        <v>4231</v>
      </c>
      <c r="C178" s="26">
        <v>98712363</v>
      </c>
      <c r="D178" s="29">
        <v>3006179719</v>
      </c>
      <c r="E178" s="26" t="s">
        <v>31</v>
      </c>
      <c r="F178" s="32"/>
      <c r="G178" s="29"/>
      <c r="H178" s="29" t="s">
        <v>1346</v>
      </c>
      <c r="I178" s="29">
        <v>3045824087</v>
      </c>
      <c r="J178" s="29"/>
      <c r="K178" s="29"/>
      <c r="L178" s="29"/>
      <c r="M178" s="27" t="s">
        <v>2613</v>
      </c>
      <c r="N178" s="32"/>
      <c r="O178" s="32" t="s">
        <v>2841</v>
      </c>
      <c r="P178" s="32"/>
      <c r="Q178" s="32"/>
      <c r="R178" s="32"/>
      <c r="S178" s="32"/>
      <c r="T178" s="32"/>
      <c r="U178" s="32"/>
      <c r="V178" s="32"/>
      <c r="W178" s="32"/>
      <c r="X178" s="32"/>
      <c r="Y178" s="32"/>
      <c r="Z178" s="32"/>
      <c r="AA178" s="32"/>
      <c r="AB178" s="32"/>
      <c r="AC178" s="32"/>
      <c r="AD178" s="32"/>
      <c r="AE178" s="32"/>
      <c r="AF178" s="32"/>
      <c r="AG178" s="32"/>
      <c r="AH178" s="32"/>
    </row>
    <row r="179" spans="1:34" x14ac:dyDescent="0.2">
      <c r="A179" s="117">
        <v>45179</v>
      </c>
      <c r="B179" s="29" t="s">
        <v>4232</v>
      </c>
      <c r="C179" s="26"/>
      <c r="D179" s="29">
        <v>3006779069</v>
      </c>
      <c r="E179" s="26" t="s">
        <v>31</v>
      </c>
      <c r="F179" s="32"/>
      <c r="G179" s="29"/>
      <c r="H179" s="29" t="s">
        <v>1351</v>
      </c>
      <c r="I179" s="29">
        <v>3013852018</v>
      </c>
      <c r="J179" s="29"/>
      <c r="K179" s="29"/>
      <c r="L179" s="29"/>
      <c r="M179" s="27" t="s">
        <v>2613</v>
      </c>
      <c r="N179" s="32"/>
      <c r="O179" s="32" t="s">
        <v>2841</v>
      </c>
      <c r="P179" s="32"/>
      <c r="Q179" s="32"/>
      <c r="R179" s="32"/>
      <c r="S179" s="32"/>
      <c r="T179" s="32"/>
      <c r="U179" s="32"/>
      <c r="V179" s="32"/>
      <c r="W179" s="32"/>
      <c r="X179" s="32"/>
      <c r="Y179" s="32"/>
      <c r="Z179" s="32"/>
      <c r="AA179" s="32"/>
      <c r="AB179" s="32"/>
      <c r="AC179" s="32"/>
      <c r="AD179" s="32"/>
      <c r="AE179" s="32"/>
      <c r="AF179" s="32"/>
      <c r="AG179" s="32"/>
      <c r="AH179" s="32"/>
    </row>
    <row r="180" spans="1:34" x14ac:dyDescent="0.2">
      <c r="A180" s="117">
        <v>45179</v>
      </c>
      <c r="B180" s="29" t="s">
        <v>4233</v>
      </c>
      <c r="C180" s="26"/>
      <c r="D180" s="29">
        <v>3002676980</v>
      </c>
      <c r="E180" s="26" t="s">
        <v>31</v>
      </c>
      <c r="F180" s="32"/>
      <c r="G180" s="29"/>
      <c r="H180" s="29"/>
      <c r="I180" s="29"/>
      <c r="J180" s="29"/>
      <c r="K180" s="29"/>
      <c r="L180" s="29"/>
      <c r="M180" s="27" t="s">
        <v>2613</v>
      </c>
      <c r="N180" s="32"/>
      <c r="O180" s="32" t="s">
        <v>2841</v>
      </c>
      <c r="P180" s="32"/>
      <c r="Q180" s="32"/>
      <c r="R180" s="32"/>
      <c r="S180" s="32"/>
      <c r="T180" s="32"/>
      <c r="U180" s="32"/>
      <c r="V180" s="32"/>
      <c r="W180" s="32"/>
      <c r="X180" s="32"/>
      <c r="Y180" s="32"/>
      <c r="Z180" s="32"/>
      <c r="AA180" s="32"/>
      <c r="AB180" s="32"/>
      <c r="AC180" s="32"/>
      <c r="AD180" s="32"/>
      <c r="AE180" s="32"/>
      <c r="AF180" s="32"/>
      <c r="AG180" s="32"/>
      <c r="AH180" s="32"/>
    </row>
    <row r="181" spans="1:34" x14ac:dyDescent="0.2">
      <c r="A181" s="117">
        <v>45179</v>
      </c>
      <c r="B181" s="29" t="s">
        <v>4234</v>
      </c>
      <c r="C181" s="26"/>
      <c r="D181" s="29">
        <v>3015289712</v>
      </c>
      <c r="E181" s="26" t="s">
        <v>31</v>
      </c>
      <c r="F181" s="32"/>
      <c r="G181" s="29"/>
      <c r="H181" s="29" t="s">
        <v>1361</v>
      </c>
      <c r="I181" s="29">
        <v>3022399130</v>
      </c>
      <c r="J181" s="29"/>
      <c r="K181" s="29"/>
      <c r="L181" s="29"/>
      <c r="M181" s="27" t="s">
        <v>2613</v>
      </c>
      <c r="N181" s="32"/>
      <c r="O181" s="32" t="s">
        <v>2841</v>
      </c>
      <c r="P181" s="32"/>
      <c r="Q181" s="32"/>
      <c r="R181" s="32"/>
      <c r="S181" s="32"/>
      <c r="T181" s="32"/>
      <c r="U181" s="32"/>
      <c r="V181" s="32"/>
      <c r="W181" s="32"/>
      <c r="X181" s="32"/>
      <c r="Y181" s="32"/>
      <c r="Z181" s="32" t="s">
        <v>4235</v>
      </c>
      <c r="AA181" s="32"/>
      <c r="AB181" s="32"/>
      <c r="AC181" s="32"/>
      <c r="AD181" s="32"/>
      <c r="AE181" s="32"/>
      <c r="AF181" s="32"/>
      <c r="AG181" s="32"/>
      <c r="AH181" s="32"/>
    </row>
    <row r="182" spans="1:34" x14ac:dyDescent="0.2">
      <c r="A182" s="117">
        <v>45179</v>
      </c>
      <c r="B182" s="29" t="s">
        <v>1367</v>
      </c>
      <c r="C182" s="26"/>
      <c r="D182" s="29">
        <v>3015721143</v>
      </c>
      <c r="E182" s="26" t="s">
        <v>31</v>
      </c>
      <c r="F182" s="32"/>
      <c r="G182" s="29"/>
      <c r="H182" s="29"/>
      <c r="I182" s="29"/>
      <c r="J182" s="29"/>
      <c r="K182" s="29"/>
      <c r="L182" s="29"/>
      <c r="M182" s="27" t="s">
        <v>2613</v>
      </c>
      <c r="N182" s="32"/>
      <c r="O182" s="32" t="s">
        <v>2841</v>
      </c>
      <c r="P182" s="32"/>
      <c r="Q182" s="32"/>
      <c r="R182" s="32"/>
      <c r="S182" s="32"/>
      <c r="T182" s="32"/>
      <c r="U182" s="32"/>
      <c r="V182" s="32"/>
      <c r="W182" s="32"/>
      <c r="X182" s="32"/>
      <c r="Y182" s="32"/>
      <c r="Z182" s="32" t="s">
        <v>4236</v>
      </c>
      <c r="AA182" s="32"/>
      <c r="AB182" s="32"/>
      <c r="AC182" s="32"/>
      <c r="AD182" s="32"/>
      <c r="AE182" s="32"/>
      <c r="AF182" s="32"/>
      <c r="AG182" s="32"/>
      <c r="AH182" s="32"/>
    </row>
    <row r="183" spans="1:34" x14ac:dyDescent="0.2">
      <c r="A183" s="117">
        <v>45179</v>
      </c>
      <c r="B183" s="29" t="s">
        <v>4237</v>
      </c>
      <c r="C183" s="26"/>
      <c r="D183" s="29">
        <v>3042032167</v>
      </c>
      <c r="E183" s="26" t="s">
        <v>31</v>
      </c>
      <c r="F183" s="32"/>
      <c r="G183" s="29"/>
      <c r="H183" s="29" t="s">
        <v>1361</v>
      </c>
      <c r="I183" s="29">
        <v>3013176547</v>
      </c>
      <c r="J183" s="29"/>
      <c r="K183" s="29"/>
      <c r="L183" s="29"/>
      <c r="M183" s="27" t="s">
        <v>2613</v>
      </c>
      <c r="N183" s="32"/>
      <c r="O183" s="32" t="s">
        <v>2841</v>
      </c>
      <c r="P183" s="32"/>
      <c r="Q183" s="32"/>
      <c r="R183" s="32"/>
      <c r="S183" s="32"/>
      <c r="T183" s="32"/>
      <c r="U183" s="32"/>
      <c r="V183" s="32"/>
      <c r="W183" s="32"/>
      <c r="X183" s="32"/>
      <c r="Y183" s="32"/>
      <c r="Z183" s="32"/>
      <c r="AA183" s="32"/>
      <c r="AB183" s="32"/>
      <c r="AC183" s="32"/>
      <c r="AD183" s="32"/>
      <c r="AE183" s="32"/>
      <c r="AF183" s="32"/>
      <c r="AG183" s="32"/>
      <c r="AH183" s="32"/>
    </row>
    <row r="184" spans="1:34" x14ac:dyDescent="0.2">
      <c r="A184" s="117">
        <v>45179</v>
      </c>
      <c r="B184" s="29" t="s">
        <v>4238</v>
      </c>
      <c r="C184" s="26"/>
      <c r="D184" s="29">
        <v>3001552850</v>
      </c>
      <c r="E184" s="26" t="s">
        <v>31</v>
      </c>
      <c r="F184" s="32"/>
      <c r="G184" s="29"/>
      <c r="H184" s="29" t="s">
        <v>4239</v>
      </c>
      <c r="I184" s="29">
        <v>3242729374</v>
      </c>
      <c r="J184" s="29"/>
      <c r="K184" s="29"/>
      <c r="L184" s="29"/>
      <c r="M184" s="27" t="s">
        <v>2613</v>
      </c>
      <c r="N184" s="32"/>
      <c r="O184" s="32" t="s">
        <v>2841</v>
      </c>
      <c r="P184" s="32"/>
      <c r="Q184" s="32"/>
      <c r="R184" s="32"/>
      <c r="S184" s="32"/>
      <c r="T184" s="32"/>
      <c r="U184" s="32"/>
      <c r="V184" s="32"/>
      <c r="W184" s="32"/>
      <c r="X184" s="32"/>
      <c r="Y184" s="32"/>
      <c r="Z184" s="32"/>
      <c r="AA184" s="32"/>
      <c r="AB184" s="32"/>
      <c r="AC184" s="32"/>
      <c r="AD184" s="32"/>
      <c r="AE184" s="32"/>
      <c r="AF184" s="32"/>
      <c r="AG184" s="32"/>
      <c r="AH184" s="32"/>
    </row>
    <row r="185" spans="1:34" x14ac:dyDescent="0.2">
      <c r="A185" s="117">
        <v>45179</v>
      </c>
      <c r="B185" s="29" t="s">
        <v>1382</v>
      </c>
      <c r="C185" s="26"/>
      <c r="D185" s="29">
        <v>3117241745</v>
      </c>
      <c r="E185" s="26" t="s">
        <v>31</v>
      </c>
      <c r="F185" s="32"/>
      <c r="G185" s="29"/>
      <c r="H185" s="29"/>
      <c r="I185" s="29"/>
      <c r="J185" s="29"/>
      <c r="K185" s="29"/>
      <c r="L185" s="29"/>
      <c r="M185" s="27" t="s">
        <v>2613</v>
      </c>
      <c r="N185" s="32"/>
      <c r="O185" s="32" t="s">
        <v>2841</v>
      </c>
      <c r="P185" s="32"/>
      <c r="Q185" s="32"/>
      <c r="R185" s="32"/>
      <c r="S185" s="32"/>
      <c r="T185" s="32"/>
      <c r="U185" s="32"/>
      <c r="V185" s="32"/>
      <c r="W185" s="32"/>
      <c r="X185" s="32"/>
      <c r="Y185" s="32"/>
      <c r="Z185" s="32" t="s">
        <v>1384</v>
      </c>
      <c r="AA185" s="32"/>
      <c r="AB185" s="32"/>
      <c r="AC185" s="32"/>
      <c r="AD185" s="32"/>
      <c r="AE185" s="32"/>
      <c r="AF185" s="32"/>
      <c r="AG185" s="32"/>
      <c r="AH185" s="32"/>
    </row>
    <row r="186" spans="1:34" x14ac:dyDescent="0.2">
      <c r="A186" s="117">
        <v>45186</v>
      </c>
      <c r="B186" s="29" t="s">
        <v>1400</v>
      </c>
      <c r="C186" s="26"/>
      <c r="D186" s="29">
        <v>3122617249</v>
      </c>
      <c r="E186" s="26" t="s">
        <v>31</v>
      </c>
      <c r="F186" s="32"/>
      <c r="G186" s="29" t="s">
        <v>4240</v>
      </c>
      <c r="H186" s="29"/>
      <c r="I186" s="29"/>
      <c r="J186" s="29"/>
      <c r="K186" s="29"/>
      <c r="L186" s="29"/>
      <c r="M186" s="27" t="s">
        <v>2613</v>
      </c>
      <c r="N186" s="32"/>
      <c r="O186" s="32" t="s">
        <v>2841</v>
      </c>
      <c r="P186" s="32"/>
      <c r="Q186" s="32"/>
      <c r="R186" s="32"/>
      <c r="S186" s="32"/>
      <c r="T186" s="32"/>
      <c r="U186" s="32"/>
      <c r="V186" s="32"/>
      <c r="W186" s="32"/>
      <c r="X186" s="32"/>
      <c r="Y186" s="32"/>
      <c r="Z186" s="32" t="s">
        <v>1402</v>
      </c>
      <c r="AA186" s="32"/>
      <c r="AB186" s="32"/>
      <c r="AC186" s="32"/>
      <c r="AD186" s="32"/>
      <c r="AE186" s="32"/>
      <c r="AF186" s="32"/>
      <c r="AG186" s="32"/>
      <c r="AH186" s="32"/>
    </row>
    <row r="187" spans="1:34" x14ac:dyDescent="0.2">
      <c r="A187" s="117">
        <v>45186</v>
      </c>
      <c r="B187" s="29" t="s">
        <v>1404</v>
      </c>
      <c r="C187" s="26"/>
      <c r="D187" s="29">
        <v>3116114332</v>
      </c>
      <c r="E187" s="26" t="s">
        <v>31</v>
      </c>
      <c r="F187" s="32"/>
      <c r="G187" s="29"/>
      <c r="H187" s="29" t="s">
        <v>2694</v>
      </c>
      <c r="I187" s="29">
        <v>3013839099</v>
      </c>
      <c r="J187" s="29"/>
      <c r="K187" s="29"/>
      <c r="L187" s="29"/>
      <c r="M187" s="27" t="s">
        <v>2613</v>
      </c>
      <c r="N187" s="32"/>
      <c r="O187" s="32" t="s">
        <v>2841</v>
      </c>
      <c r="P187" s="32"/>
      <c r="Q187" s="32"/>
      <c r="R187" s="32"/>
      <c r="S187" s="32"/>
      <c r="T187" s="32"/>
      <c r="U187" s="32"/>
      <c r="V187" s="32"/>
      <c r="W187" s="32"/>
      <c r="X187" s="32"/>
      <c r="Y187" s="32"/>
      <c r="Z187" s="32" t="s">
        <v>4241</v>
      </c>
      <c r="AA187" s="32"/>
      <c r="AB187" s="32"/>
      <c r="AC187" s="32"/>
      <c r="AD187" s="32"/>
      <c r="AE187" s="32"/>
      <c r="AF187" s="32"/>
      <c r="AG187" s="32"/>
      <c r="AH187" s="32"/>
    </row>
    <row r="188" spans="1:34" x14ac:dyDescent="0.2">
      <c r="A188" s="117">
        <v>45256</v>
      </c>
      <c r="B188" s="29" t="s">
        <v>1705</v>
      </c>
      <c r="C188" s="26">
        <v>1038812335</v>
      </c>
      <c r="D188" s="29">
        <v>3135757219</v>
      </c>
      <c r="E188" s="26" t="s">
        <v>31</v>
      </c>
      <c r="F188" s="32"/>
      <c r="G188" s="29"/>
      <c r="H188" s="29" t="s">
        <v>4242</v>
      </c>
      <c r="I188" s="29">
        <v>3234322190</v>
      </c>
      <c r="J188" s="29"/>
      <c r="K188" s="29"/>
      <c r="L188" s="29"/>
      <c r="M188" s="27" t="s">
        <v>2613</v>
      </c>
      <c r="N188" s="32"/>
      <c r="O188" s="32" t="s">
        <v>2841</v>
      </c>
      <c r="P188" s="32"/>
      <c r="Q188" s="32"/>
      <c r="R188" s="32"/>
      <c r="S188" s="32"/>
      <c r="T188" s="32"/>
      <c r="U188" s="32"/>
      <c r="V188" s="32"/>
      <c r="W188" s="32"/>
      <c r="X188" s="32"/>
      <c r="Y188" s="32"/>
      <c r="Z188" s="32"/>
      <c r="AA188" s="32"/>
      <c r="AB188" s="32"/>
      <c r="AC188" s="32"/>
      <c r="AD188" s="32"/>
      <c r="AE188" s="32"/>
      <c r="AF188" s="32"/>
      <c r="AG188" s="32"/>
      <c r="AH188" s="32"/>
    </row>
    <row r="189" spans="1:34" x14ac:dyDescent="0.2">
      <c r="A189" s="117">
        <v>45232</v>
      </c>
      <c r="B189" s="29" t="s">
        <v>4243</v>
      </c>
      <c r="C189" s="26">
        <v>21812704</v>
      </c>
      <c r="D189" s="29">
        <v>3216574572</v>
      </c>
      <c r="E189" s="26" t="s">
        <v>31</v>
      </c>
      <c r="F189" s="32"/>
      <c r="G189" s="29"/>
      <c r="H189" s="29"/>
      <c r="I189" s="29"/>
      <c r="J189" s="29"/>
      <c r="K189" s="29"/>
      <c r="L189" s="29"/>
      <c r="M189" s="27" t="s">
        <v>2613</v>
      </c>
      <c r="N189" s="32"/>
      <c r="O189" s="32" t="s">
        <v>2841</v>
      </c>
      <c r="P189" s="32"/>
      <c r="Q189" s="32"/>
      <c r="R189" s="32"/>
      <c r="S189" s="32"/>
      <c r="T189" s="32"/>
      <c r="U189" s="32"/>
      <c r="V189" s="32"/>
      <c r="W189" s="32"/>
      <c r="X189" s="32"/>
      <c r="Y189" s="32"/>
      <c r="Z189" s="32"/>
      <c r="AA189" s="32"/>
      <c r="AB189" s="32"/>
      <c r="AC189" s="32"/>
      <c r="AD189" s="32"/>
      <c r="AE189" s="32"/>
      <c r="AF189" s="32"/>
      <c r="AG189" s="32"/>
      <c r="AH189" s="32"/>
    </row>
    <row r="190" spans="1:34" x14ac:dyDescent="0.2">
      <c r="A190" s="117">
        <v>45232</v>
      </c>
      <c r="B190" s="29" t="s">
        <v>4244</v>
      </c>
      <c r="C190" s="26">
        <v>1017135681</v>
      </c>
      <c r="D190" s="29">
        <v>3245687365</v>
      </c>
      <c r="E190" s="26" t="s">
        <v>31</v>
      </c>
      <c r="F190" s="32"/>
      <c r="G190" s="29" t="s">
        <v>4240</v>
      </c>
      <c r="H190" s="29" t="s">
        <v>1808</v>
      </c>
      <c r="I190" s="29">
        <v>3124108677</v>
      </c>
      <c r="J190" s="29"/>
      <c r="K190" s="29"/>
      <c r="L190" s="29"/>
      <c r="M190" s="27" t="s">
        <v>2613</v>
      </c>
      <c r="N190" s="32"/>
      <c r="O190" s="32" t="s">
        <v>2841</v>
      </c>
      <c r="P190" s="32"/>
      <c r="Q190" s="32"/>
      <c r="R190" s="32"/>
      <c r="S190" s="32"/>
      <c r="T190" s="32"/>
      <c r="U190" s="32"/>
      <c r="V190" s="32"/>
      <c r="W190" s="32"/>
      <c r="X190" s="32"/>
      <c r="Y190" s="32"/>
      <c r="Z190" s="32"/>
      <c r="AA190" s="32"/>
      <c r="AB190" s="32"/>
      <c r="AC190" s="32"/>
      <c r="AD190" s="32"/>
      <c r="AE190" s="32"/>
      <c r="AF190" s="32"/>
      <c r="AG190" s="32"/>
      <c r="AH190" s="32"/>
    </row>
    <row r="191" spans="1:34" x14ac:dyDescent="0.2">
      <c r="A191" s="117">
        <v>45354</v>
      </c>
      <c r="B191" s="29" t="s">
        <v>4245</v>
      </c>
      <c r="C191" s="26">
        <v>43666385</v>
      </c>
      <c r="D191" s="29">
        <v>3024641766</v>
      </c>
      <c r="E191" s="26" t="s">
        <v>31</v>
      </c>
      <c r="F191" s="32"/>
      <c r="G191" s="29" t="s">
        <v>4246</v>
      </c>
      <c r="H191" s="29" t="s">
        <v>363</v>
      </c>
      <c r="I191" s="29">
        <v>3142197550</v>
      </c>
      <c r="J191" s="29"/>
      <c r="K191" s="29"/>
      <c r="L191" s="29"/>
      <c r="M191" s="27" t="s">
        <v>2613</v>
      </c>
      <c r="N191" s="32"/>
      <c r="O191" s="32" t="s">
        <v>2841</v>
      </c>
      <c r="P191" s="32"/>
      <c r="Q191" s="32"/>
      <c r="R191" s="32"/>
      <c r="S191" s="32"/>
      <c r="T191" s="32"/>
      <c r="U191" s="32"/>
      <c r="V191" s="32"/>
      <c r="W191" s="32"/>
      <c r="X191" s="32"/>
      <c r="Y191" s="32"/>
      <c r="Z191" s="32" t="s">
        <v>1885</v>
      </c>
      <c r="AA191" s="32"/>
      <c r="AB191" s="32"/>
      <c r="AC191" s="32"/>
      <c r="AD191" s="32"/>
      <c r="AE191" s="32"/>
      <c r="AF191" s="32"/>
      <c r="AG191" s="32"/>
      <c r="AH191" s="32"/>
    </row>
    <row r="192" spans="1:34" x14ac:dyDescent="0.2">
      <c r="A192" s="29" t="s">
        <v>4247</v>
      </c>
      <c r="B192" s="29" t="s">
        <v>4248</v>
      </c>
      <c r="C192" s="26">
        <v>1002065552</v>
      </c>
      <c r="D192" s="29">
        <v>3013865335</v>
      </c>
      <c r="E192" s="26" t="s">
        <v>31</v>
      </c>
      <c r="F192" s="32"/>
      <c r="G192" s="29" t="s">
        <v>4249</v>
      </c>
      <c r="H192" s="29"/>
      <c r="I192" s="29"/>
      <c r="J192" s="29"/>
      <c r="K192" s="29"/>
      <c r="L192" s="29"/>
      <c r="M192" s="27" t="s">
        <v>2610</v>
      </c>
      <c r="N192" s="32" t="s">
        <v>4247</v>
      </c>
      <c r="O192" s="32" t="s">
        <v>2841</v>
      </c>
      <c r="P192" s="32"/>
      <c r="Q192" s="32"/>
      <c r="R192" s="32"/>
      <c r="S192" s="32"/>
      <c r="T192" s="32"/>
      <c r="U192" s="32"/>
      <c r="V192" s="32"/>
      <c r="W192" s="32"/>
      <c r="X192" s="32"/>
      <c r="Y192" s="32"/>
      <c r="Z192" s="32" t="s">
        <v>4250</v>
      </c>
      <c r="AA192" s="32"/>
      <c r="AB192" s="32"/>
      <c r="AC192" s="32"/>
      <c r="AD192" s="32"/>
      <c r="AE192" s="32"/>
      <c r="AF192" s="32"/>
      <c r="AG192" s="32"/>
      <c r="AH192" s="32"/>
    </row>
    <row r="193" spans="1:34" x14ac:dyDescent="0.2">
      <c r="A193" s="29" t="s">
        <v>4247</v>
      </c>
      <c r="B193" s="29" t="s">
        <v>4251</v>
      </c>
      <c r="C193" s="26">
        <v>43102028</v>
      </c>
      <c r="D193" s="29">
        <v>3075710434</v>
      </c>
      <c r="E193" s="26" t="s">
        <v>31</v>
      </c>
      <c r="F193" s="32"/>
      <c r="G193" s="29" t="s">
        <v>4252</v>
      </c>
      <c r="H193" s="29"/>
      <c r="I193" s="29"/>
      <c r="J193" s="29"/>
      <c r="K193" s="29"/>
      <c r="L193" s="29"/>
      <c r="M193" s="27" t="s">
        <v>2610</v>
      </c>
      <c r="N193" s="32" t="s">
        <v>4247</v>
      </c>
      <c r="O193" s="32" t="s">
        <v>2841</v>
      </c>
      <c r="P193" s="32"/>
      <c r="Q193" s="32"/>
      <c r="R193" s="32"/>
      <c r="S193" s="32"/>
      <c r="T193" s="32"/>
      <c r="U193" s="32"/>
      <c r="V193" s="32"/>
      <c r="W193" s="32"/>
      <c r="X193" s="32"/>
      <c r="Y193" s="32"/>
      <c r="Z193" s="32" t="s">
        <v>4253</v>
      </c>
      <c r="AA193" s="32"/>
      <c r="AB193" s="32"/>
      <c r="AC193" s="32"/>
      <c r="AD193" s="32"/>
      <c r="AE193" s="32"/>
      <c r="AF193" s="32"/>
      <c r="AG193" s="32"/>
      <c r="AH193" s="32"/>
    </row>
    <row r="194" spans="1:34" x14ac:dyDescent="0.2">
      <c r="A194" s="29" t="s">
        <v>4247</v>
      </c>
      <c r="B194" s="29" t="s">
        <v>3938</v>
      </c>
      <c r="C194" s="26">
        <v>43097384</v>
      </c>
      <c r="D194" s="29">
        <v>3136661455</v>
      </c>
      <c r="E194" s="26" t="s">
        <v>31</v>
      </c>
      <c r="F194" s="32"/>
      <c r="G194" s="29" t="s">
        <v>4254</v>
      </c>
      <c r="H194" s="29"/>
      <c r="I194" s="29"/>
      <c r="J194" s="29"/>
      <c r="K194" s="29"/>
      <c r="L194" s="29"/>
      <c r="M194" s="27" t="s">
        <v>2610</v>
      </c>
      <c r="N194" s="32" t="s">
        <v>4247</v>
      </c>
      <c r="O194" s="32" t="s">
        <v>2841</v>
      </c>
      <c r="P194" s="32"/>
      <c r="Q194" s="32"/>
      <c r="R194" s="32"/>
      <c r="S194" s="32"/>
      <c r="T194" s="32"/>
      <c r="U194" s="32"/>
      <c r="V194" s="32"/>
      <c r="W194" s="32"/>
      <c r="X194" s="32"/>
      <c r="Y194" s="32"/>
      <c r="Z194" s="32" t="s">
        <v>4255</v>
      </c>
      <c r="AA194" s="32"/>
      <c r="AB194" s="32"/>
      <c r="AC194" s="32"/>
      <c r="AD194" s="32"/>
      <c r="AE194" s="32"/>
      <c r="AF194" s="32"/>
      <c r="AG194" s="32"/>
      <c r="AH194" s="32"/>
    </row>
    <row r="195" spans="1:34" x14ac:dyDescent="0.2">
      <c r="A195" s="29" t="s">
        <v>4247</v>
      </c>
      <c r="B195" s="29" t="s">
        <v>205</v>
      </c>
      <c r="C195" s="26">
        <v>5851007</v>
      </c>
      <c r="D195" s="29">
        <v>3103777629</v>
      </c>
      <c r="E195" s="26" t="s">
        <v>31</v>
      </c>
      <c r="F195" s="32"/>
      <c r="G195" s="29" t="s">
        <v>4256</v>
      </c>
      <c r="H195" s="29"/>
      <c r="I195" s="29"/>
      <c r="J195" s="29"/>
      <c r="K195" s="29"/>
      <c r="L195" s="29"/>
      <c r="M195" s="27" t="s">
        <v>2610</v>
      </c>
      <c r="N195" s="32" t="s">
        <v>4247</v>
      </c>
      <c r="O195" s="32" t="s">
        <v>2841</v>
      </c>
      <c r="P195" s="32"/>
      <c r="Q195" s="32"/>
      <c r="R195" s="32"/>
      <c r="S195" s="32"/>
      <c r="T195" s="32"/>
      <c r="U195" s="32"/>
      <c r="V195" s="32"/>
      <c r="W195" s="32"/>
      <c r="X195" s="32"/>
      <c r="Y195" s="32"/>
      <c r="Z195" s="32" t="s">
        <v>4257</v>
      </c>
      <c r="AA195" s="32"/>
      <c r="AB195" s="32"/>
      <c r="AC195" s="32"/>
      <c r="AD195" s="32"/>
      <c r="AE195" s="32"/>
      <c r="AF195" s="32"/>
      <c r="AG195" s="32"/>
      <c r="AH195" s="32"/>
    </row>
    <row r="196" spans="1:34" x14ac:dyDescent="0.2">
      <c r="A196" s="29" t="s">
        <v>4247</v>
      </c>
      <c r="B196" s="29" t="s">
        <v>4258</v>
      </c>
      <c r="C196" s="26">
        <v>43485307</v>
      </c>
      <c r="D196" s="29">
        <v>3013046781</v>
      </c>
      <c r="E196" s="26" t="s">
        <v>31</v>
      </c>
      <c r="F196" s="32"/>
      <c r="G196" s="29" t="s">
        <v>4259</v>
      </c>
      <c r="H196" s="29"/>
      <c r="I196" s="29"/>
      <c r="J196" s="29"/>
      <c r="K196" s="29"/>
      <c r="L196" s="29"/>
      <c r="M196" s="27" t="s">
        <v>2610</v>
      </c>
      <c r="N196" s="32" t="s">
        <v>4247</v>
      </c>
      <c r="O196" s="32" t="s">
        <v>2841</v>
      </c>
      <c r="P196" s="32"/>
      <c r="Q196" s="32"/>
      <c r="R196" s="32"/>
      <c r="S196" s="32"/>
      <c r="T196" s="32"/>
      <c r="U196" s="32"/>
      <c r="V196" s="32"/>
      <c r="W196" s="32"/>
      <c r="X196" s="32"/>
      <c r="Y196" s="32"/>
      <c r="Z196" s="32" t="s">
        <v>4260</v>
      </c>
      <c r="AA196" s="32"/>
      <c r="AB196" s="32"/>
      <c r="AC196" s="32"/>
      <c r="AD196" s="32"/>
      <c r="AE196" s="32"/>
      <c r="AF196" s="32"/>
      <c r="AG196" s="32"/>
      <c r="AH196" s="32"/>
    </row>
    <row r="197" spans="1:34" x14ac:dyDescent="0.2">
      <c r="A197" s="29" t="s">
        <v>4247</v>
      </c>
      <c r="B197" s="29" t="s">
        <v>4261</v>
      </c>
      <c r="C197" s="26">
        <v>7792404</v>
      </c>
      <c r="D197" s="29">
        <v>3006237043</v>
      </c>
      <c r="E197" s="26" t="s">
        <v>31</v>
      </c>
      <c r="F197" s="32"/>
      <c r="G197" s="29" t="s">
        <v>4262</v>
      </c>
      <c r="H197" s="29"/>
      <c r="I197" s="29"/>
      <c r="J197" s="29"/>
      <c r="K197" s="29"/>
      <c r="L197" s="29"/>
      <c r="M197" s="27" t="s">
        <v>2610</v>
      </c>
      <c r="N197" s="32" t="s">
        <v>4247</v>
      </c>
      <c r="O197" s="32" t="s">
        <v>2841</v>
      </c>
      <c r="P197" s="32"/>
      <c r="Q197" s="32"/>
      <c r="R197" s="32"/>
      <c r="S197" s="32"/>
      <c r="T197" s="32"/>
      <c r="U197" s="32"/>
      <c r="V197" s="32"/>
      <c r="W197" s="32"/>
      <c r="X197" s="32"/>
      <c r="Y197" s="32"/>
      <c r="Z197" s="32" t="s">
        <v>4263</v>
      </c>
      <c r="AA197" s="32"/>
      <c r="AB197" s="32"/>
      <c r="AC197" s="32"/>
      <c r="AD197" s="32"/>
      <c r="AE197" s="32"/>
      <c r="AF197" s="32"/>
      <c r="AG197" s="32"/>
      <c r="AH197" s="32"/>
    </row>
    <row r="198" spans="1:34" x14ac:dyDescent="0.2">
      <c r="A198" s="29" t="s">
        <v>4247</v>
      </c>
      <c r="B198" s="29" t="s">
        <v>4264</v>
      </c>
      <c r="C198" s="26">
        <v>1152184156</v>
      </c>
      <c r="D198" s="29">
        <v>3002881615</v>
      </c>
      <c r="E198" s="26" t="s">
        <v>31</v>
      </c>
      <c r="F198" s="32"/>
      <c r="G198" s="29" t="s">
        <v>4265</v>
      </c>
      <c r="H198" s="29"/>
      <c r="I198" s="29"/>
      <c r="J198" s="29"/>
      <c r="K198" s="29"/>
      <c r="L198" s="29"/>
      <c r="M198" s="27" t="s">
        <v>2610</v>
      </c>
      <c r="N198" s="32" t="s">
        <v>4247</v>
      </c>
      <c r="O198" s="32" t="s">
        <v>2841</v>
      </c>
      <c r="P198" s="32"/>
      <c r="Q198" s="32"/>
      <c r="R198" s="32"/>
      <c r="S198" s="32"/>
      <c r="T198" s="32"/>
      <c r="U198" s="32"/>
      <c r="V198" s="32"/>
      <c r="W198" s="32"/>
      <c r="X198" s="32"/>
      <c r="Y198" s="32"/>
      <c r="Z198" s="32" t="s">
        <v>4266</v>
      </c>
      <c r="AA198" s="32"/>
      <c r="AB198" s="32"/>
      <c r="AC198" s="32"/>
      <c r="AD198" s="32"/>
      <c r="AE198" s="32"/>
      <c r="AF198" s="32"/>
      <c r="AG198" s="32"/>
      <c r="AH198" s="32"/>
    </row>
    <row r="199" spans="1:34" x14ac:dyDescent="0.2">
      <c r="A199" s="114">
        <v>45333</v>
      </c>
      <c r="B199" s="29" t="s">
        <v>4267</v>
      </c>
      <c r="C199" s="26">
        <v>83963859</v>
      </c>
      <c r="D199" s="29">
        <v>3222254045</v>
      </c>
      <c r="E199" s="26" t="s">
        <v>31</v>
      </c>
      <c r="F199" s="32"/>
      <c r="G199" s="29" t="s">
        <v>4268</v>
      </c>
      <c r="H199" s="29"/>
      <c r="I199" s="29"/>
      <c r="J199" s="29"/>
      <c r="K199" s="29"/>
      <c r="L199" s="29"/>
      <c r="M199" s="27" t="s">
        <v>2610</v>
      </c>
      <c r="N199" s="115">
        <v>45333</v>
      </c>
      <c r="O199" s="32" t="s">
        <v>2841</v>
      </c>
      <c r="P199" s="32"/>
      <c r="Q199" s="32"/>
      <c r="R199" s="32"/>
      <c r="S199" s="32"/>
      <c r="T199" s="32"/>
      <c r="U199" s="32"/>
      <c r="V199" s="32"/>
      <c r="W199" s="32"/>
      <c r="X199" s="32"/>
      <c r="Y199" s="32"/>
      <c r="Z199" s="32"/>
      <c r="AA199" s="32"/>
      <c r="AB199" s="32"/>
      <c r="AC199" s="32"/>
      <c r="AD199" s="32"/>
      <c r="AE199" s="32"/>
      <c r="AF199" s="32"/>
      <c r="AG199" s="32"/>
      <c r="AH199" s="32"/>
    </row>
    <row r="200" spans="1:34" x14ac:dyDescent="0.2">
      <c r="A200" s="114">
        <v>45333</v>
      </c>
      <c r="B200" s="29" t="s">
        <v>4269</v>
      </c>
      <c r="C200" s="26">
        <v>43751027</v>
      </c>
      <c r="D200" s="29">
        <v>3117167421</v>
      </c>
      <c r="E200" s="26" t="s">
        <v>31</v>
      </c>
      <c r="F200" s="32"/>
      <c r="G200" s="29" t="s">
        <v>4270</v>
      </c>
      <c r="H200" s="29" t="s">
        <v>3890</v>
      </c>
      <c r="I200" s="29">
        <v>3226699464</v>
      </c>
      <c r="J200" s="29"/>
      <c r="K200" s="29"/>
      <c r="L200" s="29"/>
      <c r="M200" s="27" t="s">
        <v>2610</v>
      </c>
      <c r="N200" s="115">
        <v>45333</v>
      </c>
      <c r="O200" s="32" t="s">
        <v>2841</v>
      </c>
      <c r="P200" s="32"/>
      <c r="Q200" s="32"/>
      <c r="R200" s="32"/>
      <c r="S200" s="32"/>
      <c r="T200" s="32"/>
      <c r="U200" s="32"/>
      <c r="V200" s="32"/>
      <c r="W200" s="32"/>
      <c r="X200" s="32"/>
      <c r="Y200" s="32"/>
      <c r="Z200" s="32" t="s">
        <v>4271</v>
      </c>
      <c r="AA200" s="32"/>
      <c r="AB200" s="32"/>
      <c r="AC200" s="32"/>
      <c r="AD200" s="32"/>
      <c r="AE200" s="32"/>
      <c r="AF200" s="32"/>
      <c r="AG200" s="32"/>
      <c r="AH200" s="32"/>
    </row>
    <row r="201" spans="1:34" x14ac:dyDescent="0.2">
      <c r="A201" s="114">
        <v>45333</v>
      </c>
      <c r="B201" s="29" t="s">
        <v>4272</v>
      </c>
      <c r="C201" s="26">
        <v>8418281</v>
      </c>
      <c r="D201" s="29">
        <v>3010000000</v>
      </c>
      <c r="E201" s="26" t="s">
        <v>31</v>
      </c>
      <c r="F201" s="32"/>
      <c r="G201" s="29" t="s">
        <v>4273</v>
      </c>
      <c r="H201" s="29"/>
      <c r="I201" s="29"/>
      <c r="J201" s="29"/>
      <c r="K201" s="29"/>
      <c r="L201" s="29"/>
      <c r="M201" s="27" t="s">
        <v>2610</v>
      </c>
      <c r="N201" s="115">
        <v>45333</v>
      </c>
      <c r="O201" s="32" t="s">
        <v>2841</v>
      </c>
      <c r="P201" s="32"/>
      <c r="Q201" s="32"/>
      <c r="R201" s="32"/>
      <c r="S201" s="32"/>
      <c r="T201" s="32"/>
      <c r="U201" s="32"/>
      <c r="V201" s="32"/>
      <c r="W201" s="32"/>
      <c r="X201" s="32"/>
      <c r="Y201" s="32"/>
      <c r="Z201" s="32" t="s">
        <v>4274</v>
      </c>
      <c r="AA201" s="32"/>
      <c r="AB201" s="32"/>
      <c r="AC201" s="32"/>
      <c r="AD201" s="32"/>
      <c r="AE201" s="32"/>
      <c r="AF201" s="32"/>
      <c r="AG201" s="32"/>
      <c r="AH201" s="32"/>
    </row>
    <row r="202" spans="1:34" x14ac:dyDescent="0.2">
      <c r="A202" s="114">
        <v>45333</v>
      </c>
      <c r="B202" s="29" t="s">
        <v>4275</v>
      </c>
      <c r="C202" s="26">
        <v>21910362</v>
      </c>
      <c r="D202" s="29">
        <v>3052603574</v>
      </c>
      <c r="E202" s="26" t="s">
        <v>31</v>
      </c>
      <c r="F202" s="32"/>
      <c r="G202" s="29" t="s">
        <v>4276</v>
      </c>
      <c r="H202" s="29"/>
      <c r="I202" s="29"/>
      <c r="J202" s="29"/>
      <c r="K202" s="29"/>
      <c r="L202" s="29"/>
      <c r="M202" s="27" t="s">
        <v>2610</v>
      </c>
      <c r="N202" s="115">
        <v>45333</v>
      </c>
      <c r="O202" s="32" t="s">
        <v>2841</v>
      </c>
      <c r="P202" s="32"/>
      <c r="Q202" s="32"/>
      <c r="R202" s="32"/>
      <c r="S202" s="32"/>
      <c r="T202" s="32"/>
      <c r="U202" s="32"/>
      <c r="V202" s="32"/>
      <c r="W202" s="32"/>
      <c r="X202" s="32"/>
      <c r="Y202" s="32"/>
      <c r="Z202" s="32" t="s">
        <v>4277</v>
      </c>
      <c r="AA202" s="32"/>
      <c r="AB202" s="32"/>
      <c r="AC202" s="32"/>
      <c r="AD202" s="32"/>
      <c r="AE202" s="32"/>
      <c r="AF202" s="32"/>
      <c r="AG202" s="32"/>
      <c r="AH202" s="32"/>
    </row>
    <row r="203" spans="1:34" x14ac:dyDescent="0.2">
      <c r="A203" s="114">
        <v>45333</v>
      </c>
      <c r="B203" s="29" t="s">
        <v>4278</v>
      </c>
      <c r="C203" s="26">
        <v>1003084348</v>
      </c>
      <c r="D203" s="29">
        <v>3216574572</v>
      </c>
      <c r="E203" s="26" t="s">
        <v>31</v>
      </c>
      <c r="F203" s="32"/>
      <c r="G203" s="29" t="s">
        <v>4279</v>
      </c>
      <c r="H203" s="29"/>
      <c r="I203" s="29"/>
      <c r="J203" s="29"/>
      <c r="K203" s="29"/>
      <c r="L203" s="29"/>
      <c r="M203" s="27" t="s">
        <v>2610</v>
      </c>
      <c r="N203" s="115">
        <v>45333</v>
      </c>
      <c r="O203" s="32" t="s">
        <v>2841</v>
      </c>
      <c r="P203" s="32"/>
      <c r="Q203" s="32"/>
      <c r="R203" s="32"/>
      <c r="S203" s="32"/>
      <c r="T203" s="32"/>
      <c r="U203" s="32"/>
      <c r="V203" s="32"/>
      <c r="W203" s="32"/>
      <c r="X203" s="32"/>
      <c r="Y203" s="32"/>
      <c r="Z203" s="32" t="s">
        <v>4280</v>
      </c>
      <c r="AA203" s="32"/>
      <c r="AB203" s="32"/>
      <c r="AC203" s="32"/>
      <c r="AD203" s="32"/>
      <c r="AE203" s="32"/>
      <c r="AF203" s="32"/>
      <c r="AG203" s="32"/>
      <c r="AH203" s="32"/>
    </row>
    <row r="204" spans="1:34" x14ac:dyDescent="0.2">
      <c r="A204" s="114">
        <v>45333</v>
      </c>
      <c r="B204" s="29" t="s">
        <v>4281</v>
      </c>
      <c r="C204" s="26">
        <v>32536984</v>
      </c>
      <c r="D204" s="29">
        <v>3005688113</v>
      </c>
      <c r="E204" s="26" t="s">
        <v>31</v>
      </c>
      <c r="F204" s="32"/>
      <c r="G204" s="29" t="s">
        <v>164</v>
      </c>
      <c r="H204" s="29"/>
      <c r="I204" s="29"/>
      <c r="J204" s="29"/>
      <c r="K204" s="29"/>
      <c r="L204" s="29"/>
      <c r="M204" s="27" t="s">
        <v>2610</v>
      </c>
      <c r="N204" s="115">
        <v>45333</v>
      </c>
      <c r="O204" s="32" t="s">
        <v>2841</v>
      </c>
      <c r="P204" s="32"/>
      <c r="Q204" s="32"/>
      <c r="R204" s="32"/>
      <c r="S204" s="32"/>
      <c r="T204" s="32"/>
      <c r="U204" s="32"/>
      <c r="V204" s="32"/>
      <c r="W204" s="32"/>
      <c r="X204" s="32"/>
      <c r="Y204" s="32"/>
      <c r="Z204" s="32"/>
      <c r="AA204" s="32"/>
      <c r="AB204" s="32"/>
      <c r="AC204" s="32"/>
      <c r="AD204" s="32"/>
      <c r="AE204" s="32"/>
      <c r="AF204" s="32"/>
      <c r="AG204" s="32"/>
      <c r="AH204" s="32"/>
    </row>
    <row r="205" spans="1:34" x14ac:dyDescent="0.2">
      <c r="A205" s="114">
        <v>45333</v>
      </c>
      <c r="B205" s="29" t="s">
        <v>4282</v>
      </c>
      <c r="C205" s="26">
        <v>43808480</v>
      </c>
      <c r="D205" s="29">
        <v>3059370059</v>
      </c>
      <c r="E205" s="26" t="s">
        <v>31</v>
      </c>
      <c r="F205" s="32"/>
      <c r="G205" s="29" t="s">
        <v>4283</v>
      </c>
      <c r="H205" s="29"/>
      <c r="I205" s="29"/>
      <c r="J205" s="29"/>
      <c r="K205" s="29"/>
      <c r="L205" s="29"/>
      <c r="M205" s="27" t="s">
        <v>2610</v>
      </c>
      <c r="N205" s="115">
        <v>45333</v>
      </c>
      <c r="O205" s="32" t="s">
        <v>2841</v>
      </c>
      <c r="P205" s="32"/>
      <c r="Q205" s="32"/>
      <c r="R205" s="32"/>
      <c r="S205" s="32"/>
      <c r="T205" s="32"/>
      <c r="U205" s="32"/>
      <c r="V205" s="32"/>
      <c r="W205" s="32"/>
      <c r="X205" s="32"/>
      <c r="Y205" s="32"/>
      <c r="Z205" s="32" t="s">
        <v>4284</v>
      </c>
      <c r="AA205" s="32"/>
      <c r="AB205" s="32"/>
      <c r="AC205" s="32"/>
      <c r="AD205" s="32"/>
      <c r="AE205" s="32"/>
      <c r="AF205" s="32"/>
      <c r="AG205" s="32"/>
      <c r="AH205" s="32"/>
    </row>
    <row r="206" spans="1:34" x14ac:dyDescent="0.2">
      <c r="A206" s="114">
        <v>45333</v>
      </c>
      <c r="B206" s="29" t="s">
        <v>4285</v>
      </c>
      <c r="C206" s="26">
        <v>1018376922</v>
      </c>
      <c r="D206" s="29">
        <v>3104553006</v>
      </c>
      <c r="E206" s="26" t="s">
        <v>31</v>
      </c>
      <c r="F206" s="32"/>
      <c r="G206" s="29" t="s">
        <v>4286</v>
      </c>
      <c r="H206" s="29"/>
      <c r="I206" s="29"/>
      <c r="J206" s="29"/>
      <c r="K206" s="29"/>
      <c r="L206" s="29"/>
      <c r="M206" s="27" t="s">
        <v>2610</v>
      </c>
      <c r="N206" s="115">
        <v>45333</v>
      </c>
      <c r="O206" s="32" t="s">
        <v>2841</v>
      </c>
      <c r="P206" s="32"/>
      <c r="Q206" s="32"/>
      <c r="R206" s="32"/>
      <c r="S206" s="32"/>
      <c r="T206" s="32"/>
      <c r="U206" s="32"/>
      <c r="V206" s="32"/>
      <c r="W206" s="32"/>
      <c r="X206" s="32"/>
      <c r="Y206" s="32"/>
      <c r="Z206" s="32" t="s">
        <v>4287</v>
      </c>
      <c r="AA206" s="32"/>
      <c r="AB206" s="32"/>
      <c r="AC206" s="32"/>
      <c r="AD206" s="32"/>
      <c r="AE206" s="32"/>
      <c r="AF206" s="32"/>
      <c r="AG206" s="32"/>
      <c r="AH206" s="32"/>
    </row>
    <row r="207" spans="1:34" x14ac:dyDescent="0.2">
      <c r="A207" s="114">
        <v>45102</v>
      </c>
      <c r="B207" s="29" t="s">
        <v>4200</v>
      </c>
      <c r="C207" s="26">
        <v>32118678</v>
      </c>
      <c r="D207" s="29">
        <v>3108445468</v>
      </c>
      <c r="E207" s="26" t="s">
        <v>31</v>
      </c>
      <c r="F207" s="32"/>
      <c r="G207" s="29" t="s">
        <v>4288</v>
      </c>
      <c r="H207" s="29"/>
      <c r="I207" s="29"/>
      <c r="J207" s="29"/>
      <c r="K207" s="29"/>
      <c r="L207" s="29"/>
      <c r="M207" s="27" t="s">
        <v>2610</v>
      </c>
      <c r="N207" s="115">
        <v>45102</v>
      </c>
      <c r="O207" s="32" t="s">
        <v>2841</v>
      </c>
      <c r="P207" s="32"/>
      <c r="Q207" s="32"/>
      <c r="R207" s="32"/>
      <c r="S207" s="32"/>
      <c r="T207" s="32"/>
      <c r="U207" s="32"/>
      <c r="V207" s="32"/>
      <c r="W207" s="32"/>
      <c r="X207" s="32"/>
      <c r="Y207" s="32"/>
      <c r="Z207" s="32"/>
      <c r="AA207" s="32"/>
      <c r="AB207" s="32"/>
      <c r="AC207" s="32"/>
      <c r="AD207" s="32"/>
      <c r="AE207" s="32"/>
      <c r="AF207" s="32"/>
      <c r="AG207" s="32"/>
      <c r="AH207" s="32"/>
    </row>
    <row r="208" spans="1:34" x14ac:dyDescent="0.2">
      <c r="A208" s="114">
        <v>45102</v>
      </c>
      <c r="B208" s="29" t="s">
        <v>42</v>
      </c>
      <c r="C208" s="26">
        <v>70541050</v>
      </c>
      <c r="D208" s="29">
        <v>3106555461</v>
      </c>
      <c r="E208" s="26" t="s">
        <v>31</v>
      </c>
      <c r="F208" s="32"/>
      <c r="G208" s="29" t="s">
        <v>4289</v>
      </c>
      <c r="H208" s="29"/>
      <c r="I208" s="29"/>
      <c r="J208" s="29"/>
      <c r="K208" s="29"/>
      <c r="L208" s="29"/>
      <c r="M208" s="27" t="s">
        <v>2610</v>
      </c>
      <c r="N208" s="115">
        <v>45102</v>
      </c>
      <c r="O208" s="32" t="s">
        <v>2841</v>
      </c>
      <c r="P208" s="32"/>
      <c r="Q208" s="32"/>
      <c r="R208" s="32"/>
      <c r="S208" s="32"/>
      <c r="T208" s="32"/>
      <c r="U208" s="32"/>
      <c r="V208" s="32"/>
      <c r="W208" s="32"/>
      <c r="X208" s="32"/>
      <c r="Y208" s="32"/>
      <c r="Z208" s="32"/>
      <c r="AA208" s="32"/>
      <c r="AB208" s="32"/>
      <c r="AC208" s="32"/>
      <c r="AD208" s="32"/>
      <c r="AE208" s="32"/>
      <c r="AF208" s="32"/>
      <c r="AG208" s="32"/>
      <c r="AH208" s="32"/>
    </row>
    <row r="209" spans="1:34" x14ac:dyDescent="0.2">
      <c r="A209" s="114">
        <v>45102</v>
      </c>
      <c r="B209" s="29" t="s">
        <v>4290</v>
      </c>
      <c r="C209" s="26">
        <v>6463475</v>
      </c>
      <c r="D209" s="29">
        <v>3215046669</v>
      </c>
      <c r="E209" s="26" t="s">
        <v>31</v>
      </c>
      <c r="F209" s="32"/>
      <c r="G209" s="29" t="s">
        <v>4291</v>
      </c>
      <c r="H209" s="29"/>
      <c r="I209" s="29"/>
      <c r="J209" s="29"/>
      <c r="K209" s="29"/>
      <c r="L209" s="29"/>
      <c r="M209" s="27" t="s">
        <v>2610</v>
      </c>
      <c r="N209" s="115">
        <v>45102</v>
      </c>
      <c r="O209" s="32" t="s">
        <v>2841</v>
      </c>
      <c r="P209" s="32"/>
      <c r="Q209" s="32"/>
      <c r="R209" s="32"/>
      <c r="S209" s="32"/>
      <c r="T209" s="32"/>
      <c r="U209" s="32"/>
      <c r="V209" s="32"/>
      <c r="W209" s="32"/>
      <c r="X209" s="32"/>
      <c r="Y209" s="32"/>
      <c r="Z209" s="32"/>
      <c r="AA209" s="32"/>
      <c r="AB209" s="32"/>
      <c r="AC209" s="32"/>
      <c r="AD209" s="32"/>
      <c r="AE209" s="32"/>
      <c r="AF209" s="32"/>
      <c r="AG209" s="32"/>
      <c r="AH209" s="32"/>
    </row>
    <row r="210" spans="1:34" x14ac:dyDescent="0.2">
      <c r="A210" s="29"/>
      <c r="B210" s="29"/>
      <c r="C210" s="26"/>
      <c r="D210" s="29"/>
      <c r="E210" s="26"/>
      <c r="F210" s="32"/>
      <c r="G210" s="29"/>
      <c r="H210" s="29"/>
      <c r="I210" s="29"/>
      <c r="J210" s="29"/>
      <c r="K210" s="29"/>
      <c r="L210" s="29"/>
      <c r="M210" s="27"/>
      <c r="N210" s="32"/>
      <c r="O210" s="32"/>
      <c r="P210" s="32"/>
      <c r="Q210" s="32"/>
      <c r="R210" s="32"/>
      <c r="S210" s="32"/>
      <c r="T210" s="32"/>
      <c r="U210" s="32"/>
      <c r="V210" s="32"/>
      <c r="W210" s="32"/>
      <c r="X210" s="32"/>
      <c r="Y210" s="32"/>
      <c r="Z210" s="32"/>
      <c r="AA210" s="32"/>
      <c r="AB210" s="32"/>
      <c r="AC210" s="32"/>
      <c r="AD210" s="32"/>
      <c r="AE210" s="32"/>
      <c r="AF210" s="32"/>
      <c r="AG210" s="32"/>
      <c r="AH210" s="32"/>
    </row>
    <row r="211" spans="1:34" x14ac:dyDescent="0.2">
      <c r="A211" s="29"/>
      <c r="B211" s="29"/>
      <c r="C211" s="26"/>
      <c r="D211" s="29"/>
      <c r="E211" s="26"/>
      <c r="F211" s="32"/>
      <c r="G211" s="29"/>
      <c r="H211" s="29"/>
      <c r="I211" s="29"/>
      <c r="J211" s="29"/>
      <c r="K211" s="29"/>
      <c r="L211" s="29"/>
      <c r="M211" s="27"/>
      <c r="N211" s="32"/>
      <c r="O211" s="32"/>
      <c r="P211" s="32"/>
      <c r="Q211" s="32"/>
      <c r="R211" s="32"/>
      <c r="S211" s="32"/>
      <c r="T211" s="32"/>
      <c r="U211" s="32"/>
      <c r="V211" s="32"/>
      <c r="W211" s="32"/>
      <c r="X211" s="32"/>
      <c r="Y211" s="32"/>
      <c r="Z211" s="32"/>
      <c r="AA211" s="32"/>
      <c r="AB211" s="32"/>
      <c r="AC211" s="32"/>
      <c r="AD211" s="32"/>
      <c r="AE211" s="32"/>
      <c r="AF211" s="32"/>
      <c r="AG211" s="32"/>
      <c r="AH211" s="32"/>
    </row>
    <row r="212" spans="1:34" x14ac:dyDescent="0.2">
      <c r="A212" s="29"/>
      <c r="B212" s="29"/>
      <c r="C212" s="26"/>
      <c r="D212" s="29"/>
      <c r="E212" s="26"/>
      <c r="F212" s="32"/>
      <c r="G212" s="29"/>
      <c r="H212" s="29"/>
      <c r="I212" s="29"/>
      <c r="J212" s="29"/>
      <c r="K212" s="29"/>
      <c r="L212" s="29"/>
      <c r="M212" s="27"/>
      <c r="N212" s="32"/>
      <c r="O212" s="32"/>
      <c r="P212" s="32"/>
      <c r="Q212" s="32"/>
      <c r="R212" s="32"/>
      <c r="S212" s="32"/>
      <c r="T212" s="32"/>
      <c r="U212" s="32"/>
      <c r="V212" s="32"/>
      <c r="W212" s="32"/>
      <c r="X212" s="32"/>
      <c r="Y212" s="32"/>
      <c r="Z212" s="32"/>
      <c r="AA212" s="32"/>
      <c r="AB212" s="32"/>
      <c r="AC212" s="32"/>
      <c r="AD212" s="32"/>
      <c r="AE212" s="32"/>
      <c r="AF212" s="32"/>
      <c r="AG212" s="32"/>
      <c r="AH212" s="32"/>
    </row>
    <row r="213" spans="1:34" x14ac:dyDescent="0.2">
      <c r="A213" s="29"/>
      <c r="B213" s="29"/>
      <c r="C213" s="26"/>
      <c r="D213" s="29"/>
      <c r="E213" s="26"/>
      <c r="F213" s="32"/>
      <c r="G213" s="29"/>
      <c r="H213" s="29"/>
      <c r="I213" s="29"/>
      <c r="J213" s="29"/>
      <c r="K213" s="29"/>
      <c r="L213" s="29"/>
      <c r="M213" s="27"/>
      <c r="N213" s="32"/>
      <c r="O213" s="32"/>
      <c r="P213" s="32"/>
      <c r="Q213" s="32"/>
      <c r="R213" s="32"/>
      <c r="S213" s="32"/>
      <c r="T213" s="32"/>
      <c r="U213" s="32"/>
      <c r="V213" s="32"/>
      <c r="W213" s="32"/>
      <c r="X213" s="32"/>
      <c r="Y213" s="32"/>
      <c r="Z213" s="32"/>
      <c r="AA213" s="32"/>
      <c r="AB213" s="32"/>
      <c r="AC213" s="32"/>
      <c r="AD213" s="32"/>
      <c r="AE213" s="32"/>
      <c r="AF213" s="32"/>
      <c r="AG213" s="32"/>
      <c r="AH213" s="32"/>
    </row>
    <row r="214" spans="1:34" x14ac:dyDescent="0.2">
      <c r="A214" s="29"/>
      <c r="B214" s="29"/>
      <c r="C214" s="26"/>
      <c r="D214" s="29"/>
      <c r="E214" s="26"/>
      <c r="F214" s="32"/>
      <c r="G214" s="29"/>
      <c r="H214" s="29"/>
      <c r="I214" s="29"/>
      <c r="J214" s="29"/>
      <c r="K214" s="29"/>
      <c r="L214" s="29"/>
      <c r="M214" s="27"/>
      <c r="N214" s="32"/>
      <c r="O214" s="32"/>
      <c r="P214" s="32"/>
      <c r="Q214" s="32"/>
      <c r="R214" s="32"/>
      <c r="S214" s="32"/>
      <c r="T214" s="32"/>
      <c r="U214" s="32"/>
      <c r="V214" s="32"/>
      <c r="W214" s="32"/>
      <c r="X214" s="32"/>
      <c r="Y214" s="32"/>
      <c r="Z214" s="32"/>
      <c r="AA214" s="32"/>
      <c r="AB214" s="32"/>
      <c r="AC214" s="32"/>
      <c r="AD214" s="32"/>
      <c r="AE214" s="32"/>
      <c r="AF214" s="32"/>
      <c r="AG214" s="32"/>
      <c r="AH214" s="32"/>
    </row>
    <row r="215" spans="1:34" x14ac:dyDescent="0.2">
      <c r="A215" s="29"/>
      <c r="B215" s="29"/>
      <c r="C215" s="26"/>
      <c r="D215" s="29"/>
      <c r="E215" s="26"/>
      <c r="F215" s="32"/>
      <c r="G215" s="29"/>
      <c r="H215" s="29"/>
      <c r="I215" s="29"/>
      <c r="J215" s="29"/>
      <c r="K215" s="29"/>
      <c r="L215" s="29"/>
      <c r="M215" s="27"/>
      <c r="N215" s="32"/>
      <c r="O215" s="32"/>
      <c r="P215" s="32"/>
      <c r="Q215" s="32"/>
      <c r="R215" s="32"/>
      <c r="S215" s="32"/>
      <c r="T215" s="32"/>
      <c r="U215" s="32"/>
      <c r="V215" s="32"/>
      <c r="W215" s="32"/>
      <c r="X215" s="32"/>
      <c r="Y215" s="32"/>
      <c r="Z215" s="32"/>
      <c r="AA215" s="32"/>
      <c r="AB215" s="32"/>
      <c r="AC215" s="32"/>
      <c r="AD215" s="32"/>
      <c r="AE215" s="32"/>
      <c r="AF215" s="32"/>
      <c r="AG215" s="32"/>
      <c r="AH215" s="32"/>
    </row>
    <row r="216" spans="1:34" x14ac:dyDescent="0.2">
      <c r="A216" s="29"/>
      <c r="B216" s="29"/>
      <c r="C216" s="26"/>
      <c r="D216" s="29"/>
      <c r="E216" s="26"/>
      <c r="F216" s="32"/>
      <c r="G216" s="29"/>
      <c r="H216" s="29"/>
      <c r="I216" s="29"/>
      <c r="J216" s="29"/>
      <c r="K216" s="29"/>
      <c r="L216" s="29"/>
      <c r="M216" s="27"/>
      <c r="N216" s="32"/>
      <c r="O216" s="32"/>
      <c r="P216" s="32"/>
      <c r="Q216" s="32"/>
      <c r="R216" s="32"/>
      <c r="S216" s="32"/>
      <c r="T216" s="32"/>
      <c r="U216" s="32"/>
      <c r="V216" s="32"/>
      <c r="W216" s="32"/>
      <c r="X216" s="32"/>
      <c r="Y216" s="32"/>
      <c r="Z216" s="32"/>
      <c r="AA216" s="32"/>
      <c r="AB216" s="32"/>
      <c r="AC216" s="32"/>
      <c r="AD216" s="32"/>
      <c r="AE216" s="32"/>
      <c r="AF216" s="32"/>
      <c r="AG216" s="32"/>
      <c r="AH216" s="32"/>
    </row>
    <row r="217" spans="1:34" x14ac:dyDescent="0.2">
      <c r="A217" s="29"/>
      <c r="B217" s="29"/>
      <c r="C217" s="26"/>
      <c r="D217" s="29"/>
      <c r="E217" s="26"/>
      <c r="F217" s="32"/>
      <c r="G217" s="29"/>
      <c r="H217" s="29"/>
      <c r="I217" s="29"/>
      <c r="J217" s="29"/>
      <c r="K217" s="29"/>
      <c r="L217" s="29"/>
      <c r="M217" s="27"/>
      <c r="N217" s="32"/>
      <c r="O217" s="32"/>
      <c r="P217" s="32"/>
      <c r="Q217" s="32"/>
      <c r="R217" s="32"/>
      <c r="S217" s="32"/>
      <c r="T217" s="32"/>
      <c r="U217" s="32"/>
      <c r="V217" s="32"/>
      <c r="W217" s="32"/>
      <c r="X217" s="32"/>
      <c r="Y217" s="32"/>
      <c r="Z217" s="32"/>
      <c r="AA217" s="32"/>
      <c r="AB217" s="32"/>
      <c r="AC217" s="32"/>
      <c r="AD217" s="32"/>
      <c r="AE217" s="32"/>
      <c r="AF217" s="32"/>
      <c r="AG217" s="32"/>
      <c r="AH217" s="32"/>
    </row>
    <row r="218" spans="1:34" x14ac:dyDescent="0.2">
      <c r="A218" s="29"/>
      <c r="B218" s="29"/>
      <c r="C218" s="26"/>
      <c r="D218" s="29"/>
      <c r="E218" s="26"/>
      <c r="F218" s="32"/>
      <c r="G218" s="29"/>
      <c r="H218" s="29"/>
      <c r="I218" s="29"/>
      <c r="J218" s="29"/>
      <c r="K218" s="29"/>
      <c r="L218" s="29"/>
      <c r="M218" s="27"/>
      <c r="N218" s="32"/>
      <c r="O218" s="32"/>
      <c r="P218" s="32"/>
      <c r="Q218" s="32"/>
      <c r="R218" s="32"/>
      <c r="S218" s="32"/>
      <c r="T218" s="32"/>
      <c r="U218" s="32"/>
      <c r="V218" s="32"/>
      <c r="W218" s="32"/>
      <c r="X218" s="32"/>
      <c r="Y218" s="32"/>
      <c r="Z218" s="32"/>
      <c r="AA218" s="32"/>
      <c r="AB218" s="32"/>
      <c r="AC218" s="32"/>
      <c r="AD218" s="32"/>
      <c r="AE218" s="32"/>
      <c r="AF218" s="32"/>
      <c r="AG218" s="32"/>
      <c r="AH218" s="32"/>
    </row>
    <row r="219" spans="1:34" x14ac:dyDescent="0.2">
      <c r="A219" s="29"/>
      <c r="B219" s="29"/>
      <c r="C219" s="26"/>
      <c r="D219" s="29"/>
      <c r="E219" s="26"/>
      <c r="F219" s="32"/>
      <c r="G219" s="29"/>
      <c r="H219" s="29"/>
      <c r="I219" s="29"/>
      <c r="J219" s="29"/>
      <c r="K219" s="29"/>
      <c r="L219" s="29"/>
      <c r="M219" s="27"/>
      <c r="N219" s="32"/>
      <c r="O219" s="32"/>
      <c r="P219" s="32"/>
      <c r="Q219" s="32"/>
      <c r="R219" s="32"/>
      <c r="S219" s="32"/>
      <c r="T219" s="32"/>
      <c r="U219" s="32"/>
      <c r="V219" s="32"/>
      <c r="W219" s="32"/>
      <c r="X219" s="32"/>
      <c r="Y219" s="32"/>
      <c r="Z219" s="32"/>
      <c r="AA219" s="32"/>
      <c r="AB219" s="32"/>
      <c r="AC219" s="32"/>
      <c r="AD219" s="32"/>
      <c r="AE219" s="32"/>
      <c r="AF219" s="32"/>
      <c r="AG219" s="32"/>
      <c r="AH219" s="32"/>
    </row>
    <row r="220" spans="1:34" x14ac:dyDescent="0.2">
      <c r="A220" s="29"/>
      <c r="B220" s="29"/>
      <c r="C220" s="26"/>
      <c r="D220" s="29"/>
      <c r="E220" s="26"/>
      <c r="F220" s="32"/>
      <c r="G220" s="29"/>
      <c r="H220" s="29"/>
      <c r="I220" s="29"/>
      <c r="J220" s="29"/>
      <c r="K220" s="29"/>
      <c r="L220" s="29"/>
      <c r="M220" s="27"/>
      <c r="N220" s="32"/>
      <c r="O220" s="32"/>
      <c r="P220" s="32"/>
      <c r="Q220" s="32"/>
      <c r="R220" s="32"/>
      <c r="S220" s="32"/>
      <c r="T220" s="32"/>
      <c r="U220" s="32"/>
      <c r="V220" s="32"/>
      <c r="W220" s="32"/>
      <c r="X220" s="32"/>
      <c r="Y220" s="32"/>
      <c r="Z220" s="32"/>
      <c r="AA220" s="32"/>
      <c r="AB220" s="32"/>
      <c r="AC220" s="32"/>
      <c r="AD220" s="32"/>
      <c r="AE220" s="32"/>
      <c r="AF220" s="32"/>
      <c r="AG220" s="32"/>
      <c r="AH220" s="32"/>
    </row>
    <row r="221" spans="1:34" x14ac:dyDescent="0.2">
      <c r="A221" s="29"/>
      <c r="B221" s="29"/>
      <c r="C221" s="26"/>
      <c r="D221" s="29"/>
      <c r="E221" s="26"/>
      <c r="F221" s="32"/>
      <c r="G221" s="29"/>
      <c r="H221" s="29"/>
      <c r="I221" s="29"/>
      <c r="J221" s="29"/>
      <c r="K221" s="29"/>
      <c r="L221" s="29"/>
      <c r="M221" s="27"/>
      <c r="N221" s="32"/>
      <c r="O221" s="32"/>
      <c r="P221" s="32"/>
      <c r="Q221" s="32"/>
      <c r="R221" s="32"/>
      <c r="S221" s="32"/>
      <c r="T221" s="32"/>
      <c r="U221" s="32"/>
      <c r="V221" s="32"/>
      <c r="W221" s="32"/>
      <c r="X221" s="32"/>
      <c r="Y221" s="32"/>
      <c r="Z221" s="32"/>
      <c r="AA221" s="32"/>
      <c r="AB221" s="32"/>
      <c r="AC221" s="32"/>
      <c r="AD221" s="32"/>
      <c r="AE221" s="32"/>
      <c r="AF221" s="32"/>
      <c r="AG221" s="32"/>
      <c r="AH221" s="32"/>
    </row>
    <row r="222" spans="1:34" x14ac:dyDescent="0.2">
      <c r="A222" s="29"/>
      <c r="B222" s="29"/>
      <c r="C222" s="26"/>
      <c r="D222" s="29"/>
      <c r="E222" s="26"/>
      <c r="F222" s="32"/>
      <c r="G222" s="29"/>
      <c r="H222" s="29"/>
      <c r="I222" s="29"/>
      <c r="J222" s="29"/>
      <c r="K222" s="29"/>
      <c r="L222" s="29"/>
      <c r="M222" s="27"/>
      <c r="N222" s="32"/>
      <c r="O222" s="32"/>
      <c r="P222" s="32"/>
      <c r="Q222" s="32"/>
      <c r="R222" s="32"/>
      <c r="S222" s="32"/>
      <c r="T222" s="32"/>
      <c r="U222" s="32"/>
      <c r="V222" s="32"/>
      <c r="W222" s="32"/>
      <c r="X222" s="32"/>
      <c r="Y222" s="32"/>
      <c r="Z222" s="32"/>
      <c r="AA222" s="32"/>
      <c r="AB222" s="32"/>
      <c r="AC222" s="32"/>
      <c r="AD222" s="32"/>
      <c r="AE222" s="32"/>
      <c r="AF222" s="32"/>
      <c r="AG222" s="32"/>
      <c r="AH222" s="32"/>
    </row>
    <row r="223" spans="1:34" x14ac:dyDescent="0.2">
      <c r="A223" s="29"/>
      <c r="B223" s="29"/>
      <c r="C223" s="26"/>
      <c r="D223" s="29"/>
      <c r="E223" s="26"/>
      <c r="F223" s="32"/>
      <c r="G223" s="29"/>
      <c r="H223" s="29"/>
      <c r="I223" s="29"/>
      <c r="J223" s="29"/>
      <c r="K223" s="29"/>
      <c r="L223" s="29"/>
      <c r="M223" s="27"/>
      <c r="N223" s="32"/>
      <c r="O223" s="32"/>
      <c r="P223" s="32"/>
      <c r="Q223" s="32"/>
      <c r="R223" s="32"/>
      <c r="S223" s="32"/>
      <c r="T223" s="32"/>
      <c r="U223" s="32"/>
      <c r="V223" s="32"/>
      <c r="W223" s="32"/>
      <c r="X223" s="32"/>
      <c r="Y223" s="32"/>
      <c r="Z223" s="32"/>
      <c r="AA223" s="32"/>
      <c r="AB223" s="32"/>
      <c r="AC223" s="32"/>
      <c r="AD223" s="32"/>
      <c r="AE223" s="32"/>
      <c r="AF223" s="32"/>
      <c r="AG223" s="32"/>
      <c r="AH223" s="32"/>
    </row>
    <row r="224" spans="1:34" x14ac:dyDescent="0.2">
      <c r="A224" s="29"/>
      <c r="B224" s="29"/>
      <c r="C224" s="26"/>
      <c r="D224" s="29"/>
      <c r="E224" s="26"/>
      <c r="F224" s="32"/>
      <c r="G224" s="29"/>
      <c r="H224" s="29"/>
      <c r="I224" s="29"/>
      <c r="J224" s="29"/>
      <c r="K224" s="29"/>
      <c r="L224" s="29"/>
      <c r="M224" s="27"/>
      <c r="N224" s="32"/>
      <c r="O224" s="32"/>
      <c r="P224" s="32"/>
      <c r="Q224" s="32"/>
      <c r="R224" s="32"/>
      <c r="S224" s="32"/>
      <c r="T224" s="32"/>
      <c r="U224" s="32"/>
      <c r="V224" s="32"/>
      <c r="W224" s="32"/>
      <c r="X224" s="32"/>
      <c r="Y224" s="32"/>
      <c r="Z224" s="32"/>
      <c r="AA224" s="32"/>
      <c r="AB224" s="32"/>
      <c r="AC224" s="32"/>
      <c r="AD224" s="32"/>
      <c r="AE224" s="32"/>
      <c r="AF224" s="32"/>
      <c r="AG224" s="32"/>
      <c r="AH224" s="32"/>
    </row>
    <row r="225" spans="1:34" x14ac:dyDescent="0.2">
      <c r="A225" s="29"/>
      <c r="B225" s="29"/>
      <c r="C225" s="26"/>
      <c r="D225" s="29"/>
      <c r="E225" s="26"/>
      <c r="F225" s="32"/>
      <c r="G225" s="29"/>
      <c r="H225" s="29"/>
      <c r="I225" s="29"/>
      <c r="J225" s="29"/>
      <c r="K225" s="29"/>
      <c r="L225" s="29"/>
      <c r="M225" s="27"/>
      <c r="N225" s="32"/>
      <c r="O225" s="32"/>
      <c r="P225" s="32"/>
      <c r="Q225" s="32"/>
      <c r="R225" s="32"/>
      <c r="S225" s="32"/>
      <c r="T225" s="32"/>
      <c r="U225" s="32"/>
      <c r="V225" s="32"/>
      <c r="W225" s="32"/>
      <c r="X225" s="32"/>
      <c r="Y225" s="32"/>
      <c r="Z225" s="32"/>
      <c r="AA225" s="32"/>
      <c r="AB225" s="32"/>
      <c r="AC225" s="32"/>
      <c r="AD225" s="32"/>
      <c r="AE225" s="32"/>
      <c r="AF225" s="32"/>
      <c r="AG225" s="32"/>
      <c r="AH225" s="32"/>
    </row>
    <row r="226" spans="1:34" x14ac:dyDescent="0.2">
      <c r="A226" s="29"/>
      <c r="B226" s="29"/>
      <c r="C226" s="26"/>
      <c r="D226" s="29"/>
      <c r="E226" s="26"/>
      <c r="F226" s="32"/>
      <c r="G226" s="29"/>
      <c r="H226" s="29"/>
      <c r="I226" s="29"/>
      <c r="J226" s="29"/>
      <c r="K226" s="29"/>
      <c r="L226" s="29"/>
      <c r="M226" s="27"/>
      <c r="N226" s="32"/>
      <c r="O226" s="32"/>
      <c r="P226" s="32"/>
      <c r="Q226" s="32"/>
      <c r="R226" s="32"/>
      <c r="S226" s="32"/>
      <c r="T226" s="32"/>
      <c r="U226" s="32"/>
      <c r="V226" s="32"/>
      <c r="W226" s="32"/>
      <c r="X226" s="32"/>
      <c r="Y226" s="32"/>
      <c r="Z226" s="32"/>
      <c r="AA226" s="32"/>
      <c r="AB226" s="32"/>
      <c r="AC226" s="32"/>
      <c r="AD226" s="32"/>
      <c r="AE226" s="32"/>
      <c r="AF226" s="32"/>
      <c r="AG226" s="32"/>
      <c r="AH226" s="32"/>
    </row>
    <row r="227" spans="1:34" x14ac:dyDescent="0.2">
      <c r="A227" s="29"/>
      <c r="B227" s="29"/>
      <c r="C227" s="26"/>
      <c r="D227" s="29"/>
      <c r="E227" s="26"/>
      <c r="F227" s="32"/>
      <c r="G227" s="29"/>
      <c r="H227" s="29"/>
      <c r="I227" s="29"/>
      <c r="J227" s="29"/>
      <c r="K227" s="29"/>
      <c r="L227" s="29"/>
      <c r="M227" s="27"/>
      <c r="N227" s="32"/>
      <c r="O227" s="32"/>
      <c r="P227" s="32"/>
      <c r="Q227" s="32"/>
      <c r="R227" s="32"/>
      <c r="S227" s="32"/>
      <c r="T227" s="32"/>
      <c r="U227" s="32"/>
      <c r="V227" s="32"/>
      <c r="W227" s="32"/>
      <c r="X227" s="32"/>
      <c r="Y227" s="32"/>
      <c r="Z227" s="32"/>
      <c r="AA227" s="32"/>
      <c r="AB227" s="32"/>
      <c r="AC227" s="32"/>
      <c r="AD227" s="32"/>
      <c r="AE227" s="32"/>
      <c r="AF227" s="32"/>
      <c r="AG227" s="32"/>
      <c r="AH227" s="32"/>
    </row>
    <row r="228" spans="1:34" x14ac:dyDescent="0.2">
      <c r="A228" s="29"/>
      <c r="B228" s="29"/>
      <c r="C228" s="26"/>
      <c r="D228" s="29"/>
      <c r="E228" s="26"/>
      <c r="F228" s="32"/>
      <c r="G228" s="29"/>
      <c r="H228" s="29"/>
      <c r="I228" s="29"/>
      <c r="J228" s="29"/>
      <c r="K228" s="29"/>
      <c r="L228" s="29"/>
      <c r="M228" s="27"/>
      <c r="N228" s="32"/>
      <c r="O228" s="32"/>
      <c r="P228" s="32"/>
      <c r="Q228" s="32"/>
      <c r="R228" s="32"/>
      <c r="S228" s="32"/>
      <c r="T228" s="32"/>
      <c r="U228" s="32"/>
      <c r="V228" s="32"/>
      <c r="W228" s="32"/>
      <c r="X228" s="32"/>
      <c r="Y228" s="32"/>
      <c r="Z228" s="32"/>
      <c r="AA228" s="32"/>
      <c r="AB228" s="32"/>
      <c r="AC228" s="32"/>
      <c r="AD228" s="32"/>
      <c r="AE228" s="32"/>
      <c r="AF228" s="32"/>
      <c r="AG228" s="32"/>
      <c r="AH228" s="32"/>
    </row>
    <row r="229" spans="1:34" x14ac:dyDescent="0.2">
      <c r="A229" s="29"/>
      <c r="B229" s="29"/>
      <c r="C229" s="26"/>
      <c r="D229" s="29"/>
      <c r="E229" s="26"/>
      <c r="F229" s="32"/>
      <c r="G229" s="29"/>
      <c r="H229" s="29"/>
      <c r="I229" s="29"/>
      <c r="J229" s="29"/>
      <c r="K229" s="29"/>
      <c r="L229" s="29"/>
      <c r="M229" s="27"/>
      <c r="N229" s="32"/>
      <c r="O229" s="32"/>
      <c r="P229" s="32"/>
      <c r="Q229" s="32"/>
      <c r="R229" s="32"/>
      <c r="S229" s="32"/>
      <c r="T229" s="32"/>
      <c r="U229" s="32"/>
      <c r="V229" s="32"/>
      <c r="W229" s="32"/>
      <c r="X229" s="32"/>
      <c r="Y229" s="32"/>
      <c r="Z229" s="32"/>
      <c r="AA229" s="32"/>
      <c r="AB229" s="32"/>
      <c r="AC229" s="32"/>
      <c r="AD229" s="32"/>
      <c r="AE229" s="32"/>
      <c r="AF229" s="32"/>
      <c r="AG229" s="32"/>
      <c r="AH229" s="32"/>
    </row>
    <row r="230" spans="1:34" x14ac:dyDescent="0.2">
      <c r="A230" s="29"/>
      <c r="B230" s="29"/>
      <c r="C230" s="26"/>
      <c r="D230" s="29"/>
      <c r="E230" s="26"/>
      <c r="F230" s="32"/>
      <c r="G230" s="29"/>
      <c r="H230" s="29"/>
      <c r="I230" s="29"/>
      <c r="J230" s="29"/>
      <c r="K230" s="29"/>
      <c r="L230" s="29"/>
      <c r="M230" s="27"/>
      <c r="N230" s="32"/>
      <c r="O230" s="32"/>
      <c r="P230" s="32"/>
      <c r="Q230" s="32"/>
      <c r="R230" s="32"/>
      <c r="S230" s="32"/>
      <c r="T230" s="32"/>
      <c r="U230" s="32"/>
      <c r="V230" s="32"/>
      <c r="W230" s="32"/>
      <c r="X230" s="32"/>
      <c r="Y230" s="32"/>
      <c r="Z230" s="32"/>
      <c r="AA230" s="32"/>
      <c r="AB230" s="32"/>
      <c r="AC230" s="32"/>
      <c r="AD230" s="32"/>
      <c r="AE230" s="32"/>
      <c r="AF230" s="32"/>
      <c r="AG230" s="32"/>
      <c r="AH230" s="32"/>
    </row>
    <row r="231" spans="1:34" x14ac:dyDescent="0.2">
      <c r="A231" s="29"/>
      <c r="B231" s="29"/>
      <c r="C231" s="26"/>
      <c r="D231" s="29"/>
      <c r="E231" s="26"/>
      <c r="F231" s="32"/>
      <c r="G231" s="29"/>
      <c r="H231" s="29"/>
      <c r="I231" s="29"/>
      <c r="J231" s="29"/>
      <c r="K231" s="29"/>
      <c r="L231" s="29"/>
      <c r="M231" s="27"/>
      <c r="N231" s="32"/>
      <c r="O231" s="32"/>
      <c r="P231" s="32"/>
      <c r="Q231" s="32"/>
      <c r="R231" s="32"/>
      <c r="S231" s="32"/>
      <c r="T231" s="32"/>
      <c r="U231" s="32"/>
      <c r="V231" s="32"/>
      <c r="W231" s="32"/>
      <c r="X231" s="32"/>
      <c r="Y231" s="32"/>
      <c r="Z231" s="32"/>
      <c r="AA231" s="32"/>
      <c r="AB231" s="32"/>
      <c r="AC231" s="32"/>
      <c r="AD231" s="32"/>
      <c r="AE231" s="32"/>
      <c r="AF231" s="32"/>
      <c r="AG231" s="32"/>
      <c r="AH231" s="32"/>
    </row>
    <row r="232" spans="1:34" x14ac:dyDescent="0.2">
      <c r="A232" s="29"/>
      <c r="B232" s="29"/>
      <c r="C232" s="26"/>
      <c r="D232" s="29"/>
      <c r="E232" s="26"/>
      <c r="F232" s="32"/>
      <c r="G232" s="29"/>
      <c r="H232" s="29"/>
      <c r="I232" s="29"/>
      <c r="J232" s="29"/>
      <c r="K232" s="29"/>
      <c r="L232" s="29"/>
      <c r="M232" s="27"/>
      <c r="N232" s="32"/>
      <c r="O232" s="32"/>
      <c r="P232" s="32"/>
      <c r="Q232" s="32"/>
      <c r="R232" s="32"/>
      <c r="S232" s="32"/>
      <c r="T232" s="32"/>
      <c r="U232" s="32"/>
      <c r="V232" s="32"/>
      <c r="W232" s="32"/>
      <c r="X232" s="32"/>
      <c r="Y232" s="32"/>
      <c r="Z232" s="32"/>
      <c r="AA232" s="32"/>
      <c r="AB232" s="32"/>
      <c r="AC232" s="32"/>
      <c r="AD232" s="32"/>
      <c r="AE232" s="32"/>
      <c r="AF232" s="32"/>
      <c r="AG232" s="32"/>
      <c r="AH232" s="32"/>
    </row>
    <row r="233" spans="1:34" x14ac:dyDescent="0.2">
      <c r="A233" s="29"/>
      <c r="B233" s="29"/>
      <c r="C233" s="26"/>
      <c r="D233" s="29"/>
      <c r="E233" s="26"/>
      <c r="F233" s="32"/>
      <c r="G233" s="29"/>
      <c r="H233" s="29"/>
      <c r="I233" s="29"/>
      <c r="J233" s="29"/>
      <c r="K233" s="29"/>
      <c r="L233" s="29"/>
      <c r="M233" s="27"/>
      <c r="N233" s="32"/>
      <c r="O233" s="32"/>
      <c r="P233" s="32"/>
      <c r="Q233" s="32"/>
      <c r="R233" s="32"/>
      <c r="S233" s="32"/>
      <c r="T233" s="32"/>
      <c r="U233" s="32"/>
      <c r="V233" s="32"/>
      <c r="W233" s="32"/>
      <c r="X233" s="32"/>
      <c r="Y233" s="32"/>
      <c r="Z233" s="32"/>
      <c r="AA233" s="32"/>
      <c r="AB233" s="32"/>
      <c r="AC233" s="32"/>
      <c r="AD233" s="32"/>
      <c r="AE233" s="32"/>
      <c r="AF233" s="32"/>
      <c r="AG233" s="32"/>
      <c r="AH233" s="32"/>
    </row>
    <row r="234" spans="1:34" x14ac:dyDescent="0.2">
      <c r="A234" s="29"/>
      <c r="B234" s="29"/>
      <c r="C234" s="26"/>
      <c r="D234" s="29"/>
      <c r="E234" s="26"/>
      <c r="F234" s="32"/>
      <c r="G234" s="29"/>
      <c r="H234" s="29"/>
      <c r="I234" s="29"/>
      <c r="J234" s="29"/>
      <c r="K234" s="29"/>
      <c r="L234" s="29"/>
      <c r="M234" s="27"/>
      <c r="N234" s="32"/>
      <c r="O234" s="32"/>
      <c r="P234" s="32"/>
      <c r="Q234" s="32"/>
      <c r="R234" s="32"/>
      <c r="S234" s="32"/>
      <c r="T234" s="32"/>
      <c r="U234" s="32"/>
      <c r="V234" s="32"/>
      <c r="W234" s="32"/>
      <c r="X234" s="32"/>
      <c r="Y234" s="32"/>
      <c r="Z234" s="32"/>
      <c r="AA234" s="32"/>
      <c r="AB234" s="32"/>
      <c r="AC234" s="32"/>
      <c r="AD234" s="32"/>
      <c r="AE234" s="32"/>
      <c r="AF234" s="32"/>
      <c r="AG234" s="32"/>
      <c r="AH234" s="32"/>
    </row>
    <row r="235" spans="1:34" x14ac:dyDescent="0.2">
      <c r="A235" s="29"/>
      <c r="B235" s="29"/>
      <c r="C235" s="26"/>
      <c r="D235" s="29"/>
      <c r="E235" s="26"/>
      <c r="F235" s="32"/>
      <c r="G235" s="29"/>
      <c r="H235" s="29"/>
      <c r="I235" s="29"/>
      <c r="J235" s="29"/>
      <c r="K235" s="29"/>
      <c r="L235" s="29"/>
      <c r="M235" s="27"/>
      <c r="N235" s="32"/>
      <c r="O235" s="32"/>
      <c r="P235" s="32"/>
      <c r="Q235" s="32"/>
      <c r="R235" s="32"/>
      <c r="S235" s="32"/>
      <c r="T235" s="32"/>
      <c r="U235" s="32"/>
      <c r="V235" s="32"/>
      <c r="W235" s="32"/>
      <c r="X235" s="32"/>
      <c r="Y235" s="32"/>
      <c r="Z235" s="32"/>
      <c r="AA235" s="32"/>
      <c r="AB235" s="32"/>
      <c r="AC235" s="32"/>
      <c r="AD235" s="32"/>
      <c r="AE235" s="32"/>
      <c r="AF235" s="32"/>
      <c r="AG235" s="32"/>
      <c r="AH235" s="32"/>
    </row>
    <row r="236" spans="1:34" x14ac:dyDescent="0.2">
      <c r="A236" s="29"/>
      <c r="B236" s="29"/>
      <c r="C236" s="26"/>
      <c r="D236" s="29"/>
      <c r="E236" s="26"/>
      <c r="F236" s="32"/>
      <c r="G236" s="29"/>
      <c r="H236" s="29"/>
      <c r="I236" s="29"/>
      <c r="J236" s="29"/>
      <c r="K236" s="29"/>
      <c r="L236" s="29"/>
      <c r="M236" s="27"/>
      <c r="N236" s="32"/>
      <c r="O236" s="32"/>
      <c r="P236" s="32"/>
      <c r="Q236" s="32"/>
      <c r="R236" s="32"/>
      <c r="S236" s="32"/>
      <c r="T236" s="32"/>
      <c r="U236" s="32"/>
      <c r="V236" s="32"/>
      <c r="W236" s="32"/>
      <c r="X236" s="32"/>
      <c r="Y236" s="32"/>
      <c r="Z236" s="32"/>
      <c r="AA236" s="32"/>
      <c r="AB236" s="32"/>
      <c r="AC236" s="32"/>
      <c r="AD236" s="32"/>
      <c r="AE236" s="32"/>
      <c r="AF236" s="32"/>
      <c r="AG236" s="32"/>
      <c r="AH236" s="32"/>
    </row>
    <row r="237" spans="1:34" x14ac:dyDescent="0.2">
      <c r="A237" s="29"/>
      <c r="B237" s="29"/>
      <c r="C237" s="26"/>
      <c r="D237" s="29"/>
      <c r="E237" s="26"/>
      <c r="F237" s="32"/>
      <c r="G237" s="29"/>
      <c r="H237" s="29"/>
      <c r="I237" s="29"/>
      <c r="J237" s="29"/>
      <c r="K237" s="29"/>
      <c r="L237" s="29"/>
      <c r="M237" s="27"/>
      <c r="N237" s="32"/>
      <c r="O237" s="32"/>
      <c r="P237" s="32"/>
      <c r="Q237" s="32"/>
      <c r="R237" s="32"/>
      <c r="S237" s="32"/>
      <c r="T237" s="32"/>
      <c r="U237" s="32"/>
      <c r="V237" s="32"/>
      <c r="W237" s="32"/>
      <c r="X237" s="32"/>
      <c r="Y237" s="32"/>
      <c r="Z237" s="32"/>
      <c r="AA237" s="32"/>
      <c r="AB237" s="32"/>
      <c r="AC237" s="32"/>
      <c r="AD237" s="32"/>
      <c r="AE237" s="32"/>
      <c r="AF237" s="32"/>
      <c r="AG237" s="32"/>
      <c r="AH237" s="32"/>
    </row>
    <row r="238" spans="1:34" x14ac:dyDescent="0.2">
      <c r="A238" s="29"/>
      <c r="B238" s="29"/>
      <c r="C238" s="26"/>
      <c r="D238" s="29"/>
      <c r="E238" s="26"/>
      <c r="F238" s="32"/>
      <c r="G238" s="29"/>
      <c r="H238" s="29"/>
      <c r="I238" s="29"/>
      <c r="J238" s="29"/>
      <c r="K238" s="29"/>
      <c r="L238" s="29"/>
      <c r="M238" s="27"/>
      <c r="N238" s="32"/>
      <c r="O238" s="32"/>
      <c r="P238" s="32"/>
      <c r="Q238" s="32"/>
      <c r="R238" s="32"/>
      <c r="S238" s="32"/>
      <c r="T238" s="32"/>
      <c r="U238" s="32"/>
      <c r="V238" s="32"/>
      <c r="W238" s="32"/>
      <c r="X238" s="32"/>
      <c r="Y238" s="32"/>
      <c r="Z238" s="32"/>
      <c r="AA238" s="32"/>
      <c r="AB238" s="32"/>
      <c r="AC238" s="32"/>
      <c r="AD238" s="32"/>
      <c r="AE238" s="32"/>
      <c r="AF238" s="32"/>
      <c r="AG238" s="32"/>
      <c r="AH238" s="32"/>
    </row>
    <row r="239" spans="1:34" x14ac:dyDescent="0.2">
      <c r="A239" s="29"/>
      <c r="B239" s="29"/>
      <c r="C239" s="26"/>
      <c r="D239" s="29"/>
      <c r="E239" s="26"/>
      <c r="F239" s="32"/>
      <c r="G239" s="29"/>
      <c r="H239" s="29"/>
      <c r="I239" s="29"/>
      <c r="J239" s="29"/>
      <c r="K239" s="29"/>
      <c r="L239" s="29"/>
      <c r="M239" s="27"/>
      <c r="N239" s="32"/>
      <c r="O239" s="32"/>
      <c r="P239" s="32"/>
      <c r="Q239" s="32"/>
      <c r="R239" s="32"/>
      <c r="S239" s="32"/>
      <c r="T239" s="32"/>
      <c r="U239" s="32"/>
      <c r="V239" s="32"/>
      <c r="W239" s="32"/>
      <c r="X239" s="32"/>
      <c r="Y239" s="32"/>
      <c r="Z239" s="32"/>
      <c r="AA239" s="32"/>
      <c r="AB239" s="32"/>
      <c r="AC239" s="32"/>
      <c r="AD239" s="32"/>
      <c r="AE239" s="32"/>
      <c r="AF239" s="32"/>
      <c r="AG239" s="32"/>
      <c r="AH239" s="32"/>
    </row>
    <row r="240" spans="1:34" x14ac:dyDescent="0.2">
      <c r="A240" s="29"/>
      <c r="B240" s="29"/>
      <c r="C240" s="26"/>
      <c r="D240" s="29"/>
      <c r="E240" s="26"/>
      <c r="F240" s="32"/>
      <c r="G240" s="29"/>
      <c r="H240" s="29"/>
      <c r="I240" s="29"/>
      <c r="J240" s="29"/>
      <c r="K240" s="29"/>
      <c r="L240" s="29"/>
      <c r="M240" s="27"/>
      <c r="N240" s="32"/>
      <c r="O240" s="32"/>
      <c r="P240" s="32"/>
      <c r="Q240" s="32"/>
      <c r="R240" s="32"/>
      <c r="S240" s="32"/>
      <c r="T240" s="32"/>
      <c r="U240" s="32"/>
      <c r="V240" s="32"/>
      <c r="W240" s="32"/>
      <c r="X240" s="32"/>
      <c r="Y240" s="32"/>
      <c r="Z240" s="32"/>
      <c r="AA240" s="32"/>
      <c r="AB240" s="32"/>
      <c r="AC240" s="32"/>
      <c r="AD240" s="32"/>
      <c r="AE240" s="32"/>
      <c r="AF240" s="32"/>
      <c r="AG240" s="32"/>
      <c r="AH240" s="32"/>
    </row>
    <row r="241" spans="1:34" x14ac:dyDescent="0.2">
      <c r="A241" s="29"/>
      <c r="B241" s="29"/>
      <c r="C241" s="26"/>
      <c r="D241" s="29"/>
      <c r="E241" s="26"/>
      <c r="F241" s="32"/>
      <c r="G241" s="29"/>
      <c r="H241" s="29"/>
      <c r="I241" s="29"/>
      <c r="J241" s="29"/>
      <c r="K241" s="29"/>
      <c r="L241" s="29"/>
      <c r="M241" s="27"/>
      <c r="N241" s="32"/>
      <c r="O241" s="32"/>
      <c r="P241" s="32"/>
      <c r="Q241" s="32"/>
      <c r="R241" s="32"/>
      <c r="S241" s="32"/>
      <c r="T241" s="32"/>
      <c r="U241" s="32"/>
      <c r="V241" s="32"/>
      <c r="W241" s="32"/>
      <c r="X241" s="32"/>
      <c r="Y241" s="32"/>
      <c r="Z241" s="32"/>
      <c r="AA241" s="32"/>
      <c r="AB241" s="32"/>
      <c r="AC241" s="32"/>
      <c r="AD241" s="32"/>
      <c r="AE241" s="32"/>
      <c r="AF241" s="32"/>
      <c r="AG241" s="32"/>
      <c r="AH241" s="32"/>
    </row>
    <row r="242" spans="1:34" x14ac:dyDescent="0.2">
      <c r="A242" s="29"/>
      <c r="B242" s="29"/>
      <c r="C242" s="26"/>
      <c r="D242" s="29"/>
      <c r="E242" s="26"/>
      <c r="F242" s="32"/>
      <c r="G242" s="29"/>
      <c r="H242" s="29"/>
      <c r="I242" s="29"/>
      <c r="J242" s="29"/>
      <c r="K242" s="29"/>
      <c r="L242" s="29"/>
      <c r="M242" s="27"/>
      <c r="N242" s="32"/>
      <c r="O242" s="32"/>
      <c r="P242" s="32"/>
      <c r="Q242" s="32"/>
      <c r="R242" s="32"/>
      <c r="S242" s="32"/>
      <c r="T242" s="32"/>
      <c r="U242" s="32"/>
      <c r="V242" s="32"/>
      <c r="W242" s="32"/>
      <c r="X242" s="32"/>
      <c r="Y242" s="32"/>
      <c r="Z242" s="32"/>
      <c r="AA242" s="32"/>
      <c r="AB242" s="32"/>
      <c r="AC242" s="32"/>
      <c r="AD242" s="32"/>
      <c r="AE242" s="32"/>
      <c r="AF242" s="32"/>
      <c r="AG242" s="32"/>
      <c r="AH242" s="32"/>
    </row>
    <row r="243" spans="1:34" x14ac:dyDescent="0.2">
      <c r="A243" s="29"/>
      <c r="B243" s="29"/>
      <c r="C243" s="26"/>
      <c r="D243" s="29"/>
      <c r="E243" s="26"/>
      <c r="F243" s="32"/>
      <c r="G243" s="29"/>
      <c r="H243" s="29"/>
      <c r="I243" s="29"/>
      <c r="J243" s="29"/>
      <c r="K243" s="29"/>
      <c r="L243" s="29"/>
      <c r="M243" s="27"/>
      <c r="N243" s="32"/>
      <c r="O243" s="32"/>
      <c r="P243" s="32"/>
      <c r="Q243" s="32"/>
      <c r="R243" s="32"/>
      <c r="S243" s="32"/>
      <c r="T243" s="32"/>
      <c r="U243" s="32"/>
      <c r="V243" s="32"/>
      <c r="W243" s="32"/>
      <c r="X243" s="32"/>
      <c r="Y243" s="32"/>
      <c r="Z243" s="32"/>
      <c r="AA243" s="32"/>
      <c r="AB243" s="32"/>
      <c r="AC243" s="32"/>
      <c r="AD243" s="32"/>
      <c r="AE243" s="32"/>
      <c r="AF243" s="32"/>
      <c r="AG243" s="32"/>
      <c r="AH243" s="32"/>
    </row>
    <row r="244" spans="1:34" x14ac:dyDescent="0.2">
      <c r="A244" s="29"/>
      <c r="B244" s="29"/>
      <c r="C244" s="26"/>
      <c r="D244" s="29"/>
      <c r="E244" s="26"/>
      <c r="F244" s="32"/>
      <c r="G244" s="29"/>
      <c r="H244" s="29"/>
      <c r="I244" s="29"/>
      <c r="J244" s="29"/>
      <c r="K244" s="29"/>
      <c r="L244" s="29"/>
      <c r="M244" s="27"/>
      <c r="N244" s="32"/>
      <c r="O244" s="32"/>
      <c r="P244" s="32"/>
      <c r="Q244" s="32"/>
      <c r="R244" s="32"/>
      <c r="S244" s="32"/>
      <c r="T244" s="32"/>
      <c r="U244" s="32"/>
      <c r="V244" s="32"/>
      <c r="W244" s="32"/>
      <c r="X244" s="32"/>
      <c r="Y244" s="32"/>
      <c r="Z244" s="32"/>
      <c r="AA244" s="32"/>
      <c r="AB244" s="32"/>
      <c r="AC244" s="32"/>
      <c r="AD244" s="32"/>
      <c r="AE244" s="32"/>
      <c r="AF244" s="32"/>
      <c r="AG244" s="32"/>
      <c r="AH244" s="32"/>
    </row>
    <row r="245" spans="1:34" x14ac:dyDescent="0.2">
      <c r="A245" s="29"/>
      <c r="B245" s="29"/>
      <c r="C245" s="26"/>
      <c r="D245" s="29"/>
      <c r="E245" s="26"/>
      <c r="F245" s="32"/>
      <c r="G245" s="29"/>
      <c r="H245" s="29"/>
      <c r="I245" s="29"/>
      <c r="J245" s="29"/>
      <c r="K245" s="29"/>
      <c r="L245" s="29"/>
      <c r="M245" s="27"/>
      <c r="N245" s="32"/>
      <c r="O245" s="32"/>
      <c r="P245" s="32"/>
      <c r="Q245" s="32"/>
      <c r="R245" s="32"/>
      <c r="S245" s="32"/>
      <c r="T245" s="32"/>
      <c r="U245" s="32"/>
      <c r="V245" s="32"/>
      <c r="W245" s="32"/>
      <c r="X245" s="32"/>
      <c r="Y245" s="32"/>
      <c r="Z245" s="32"/>
      <c r="AA245" s="32"/>
      <c r="AB245" s="32"/>
      <c r="AC245" s="32"/>
      <c r="AD245" s="32"/>
      <c r="AE245" s="32"/>
      <c r="AF245" s="32"/>
      <c r="AG245" s="32"/>
      <c r="AH245" s="32"/>
    </row>
    <row r="246" spans="1:34" x14ac:dyDescent="0.2">
      <c r="A246" s="29"/>
      <c r="B246" s="29"/>
      <c r="C246" s="26"/>
      <c r="D246" s="29"/>
      <c r="E246" s="26"/>
      <c r="F246" s="32"/>
      <c r="G246" s="29"/>
      <c r="H246" s="29"/>
      <c r="I246" s="29"/>
      <c r="J246" s="29"/>
      <c r="K246" s="29"/>
      <c r="L246" s="29"/>
      <c r="M246" s="27"/>
      <c r="N246" s="32"/>
      <c r="O246" s="32"/>
      <c r="P246" s="32"/>
      <c r="Q246" s="32"/>
      <c r="R246" s="32"/>
      <c r="S246" s="32"/>
      <c r="T246" s="32"/>
      <c r="U246" s="32"/>
      <c r="V246" s="32"/>
      <c r="W246" s="32"/>
      <c r="X246" s="32"/>
      <c r="Y246" s="32"/>
      <c r="Z246" s="32"/>
      <c r="AA246" s="32"/>
      <c r="AB246" s="32"/>
      <c r="AC246" s="32"/>
      <c r="AD246" s="32"/>
      <c r="AE246" s="32"/>
      <c r="AF246" s="32"/>
      <c r="AG246" s="32"/>
      <c r="AH246" s="32"/>
    </row>
    <row r="247" spans="1:34" x14ac:dyDescent="0.2">
      <c r="A247" s="29"/>
      <c r="B247" s="29"/>
      <c r="C247" s="26"/>
      <c r="D247" s="29"/>
      <c r="E247" s="26"/>
      <c r="F247" s="32"/>
      <c r="G247" s="29"/>
      <c r="H247" s="29"/>
      <c r="I247" s="29"/>
      <c r="J247" s="29"/>
      <c r="K247" s="29"/>
      <c r="L247" s="29"/>
      <c r="M247" s="27"/>
      <c r="N247" s="32"/>
      <c r="O247" s="32"/>
      <c r="P247" s="32"/>
      <c r="Q247" s="32"/>
      <c r="R247" s="32"/>
      <c r="S247" s="32"/>
      <c r="T247" s="32"/>
      <c r="U247" s="32"/>
      <c r="V247" s="32"/>
      <c r="W247" s="32"/>
      <c r="X247" s="32"/>
      <c r="Y247" s="32"/>
      <c r="Z247" s="32"/>
      <c r="AA247" s="32"/>
      <c r="AB247" s="32"/>
      <c r="AC247" s="32"/>
      <c r="AD247" s="32"/>
      <c r="AE247" s="32"/>
      <c r="AF247" s="32"/>
      <c r="AG247" s="32"/>
      <c r="AH247" s="32"/>
    </row>
    <row r="248" spans="1:34" x14ac:dyDescent="0.2">
      <c r="A248" s="29"/>
      <c r="B248" s="29"/>
      <c r="C248" s="26"/>
      <c r="D248" s="29"/>
      <c r="E248" s="26"/>
      <c r="F248" s="32"/>
      <c r="G248" s="29"/>
      <c r="H248" s="29"/>
      <c r="I248" s="29"/>
      <c r="J248" s="29"/>
      <c r="K248" s="29"/>
      <c r="L248" s="29"/>
      <c r="M248" s="27"/>
      <c r="N248" s="32"/>
      <c r="O248" s="32"/>
      <c r="P248" s="32"/>
      <c r="Q248" s="32"/>
      <c r="R248" s="32"/>
      <c r="S248" s="32"/>
      <c r="T248" s="32"/>
      <c r="U248" s="32"/>
      <c r="V248" s="32"/>
      <c r="W248" s="32"/>
      <c r="X248" s="32"/>
      <c r="Y248" s="32"/>
      <c r="Z248" s="32"/>
      <c r="AA248" s="32"/>
      <c r="AB248" s="32"/>
      <c r="AC248" s="32"/>
      <c r="AD248" s="32"/>
      <c r="AE248" s="32"/>
      <c r="AF248" s="32"/>
      <c r="AG248" s="32"/>
      <c r="AH248" s="32"/>
    </row>
    <row r="249" spans="1:34" x14ac:dyDescent="0.2">
      <c r="A249" s="29"/>
      <c r="B249" s="29"/>
      <c r="C249" s="26"/>
      <c r="D249" s="29"/>
      <c r="E249" s="26"/>
      <c r="F249" s="32"/>
      <c r="G249" s="29"/>
      <c r="H249" s="29"/>
      <c r="I249" s="29"/>
      <c r="J249" s="29"/>
      <c r="K249" s="29"/>
      <c r="L249" s="29"/>
      <c r="M249" s="27"/>
      <c r="N249" s="32"/>
      <c r="O249" s="32"/>
      <c r="P249" s="32"/>
      <c r="Q249" s="32"/>
      <c r="R249" s="32"/>
      <c r="S249" s="32"/>
      <c r="T249" s="32"/>
      <c r="U249" s="32"/>
      <c r="V249" s="32"/>
      <c r="W249" s="32"/>
      <c r="X249" s="32"/>
      <c r="Y249" s="32"/>
      <c r="Z249" s="32"/>
      <c r="AA249" s="32"/>
      <c r="AB249" s="32"/>
      <c r="AC249" s="32"/>
      <c r="AD249" s="32"/>
      <c r="AE249" s="32"/>
      <c r="AF249" s="32"/>
      <c r="AG249" s="32"/>
      <c r="AH249" s="32"/>
    </row>
    <row r="250" spans="1:34" x14ac:dyDescent="0.2">
      <c r="A250" s="29"/>
      <c r="B250" s="29"/>
      <c r="C250" s="26"/>
      <c r="D250" s="29"/>
      <c r="E250" s="26"/>
      <c r="F250" s="32"/>
      <c r="G250" s="29"/>
      <c r="H250" s="29"/>
      <c r="I250" s="29"/>
      <c r="J250" s="29"/>
      <c r="K250" s="29"/>
      <c r="L250" s="29"/>
      <c r="M250" s="27"/>
      <c r="N250" s="32"/>
      <c r="O250" s="32"/>
      <c r="P250" s="32"/>
      <c r="Q250" s="32"/>
      <c r="R250" s="32"/>
      <c r="S250" s="32"/>
      <c r="T250" s="32"/>
      <c r="U250" s="32"/>
      <c r="V250" s="32"/>
      <c r="W250" s="32"/>
      <c r="X250" s="32"/>
      <c r="Y250" s="32"/>
      <c r="Z250" s="32"/>
      <c r="AA250" s="32"/>
      <c r="AB250" s="32"/>
      <c r="AC250" s="32"/>
      <c r="AD250" s="32"/>
      <c r="AE250" s="32"/>
      <c r="AF250" s="32"/>
      <c r="AG250" s="32"/>
      <c r="AH250" s="32"/>
    </row>
    <row r="251" spans="1:34" x14ac:dyDescent="0.2">
      <c r="A251" s="29"/>
      <c r="B251" s="29"/>
      <c r="C251" s="26"/>
      <c r="D251" s="29"/>
      <c r="E251" s="26"/>
      <c r="F251" s="32"/>
      <c r="G251" s="29"/>
      <c r="H251" s="29"/>
      <c r="I251" s="29"/>
      <c r="J251" s="29"/>
      <c r="K251" s="29"/>
      <c r="L251" s="29"/>
      <c r="M251" s="27"/>
      <c r="N251" s="32"/>
      <c r="O251" s="32"/>
      <c r="P251" s="32"/>
      <c r="Q251" s="32"/>
      <c r="R251" s="32"/>
      <c r="S251" s="32"/>
      <c r="T251" s="32"/>
      <c r="U251" s="32"/>
      <c r="V251" s="32"/>
      <c r="W251" s="32"/>
      <c r="X251" s="32"/>
      <c r="Y251" s="32"/>
      <c r="Z251" s="32"/>
      <c r="AA251" s="32"/>
      <c r="AB251" s="32"/>
      <c r="AC251" s="32"/>
      <c r="AD251" s="32"/>
      <c r="AE251" s="32"/>
      <c r="AF251" s="32"/>
      <c r="AG251" s="32"/>
      <c r="AH251" s="32"/>
    </row>
    <row r="252" spans="1:34" x14ac:dyDescent="0.2">
      <c r="A252" s="29"/>
      <c r="B252" s="29"/>
      <c r="C252" s="26"/>
      <c r="D252" s="29"/>
      <c r="E252" s="26"/>
      <c r="F252" s="32"/>
      <c r="G252" s="29"/>
      <c r="H252" s="29"/>
      <c r="I252" s="29"/>
      <c r="J252" s="29"/>
      <c r="K252" s="29"/>
      <c r="L252" s="29"/>
      <c r="M252" s="27"/>
      <c r="N252" s="32"/>
      <c r="O252" s="32"/>
      <c r="P252" s="32"/>
      <c r="Q252" s="32"/>
      <c r="R252" s="32"/>
      <c r="S252" s="32"/>
      <c r="T252" s="32"/>
      <c r="U252" s="32"/>
      <c r="V252" s="32"/>
      <c r="W252" s="32"/>
      <c r="X252" s="32"/>
      <c r="Y252" s="32"/>
      <c r="Z252" s="32"/>
      <c r="AA252" s="32"/>
      <c r="AB252" s="32"/>
      <c r="AC252" s="32"/>
      <c r="AD252" s="32"/>
      <c r="AE252" s="32"/>
      <c r="AF252" s="32"/>
      <c r="AG252" s="32"/>
      <c r="AH252" s="32"/>
    </row>
    <row r="253" spans="1:34" x14ac:dyDescent="0.2">
      <c r="A253" s="29"/>
      <c r="B253" s="29"/>
      <c r="C253" s="26"/>
      <c r="D253" s="29"/>
      <c r="E253" s="26"/>
      <c r="F253" s="32"/>
      <c r="G253" s="29"/>
      <c r="H253" s="29"/>
      <c r="I253" s="29"/>
      <c r="J253" s="29"/>
      <c r="K253" s="29"/>
      <c r="L253" s="29"/>
      <c r="M253" s="27"/>
      <c r="N253" s="32"/>
      <c r="O253" s="32"/>
      <c r="P253" s="32"/>
      <c r="Q253" s="32"/>
      <c r="R253" s="32"/>
      <c r="S253" s="32"/>
      <c r="T253" s="32"/>
      <c r="U253" s="32"/>
      <c r="V253" s="32"/>
      <c r="W253" s="32"/>
      <c r="X253" s="32"/>
      <c r="Y253" s="32"/>
      <c r="Z253" s="32"/>
      <c r="AA253" s="32"/>
      <c r="AB253" s="32"/>
      <c r="AC253" s="32"/>
      <c r="AD253" s="32"/>
      <c r="AE253" s="32"/>
      <c r="AF253" s="32"/>
      <c r="AG253" s="32"/>
      <c r="AH253" s="32"/>
    </row>
    <row r="254" spans="1:34" x14ac:dyDescent="0.2">
      <c r="A254" s="29"/>
      <c r="B254" s="29"/>
      <c r="C254" s="26"/>
      <c r="D254" s="29"/>
      <c r="E254" s="26"/>
      <c r="F254" s="32"/>
      <c r="G254" s="29"/>
      <c r="H254" s="29"/>
      <c r="I254" s="29"/>
      <c r="J254" s="29"/>
      <c r="K254" s="29"/>
      <c r="L254" s="29"/>
      <c r="M254" s="27"/>
      <c r="N254" s="32"/>
      <c r="O254" s="32"/>
      <c r="P254" s="32"/>
      <c r="Q254" s="32"/>
      <c r="R254" s="32"/>
      <c r="S254" s="32"/>
      <c r="T254" s="32"/>
      <c r="U254" s="32"/>
      <c r="V254" s="32"/>
      <c r="W254" s="32"/>
      <c r="X254" s="32"/>
      <c r="Y254" s="32"/>
      <c r="Z254" s="32"/>
      <c r="AA254" s="32"/>
      <c r="AB254" s="32"/>
      <c r="AC254" s="32"/>
      <c r="AD254" s="32"/>
      <c r="AE254" s="32"/>
      <c r="AF254" s="32"/>
      <c r="AG254" s="32"/>
      <c r="AH254" s="32"/>
    </row>
    <row r="255" spans="1:34" x14ac:dyDescent="0.2">
      <c r="A255" s="29"/>
      <c r="B255" s="29"/>
      <c r="C255" s="26"/>
      <c r="D255" s="29"/>
      <c r="E255" s="26"/>
      <c r="F255" s="32"/>
      <c r="G255" s="29"/>
      <c r="H255" s="29"/>
      <c r="I255" s="29"/>
      <c r="J255" s="29"/>
      <c r="K255" s="29"/>
      <c r="L255" s="29"/>
      <c r="M255" s="27"/>
      <c r="N255" s="32"/>
      <c r="O255" s="32"/>
      <c r="P255" s="32"/>
      <c r="Q255" s="32"/>
      <c r="R255" s="32"/>
      <c r="S255" s="32"/>
      <c r="T255" s="32"/>
      <c r="U255" s="32"/>
      <c r="V255" s="32"/>
      <c r="W255" s="32"/>
      <c r="X255" s="32"/>
      <c r="Y255" s="32"/>
      <c r="Z255" s="32"/>
      <c r="AA255" s="32"/>
      <c r="AB255" s="32"/>
      <c r="AC255" s="32"/>
      <c r="AD255" s="32"/>
      <c r="AE255" s="32"/>
      <c r="AF255" s="32"/>
      <c r="AG255" s="32"/>
      <c r="AH255" s="32"/>
    </row>
    <row r="256" spans="1:34" x14ac:dyDescent="0.2">
      <c r="A256" s="29"/>
      <c r="B256" s="29"/>
      <c r="C256" s="26"/>
      <c r="D256" s="29"/>
      <c r="E256" s="26"/>
      <c r="F256" s="32"/>
      <c r="G256" s="29"/>
      <c r="H256" s="29"/>
      <c r="I256" s="29"/>
      <c r="J256" s="29"/>
      <c r="K256" s="29"/>
      <c r="L256" s="29"/>
      <c r="M256" s="27"/>
      <c r="N256" s="32"/>
      <c r="O256" s="32"/>
      <c r="P256" s="32"/>
      <c r="Q256" s="32"/>
      <c r="R256" s="32"/>
      <c r="S256" s="32"/>
      <c r="T256" s="32"/>
      <c r="U256" s="32"/>
      <c r="V256" s="32"/>
      <c r="W256" s="32"/>
      <c r="X256" s="32"/>
      <c r="Y256" s="32"/>
      <c r="Z256" s="32"/>
      <c r="AA256" s="32"/>
      <c r="AB256" s="32"/>
      <c r="AC256" s="32"/>
      <c r="AD256" s="32"/>
      <c r="AE256" s="32"/>
      <c r="AF256" s="32"/>
      <c r="AG256" s="32"/>
      <c r="AH256" s="32"/>
    </row>
    <row r="257" spans="1:34" x14ac:dyDescent="0.2">
      <c r="A257" s="29"/>
      <c r="B257" s="29"/>
      <c r="C257" s="26"/>
      <c r="D257" s="29"/>
      <c r="E257" s="26"/>
      <c r="F257" s="32"/>
      <c r="G257" s="29"/>
      <c r="H257" s="29"/>
      <c r="I257" s="29"/>
      <c r="J257" s="29"/>
      <c r="K257" s="29"/>
      <c r="L257" s="29"/>
      <c r="M257" s="27"/>
      <c r="N257" s="32"/>
      <c r="O257" s="32"/>
      <c r="P257" s="32"/>
      <c r="Q257" s="32"/>
      <c r="R257" s="32"/>
      <c r="S257" s="32"/>
      <c r="T257" s="32"/>
      <c r="U257" s="32"/>
      <c r="V257" s="32"/>
      <c r="W257" s="32"/>
      <c r="X257" s="32"/>
      <c r="Y257" s="32"/>
      <c r="Z257" s="32"/>
      <c r="AA257" s="32"/>
      <c r="AB257" s="32"/>
      <c r="AC257" s="32"/>
      <c r="AD257" s="32"/>
      <c r="AE257" s="32"/>
      <c r="AF257" s="32"/>
      <c r="AG257" s="32"/>
      <c r="AH257" s="32"/>
    </row>
    <row r="258" spans="1:34" x14ac:dyDescent="0.2">
      <c r="A258" s="29"/>
      <c r="B258" s="29"/>
      <c r="C258" s="26"/>
      <c r="D258" s="29"/>
      <c r="E258" s="26"/>
      <c r="F258" s="32"/>
      <c r="G258" s="29"/>
      <c r="H258" s="29"/>
      <c r="I258" s="29"/>
      <c r="J258" s="29"/>
      <c r="K258" s="29"/>
      <c r="L258" s="29"/>
      <c r="M258" s="27"/>
      <c r="N258" s="32"/>
      <c r="O258" s="32"/>
      <c r="P258" s="32"/>
      <c r="Q258" s="32"/>
      <c r="R258" s="32"/>
      <c r="S258" s="32"/>
      <c r="T258" s="32"/>
      <c r="U258" s="32"/>
      <c r="V258" s="32"/>
      <c r="W258" s="32"/>
      <c r="X258" s="32"/>
      <c r="Y258" s="32"/>
      <c r="Z258" s="32"/>
      <c r="AA258" s="32"/>
      <c r="AB258" s="32"/>
      <c r="AC258" s="32"/>
      <c r="AD258" s="32"/>
      <c r="AE258" s="32"/>
      <c r="AF258" s="32"/>
      <c r="AG258" s="32"/>
      <c r="AH258" s="32"/>
    </row>
    <row r="259" spans="1:34" x14ac:dyDescent="0.2">
      <c r="A259" s="29"/>
      <c r="B259" s="29"/>
      <c r="C259" s="26"/>
      <c r="D259" s="29"/>
      <c r="E259" s="26"/>
      <c r="F259" s="32"/>
      <c r="G259" s="29"/>
      <c r="H259" s="29"/>
      <c r="I259" s="29"/>
      <c r="J259" s="29"/>
      <c r="K259" s="29"/>
      <c r="L259" s="29"/>
      <c r="M259" s="27"/>
      <c r="N259" s="32"/>
      <c r="O259" s="32"/>
      <c r="P259" s="32"/>
      <c r="Q259" s="32"/>
      <c r="R259" s="32"/>
      <c r="S259" s="32"/>
      <c r="T259" s="32"/>
      <c r="U259" s="32"/>
      <c r="V259" s="32"/>
      <c r="W259" s="32"/>
      <c r="X259" s="32"/>
      <c r="Y259" s="32"/>
      <c r="Z259" s="32"/>
      <c r="AA259" s="32"/>
      <c r="AB259" s="32"/>
      <c r="AC259" s="32"/>
      <c r="AD259" s="32"/>
      <c r="AE259" s="32"/>
      <c r="AF259" s="32"/>
      <c r="AG259" s="32"/>
      <c r="AH259" s="32"/>
    </row>
    <row r="260" spans="1:34" x14ac:dyDescent="0.2">
      <c r="A260" s="29"/>
      <c r="B260" s="29"/>
      <c r="C260" s="26"/>
      <c r="D260" s="29"/>
      <c r="E260" s="26"/>
      <c r="F260" s="32"/>
      <c r="G260" s="29"/>
      <c r="H260" s="29"/>
      <c r="I260" s="29"/>
      <c r="J260" s="29"/>
      <c r="K260" s="29"/>
      <c r="L260" s="29"/>
      <c r="M260" s="27"/>
      <c r="N260" s="32"/>
      <c r="O260" s="32"/>
      <c r="P260" s="32"/>
      <c r="Q260" s="32"/>
      <c r="R260" s="32"/>
      <c r="S260" s="32"/>
      <c r="T260" s="32"/>
      <c r="U260" s="32"/>
      <c r="V260" s="32"/>
      <c r="W260" s="32"/>
      <c r="X260" s="32"/>
      <c r="Y260" s="32"/>
      <c r="Z260" s="32"/>
      <c r="AA260" s="32"/>
      <c r="AB260" s="32"/>
      <c r="AC260" s="32"/>
      <c r="AD260" s="32"/>
      <c r="AE260" s="32"/>
      <c r="AF260" s="32"/>
      <c r="AG260" s="32"/>
      <c r="AH260" s="32"/>
    </row>
    <row r="261" spans="1:34" x14ac:dyDescent="0.2">
      <c r="A261" s="29"/>
      <c r="B261" s="29"/>
      <c r="C261" s="26"/>
      <c r="D261" s="29"/>
      <c r="E261" s="26"/>
      <c r="F261" s="32"/>
      <c r="G261" s="29"/>
      <c r="H261" s="29"/>
      <c r="I261" s="29"/>
      <c r="J261" s="29"/>
      <c r="K261" s="29"/>
      <c r="L261" s="29"/>
      <c r="M261" s="27"/>
      <c r="N261" s="32"/>
      <c r="O261" s="32"/>
      <c r="P261" s="32"/>
      <c r="Q261" s="32"/>
      <c r="R261" s="32"/>
      <c r="S261" s="32"/>
      <c r="T261" s="32"/>
      <c r="U261" s="32"/>
      <c r="V261" s="32"/>
      <c r="W261" s="32"/>
      <c r="X261" s="32"/>
      <c r="Y261" s="32"/>
      <c r="Z261" s="32"/>
      <c r="AA261" s="32"/>
      <c r="AB261" s="32"/>
      <c r="AC261" s="32"/>
      <c r="AD261" s="32"/>
      <c r="AE261" s="32"/>
      <c r="AF261" s="32"/>
      <c r="AG261" s="32"/>
      <c r="AH261" s="32"/>
    </row>
    <row r="262" spans="1:34" x14ac:dyDescent="0.2">
      <c r="A262" s="29"/>
      <c r="B262" s="29"/>
      <c r="C262" s="26"/>
      <c r="D262" s="29"/>
      <c r="E262" s="26"/>
      <c r="F262" s="32"/>
      <c r="G262" s="29"/>
      <c r="H262" s="29"/>
      <c r="I262" s="29"/>
      <c r="J262" s="29"/>
      <c r="K262" s="29"/>
      <c r="L262" s="29"/>
      <c r="M262" s="27"/>
      <c r="N262" s="32"/>
      <c r="O262" s="32"/>
      <c r="P262" s="32"/>
      <c r="Q262" s="32"/>
      <c r="R262" s="32"/>
      <c r="S262" s="32"/>
      <c r="T262" s="32"/>
      <c r="U262" s="32"/>
      <c r="V262" s="32"/>
      <c r="W262" s="32"/>
      <c r="X262" s="32"/>
      <c r="Y262" s="32"/>
      <c r="Z262" s="32"/>
      <c r="AA262" s="32"/>
      <c r="AB262" s="32"/>
      <c r="AC262" s="32"/>
      <c r="AD262" s="32"/>
      <c r="AE262" s="32"/>
      <c r="AF262" s="32"/>
      <c r="AG262" s="32"/>
      <c r="AH262" s="32"/>
    </row>
    <row r="263" spans="1:34" x14ac:dyDescent="0.2">
      <c r="A263" s="29"/>
      <c r="B263" s="29"/>
      <c r="C263" s="26"/>
      <c r="D263" s="29"/>
      <c r="E263" s="26"/>
      <c r="F263" s="32"/>
      <c r="G263" s="29"/>
      <c r="H263" s="29"/>
      <c r="I263" s="29"/>
      <c r="J263" s="29"/>
      <c r="K263" s="29"/>
      <c r="L263" s="29"/>
      <c r="M263" s="27"/>
      <c r="N263" s="32"/>
      <c r="O263" s="32"/>
      <c r="P263" s="32"/>
      <c r="Q263" s="32"/>
      <c r="R263" s="32"/>
      <c r="S263" s="32"/>
      <c r="T263" s="32"/>
      <c r="U263" s="32"/>
      <c r="V263" s="32"/>
      <c r="W263" s="32"/>
      <c r="X263" s="32"/>
      <c r="Y263" s="32"/>
      <c r="Z263" s="32"/>
      <c r="AA263" s="32"/>
      <c r="AB263" s="32"/>
      <c r="AC263" s="32"/>
      <c r="AD263" s="32"/>
      <c r="AE263" s="32"/>
      <c r="AF263" s="32"/>
      <c r="AG263" s="32"/>
      <c r="AH263" s="32"/>
    </row>
    <row r="264" spans="1:34" x14ac:dyDescent="0.2">
      <c r="A264" s="29"/>
      <c r="B264" s="29"/>
      <c r="C264" s="26"/>
      <c r="D264" s="29"/>
      <c r="E264" s="26"/>
      <c r="F264" s="32"/>
      <c r="G264" s="29"/>
      <c r="H264" s="29"/>
      <c r="I264" s="29"/>
      <c r="J264" s="29"/>
      <c r="K264" s="29"/>
      <c r="L264" s="29"/>
      <c r="M264" s="27"/>
      <c r="N264" s="32"/>
      <c r="O264" s="32"/>
      <c r="P264" s="32"/>
      <c r="Q264" s="32"/>
      <c r="R264" s="32"/>
      <c r="S264" s="32"/>
      <c r="T264" s="32"/>
      <c r="U264" s="32"/>
      <c r="V264" s="32"/>
      <c r="W264" s="32"/>
      <c r="X264" s="32"/>
      <c r="Y264" s="32"/>
      <c r="Z264" s="32"/>
      <c r="AA264" s="32"/>
      <c r="AB264" s="32"/>
      <c r="AC264" s="32"/>
      <c r="AD264" s="32"/>
      <c r="AE264" s="32"/>
      <c r="AF264" s="32"/>
      <c r="AG264" s="32"/>
      <c r="AH264" s="32"/>
    </row>
    <row r="265" spans="1:34" x14ac:dyDescent="0.2">
      <c r="A265" s="29"/>
      <c r="B265" s="29"/>
      <c r="C265" s="26"/>
      <c r="D265" s="29"/>
      <c r="E265" s="26"/>
      <c r="F265" s="32"/>
      <c r="G265" s="29"/>
      <c r="H265" s="29"/>
      <c r="I265" s="29"/>
      <c r="J265" s="29"/>
      <c r="K265" s="29"/>
      <c r="L265" s="29"/>
      <c r="M265" s="27"/>
      <c r="N265" s="32"/>
      <c r="O265" s="32"/>
      <c r="P265" s="32"/>
      <c r="Q265" s="32"/>
      <c r="R265" s="32"/>
      <c r="S265" s="32"/>
      <c r="T265" s="32"/>
      <c r="U265" s="32"/>
      <c r="V265" s="32"/>
      <c r="W265" s="32"/>
      <c r="X265" s="32"/>
      <c r="Y265" s="32"/>
      <c r="Z265" s="32"/>
      <c r="AA265" s="32"/>
      <c r="AB265" s="32"/>
      <c r="AC265" s="32"/>
      <c r="AD265" s="32"/>
      <c r="AE265" s="32"/>
      <c r="AF265" s="32"/>
      <c r="AG265" s="32"/>
      <c r="AH265" s="32"/>
    </row>
    <row r="266" spans="1:34" x14ac:dyDescent="0.2">
      <c r="A266" s="29"/>
      <c r="B266" s="29"/>
      <c r="C266" s="26"/>
      <c r="D266" s="29"/>
      <c r="E266" s="26"/>
      <c r="F266" s="32"/>
      <c r="G266" s="29"/>
      <c r="H266" s="29"/>
      <c r="I266" s="29"/>
      <c r="J266" s="29"/>
      <c r="K266" s="29"/>
      <c r="L266" s="29"/>
      <c r="M266" s="27"/>
      <c r="N266" s="32"/>
      <c r="O266" s="32"/>
      <c r="P266" s="32"/>
      <c r="Q266" s="32"/>
      <c r="R266" s="32"/>
      <c r="S266" s="32"/>
      <c r="T266" s="32"/>
      <c r="U266" s="32"/>
      <c r="V266" s="32"/>
      <c r="W266" s="32"/>
      <c r="X266" s="32"/>
      <c r="Y266" s="32"/>
      <c r="Z266" s="32"/>
      <c r="AA266" s="32"/>
      <c r="AB266" s="32"/>
      <c r="AC266" s="32"/>
      <c r="AD266" s="32"/>
      <c r="AE266" s="32"/>
      <c r="AF266" s="32"/>
      <c r="AG266" s="32"/>
      <c r="AH266" s="32"/>
    </row>
    <row r="267" spans="1:34" x14ac:dyDescent="0.2">
      <c r="A267" s="29"/>
      <c r="B267" s="29"/>
      <c r="C267" s="26"/>
      <c r="D267" s="29"/>
      <c r="E267" s="26"/>
      <c r="F267" s="32"/>
      <c r="G267" s="29"/>
      <c r="H267" s="29"/>
      <c r="I267" s="29"/>
      <c r="J267" s="29"/>
      <c r="K267" s="29"/>
      <c r="L267" s="29"/>
      <c r="M267" s="27"/>
      <c r="N267" s="32"/>
      <c r="O267" s="32"/>
      <c r="P267" s="32"/>
      <c r="Q267" s="32"/>
      <c r="R267" s="32"/>
      <c r="S267" s="32"/>
      <c r="T267" s="32"/>
      <c r="U267" s="32"/>
      <c r="V267" s="32"/>
      <c r="W267" s="32"/>
      <c r="X267" s="32"/>
      <c r="Y267" s="32"/>
      <c r="Z267" s="32"/>
      <c r="AA267" s="32"/>
      <c r="AB267" s="32"/>
      <c r="AC267" s="32"/>
      <c r="AD267" s="32"/>
      <c r="AE267" s="32"/>
      <c r="AF267" s="32"/>
      <c r="AG267" s="32"/>
      <c r="AH267" s="32"/>
    </row>
    <row r="268" spans="1:34" x14ac:dyDescent="0.2">
      <c r="A268" s="29"/>
      <c r="B268" s="29"/>
      <c r="C268" s="26"/>
      <c r="D268" s="29"/>
      <c r="E268" s="26"/>
      <c r="F268" s="32"/>
      <c r="G268" s="29"/>
      <c r="H268" s="29"/>
      <c r="I268" s="29"/>
      <c r="J268" s="29"/>
      <c r="K268" s="29"/>
      <c r="L268" s="29"/>
      <c r="M268" s="27"/>
      <c r="N268" s="32"/>
      <c r="O268" s="32"/>
      <c r="P268" s="32"/>
      <c r="Q268" s="32"/>
      <c r="R268" s="32"/>
      <c r="S268" s="32"/>
      <c r="T268" s="32"/>
      <c r="U268" s="32"/>
      <c r="V268" s="32"/>
      <c r="W268" s="32"/>
      <c r="X268" s="32"/>
      <c r="Y268" s="32"/>
      <c r="Z268" s="32"/>
      <c r="AA268" s="32"/>
      <c r="AB268" s="32"/>
      <c r="AC268" s="32"/>
      <c r="AD268" s="32"/>
      <c r="AE268" s="32"/>
      <c r="AF268" s="32"/>
      <c r="AG268" s="32"/>
      <c r="AH268" s="32"/>
    </row>
    <row r="269" spans="1:34" x14ac:dyDescent="0.2">
      <c r="A269" s="29"/>
      <c r="B269" s="29"/>
      <c r="C269" s="26"/>
      <c r="D269" s="29"/>
      <c r="E269" s="26"/>
      <c r="F269" s="32"/>
      <c r="G269" s="29"/>
      <c r="H269" s="29"/>
      <c r="I269" s="29"/>
      <c r="J269" s="29"/>
      <c r="K269" s="29"/>
      <c r="L269" s="29"/>
      <c r="M269" s="27"/>
      <c r="N269" s="32"/>
      <c r="O269" s="32"/>
      <c r="P269" s="32"/>
      <c r="Q269" s="32"/>
      <c r="R269" s="32"/>
      <c r="S269" s="32"/>
      <c r="T269" s="32"/>
      <c r="U269" s="32"/>
      <c r="V269" s="32"/>
      <c r="W269" s="32"/>
      <c r="X269" s="32"/>
      <c r="Y269" s="32"/>
      <c r="Z269" s="32"/>
      <c r="AA269" s="32"/>
      <c r="AB269" s="32"/>
      <c r="AC269" s="32"/>
      <c r="AD269" s="32"/>
      <c r="AE269" s="32"/>
      <c r="AF269" s="32"/>
      <c r="AG269" s="32"/>
      <c r="AH269" s="32"/>
    </row>
    <row r="270" spans="1:34" x14ac:dyDescent="0.2">
      <c r="A270" s="29"/>
      <c r="B270" s="29"/>
      <c r="C270" s="26"/>
      <c r="D270" s="29"/>
      <c r="E270" s="26"/>
      <c r="F270" s="32"/>
      <c r="G270" s="29"/>
      <c r="H270" s="29"/>
      <c r="I270" s="29"/>
      <c r="J270" s="29"/>
      <c r="K270" s="29"/>
      <c r="L270" s="29"/>
      <c r="M270" s="27"/>
      <c r="N270" s="32"/>
      <c r="O270" s="32"/>
      <c r="P270" s="32"/>
      <c r="Q270" s="32"/>
      <c r="R270" s="32"/>
      <c r="S270" s="32"/>
      <c r="T270" s="32"/>
      <c r="U270" s="32"/>
      <c r="V270" s="32"/>
      <c r="W270" s="32"/>
      <c r="X270" s="32"/>
      <c r="Y270" s="32"/>
      <c r="Z270" s="32"/>
      <c r="AA270" s="32"/>
      <c r="AB270" s="32"/>
      <c r="AC270" s="32"/>
      <c r="AD270" s="32"/>
      <c r="AE270" s="32"/>
      <c r="AF270" s="32"/>
      <c r="AG270" s="32"/>
      <c r="AH270" s="32"/>
    </row>
    <row r="271" spans="1:34" x14ac:dyDescent="0.2">
      <c r="A271" s="29"/>
      <c r="B271" s="29"/>
      <c r="C271" s="26"/>
      <c r="D271" s="29"/>
      <c r="E271" s="26"/>
      <c r="F271" s="32"/>
      <c r="G271" s="29"/>
      <c r="H271" s="29"/>
      <c r="I271" s="29"/>
      <c r="J271" s="29"/>
      <c r="K271" s="29"/>
      <c r="L271" s="29"/>
      <c r="M271" s="27"/>
      <c r="N271" s="32"/>
      <c r="O271" s="32"/>
      <c r="P271" s="32"/>
      <c r="Q271" s="32"/>
      <c r="R271" s="32"/>
      <c r="S271" s="32"/>
      <c r="T271" s="32"/>
      <c r="U271" s="32"/>
      <c r="V271" s="32"/>
      <c r="W271" s="32"/>
      <c r="X271" s="32"/>
      <c r="Y271" s="32"/>
      <c r="Z271" s="32"/>
      <c r="AA271" s="32"/>
      <c r="AB271" s="32"/>
      <c r="AC271" s="32"/>
      <c r="AD271" s="32"/>
      <c r="AE271" s="32"/>
      <c r="AF271" s="32"/>
      <c r="AG271" s="32"/>
      <c r="AH271" s="32"/>
    </row>
    <row r="272" spans="1:34" x14ac:dyDescent="0.2">
      <c r="A272" s="29"/>
      <c r="B272" s="29"/>
      <c r="C272" s="26"/>
      <c r="D272" s="29"/>
      <c r="E272" s="26"/>
      <c r="F272" s="32"/>
      <c r="G272" s="29"/>
      <c r="H272" s="29"/>
      <c r="I272" s="29"/>
      <c r="J272" s="29"/>
      <c r="K272" s="29"/>
      <c r="L272" s="29"/>
      <c r="M272" s="27"/>
      <c r="N272" s="32"/>
      <c r="O272" s="32"/>
      <c r="P272" s="32"/>
      <c r="Q272" s="32"/>
      <c r="R272" s="32"/>
      <c r="S272" s="32"/>
      <c r="T272" s="32"/>
      <c r="U272" s="32"/>
      <c r="V272" s="32"/>
      <c r="W272" s="32"/>
      <c r="X272" s="32"/>
      <c r="Y272" s="32"/>
      <c r="Z272" s="32"/>
      <c r="AA272" s="32"/>
      <c r="AB272" s="32"/>
      <c r="AC272" s="32"/>
      <c r="AD272" s="32"/>
      <c r="AE272" s="32"/>
      <c r="AF272" s="32"/>
      <c r="AG272" s="32"/>
      <c r="AH272" s="32"/>
    </row>
    <row r="273" spans="1:34" x14ac:dyDescent="0.2">
      <c r="A273" s="29"/>
      <c r="B273" s="29"/>
      <c r="C273" s="26"/>
      <c r="D273" s="29"/>
      <c r="E273" s="26"/>
      <c r="F273" s="32"/>
      <c r="G273" s="29"/>
      <c r="H273" s="29"/>
      <c r="I273" s="29"/>
      <c r="J273" s="29"/>
      <c r="K273" s="29"/>
      <c r="L273" s="29"/>
      <c r="M273" s="27"/>
      <c r="N273" s="32"/>
      <c r="O273" s="32"/>
      <c r="P273" s="32"/>
      <c r="Q273" s="32"/>
      <c r="R273" s="32"/>
      <c r="S273" s="32"/>
      <c r="T273" s="32"/>
      <c r="U273" s="32"/>
      <c r="V273" s="32"/>
      <c r="W273" s="32"/>
      <c r="X273" s="32"/>
      <c r="Y273" s="32"/>
      <c r="Z273" s="32"/>
      <c r="AA273" s="32"/>
      <c r="AB273" s="32"/>
      <c r="AC273" s="32"/>
      <c r="AD273" s="32"/>
      <c r="AE273" s="32"/>
      <c r="AF273" s="32"/>
      <c r="AG273" s="32"/>
      <c r="AH273" s="32"/>
    </row>
    <row r="274" spans="1:34" x14ac:dyDescent="0.2">
      <c r="A274" s="29"/>
      <c r="B274" s="29"/>
      <c r="C274" s="26"/>
      <c r="D274" s="29"/>
      <c r="E274" s="26"/>
      <c r="F274" s="32"/>
      <c r="G274" s="29"/>
      <c r="H274" s="29"/>
      <c r="I274" s="29"/>
      <c r="J274" s="29"/>
      <c r="K274" s="29"/>
      <c r="L274" s="29"/>
      <c r="M274" s="27"/>
      <c r="N274" s="32"/>
      <c r="O274" s="32"/>
      <c r="P274" s="32"/>
      <c r="Q274" s="32"/>
      <c r="R274" s="32"/>
      <c r="S274" s="32"/>
      <c r="T274" s="32"/>
      <c r="U274" s="32"/>
      <c r="V274" s="32"/>
      <c r="W274" s="32"/>
      <c r="X274" s="32"/>
      <c r="Y274" s="32"/>
      <c r="Z274" s="32"/>
      <c r="AA274" s="32"/>
      <c r="AB274" s="32"/>
      <c r="AC274" s="32"/>
      <c r="AD274" s="32"/>
      <c r="AE274" s="32"/>
      <c r="AF274" s="32"/>
      <c r="AG274" s="32"/>
      <c r="AH274" s="32"/>
    </row>
    <row r="275" spans="1:34" x14ac:dyDescent="0.2">
      <c r="A275" s="29"/>
      <c r="B275" s="29"/>
      <c r="C275" s="26"/>
      <c r="D275" s="29"/>
      <c r="E275" s="26"/>
      <c r="F275" s="32"/>
      <c r="G275" s="29"/>
      <c r="H275" s="29"/>
      <c r="I275" s="29"/>
      <c r="J275" s="29"/>
      <c r="K275" s="29"/>
      <c r="L275" s="29"/>
      <c r="M275" s="27"/>
      <c r="N275" s="32"/>
      <c r="O275" s="32"/>
      <c r="P275" s="32"/>
      <c r="Q275" s="32"/>
      <c r="R275" s="32"/>
      <c r="S275" s="32"/>
      <c r="T275" s="32"/>
      <c r="U275" s="32"/>
      <c r="V275" s="32"/>
      <c r="W275" s="32"/>
      <c r="X275" s="32"/>
      <c r="Y275" s="32"/>
      <c r="Z275" s="32"/>
      <c r="AA275" s="32"/>
      <c r="AB275" s="32"/>
      <c r="AC275" s="32"/>
      <c r="AD275" s="32"/>
      <c r="AE275" s="32"/>
      <c r="AF275" s="32"/>
      <c r="AG275" s="32"/>
      <c r="AH275" s="32"/>
    </row>
    <row r="276" spans="1:34" x14ac:dyDescent="0.2">
      <c r="A276" s="29"/>
      <c r="B276" s="29"/>
      <c r="C276" s="26"/>
      <c r="D276" s="29"/>
      <c r="E276" s="26"/>
      <c r="F276" s="32"/>
      <c r="G276" s="29"/>
      <c r="H276" s="29"/>
      <c r="I276" s="29"/>
      <c r="J276" s="29"/>
      <c r="K276" s="29"/>
      <c r="L276" s="29"/>
      <c r="M276" s="27"/>
      <c r="N276" s="32"/>
      <c r="O276" s="32"/>
      <c r="P276" s="32"/>
      <c r="Q276" s="32"/>
      <c r="R276" s="32"/>
      <c r="S276" s="32"/>
      <c r="T276" s="32"/>
      <c r="U276" s="32"/>
      <c r="V276" s="32"/>
      <c r="W276" s="32"/>
      <c r="X276" s="32"/>
      <c r="Y276" s="32"/>
      <c r="Z276" s="32"/>
      <c r="AA276" s="32"/>
      <c r="AB276" s="32"/>
      <c r="AC276" s="32"/>
      <c r="AD276" s="32"/>
      <c r="AE276" s="32"/>
      <c r="AF276" s="32"/>
      <c r="AG276" s="32"/>
      <c r="AH276" s="32"/>
    </row>
    <row r="277" spans="1:34" x14ac:dyDescent="0.2">
      <c r="A277" s="29"/>
      <c r="B277" s="29"/>
      <c r="C277" s="26"/>
      <c r="D277" s="29"/>
      <c r="E277" s="26"/>
      <c r="F277" s="32"/>
      <c r="G277" s="29"/>
      <c r="H277" s="29"/>
      <c r="I277" s="29"/>
      <c r="J277" s="29"/>
      <c r="K277" s="29"/>
      <c r="L277" s="29"/>
      <c r="M277" s="27"/>
      <c r="N277" s="32"/>
      <c r="O277" s="32"/>
      <c r="P277" s="32"/>
      <c r="Q277" s="32"/>
      <c r="R277" s="32"/>
      <c r="S277" s="32"/>
      <c r="T277" s="32"/>
      <c r="U277" s="32"/>
      <c r="V277" s="32"/>
      <c r="W277" s="32"/>
      <c r="X277" s="32"/>
      <c r="Y277" s="32"/>
      <c r="Z277" s="32"/>
      <c r="AA277" s="32"/>
      <c r="AB277" s="32"/>
      <c r="AC277" s="32"/>
      <c r="AD277" s="32"/>
      <c r="AE277" s="32"/>
      <c r="AF277" s="32"/>
      <c r="AG277" s="32"/>
      <c r="AH277" s="32"/>
    </row>
    <row r="278" spans="1:34" x14ac:dyDescent="0.2">
      <c r="A278" s="29"/>
      <c r="B278" s="29"/>
      <c r="C278" s="26"/>
      <c r="D278" s="29"/>
      <c r="E278" s="26"/>
      <c r="F278" s="32"/>
      <c r="G278" s="29"/>
      <c r="H278" s="29"/>
      <c r="I278" s="29"/>
      <c r="J278" s="29"/>
      <c r="K278" s="29"/>
      <c r="L278" s="29"/>
      <c r="M278" s="27"/>
      <c r="N278" s="32"/>
      <c r="O278" s="32"/>
      <c r="P278" s="32"/>
      <c r="Q278" s="32"/>
      <c r="R278" s="32"/>
      <c r="S278" s="32"/>
      <c r="T278" s="32"/>
      <c r="U278" s="32"/>
      <c r="V278" s="32"/>
      <c r="W278" s="32"/>
      <c r="X278" s="32"/>
      <c r="Y278" s="32"/>
      <c r="Z278" s="32"/>
      <c r="AA278" s="32"/>
      <c r="AB278" s="32"/>
      <c r="AC278" s="32"/>
      <c r="AD278" s="32"/>
      <c r="AE278" s="32"/>
      <c r="AF278" s="32"/>
      <c r="AG278" s="32"/>
      <c r="AH278" s="32"/>
    </row>
    <row r="279" spans="1:34" x14ac:dyDescent="0.2">
      <c r="A279" s="29"/>
      <c r="B279" s="29"/>
      <c r="C279" s="26"/>
      <c r="D279" s="29"/>
      <c r="E279" s="26"/>
      <c r="F279" s="32"/>
      <c r="G279" s="29"/>
      <c r="H279" s="29"/>
      <c r="I279" s="29"/>
      <c r="J279" s="29"/>
      <c r="K279" s="29"/>
      <c r="L279" s="29"/>
      <c r="M279" s="27"/>
      <c r="N279" s="32"/>
      <c r="O279" s="32"/>
      <c r="P279" s="32"/>
      <c r="Q279" s="32"/>
      <c r="R279" s="32"/>
      <c r="S279" s="32"/>
      <c r="T279" s="32"/>
      <c r="U279" s="32"/>
      <c r="V279" s="32"/>
      <c r="W279" s="32"/>
      <c r="X279" s="32"/>
      <c r="Y279" s="32"/>
      <c r="Z279" s="32"/>
      <c r="AA279" s="32"/>
      <c r="AB279" s="32"/>
      <c r="AC279" s="32"/>
      <c r="AD279" s="32"/>
      <c r="AE279" s="32"/>
      <c r="AF279" s="32"/>
      <c r="AG279" s="32"/>
      <c r="AH279" s="32"/>
    </row>
    <row r="280" spans="1:34" x14ac:dyDescent="0.2">
      <c r="A280" s="29"/>
      <c r="B280" s="29"/>
      <c r="C280" s="26"/>
      <c r="D280" s="29"/>
      <c r="E280" s="26"/>
      <c r="F280" s="32"/>
      <c r="G280" s="29"/>
      <c r="H280" s="29"/>
      <c r="I280" s="29"/>
      <c r="J280" s="29"/>
      <c r="K280" s="29"/>
      <c r="L280" s="29"/>
      <c r="M280" s="27"/>
      <c r="N280" s="32"/>
      <c r="O280" s="32"/>
      <c r="P280" s="32"/>
      <c r="Q280" s="32"/>
      <c r="R280" s="32"/>
      <c r="S280" s="32"/>
      <c r="T280" s="32"/>
      <c r="U280" s="32"/>
      <c r="V280" s="32"/>
      <c r="W280" s="32"/>
      <c r="X280" s="32"/>
      <c r="Y280" s="32"/>
      <c r="Z280" s="32"/>
      <c r="AA280" s="32"/>
      <c r="AB280" s="32"/>
      <c r="AC280" s="32"/>
      <c r="AD280" s="32"/>
      <c r="AE280" s="32"/>
      <c r="AF280" s="32"/>
      <c r="AG280" s="32"/>
      <c r="AH280" s="32"/>
    </row>
    <row r="281" spans="1:34" x14ac:dyDescent="0.2">
      <c r="A281" s="29"/>
      <c r="B281" s="29"/>
      <c r="C281" s="26"/>
      <c r="D281" s="29"/>
      <c r="E281" s="26"/>
      <c r="F281" s="32"/>
      <c r="G281" s="29"/>
      <c r="H281" s="29"/>
      <c r="I281" s="29"/>
      <c r="J281" s="29"/>
      <c r="K281" s="29"/>
      <c r="L281" s="29"/>
      <c r="M281" s="27"/>
      <c r="N281" s="32"/>
      <c r="O281" s="32"/>
      <c r="P281" s="32"/>
      <c r="Q281" s="32"/>
      <c r="R281" s="32"/>
      <c r="S281" s="32"/>
      <c r="T281" s="32"/>
      <c r="U281" s="32"/>
      <c r="V281" s="32"/>
      <c r="W281" s="32"/>
      <c r="X281" s="32"/>
      <c r="Y281" s="32"/>
      <c r="Z281" s="32"/>
      <c r="AA281" s="32"/>
      <c r="AB281" s="32"/>
      <c r="AC281" s="32"/>
      <c r="AD281" s="32"/>
      <c r="AE281" s="32"/>
      <c r="AF281" s="32"/>
      <c r="AG281" s="32"/>
      <c r="AH281" s="32"/>
    </row>
    <row r="282" spans="1:34" x14ac:dyDescent="0.2">
      <c r="A282" s="29"/>
      <c r="B282" s="29"/>
      <c r="C282" s="26"/>
      <c r="D282" s="29"/>
      <c r="E282" s="26"/>
      <c r="F282" s="32"/>
      <c r="G282" s="29"/>
      <c r="H282" s="29"/>
      <c r="I282" s="29"/>
      <c r="J282" s="29"/>
      <c r="K282" s="29"/>
      <c r="L282" s="29"/>
      <c r="M282" s="27"/>
      <c r="N282" s="32"/>
      <c r="O282" s="32"/>
      <c r="P282" s="32"/>
      <c r="Q282" s="32"/>
      <c r="R282" s="32"/>
      <c r="S282" s="32"/>
      <c r="T282" s="32"/>
      <c r="U282" s="32"/>
      <c r="V282" s="32"/>
      <c r="W282" s="32"/>
      <c r="X282" s="32"/>
      <c r="Y282" s="32"/>
      <c r="Z282" s="32"/>
      <c r="AA282" s="32"/>
      <c r="AB282" s="32"/>
      <c r="AC282" s="32"/>
      <c r="AD282" s="32"/>
      <c r="AE282" s="32"/>
      <c r="AF282" s="32"/>
      <c r="AG282" s="32"/>
      <c r="AH282" s="32"/>
    </row>
    <row r="283" spans="1:34" x14ac:dyDescent="0.2">
      <c r="A283" s="29"/>
      <c r="B283" s="29"/>
      <c r="C283" s="26"/>
      <c r="D283" s="29"/>
      <c r="E283" s="26"/>
      <c r="F283" s="32"/>
      <c r="G283" s="29"/>
      <c r="H283" s="29"/>
      <c r="I283" s="29"/>
      <c r="J283" s="29"/>
      <c r="K283" s="29"/>
      <c r="L283" s="29"/>
      <c r="M283" s="27"/>
      <c r="N283" s="32"/>
      <c r="O283" s="32"/>
      <c r="P283" s="32"/>
      <c r="Q283" s="32"/>
      <c r="R283" s="32"/>
      <c r="S283" s="32"/>
      <c r="T283" s="32"/>
      <c r="U283" s="32"/>
      <c r="V283" s="32"/>
      <c r="W283" s="32"/>
      <c r="X283" s="32"/>
      <c r="Y283" s="32"/>
      <c r="Z283" s="32"/>
      <c r="AA283" s="32"/>
      <c r="AB283" s="32"/>
      <c r="AC283" s="32"/>
      <c r="AD283" s="32"/>
      <c r="AE283" s="32"/>
      <c r="AF283" s="32"/>
      <c r="AG283" s="32"/>
      <c r="AH283" s="32"/>
    </row>
    <row r="284" spans="1:34" x14ac:dyDescent="0.2">
      <c r="A284" s="29"/>
      <c r="B284" s="29"/>
      <c r="C284" s="26"/>
      <c r="D284" s="29"/>
      <c r="E284" s="26"/>
      <c r="F284" s="32"/>
      <c r="G284" s="29"/>
      <c r="H284" s="29"/>
      <c r="I284" s="29"/>
      <c r="J284" s="29"/>
      <c r="K284" s="29"/>
      <c r="L284" s="29"/>
      <c r="M284" s="27"/>
      <c r="N284" s="32"/>
      <c r="O284" s="32"/>
      <c r="P284" s="32"/>
      <c r="Q284" s="32"/>
      <c r="R284" s="32"/>
      <c r="S284" s="32"/>
      <c r="T284" s="32"/>
      <c r="U284" s="32"/>
      <c r="V284" s="32"/>
      <c r="W284" s="32"/>
      <c r="X284" s="32"/>
      <c r="Y284" s="32"/>
      <c r="Z284" s="32"/>
      <c r="AA284" s="32"/>
      <c r="AB284" s="32"/>
      <c r="AC284" s="32"/>
      <c r="AD284" s="32"/>
      <c r="AE284" s="32"/>
      <c r="AF284" s="32"/>
      <c r="AG284" s="32"/>
      <c r="AH284" s="32"/>
    </row>
    <row r="285" spans="1:34" x14ac:dyDescent="0.2">
      <c r="A285" s="29"/>
      <c r="B285" s="29"/>
      <c r="C285" s="26"/>
      <c r="D285" s="29"/>
      <c r="E285" s="26"/>
      <c r="F285" s="32"/>
      <c r="G285" s="29"/>
      <c r="H285" s="29"/>
      <c r="I285" s="29"/>
      <c r="J285" s="29"/>
      <c r="K285" s="29"/>
      <c r="L285" s="29"/>
      <c r="M285" s="27"/>
      <c r="N285" s="32"/>
      <c r="O285" s="32"/>
      <c r="P285" s="32"/>
      <c r="Q285" s="32"/>
      <c r="R285" s="32"/>
      <c r="S285" s="32"/>
      <c r="T285" s="32"/>
      <c r="U285" s="32"/>
      <c r="V285" s="32"/>
      <c r="W285" s="32"/>
      <c r="X285" s="32"/>
      <c r="Y285" s="32"/>
      <c r="Z285" s="32"/>
      <c r="AA285" s="32"/>
      <c r="AB285" s="32"/>
      <c r="AC285" s="32"/>
      <c r="AD285" s="32"/>
      <c r="AE285" s="32"/>
      <c r="AF285" s="32"/>
      <c r="AG285" s="32"/>
      <c r="AH285" s="32"/>
    </row>
    <row r="286" spans="1:34" x14ac:dyDescent="0.2">
      <c r="A286" s="29"/>
      <c r="B286" s="29"/>
      <c r="C286" s="26"/>
      <c r="D286" s="29"/>
      <c r="E286" s="26"/>
      <c r="F286" s="32"/>
      <c r="G286" s="29"/>
      <c r="H286" s="29"/>
      <c r="I286" s="29"/>
      <c r="J286" s="29"/>
      <c r="K286" s="29"/>
      <c r="L286" s="29"/>
      <c r="M286" s="27"/>
      <c r="N286" s="32"/>
      <c r="O286" s="32"/>
      <c r="P286" s="32"/>
      <c r="Q286" s="32"/>
      <c r="R286" s="32"/>
      <c r="S286" s="32"/>
      <c r="T286" s="32"/>
      <c r="U286" s="32"/>
      <c r="V286" s="32"/>
      <c r="W286" s="32"/>
      <c r="X286" s="32"/>
      <c r="Y286" s="32"/>
      <c r="Z286" s="32"/>
      <c r="AA286" s="32"/>
      <c r="AB286" s="32"/>
      <c r="AC286" s="32"/>
      <c r="AD286" s="32"/>
      <c r="AE286" s="32"/>
      <c r="AF286" s="32"/>
      <c r="AG286" s="32"/>
      <c r="AH286" s="32"/>
    </row>
    <row r="287" spans="1:34" x14ac:dyDescent="0.2">
      <c r="A287" s="29"/>
      <c r="B287" s="29"/>
      <c r="C287" s="26"/>
      <c r="D287" s="29"/>
      <c r="E287" s="26"/>
      <c r="F287" s="32"/>
      <c r="G287" s="29"/>
      <c r="H287" s="29"/>
      <c r="I287" s="29"/>
      <c r="J287" s="29"/>
      <c r="K287" s="29"/>
      <c r="L287" s="29"/>
      <c r="M287" s="27"/>
      <c r="N287" s="32"/>
      <c r="O287" s="32"/>
      <c r="P287" s="32"/>
      <c r="Q287" s="32"/>
      <c r="R287" s="32"/>
      <c r="S287" s="32"/>
      <c r="T287" s="32"/>
      <c r="U287" s="32"/>
      <c r="V287" s="32"/>
      <c r="W287" s="32"/>
      <c r="X287" s="32"/>
      <c r="Y287" s="32"/>
      <c r="Z287" s="32"/>
      <c r="AA287" s="32"/>
      <c r="AB287" s="32"/>
      <c r="AC287" s="32"/>
      <c r="AD287" s="32"/>
      <c r="AE287" s="32"/>
      <c r="AF287" s="32"/>
      <c r="AG287" s="32"/>
      <c r="AH287" s="32"/>
    </row>
    <row r="288" spans="1:34" x14ac:dyDescent="0.2">
      <c r="A288" s="29"/>
      <c r="B288" s="29"/>
      <c r="C288" s="26"/>
      <c r="D288" s="29"/>
      <c r="E288" s="26"/>
      <c r="F288" s="32"/>
      <c r="G288" s="29"/>
      <c r="H288" s="29"/>
      <c r="I288" s="29"/>
      <c r="J288" s="29"/>
      <c r="K288" s="29"/>
      <c r="L288" s="29"/>
      <c r="M288" s="27"/>
      <c r="N288" s="32"/>
      <c r="O288" s="32"/>
      <c r="P288" s="32"/>
      <c r="Q288" s="32"/>
      <c r="R288" s="32"/>
      <c r="S288" s="32"/>
      <c r="T288" s="32"/>
      <c r="U288" s="32"/>
      <c r="V288" s="32"/>
      <c r="W288" s="32"/>
      <c r="X288" s="32"/>
      <c r="Y288" s="32"/>
      <c r="Z288" s="32"/>
      <c r="AA288" s="32"/>
      <c r="AB288" s="32"/>
      <c r="AC288" s="32"/>
      <c r="AD288" s="32"/>
      <c r="AE288" s="32"/>
      <c r="AF288" s="32"/>
      <c r="AG288" s="32"/>
      <c r="AH288" s="32"/>
    </row>
    <row r="289" spans="1:34" x14ac:dyDescent="0.2">
      <c r="A289" s="29"/>
      <c r="B289" s="29"/>
      <c r="C289" s="26"/>
      <c r="D289" s="29"/>
      <c r="E289" s="26"/>
      <c r="F289" s="32"/>
      <c r="G289" s="29"/>
      <c r="H289" s="29"/>
      <c r="I289" s="29"/>
      <c r="J289" s="29"/>
      <c r="K289" s="29"/>
      <c r="L289" s="29"/>
      <c r="M289" s="27"/>
      <c r="N289" s="32"/>
      <c r="O289" s="32"/>
      <c r="P289" s="32"/>
      <c r="Q289" s="32"/>
      <c r="R289" s="32"/>
      <c r="S289" s="32"/>
      <c r="T289" s="32"/>
      <c r="U289" s="32"/>
      <c r="V289" s="32"/>
      <c r="W289" s="32"/>
      <c r="X289" s="32"/>
      <c r="Y289" s="32"/>
      <c r="Z289" s="32"/>
      <c r="AA289" s="32"/>
      <c r="AB289" s="32"/>
      <c r="AC289" s="32"/>
      <c r="AD289" s="32"/>
      <c r="AE289" s="32"/>
      <c r="AF289" s="32"/>
      <c r="AG289" s="32"/>
      <c r="AH289" s="32"/>
    </row>
  </sheetData>
  <autoFilter ref="E1:AI991" xr:uid="{00000000-0009-0000-0000-000004000000}"/>
  <conditionalFormatting sqref="M1">
    <cfRule type="cellIs" dxfId="4" priority="1" operator="equal">
      <formula>"Caracterizado"</formula>
    </cfRule>
    <cfRule type="cellIs" dxfId="3" priority="3" operator="equal">
      <formula>"Encuestado"</formula>
    </cfRule>
    <cfRule type="containsText" dxfId="2" priority="4" operator="containsText" text="Asignado">
      <formula>NOT(ISERROR(SEARCH(("Asignado"),(M1))))</formula>
    </cfRule>
    <cfRule type="containsText" dxfId="1" priority="5" operator="containsText" text="Beneficiario">
      <formula>NOT(ISERROR(SEARCH(("Beneficiario"),(M1))))</formula>
    </cfRule>
  </conditionalFormatting>
  <conditionalFormatting sqref="O1">
    <cfRule type="cellIs" dxfId="0" priority="2" operator="equal">
      <formula>"Alta"</formula>
    </cfRule>
  </conditionalFormatting>
  <dataValidations count="5">
    <dataValidation type="list" allowBlank="1" showErrorMessage="1" sqref="M2:M289" xr:uid="{00000000-0002-0000-0400-000000000000}">
      <formula1>"Caracterizado,Encuestado,Asignado,Preasignado,Inactivo"</formula1>
    </dataValidation>
    <dataValidation type="list" allowBlank="1" showErrorMessage="1" sqref="P2:P289 R2:R289 T2:T289 V2:V289 X2:X289" xr:uid="{00000000-0002-0000-0400-000001000000}">
      <formula1>"Construido,Asignado,No asignable"</formula1>
    </dataValidation>
    <dataValidation type="list" allowBlank="1" showErrorMessage="1" sqref="E2:E289" xr:uid="{00000000-0002-0000-0400-000002000000}">
      <formula1>"Granizal,La Honda,La Nueva Jerusalén"</formula1>
    </dataValidation>
    <dataValidation type="list" allowBlank="1" showErrorMessage="1" sqref="F2:F289" xr:uid="{00000000-0002-0000-0400-000003000000}">
      <formula1>"Sector 1,Sector 2,Sector 3,Sector 4"</formula1>
    </dataValidation>
    <dataValidation type="list" allowBlank="1" showErrorMessage="1" sqref="O2:O289" xr:uid="{00000000-0002-0000-0400-000004000000}">
      <formula1>"Alta,Media Alta,Media,Media Baja,Baja,Sin definir"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803"/>
  <sheetViews>
    <sheetView workbookViewId="0"/>
  </sheetViews>
  <sheetFormatPr defaultColWidth="12.5703125" defaultRowHeight="15.75" customHeight="1" x14ac:dyDescent="0.2"/>
  <cols>
    <col min="1" max="1" width="17.140625" customWidth="1"/>
    <col min="8" max="8" width="18.85546875" customWidth="1"/>
  </cols>
  <sheetData>
    <row r="1" spans="1:8" x14ac:dyDescent="0.2">
      <c r="A1" s="21" t="str">
        <f t="shared" ref="A1:A255" ca="1" si="0">H1</f>
        <v>Beneficiario/a</v>
      </c>
      <c r="B1" s="21" t="str">
        <f ca="1">IFERROR(__xludf.DUMMYFUNCTION("IMPORTRANGE(""https://docs.google.com/spreadsheets/d/1evl3O6n0VoamnXYiW33EIkaN3r4zFl48zC2JVTsiHlQ/edit?usp=sharing"",""CÓDIGOS!G3:M1000"")"),"Código")</f>
        <v>Código</v>
      </c>
      <c r="C1" s="21" t="str">
        <f ca="1">IFERROR(__xludf.DUMMYFUNCTION("""COMPUTED_VALUE"""),"Pago total")</f>
        <v>Pago total</v>
      </c>
      <c r="D1" s="21" t="str">
        <f ca="1">IFERROR(__xludf.DUMMYFUNCTION("""COMPUTED_VALUE"""),"Responsable")</f>
        <v>Responsable</v>
      </c>
      <c r="E1" s="21" t="str">
        <f ca="1">IFERROR(__xludf.DUMMYFUNCTION("""COMPUTED_VALUE"""),"Fecha inicio C.C.")</f>
        <v>Fecha inicio C.C.</v>
      </c>
      <c r="F1" s="121" t="str">
        <f ca="1">IFERROR(__xludf.DUMMYFUNCTION("""COMPUTED_VALUE"""),"Recaudo")</f>
        <v>Recaudo</v>
      </c>
      <c r="G1" s="21" t="str">
        <f ca="1">IFERROR(__xludf.DUMMYFUNCTION("""COMPUTED_VALUE"""),"% Recaudo")</f>
        <v>% Recaudo</v>
      </c>
      <c r="H1" s="21" t="str">
        <f ca="1">IFERROR(__xludf.DUMMYFUNCTION("""COMPUTED_VALUE"""),"Beneficiario/a")</f>
        <v>Beneficiario/a</v>
      </c>
    </row>
    <row r="2" spans="1:8" x14ac:dyDescent="0.2">
      <c r="A2" s="21">
        <f t="shared" si="0"/>
        <v>0</v>
      </c>
      <c r="B2" s="21" t="str">
        <f ca="1">IFERROR(__xludf.DUMMYFUNCTION("""COMPUTED_VALUE"""),"049310001")</f>
        <v>049310001</v>
      </c>
      <c r="C2" s="21"/>
      <c r="D2" s="21"/>
      <c r="E2" s="21"/>
      <c r="F2" s="21"/>
      <c r="G2" s="21"/>
      <c r="H2" s="21"/>
    </row>
    <row r="3" spans="1:8" x14ac:dyDescent="0.2">
      <c r="A3" s="21">
        <f t="shared" si="0"/>
        <v>0</v>
      </c>
      <c r="B3" s="21" t="str">
        <f ca="1">IFERROR(__xludf.DUMMYFUNCTION("""COMPUTED_VALUE"""),"049310002")</f>
        <v>049310002</v>
      </c>
      <c r="C3" s="21"/>
      <c r="D3" s="21"/>
      <c r="E3" s="21"/>
      <c r="F3" s="21"/>
      <c r="G3" s="21"/>
      <c r="H3" s="21"/>
    </row>
    <row r="4" spans="1:8" x14ac:dyDescent="0.2">
      <c r="A4" s="21">
        <f t="shared" si="0"/>
        <v>0</v>
      </c>
      <c r="B4" s="21" t="str">
        <f ca="1">IFERROR(__xludf.DUMMYFUNCTION("""COMPUTED_VALUE"""),"049310003")</f>
        <v>049310003</v>
      </c>
      <c r="C4" s="21"/>
      <c r="D4" s="21"/>
      <c r="E4" s="21"/>
      <c r="F4" s="21"/>
      <c r="G4" s="21"/>
      <c r="H4" s="21"/>
    </row>
    <row r="5" spans="1:8" x14ac:dyDescent="0.2">
      <c r="A5" s="21">
        <f t="shared" si="0"/>
        <v>0</v>
      </c>
      <c r="B5" s="21" t="str">
        <f ca="1">IFERROR(__xludf.DUMMYFUNCTION("""COMPUTED_VALUE"""),"039310001")</f>
        <v>039310001</v>
      </c>
      <c r="C5" s="21"/>
      <c r="D5" s="21"/>
      <c r="E5" s="21"/>
      <c r="F5" s="21"/>
      <c r="G5" s="21"/>
      <c r="H5" s="21"/>
    </row>
    <row r="6" spans="1:8" x14ac:dyDescent="0.2">
      <c r="A6" s="21">
        <f t="shared" si="0"/>
        <v>0</v>
      </c>
      <c r="B6" s="21" t="str">
        <f ca="1">IFERROR(__xludf.DUMMYFUNCTION("""COMPUTED_VALUE"""),"039310002")</f>
        <v>039310002</v>
      </c>
      <c r="C6" s="21"/>
      <c r="D6" s="21"/>
      <c r="E6" s="21"/>
      <c r="F6" s="21"/>
      <c r="G6" s="21"/>
      <c r="H6" s="21"/>
    </row>
    <row r="7" spans="1:8" x14ac:dyDescent="0.2">
      <c r="A7" s="21">
        <f t="shared" si="0"/>
        <v>0</v>
      </c>
      <c r="B7" s="21" t="str">
        <f ca="1">IFERROR(__xludf.DUMMYFUNCTION("""COMPUTED_VALUE"""),"039310003")</f>
        <v>039310003</v>
      </c>
      <c r="C7" s="21"/>
      <c r="D7" s="21"/>
      <c r="E7" s="21"/>
      <c r="F7" s="21"/>
      <c r="G7" s="21"/>
      <c r="H7" s="21"/>
    </row>
    <row r="8" spans="1:8" x14ac:dyDescent="0.2">
      <c r="A8" s="21">
        <f t="shared" si="0"/>
        <v>0</v>
      </c>
      <c r="B8" s="21" t="str">
        <f ca="1">IFERROR(__xludf.DUMMYFUNCTION("""COMPUTED_VALUE"""),"039310004")</f>
        <v>039310004</v>
      </c>
      <c r="C8" s="21"/>
      <c r="D8" s="21"/>
      <c r="E8" s="21"/>
      <c r="F8" s="21"/>
      <c r="G8" s="21"/>
      <c r="H8" s="21"/>
    </row>
    <row r="9" spans="1:8" x14ac:dyDescent="0.2">
      <c r="A9" s="21">
        <f t="shared" si="0"/>
        <v>0</v>
      </c>
      <c r="B9" s="21" t="str">
        <f ca="1">IFERROR(__xludf.DUMMYFUNCTION("""COMPUTED_VALUE"""),"039310005")</f>
        <v>039310005</v>
      </c>
      <c r="C9" s="21"/>
      <c r="D9" s="21"/>
      <c r="E9" s="21"/>
      <c r="F9" s="21"/>
      <c r="G9" s="21"/>
      <c r="H9" s="21"/>
    </row>
    <row r="10" spans="1:8" x14ac:dyDescent="0.2">
      <c r="A10" s="21">
        <f t="shared" si="0"/>
        <v>0</v>
      </c>
      <c r="B10" s="21" t="str">
        <f ca="1">IFERROR(__xludf.DUMMYFUNCTION("""COMPUTED_VALUE"""),"039310006")</f>
        <v>039310006</v>
      </c>
      <c r="C10" s="21"/>
      <c r="D10" s="21"/>
      <c r="E10" s="21"/>
      <c r="F10" s="21"/>
      <c r="G10" s="21"/>
      <c r="H10" s="21"/>
    </row>
    <row r="11" spans="1:8" x14ac:dyDescent="0.2">
      <c r="A11" s="21">
        <f t="shared" si="0"/>
        <v>0</v>
      </c>
      <c r="B11" s="21" t="str">
        <f ca="1">IFERROR(__xludf.DUMMYFUNCTION("""COMPUTED_VALUE"""),"039310007")</f>
        <v>039310007</v>
      </c>
      <c r="C11" s="21"/>
      <c r="D11" s="21"/>
      <c r="E11" s="21"/>
      <c r="F11" s="21"/>
      <c r="G11" s="21"/>
      <c r="H11" s="21"/>
    </row>
    <row r="12" spans="1:8" x14ac:dyDescent="0.2">
      <c r="A12" s="21">
        <f t="shared" si="0"/>
        <v>0</v>
      </c>
      <c r="B12" s="21" t="str">
        <f ca="1">IFERROR(__xludf.DUMMYFUNCTION("""COMPUTED_VALUE"""),"029310001")</f>
        <v>029310001</v>
      </c>
      <c r="C12" s="21"/>
      <c r="D12" s="21"/>
      <c r="E12" s="21"/>
      <c r="F12" s="21"/>
      <c r="G12" s="21"/>
      <c r="H12" s="21"/>
    </row>
    <row r="13" spans="1:8" x14ac:dyDescent="0.2">
      <c r="A13" s="21">
        <f t="shared" si="0"/>
        <v>0</v>
      </c>
      <c r="B13" s="21" t="str">
        <f ca="1">IFERROR(__xludf.DUMMYFUNCTION("""COMPUTED_VALUE"""),"029310002")</f>
        <v>029310002</v>
      </c>
      <c r="C13" s="21"/>
      <c r="D13" s="21"/>
      <c r="E13" s="21"/>
      <c r="F13" s="21"/>
      <c r="G13" s="21"/>
      <c r="H13" s="21"/>
    </row>
    <row r="14" spans="1:8" x14ac:dyDescent="0.2">
      <c r="A14" s="21">
        <f t="shared" si="0"/>
        <v>0</v>
      </c>
      <c r="B14" s="21" t="str">
        <f ca="1">IFERROR(__xludf.DUMMYFUNCTION("""COMPUTED_VALUE"""),"029310003")</f>
        <v>029310003</v>
      </c>
      <c r="C14" s="21"/>
      <c r="D14" s="21"/>
      <c r="E14" s="21"/>
      <c r="F14" s="21"/>
      <c r="G14" s="21"/>
      <c r="H14" s="21"/>
    </row>
    <row r="15" spans="1:8" x14ac:dyDescent="0.2">
      <c r="A15" s="21">
        <f t="shared" si="0"/>
        <v>0</v>
      </c>
      <c r="B15" s="21" t="str">
        <f ca="1">IFERROR(__xludf.DUMMYFUNCTION("""COMPUTED_VALUE"""),"029310004")</f>
        <v>029310004</v>
      </c>
      <c r="C15" s="21"/>
      <c r="D15" s="21"/>
      <c r="E15" s="21"/>
      <c r="F15" s="21"/>
      <c r="G15" s="21"/>
      <c r="H15" s="21"/>
    </row>
    <row r="16" spans="1:8" x14ac:dyDescent="0.2">
      <c r="A16" s="21">
        <f t="shared" si="0"/>
        <v>0</v>
      </c>
      <c r="B16" s="21" t="str">
        <f ca="1">IFERROR(__xludf.DUMMYFUNCTION("""COMPUTED_VALUE"""),"029310005")</f>
        <v>029310005</v>
      </c>
      <c r="C16" s="21"/>
      <c r="D16" s="21"/>
      <c r="E16" s="21"/>
      <c r="F16" s="21"/>
      <c r="G16" s="21"/>
      <c r="H16" s="21"/>
    </row>
    <row r="17" spans="1:8" x14ac:dyDescent="0.2">
      <c r="A17" s="21">
        <f t="shared" si="0"/>
        <v>0</v>
      </c>
      <c r="B17" s="21" t="str">
        <f ca="1">IFERROR(__xludf.DUMMYFUNCTION("""COMPUTED_VALUE"""),"029310006")</f>
        <v>029310006</v>
      </c>
      <c r="C17" s="21"/>
      <c r="D17" s="21"/>
      <c r="E17" s="21"/>
      <c r="F17" s="21"/>
      <c r="G17" s="21"/>
      <c r="H17" s="21"/>
    </row>
    <row r="18" spans="1:8" x14ac:dyDescent="0.2">
      <c r="A18" s="21">
        <f t="shared" si="0"/>
        <v>0</v>
      </c>
      <c r="B18" s="21" t="str">
        <f ca="1">IFERROR(__xludf.DUMMYFUNCTION("""COMPUTED_VALUE"""),"029310007")</f>
        <v>029310007</v>
      </c>
      <c r="C18" s="21"/>
      <c r="D18" s="21"/>
      <c r="E18" s="21"/>
      <c r="F18" s="21"/>
      <c r="G18" s="21"/>
      <c r="H18" s="21"/>
    </row>
    <row r="19" spans="1:8" x14ac:dyDescent="0.2">
      <c r="A19" s="21">
        <f t="shared" si="0"/>
        <v>0</v>
      </c>
      <c r="B19" s="21" t="str">
        <f ca="1">IFERROR(__xludf.DUMMYFUNCTION("""COMPUTED_VALUE"""),"039328001")</f>
        <v>039328001</v>
      </c>
      <c r="C19" s="21"/>
      <c r="D19" s="21"/>
      <c r="E19" s="21"/>
      <c r="F19" s="21"/>
      <c r="G19" s="21"/>
      <c r="H19" s="21"/>
    </row>
    <row r="20" spans="1:8" x14ac:dyDescent="0.2">
      <c r="A20" s="21">
        <f t="shared" si="0"/>
        <v>0</v>
      </c>
      <c r="B20" s="21" t="str">
        <f ca="1">IFERROR(__xludf.DUMMYFUNCTION("""COMPUTED_VALUE"""),"039328002")</f>
        <v>039328002</v>
      </c>
      <c r="C20" s="21"/>
      <c r="D20" s="21"/>
      <c r="E20" s="21"/>
      <c r="F20" s="21"/>
      <c r="G20" s="21"/>
      <c r="H20" s="21"/>
    </row>
    <row r="21" spans="1:8" x14ac:dyDescent="0.2">
      <c r="A21" s="21">
        <f t="shared" si="0"/>
        <v>0</v>
      </c>
      <c r="B21" s="21" t="str">
        <f ca="1">IFERROR(__xludf.DUMMYFUNCTION("""COMPUTED_VALUE"""),"039328003")</f>
        <v>039328003</v>
      </c>
      <c r="C21" s="21"/>
      <c r="D21" s="21"/>
      <c r="E21" s="21"/>
      <c r="F21" s="21"/>
      <c r="G21" s="21"/>
      <c r="H21" s="21"/>
    </row>
    <row r="22" spans="1:8" x14ac:dyDescent="0.2">
      <c r="A22" s="21">
        <f t="shared" si="0"/>
        <v>0</v>
      </c>
      <c r="B22" s="21" t="str">
        <f ca="1">IFERROR(__xludf.DUMMYFUNCTION("""COMPUTED_VALUE"""),"039328004")</f>
        <v>039328004</v>
      </c>
      <c r="C22" s="21"/>
      <c r="D22" s="21"/>
      <c r="E22" s="21"/>
      <c r="F22" s="21"/>
      <c r="G22" s="21"/>
      <c r="H22" s="21"/>
    </row>
    <row r="23" spans="1:8" x14ac:dyDescent="0.2">
      <c r="A23" s="21">
        <f t="shared" si="0"/>
        <v>0</v>
      </c>
      <c r="B23" s="21" t="str">
        <f ca="1">IFERROR(__xludf.DUMMYFUNCTION("""COMPUTED_VALUE"""),"039328005")</f>
        <v>039328005</v>
      </c>
      <c r="C23" s="21"/>
      <c r="D23" s="21"/>
      <c r="E23" s="21"/>
      <c r="F23" s="21"/>
      <c r="G23" s="21"/>
      <c r="H23" s="21"/>
    </row>
    <row r="24" spans="1:8" x14ac:dyDescent="0.2">
      <c r="A24" s="21">
        <f t="shared" si="0"/>
        <v>0</v>
      </c>
      <c r="B24" s="21" t="str">
        <f ca="1">IFERROR(__xludf.DUMMYFUNCTION("""COMPUTED_VALUE"""),"039328006")</f>
        <v>039328006</v>
      </c>
      <c r="C24" s="21"/>
      <c r="D24" s="21"/>
      <c r="E24" s="21"/>
      <c r="F24" s="21"/>
      <c r="G24" s="21"/>
      <c r="H24" s="21"/>
    </row>
    <row r="25" spans="1:8" x14ac:dyDescent="0.2">
      <c r="A25" s="21">
        <f t="shared" si="0"/>
        <v>0</v>
      </c>
      <c r="B25" s="21" t="str">
        <f ca="1">IFERROR(__xludf.DUMMYFUNCTION("""COMPUTED_VALUE"""),"039328007")</f>
        <v>039328007</v>
      </c>
      <c r="C25" s="21"/>
      <c r="D25" s="21"/>
      <c r="E25" s="21"/>
      <c r="F25" s="21"/>
      <c r="G25" s="21"/>
      <c r="H25" s="21"/>
    </row>
    <row r="26" spans="1:8" x14ac:dyDescent="0.2">
      <c r="A26" s="21">
        <f t="shared" si="0"/>
        <v>0</v>
      </c>
      <c r="B26" s="21" t="str">
        <f ca="1">IFERROR(__xludf.DUMMYFUNCTION("""COMPUTED_VALUE"""),"039328008")</f>
        <v>039328008</v>
      </c>
      <c r="C26" s="21"/>
      <c r="D26" s="21"/>
      <c r="E26" s="21"/>
      <c r="F26" s="21"/>
      <c r="G26" s="21"/>
      <c r="H26" s="21"/>
    </row>
    <row r="27" spans="1:8" x14ac:dyDescent="0.2">
      <c r="A27" s="21">
        <f t="shared" si="0"/>
        <v>0</v>
      </c>
      <c r="B27" s="21" t="str">
        <f ca="1">IFERROR(__xludf.DUMMYFUNCTION("""COMPUTED_VALUE"""),"039328009")</f>
        <v>039328009</v>
      </c>
      <c r="C27" s="21"/>
      <c r="D27" s="21"/>
      <c r="E27" s="21"/>
      <c r="F27" s="21"/>
      <c r="G27" s="21"/>
      <c r="H27" s="21"/>
    </row>
    <row r="28" spans="1:8" x14ac:dyDescent="0.2">
      <c r="A28" s="21">
        <f t="shared" si="0"/>
        <v>0</v>
      </c>
      <c r="B28" s="21" t="str">
        <f ca="1">IFERROR(__xludf.DUMMYFUNCTION("""COMPUTED_VALUE"""),"0393280010")</f>
        <v>0393280010</v>
      </c>
      <c r="C28" s="21"/>
      <c r="D28" s="21"/>
      <c r="E28" s="21"/>
      <c r="F28" s="21"/>
      <c r="G28" s="21"/>
      <c r="H28" s="21"/>
    </row>
    <row r="29" spans="1:8" x14ac:dyDescent="0.2">
      <c r="A29" s="21">
        <f t="shared" si="0"/>
        <v>0</v>
      </c>
      <c r="B29" s="21" t="str">
        <f ca="1">IFERROR(__xludf.DUMMYFUNCTION("""COMPUTED_VALUE"""),"029301001")</f>
        <v>029301001</v>
      </c>
      <c r="C29" s="21"/>
      <c r="D29" s="21"/>
      <c r="E29" s="21"/>
      <c r="F29" s="21"/>
      <c r="G29" s="21"/>
      <c r="H29" s="21"/>
    </row>
    <row r="30" spans="1:8" x14ac:dyDescent="0.2">
      <c r="A30" s="21">
        <f t="shared" si="0"/>
        <v>0</v>
      </c>
      <c r="B30" s="21" t="str">
        <f ca="1">IFERROR(__xludf.DUMMYFUNCTION("""COMPUTED_VALUE"""),"029301002")</f>
        <v>029301002</v>
      </c>
      <c r="C30" s="21"/>
      <c r="D30" s="21"/>
      <c r="E30" s="21"/>
      <c r="F30" s="21"/>
      <c r="G30" s="21"/>
      <c r="H30" s="21"/>
    </row>
    <row r="31" spans="1:8" x14ac:dyDescent="0.2">
      <c r="A31" s="21">
        <f t="shared" si="0"/>
        <v>0</v>
      </c>
      <c r="B31" s="21" t="str">
        <f ca="1">IFERROR(__xludf.DUMMYFUNCTION("""COMPUTED_VALUE"""),"029301003")</f>
        <v>029301003</v>
      </c>
      <c r="C31" s="21"/>
      <c r="D31" s="21"/>
      <c r="E31" s="21"/>
      <c r="F31" s="21"/>
      <c r="G31" s="21"/>
      <c r="H31" s="21"/>
    </row>
    <row r="32" spans="1:8" x14ac:dyDescent="0.2">
      <c r="A32" s="21">
        <f t="shared" si="0"/>
        <v>0</v>
      </c>
      <c r="B32" s="21" t="str">
        <f ca="1">IFERROR(__xludf.DUMMYFUNCTION("""COMPUTED_VALUE"""),"029301004")</f>
        <v>029301004</v>
      </c>
      <c r="C32" s="21"/>
      <c r="D32" s="21"/>
      <c r="E32" s="21"/>
      <c r="F32" s="21"/>
      <c r="G32" s="21"/>
      <c r="H32" s="21"/>
    </row>
    <row r="33" spans="1:8" x14ac:dyDescent="0.2">
      <c r="A33" s="21">
        <f t="shared" si="0"/>
        <v>0</v>
      </c>
      <c r="B33" s="21" t="str">
        <f ca="1">IFERROR(__xludf.DUMMYFUNCTION("""COMPUTED_VALUE"""),"029301005")</f>
        <v>029301005</v>
      </c>
      <c r="C33" s="21"/>
      <c r="D33" s="21"/>
      <c r="E33" s="21"/>
      <c r="F33" s="21"/>
      <c r="G33" s="21"/>
      <c r="H33" s="21"/>
    </row>
    <row r="34" spans="1:8" x14ac:dyDescent="0.2">
      <c r="A34" s="21">
        <f t="shared" si="0"/>
        <v>0</v>
      </c>
      <c r="B34" s="21" t="str">
        <f ca="1">IFERROR(__xludf.DUMMYFUNCTION("""COMPUTED_VALUE"""),"029301006")</f>
        <v>029301006</v>
      </c>
      <c r="C34" s="21"/>
      <c r="D34" s="21"/>
      <c r="E34" s="21"/>
      <c r="F34" s="21"/>
      <c r="G34" s="21"/>
      <c r="H34" s="21"/>
    </row>
    <row r="35" spans="1:8" x14ac:dyDescent="0.2">
      <c r="A35" s="21">
        <f t="shared" si="0"/>
        <v>0</v>
      </c>
      <c r="B35" s="21" t="str">
        <f ca="1">IFERROR(__xludf.DUMMYFUNCTION("""COMPUTED_VALUE"""),"029301007")</f>
        <v>029301007</v>
      </c>
      <c r="C35" s="21"/>
      <c r="D35" s="21"/>
      <c r="E35" s="21"/>
      <c r="F35" s="21"/>
      <c r="G35" s="21"/>
      <c r="H35" s="21"/>
    </row>
    <row r="36" spans="1:8" x14ac:dyDescent="0.2">
      <c r="A36" s="21">
        <f t="shared" si="0"/>
        <v>0</v>
      </c>
      <c r="B36" s="21" t="str">
        <f ca="1">IFERROR(__xludf.DUMMYFUNCTION("""COMPUTED_VALUE"""),"029301008")</f>
        <v>029301008</v>
      </c>
      <c r="C36" s="21"/>
      <c r="D36" s="21"/>
      <c r="E36" s="21"/>
      <c r="F36" s="21"/>
      <c r="G36" s="21"/>
      <c r="H36" s="21"/>
    </row>
    <row r="37" spans="1:8" x14ac:dyDescent="0.2">
      <c r="A37" s="21">
        <f t="shared" si="0"/>
        <v>0</v>
      </c>
      <c r="B37" s="122" t="str">
        <f ca="1">IFERROR(__xludf.DUMMYFUNCTION("""COMPUTED_VALUE"""),"039327001")</f>
        <v>039327001</v>
      </c>
      <c r="C37" s="21"/>
      <c r="D37" s="21"/>
      <c r="E37" s="21"/>
      <c r="F37" s="21"/>
      <c r="G37" s="21"/>
      <c r="H37" s="21"/>
    </row>
    <row r="38" spans="1:8" x14ac:dyDescent="0.2">
      <c r="A38" s="21">
        <f t="shared" si="0"/>
        <v>0</v>
      </c>
      <c r="B38" s="122" t="str">
        <f ca="1">IFERROR(__xludf.DUMMYFUNCTION("""COMPUTED_VALUE"""),"039327002")</f>
        <v>039327002</v>
      </c>
      <c r="C38" s="21"/>
      <c r="D38" s="21"/>
      <c r="E38" s="21"/>
      <c r="F38" s="21"/>
      <c r="G38" s="21"/>
      <c r="H38" s="21"/>
    </row>
    <row r="39" spans="1:8" x14ac:dyDescent="0.2">
      <c r="A39" s="21">
        <f t="shared" si="0"/>
        <v>0</v>
      </c>
      <c r="B39" s="122" t="str">
        <f ca="1">IFERROR(__xludf.DUMMYFUNCTION("""COMPUTED_VALUE"""),"039327003")</f>
        <v>039327003</v>
      </c>
      <c r="C39" s="21"/>
      <c r="D39" s="21"/>
      <c r="E39" s="21"/>
      <c r="F39" s="21"/>
      <c r="G39" s="21"/>
      <c r="H39" s="21"/>
    </row>
    <row r="40" spans="1:8" x14ac:dyDescent="0.2">
      <c r="A40" s="21">
        <f t="shared" si="0"/>
        <v>0</v>
      </c>
      <c r="B40" s="122" t="str">
        <f ca="1">IFERROR(__xludf.DUMMYFUNCTION("""COMPUTED_VALUE"""),"039327004")</f>
        <v>039327004</v>
      </c>
      <c r="C40" s="21"/>
      <c r="D40" s="21"/>
      <c r="E40" s="21"/>
      <c r="F40" s="21"/>
      <c r="G40" s="21"/>
      <c r="H40" s="21"/>
    </row>
    <row r="41" spans="1:8" x14ac:dyDescent="0.2">
      <c r="A41" s="21">
        <f t="shared" si="0"/>
        <v>0</v>
      </c>
      <c r="B41" s="122" t="str">
        <f ca="1">IFERROR(__xludf.DUMMYFUNCTION("""COMPUTED_VALUE"""),"039327005")</f>
        <v>039327005</v>
      </c>
      <c r="C41" s="21"/>
      <c r="D41" s="21"/>
      <c r="E41" s="21"/>
      <c r="F41" s="21"/>
      <c r="G41" s="21"/>
      <c r="H41" s="21"/>
    </row>
    <row r="42" spans="1:8" x14ac:dyDescent="0.2">
      <c r="A42" s="21">
        <f t="shared" si="0"/>
        <v>0</v>
      </c>
      <c r="B42" s="122" t="str">
        <f ca="1">IFERROR(__xludf.DUMMYFUNCTION("""COMPUTED_VALUE"""),"039327006")</f>
        <v>039327006</v>
      </c>
      <c r="C42" s="21"/>
      <c r="D42" s="21"/>
      <c r="E42" s="21"/>
      <c r="F42" s="21"/>
      <c r="G42" s="21"/>
      <c r="H42" s="21"/>
    </row>
    <row r="43" spans="1:8" x14ac:dyDescent="0.2">
      <c r="A43" s="21">
        <f t="shared" si="0"/>
        <v>0</v>
      </c>
      <c r="B43" s="122" t="str">
        <f ca="1">IFERROR(__xludf.DUMMYFUNCTION("""COMPUTED_VALUE"""),"039327007")</f>
        <v>039327007</v>
      </c>
      <c r="C43" s="21"/>
      <c r="D43" s="21"/>
      <c r="E43" s="21"/>
      <c r="F43" s="21"/>
      <c r="G43" s="21"/>
      <c r="H43" s="21"/>
    </row>
    <row r="44" spans="1:8" x14ac:dyDescent="0.2">
      <c r="A44" s="21">
        <f t="shared" si="0"/>
        <v>0</v>
      </c>
      <c r="B44" s="122" t="str">
        <f ca="1">IFERROR(__xludf.DUMMYFUNCTION("""COMPUTED_VALUE"""),"029327001")</f>
        <v>029327001</v>
      </c>
      <c r="C44" s="21"/>
      <c r="D44" s="21"/>
      <c r="E44" s="21"/>
      <c r="F44" s="21"/>
      <c r="G44" s="21"/>
      <c r="H44" s="21"/>
    </row>
    <row r="45" spans="1:8" x14ac:dyDescent="0.2">
      <c r="A45" s="21">
        <f t="shared" si="0"/>
        <v>0</v>
      </c>
      <c r="B45" s="122" t="str">
        <f ca="1">IFERROR(__xludf.DUMMYFUNCTION("""COMPUTED_VALUE"""),"039301001")</f>
        <v>039301001</v>
      </c>
      <c r="C45" s="21"/>
      <c r="D45" s="21"/>
      <c r="E45" s="21"/>
      <c r="F45" s="21"/>
      <c r="G45" s="21"/>
      <c r="H45" s="21"/>
    </row>
    <row r="46" spans="1:8" x14ac:dyDescent="0.2">
      <c r="A46" s="21">
        <f t="shared" si="0"/>
        <v>0</v>
      </c>
      <c r="B46" s="122" t="str">
        <f ca="1">IFERROR(__xludf.DUMMYFUNCTION("""COMPUTED_VALUE"""),"039301002")</f>
        <v>039301002</v>
      </c>
      <c r="C46" s="21"/>
      <c r="D46" s="21"/>
      <c r="E46" s="21"/>
      <c r="F46" s="21"/>
      <c r="G46" s="21"/>
      <c r="H46" s="21"/>
    </row>
    <row r="47" spans="1:8" x14ac:dyDescent="0.2">
      <c r="A47" s="21">
        <f t="shared" si="0"/>
        <v>0</v>
      </c>
      <c r="B47" s="122" t="str">
        <f ca="1">IFERROR(__xludf.DUMMYFUNCTION("""COMPUTED_VALUE"""),"039301003")</f>
        <v>039301003</v>
      </c>
      <c r="C47" s="21"/>
      <c r="D47" s="21"/>
      <c r="E47" s="21"/>
      <c r="F47" s="21"/>
      <c r="G47" s="21"/>
      <c r="H47" s="21"/>
    </row>
    <row r="48" spans="1:8" x14ac:dyDescent="0.2">
      <c r="A48" s="21">
        <f t="shared" si="0"/>
        <v>0</v>
      </c>
      <c r="B48" s="122" t="str">
        <f ca="1">IFERROR(__xludf.DUMMYFUNCTION("""COMPUTED_VALUE"""),"039301004")</f>
        <v>039301004</v>
      </c>
      <c r="C48" s="21"/>
      <c r="D48" s="21"/>
      <c r="E48" s="21"/>
      <c r="F48" s="21"/>
      <c r="G48" s="21"/>
      <c r="H48" s="21"/>
    </row>
    <row r="49" spans="1:8" x14ac:dyDescent="0.2">
      <c r="A49" s="21">
        <f t="shared" si="0"/>
        <v>0</v>
      </c>
      <c r="B49" s="122" t="str">
        <f ca="1">IFERROR(__xludf.DUMMYFUNCTION("""COMPUTED_VALUE"""),"039301005")</f>
        <v>039301005</v>
      </c>
      <c r="C49" s="21"/>
      <c r="D49" s="21"/>
      <c r="E49" s="21"/>
      <c r="F49" s="21"/>
      <c r="G49" s="21"/>
      <c r="H49" s="21"/>
    </row>
    <row r="50" spans="1:8" x14ac:dyDescent="0.2">
      <c r="A50" s="21">
        <f t="shared" si="0"/>
        <v>0</v>
      </c>
      <c r="B50" s="122" t="str">
        <f ca="1">IFERROR(__xludf.DUMMYFUNCTION("""COMPUTED_VALUE"""),"039301006")</f>
        <v>039301006</v>
      </c>
      <c r="C50" s="21"/>
      <c r="D50" s="21"/>
      <c r="E50" s="21"/>
      <c r="F50" s="21"/>
      <c r="G50" s="21"/>
      <c r="H50" s="21"/>
    </row>
    <row r="51" spans="1:8" x14ac:dyDescent="0.2">
      <c r="A51" s="21">
        <f t="shared" si="0"/>
        <v>0</v>
      </c>
      <c r="B51" s="122" t="str">
        <f ca="1">IFERROR(__xludf.DUMMYFUNCTION("""COMPUTED_VALUE"""),"039301007")</f>
        <v>039301007</v>
      </c>
      <c r="C51" s="21"/>
      <c r="D51" s="21"/>
      <c r="E51" s="21"/>
      <c r="F51" s="21"/>
      <c r="G51" s="21"/>
      <c r="H51" s="21"/>
    </row>
    <row r="52" spans="1:8" x14ac:dyDescent="0.2">
      <c r="A52" s="21">
        <f t="shared" si="0"/>
        <v>0</v>
      </c>
      <c r="B52" s="122" t="str">
        <f ca="1">IFERROR(__xludf.DUMMYFUNCTION("""COMPUTED_VALUE"""),"039301008")</f>
        <v>039301008</v>
      </c>
      <c r="C52" s="21"/>
      <c r="D52" s="21"/>
      <c r="E52" s="21"/>
      <c r="F52" s="21"/>
      <c r="G52" s="21"/>
      <c r="H52" s="21"/>
    </row>
    <row r="53" spans="1:8" x14ac:dyDescent="0.2">
      <c r="A53" s="21">
        <f t="shared" si="0"/>
        <v>0</v>
      </c>
      <c r="B53" s="122" t="str">
        <f ca="1">IFERROR(__xludf.DUMMYFUNCTION("""COMPUTED_VALUE"""),"039301009")</f>
        <v>039301009</v>
      </c>
      <c r="C53" s="21"/>
      <c r="D53" s="21"/>
      <c r="E53" s="21"/>
      <c r="F53" s="21"/>
      <c r="G53" s="21"/>
      <c r="H53" s="21"/>
    </row>
    <row r="54" spans="1:8" x14ac:dyDescent="0.2">
      <c r="A54" s="21">
        <f t="shared" si="0"/>
        <v>0</v>
      </c>
      <c r="B54" s="122" t="str">
        <f ca="1">IFERROR(__xludf.DUMMYFUNCTION("""COMPUTED_VALUE"""),"039301010")</f>
        <v>039301010</v>
      </c>
      <c r="C54" s="21"/>
      <c r="D54" s="21"/>
      <c r="E54" s="21"/>
      <c r="F54" s="21"/>
      <c r="G54" s="21"/>
      <c r="H54" s="21"/>
    </row>
    <row r="55" spans="1:8" x14ac:dyDescent="0.2">
      <c r="A55" s="21">
        <f t="shared" si="0"/>
        <v>0</v>
      </c>
      <c r="B55" s="122" t="str">
        <f ca="1">IFERROR(__xludf.DUMMYFUNCTION("""COMPUTED_VALUE"""),"039140001")</f>
        <v>039140001</v>
      </c>
      <c r="C55" s="21"/>
      <c r="D55" s="21"/>
      <c r="E55" s="21"/>
      <c r="F55" s="21"/>
      <c r="G55" s="21"/>
      <c r="H55" s="21"/>
    </row>
    <row r="56" spans="1:8" x14ac:dyDescent="0.2">
      <c r="A56" s="21">
        <f t="shared" si="0"/>
        <v>0</v>
      </c>
      <c r="B56" s="122" t="str">
        <f ca="1">IFERROR(__xludf.DUMMYFUNCTION("""COMPUTED_VALUE"""),"039140002")</f>
        <v>039140002</v>
      </c>
      <c r="C56" s="21"/>
      <c r="D56" s="21"/>
      <c r="E56" s="21"/>
      <c r="F56" s="21"/>
      <c r="G56" s="21"/>
      <c r="H56" s="21"/>
    </row>
    <row r="57" spans="1:8" x14ac:dyDescent="0.2">
      <c r="A57" s="21">
        <f t="shared" si="0"/>
        <v>0</v>
      </c>
      <c r="B57" s="122" t="str">
        <f ca="1">IFERROR(__xludf.DUMMYFUNCTION("""COMPUTED_VALUE"""),"029140001")</f>
        <v>029140001</v>
      </c>
      <c r="C57" s="21"/>
      <c r="D57" s="21"/>
      <c r="E57" s="21"/>
      <c r="F57" s="21"/>
      <c r="G57" s="21"/>
      <c r="H57" s="21"/>
    </row>
    <row r="58" spans="1:8" x14ac:dyDescent="0.2">
      <c r="A58" s="21">
        <f t="shared" si="0"/>
        <v>0</v>
      </c>
      <c r="B58" s="122" t="str">
        <f ca="1">IFERROR(__xludf.DUMMYFUNCTION("""COMPUTED_VALUE"""),"039140003")</f>
        <v>039140003</v>
      </c>
      <c r="C58" s="21"/>
      <c r="D58" s="21"/>
      <c r="E58" s="21"/>
      <c r="F58" s="21"/>
      <c r="G58" s="21"/>
      <c r="H58" s="21"/>
    </row>
    <row r="59" spans="1:8" x14ac:dyDescent="0.2">
      <c r="A59" s="21">
        <f t="shared" si="0"/>
        <v>0</v>
      </c>
      <c r="B59" s="122" t="str">
        <f ca="1">IFERROR(__xludf.DUMMYFUNCTION("""COMPUTED_VALUE"""),"29310004")</f>
        <v>29310004</v>
      </c>
      <c r="C59" s="21"/>
      <c r="D59" s="21"/>
      <c r="E59" s="21"/>
      <c r="F59" s="21"/>
      <c r="G59" s="21"/>
      <c r="H59" s="21"/>
    </row>
    <row r="60" spans="1:8" x14ac:dyDescent="0.2">
      <c r="A60" s="21">
        <f t="shared" si="0"/>
        <v>0</v>
      </c>
      <c r="B60" s="122" t="str">
        <f ca="1">IFERROR(__xludf.DUMMYFUNCTION("""COMPUTED_VALUE"""),"29310005")</f>
        <v>29310005</v>
      </c>
      <c r="C60" s="21"/>
      <c r="D60" s="21"/>
      <c r="E60" s="21"/>
      <c r="F60" s="21"/>
      <c r="G60" s="21"/>
      <c r="H60" s="21"/>
    </row>
    <row r="61" spans="1:8" x14ac:dyDescent="0.2">
      <c r="A61" s="21">
        <f t="shared" si="0"/>
        <v>0</v>
      </c>
      <c r="B61" s="122" t="str">
        <f ca="1">IFERROR(__xludf.DUMMYFUNCTION("""COMPUTED_VALUE"""),"29310006")</f>
        <v>29310006</v>
      </c>
      <c r="C61" s="21"/>
      <c r="D61" s="21"/>
      <c r="E61" s="21"/>
      <c r="F61" s="21"/>
      <c r="G61" s="21"/>
      <c r="H61" s="21"/>
    </row>
    <row r="62" spans="1:8" x14ac:dyDescent="0.2">
      <c r="A62" s="21">
        <f t="shared" si="0"/>
        <v>0</v>
      </c>
      <c r="B62" s="122" t="str">
        <f ca="1">IFERROR(__xludf.DUMMYFUNCTION("""COMPUTED_VALUE"""),"043910001")</f>
        <v>043910001</v>
      </c>
      <c r="C62" s="21"/>
      <c r="D62" s="21"/>
      <c r="E62" s="21"/>
      <c r="F62" s="21"/>
      <c r="G62" s="21"/>
      <c r="H62" s="21"/>
    </row>
    <row r="63" spans="1:8" x14ac:dyDescent="0.2">
      <c r="A63" s="21">
        <f t="shared" si="0"/>
        <v>0</v>
      </c>
      <c r="B63" s="122" t="str">
        <f ca="1">IFERROR(__xludf.DUMMYFUNCTION("""COMPUTED_VALUE"""),"043910002")</f>
        <v>043910002</v>
      </c>
      <c r="C63" s="21"/>
      <c r="D63" s="21"/>
      <c r="E63" s="21"/>
      <c r="F63" s="21"/>
      <c r="G63" s="21"/>
      <c r="H63" s="21"/>
    </row>
    <row r="64" spans="1:8" x14ac:dyDescent="0.2">
      <c r="A64" s="21">
        <f t="shared" si="0"/>
        <v>0</v>
      </c>
      <c r="B64" s="122" t="str">
        <f ca="1">IFERROR(__xludf.DUMMYFUNCTION("""COMPUTED_VALUE"""),"039310002")</f>
        <v>039310002</v>
      </c>
      <c r="C64" s="21"/>
      <c r="D64" s="21"/>
      <c r="E64" s="21"/>
      <c r="F64" s="21"/>
      <c r="G64" s="21"/>
      <c r="H64" s="21"/>
    </row>
    <row r="65" spans="1:8" x14ac:dyDescent="0.2">
      <c r="A65" s="21">
        <f t="shared" si="0"/>
        <v>0</v>
      </c>
      <c r="B65" s="122" t="str">
        <f ca="1">IFERROR(__xludf.DUMMYFUNCTION("""COMPUTED_VALUE"""),"039310003")</f>
        <v>039310003</v>
      </c>
      <c r="C65" s="21"/>
      <c r="D65" s="21"/>
      <c r="E65" s="21"/>
      <c r="F65" s="21"/>
      <c r="G65" s="21"/>
      <c r="H65" s="21"/>
    </row>
    <row r="66" spans="1:8" x14ac:dyDescent="0.2">
      <c r="A66" s="21">
        <f t="shared" si="0"/>
        <v>0</v>
      </c>
      <c r="B66" s="122" t="str">
        <f ca="1">IFERROR(__xludf.DUMMYFUNCTION("""COMPUTED_VALUE"""),"029314001")</f>
        <v>029314001</v>
      </c>
      <c r="C66" s="21"/>
      <c r="D66" s="21"/>
      <c r="E66" s="21"/>
      <c r="F66" s="21"/>
      <c r="G66" s="21"/>
      <c r="H66" s="21"/>
    </row>
    <row r="67" spans="1:8" x14ac:dyDescent="0.2">
      <c r="A67" s="21">
        <f t="shared" si="0"/>
        <v>0</v>
      </c>
      <c r="B67" s="122" t="str">
        <f ca="1">IFERROR(__xludf.DUMMYFUNCTION("""COMPUTED_VALUE"""),"029314002")</f>
        <v>029314002</v>
      </c>
      <c r="C67" s="21"/>
      <c r="D67" s="21"/>
      <c r="E67" s="21"/>
      <c r="F67" s="21"/>
      <c r="G67" s="21"/>
      <c r="H67" s="21"/>
    </row>
    <row r="68" spans="1:8" x14ac:dyDescent="0.2">
      <c r="A68" s="21">
        <f t="shared" si="0"/>
        <v>0</v>
      </c>
      <c r="B68" s="122" t="str">
        <f ca="1">IFERROR(__xludf.DUMMYFUNCTION("""COMPUTED_VALUE"""),"039323001")</f>
        <v>039323001</v>
      </c>
      <c r="C68" s="21"/>
      <c r="D68" s="21"/>
      <c r="E68" s="21"/>
      <c r="F68" s="21"/>
      <c r="G68" s="21"/>
      <c r="H68" s="21"/>
    </row>
    <row r="69" spans="1:8" x14ac:dyDescent="0.2">
      <c r="A69" s="21">
        <f t="shared" si="0"/>
        <v>0</v>
      </c>
      <c r="B69" s="122" t="str">
        <f ca="1">IFERROR(__xludf.DUMMYFUNCTION("""COMPUTED_VALUE"""),"039142001")</f>
        <v>039142001</v>
      </c>
      <c r="C69" s="21"/>
      <c r="D69" s="21"/>
      <c r="E69" s="21"/>
      <c r="F69" s="21"/>
      <c r="G69" s="21"/>
      <c r="H69" s="21"/>
    </row>
    <row r="70" spans="1:8" x14ac:dyDescent="0.2">
      <c r="A70" s="21">
        <f t="shared" si="0"/>
        <v>0</v>
      </c>
      <c r="B70" s="122" t="str">
        <f ca="1">IFERROR(__xludf.DUMMYFUNCTION("""COMPUTED_VALUE"""),"039142002")</f>
        <v>039142002</v>
      </c>
      <c r="C70" s="21"/>
      <c r="D70" s="21"/>
      <c r="E70" s="21"/>
      <c r="F70" s="21"/>
      <c r="G70" s="21"/>
      <c r="H70" s="21"/>
    </row>
    <row r="71" spans="1:8" x14ac:dyDescent="0.2">
      <c r="A71" s="21">
        <f t="shared" si="0"/>
        <v>0</v>
      </c>
      <c r="B71" s="122" t="str">
        <f ca="1">IFERROR(__xludf.DUMMYFUNCTION("""COMPUTED_VALUE"""),"049324001")</f>
        <v>049324001</v>
      </c>
      <c r="C71" s="21"/>
      <c r="D71" s="21"/>
      <c r="E71" s="21"/>
      <c r="F71" s="21"/>
      <c r="G71" s="21"/>
      <c r="H71" s="21"/>
    </row>
    <row r="72" spans="1:8" x14ac:dyDescent="0.2">
      <c r="A72" s="21">
        <f t="shared" si="0"/>
        <v>0</v>
      </c>
      <c r="B72" s="122" t="str">
        <f ca="1">IFERROR(__xludf.DUMMYFUNCTION("""COMPUTED_VALUE"""),"049324002")</f>
        <v>049324002</v>
      </c>
      <c r="C72" s="21"/>
      <c r="D72" s="21"/>
      <c r="E72" s="21"/>
      <c r="F72" s="21"/>
      <c r="G72" s="21"/>
      <c r="H72" s="21"/>
    </row>
    <row r="73" spans="1:8" x14ac:dyDescent="0.2">
      <c r="A73" s="21">
        <f t="shared" si="0"/>
        <v>0</v>
      </c>
      <c r="B73" s="122" t="str">
        <f ca="1">IFERROR(__xludf.DUMMYFUNCTION("""COMPUTED_VALUE"""),"029324001")</f>
        <v>029324001</v>
      </c>
      <c r="C73" s="21"/>
      <c r="D73" s="21"/>
      <c r="E73" s="21"/>
      <c r="F73" s="21"/>
      <c r="G73" s="21"/>
      <c r="H73" s="21"/>
    </row>
    <row r="74" spans="1:8" x14ac:dyDescent="0.2">
      <c r="A74" s="21">
        <f t="shared" si="0"/>
        <v>0</v>
      </c>
      <c r="B74" s="122" t="str">
        <f ca="1">IFERROR(__xludf.DUMMYFUNCTION("""COMPUTED_VALUE"""),"049310003")</f>
        <v>049310003</v>
      </c>
      <c r="C74" s="21"/>
      <c r="D74" s="21"/>
      <c r="E74" s="21"/>
      <c r="F74" s="21"/>
      <c r="G74" s="21"/>
      <c r="H74" s="21"/>
    </row>
    <row r="75" spans="1:8" x14ac:dyDescent="0.2">
      <c r="A75" s="21">
        <f t="shared" si="0"/>
        <v>0</v>
      </c>
      <c r="B75" s="122" t="str">
        <f ca="1">IFERROR(__xludf.DUMMYFUNCTION("""COMPUTED_VALUE"""),"039310004")</f>
        <v>039310004</v>
      </c>
      <c r="C75" s="21"/>
      <c r="D75" s="21"/>
      <c r="E75" s="21"/>
      <c r="F75" s="21"/>
      <c r="G75" s="21"/>
      <c r="H75" s="21"/>
    </row>
    <row r="76" spans="1:8" x14ac:dyDescent="0.2">
      <c r="A76" s="21">
        <f t="shared" si="0"/>
        <v>0</v>
      </c>
      <c r="B76" s="122" t="str">
        <f ca="1">IFERROR(__xludf.DUMMYFUNCTION("""COMPUTED_VALUE"""),"039310005")</f>
        <v>039310005</v>
      </c>
      <c r="C76" s="21"/>
      <c r="D76" s="21"/>
      <c r="E76" s="21"/>
      <c r="F76" s="21"/>
      <c r="G76" s="21"/>
      <c r="H76" s="21"/>
    </row>
    <row r="77" spans="1:8" x14ac:dyDescent="0.2">
      <c r="A77" s="21">
        <f t="shared" si="0"/>
        <v>0</v>
      </c>
      <c r="B77" s="122" t="str">
        <f ca="1">IFERROR(__xludf.DUMMYFUNCTION("""COMPUTED_VALUE"""),"039310006")</f>
        <v>039310006</v>
      </c>
      <c r="C77" s="21"/>
      <c r="D77" s="21"/>
      <c r="E77" s="21"/>
      <c r="F77" s="21"/>
      <c r="G77" s="21"/>
      <c r="H77" s="21"/>
    </row>
    <row r="78" spans="1:8" x14ac:dyDescent="0.2">
      <c r="A78" s="21">
        <f t="shared" si="0"/>
        <v>0</v>
      </c>
      <c r="B78" s="122" t="str">
        <f ca="1">IFERROR(__xludf.DUMMYFUNCTION("""COMPUTED_VALUE"""),"039310007")</f>
        <v>039310007</v>
      </c>
      <c r="C78" s="21"/>
      <c r="D78" s="21"/>
      <c r="E78" s="21"/>
      <c r="F78" s="21"/>
      <c r="G78" s="21"/>
      <c r="H78" s="21"/>
    </row>
    <row r="79" spans="1:8" x14ac:dyDescent="0.2">
      <c r="A79" s="21">
        <f t="shared" si="0"/>
        <v>0</v>
      </c>
      <c r="B79" s="122" t="str">
        <f ca="1">IFERROR(__xludf.DUMMYFUNCTION("""COMPUTED_VALUE"""),"029310007")</f>
        <v>029310007</v>
      </c>
      <c r="C79" s="21"/>
      <c r="D79" s="21"/>
      <c r="E79" s="21"/>
      <c r="F79" s="21"/>
      <c r="G79" s="21"/>
      <c r="H79" s="21"/>
    </row>
    <row r="80" spans="1:8" x14ac:dyDescent="0.2">
      <c r="A80" s="21">
        <f t="shared" si="0"/>
        <v>0</v>
      </c>
      <c r="B80" s="122" t="str">
        <f ca="1">IFERROR(__xludf.DUMMYFUNCTION("""COMPUTED_VALUE"""),"039328006")</f>
        <v>039328006</v>
      </c>
      <c r="C80" s="21"/>
      <c r="D80" s="21"/>
      <c r="E80" s="21"/>
      <c r="F80" s="21"/>
      <c r="G80" s="21"/>
      <c r="H80" s="21"/>
    </row>
    <row r="81" spans="1:8" x14ac:dyDescent="0.2">
      <c r="A81" s="21">
        <f t="shared" si="0"/>
        <v>0</v>
      </c>
      <c r="B81" s="122" t="str">
        <f ca="1">IFERROR(__xludf.DUMMYFUNCTION("""COMPUTED_VALUE"""),"039328007")</f>
        <v>039328007</v>
      </c>
      <c r="C81" s="21"/>
      <c r="D81" s="21"/>
      <c r="E81" s="21"/>
      <c r="F81" s="21"/>
      <c r="G81" s="21"/>
      <c r="H81" s="21"/>
    </row>
    <row r="82" spans="1:8" x14ac:dyDescent="0.2">
      <c r="A82" s="21">
        <f t="shared" si="0"/>
        <v>0</v>
      </c>
      <c r="B82" s="122" t="str">
        <f ca="1">IFERROR(__xludf.DUMMYFUNCTION("""COMPUTED_VALUE"""),"039328008")</f>
        <v>039328008</v>
      </c>
      <c r="C82" s="21"/>
      <c r="D82" s="21"/>
      <c r="E82" s="21"/>
      <c r="F82" s="21"/>
      <c r="G82" s="21"/>
      <c r="H82" s="21"/>
    </row>
    <row r="83" spans="1:8" x14ac:dyDescent="0.2">
      <c r="A83" s="21">
        <f t="shared" si="0"/>
        <v>0</v>
      </c>
      <c r="B83" s="122" t="str">
        <f ca="1">IFERROR(__xludf.DUMMYFUNCTION("""COMPUTED_VALUE"""),"039328009")</f>
        <v>039328009</v>
      </c>
      <c r="C83" s="21"/>
      <c r="D83" s="21"/>
      <c r="E83" s="21"/>
      <c r="F83" s="21"/>
      <c r="G83" s="21"/>
      <c r="H83" s="21"/>
    </row>
    <row r="84" spans="1:8" x14ac:dyDescent="0.2">
      <c r="A84" s="21">
        <f t="shared" si="0"/>
        <v>0</v>
      </c>
      <c r="B84" s="122" t="str">
        <f ca="1">IFERROR(__xludf.DUMMYFUNCTION("""COMPUTED_VALUE"""),"039328010")</f>
        <v>039328010</v>
      </c>
      <c r="C84" s="21"/>
      <c r="D84" s="21"/>
      <c r="E84" s="21"/>
      <c r="F84" s="21"/>
      <c r="G84" s="21"/>
      <c r="H84" s="21"/>
    </row>
    <row r="85" spans="1:8" x14ac:dyDescent="0.2">
      <c r="A85" s="21">
        <f t="shared" si="0"/>
        <v>0</v>
      </c>
      <c r="B85" s="122" t="str">
        <f ca="1">IFERROR(__xludf.DUMMYFUNCTION("""COMPUTED_VALUE"""),"039140005")</f>
        <v>039140005</v>
      </c>
      <c r="C85" s="21"/>
      <c r="D85" s="21"/>
      <c r="E85" s="21"/>
      <c r="F85" s="21"/>
      <c r="G85" s="21"/>
      <c r="H85" s="21"/>
    </row>
    <row r="86" spans="1:8" x14ac:dyDescent="0.2">
      <c r="A86" s="21">
        <f t="shared" si="0"/>
        <v>0</v>
      </c>
      <c r="B86" s="122" t="str">
        <f ca="1">IFERROR(__xludf.DUMMYFUNCTION("""COMPUTED_VALUE"""),"039140006")</f>
        <v>039140006</v>
      </c>
      <c r="C86" s="21"/>
      <c r="D86" s="21"/>
      <c r="E86" s="21"/>
      <c r="F86" s="21"/>
      <c r="G86" s="21"/>
      <c r="H86" s="21"/>
    </row>
    <row r="87" spans="1:8" x14ac:dyDescent="0.2">
      <c r="A87" s="21">
        <f t="shared" si="0"/>
        <v>0</v>
      </c>
      <c r="B87" s="122" t="str">
        <f ca="1">IFERROR(__xludf.DUMMYFUNCTION("""COMPUTED_VALUE"""),"039140007")</f>
        <v>039140007</v>
      </c>
      <c r="C87" s="21"/>
      <c r="D87" s="21"/>
      <c r="E87" s="21"/>
      <c r="F87" s="21"/>
      <c r="G87" s="21"/>
      <c r="H87" s="21"/>
    </row>
    <row r="88" spans="1:8" x14ac:dyDescent="0.2">
      <c r="A88" s="21">
        <f t="shared" si="0"/>
        <v>0</v>
      </c>
      <c r="B88" s="122" t="str">
        <f ca="1">IFERROR(__xludf.DUMMYFUNCTION("""COMPUTED_VALUE"""),"029140001")</f>
        <v>029140001</v>
      </c>
      <c r="C88" s="21"/>
      <c r="D88" s="21"/>
      <c r="E88" s="21"/>
      <c r="F88" s="21"/>
      <c r="G88" s="21"/>
      <c r="H88" s="21"/>
    </row>
    <row r="89" spans="1:8" x14ac:dyDescent="0.2">
      <c r="A89" s="21">
        <f t="shared" si="0"/>
        <v>0</v>
      </c>
      <c r="B89" s="122" t="str">
        <f ca="1">IFERROR(__xludf.DUMMYFUNCTION("""COMPUTED_VALUE"""),"031204001")</f>
        <v>031204001</v>
      </c>
      <c r="C89" s="21"/>
      <c r="D89" s="21"/>
      <c r="E89" s="21"/>
      <c r="F89" s="21"/>
      <c r="G89" s="21"/>
      <c r="H89" s="21"/>
    </row>
    <row r="90" spans="1:8" x14ac:dyDescent="0.2">
      <c r="A90" s="21">
        <f t="shared" si="0"/>
        <v>0</v>
      </c>
      <c r="B90" s="21" t="str">
        <f ca="1">IFERROR(__xludf.DUMMYFUNCTION("""COMPUTED_VALUE"""),"049310004")</f>
        <v>049310004</v>
      </c>
      <c r="C90" s="121">
        <f ca="1">IFERROR(__xludf.DUMMYFUNCTION("""COMPUTED_VALUE"""),525000)</f>
        <v>525000</v>
      </c>
      <c r="D90" s="21" t="str">
        <f ca="1">IFERROR(__xludf.DUMMYFUNCTION("""COMPUTED_VALUE"""),"Nasser Eslaquit")</f>
        <v>Nasser Eslaquit</v>
      </c>
      <c r="E90" s="123">
        <f ca="1">IFERROR(__xludf.DUMMYFUNCTION("""COMPUTED_VALUE"""),45310)</f>
        <v>45310</v>
      </c>
      <c r="F90" s="121">
        <f ca="1">IFERROR(__xludf.DUMMYFUNCTION("""COMPUTED_VALUE"""),525000)</f>
        <v>525000</v>
      </c>
      <c r="G90" s="124">
        <f ca="1">IFERROR(__xludf.DUMMYFUNCTION("""COMPUTED_VALUE"""),1)</f>
        <v>1</v>
      </c>
      <c r="H90" s="21"/>
    </row>
    <row r="91" spans="1:8" x14ac:dyDescent="0.2">
      <c r="A91" s="21">
        <f t="shared" si="0"/>
        <v>0</v>
      </c>
      <c r="B91" s="21" t="str">
        <f ca="1">IFERROR(__xludf.DUMMYFUNCTION("""COMPUTED_VALUE"""),"039310008")</f>
        <v>039310008</v>
      </c>
      <c r="C91" s="121">
        <f ca="1">IFERROR(__xludf.DUMMYFUNCTION("""COMPUTED_VALUE"""),350000)</f>
        <v>350000</v>
      </c>
      <c r="D91" s="21" t="str">
        <f ca="1">IFERROR(__xludf.DUMMYFUNCTION("""COMPUTED_VALUE"""),"Nasser Eslaquit")</f>
        <v>Nasser Eslaquit</v>
      </c>
      <c r="E91" s="123">
        <f ca="1">IFERROR(__xludf.DUMMYFUNCTION("""COMPUTED_VALUE"""),45310)</f>
        <v>45310</v>
      </c>
      <c r="F91" s="121">
        <f ca="1">IFERROR(__xludf.DUMMYFUNCTION("""COMPUTED_VALUE"""),350000)</f>
        <v>350000</v>
      </c>
      <c r="G91" s="124">
        <f ca="1">IFERROR(__xludf.DUMMYFUNCTION("""COMPUTED_VALUE"""),1)</f>
        <v>1</v>
      </c>
      <c r="H91" s="21"/>
    </row>
    <row r="92" spans="1:8" x14ac:dyDescent="0.2">
      <c r="A92" s="21">
        <f t="shared" si="0"/>
        <v>0</v>
      </c>
      <c r="B92" s="21" t="str">
        <f ca="1">IFERROR(__xludf.DUMMYFUNCTION("""COMPUTED_VALUE"""),"029310008")</f>
        <v>029310008</v>
      </c>
      <c r="C92" s="121">
        <f ca="1">IFERROR(__xludf.DUMMYFUNCTION("""COMPUTED_VALUE"""),60000)</f>
        <v>60000</v>
      </c>
      <c r="D92" s="21" t="str">
        <f ca="1">IFERROR(__xludf.DUMMYFUNCTION("""COMPUTED_VALUE"""),"Nasser Eslaquit")</f>
        <v>Nasser Eslaquit</v>
      </c>
      <c r="E92" s="123">
        <f ca="1">IFERROR(__xludf.DUMMYFUNCTION("""COMPUTED_VALUE"""),45310)</f>
        <v>45310</v>
      </c>
      <c r="F92" s="121">
        <f ca="1">IFERROR(__xludf.DUMMYFUNCTION("""COMPUTED_VALUE"""),60000)</f>
        <v>60000</v>
      </c>
      <c r="G92" s="124">
        <f ca="1">IFERROR(__xludf.DUMMYFUNCTION("""COMPUTED_VALUE"""),1)</f>
        <v>1</v>
      </c>
      <c r="H92" s="21"/>
    </row>
    <row r="93" spans="1:8" x14ac:dyDescent="0.2">
      <c r="A93" s="21">
        <f t="shared" si="0"/>
        <v>0</v>
      </c>
      <c r="B93" s="122" t="str">
        <f ca="1">IFERROR(__xludf.DUMMYFUNCTION("""COMPUTED_VALUE"""),"039328011")</f>
        <v>039328011</v>
      </c>
      <c r="C93" s="121">
        <f ca="1">IFERROR(__xludf.DUMMYFUNCTION("""COMPUTED_VALUE"""),350000)</f>
        <v>350000</v>
      </c>
      <c r="D93" s="21" t="str">
        <f ca="1">IFERROR(__xludf.DUMMYFUNCTION("""COMPUTED_VALUE"""),"Nasser Eslaquit")</f>
        <v>Nasser Eslaquit</v>
      </c>
      <c r="E93" s="123">
        <f ca="1">IFERROR(__xludf.DUMMYFUNCTION("""COMPUTED_VALUE"""),45346)</f>
        <v>45346</v>
      </c>
      <c r="F93" s="121">
        <f ca="1">IFERROR(__xludf.DUMMYFUNCTION("""COMPUTED_VALUE"""),350000)</f>
        <v>350000</v>
      </c>
      <c r="G93" s="124">
        <f ca="1">IFERROR(__xludf.DUMMYFUNCTION("""COMPUTED_VALUE"""),1)</f>
        <v>1</v>
      </c>
      <c r="H93" s="21"/>
    </row>
    <row r="94" spans="1:8" x14ac:dyDescent="0.2">
      <c r="A94" s="21">
        <f t="shared" si="0"/>
        <v>0</v>
      </c>
      <c r="B94" s="122" t="str">
        <f ca="1">IFERROR(__xludf.DUMMYFUNCTION("""COMPUTED_VALUE"""),"039328012")</f>
        <v>039328012</v>
      </c>
      <c r="C94" s="121">
        <f ca="1">IFERROR(__xludf.DUMMYFUNCTION("""COMPUTED_VALUE"""),350000)</f>
        <v>350000</v>
      </c>
      <c r="D94" s="21" t="str">
        <f ca="1">IFERROR(__xludf.DUMMYFUNCTION("""COMPUTED_VALUE"""),"Nasser Eslaquit")</f>
        <v>Nasser Eslaquit</v>
      </c>
      <c r="E94" s="123">
        <f ca="1">IFERROR(__xludf.DUMMYFUNCTION("""COMPUTED_VALUE"""),45346)</f>
        <v>45346</v>
      </c>
      <c r="F94" s="121">
        <f ca="1">IFERROR(__xludf.DUMMYFUNCTION("""COMPUTED_VALUE"""),350000)</f>
        <v>350000</v>
      </c>
      <c r="G94" s="124">
        <f ca="1">IFERROR(__xludf.DUMMYFUNCTION("""COMPUTED_VALUE"""),1)</f>
        <v>1</v>
      </c>
      <c r="H94" s="21"/>
    </row>
    <row r="95" spans="1:8" x14ac:dyDescent="0.2">
      <c r="A95" s="21">
        <f t="shared" si="0"/>
        <v>0</v>
      </c>
      <c r="B95" s="122" t="str">
        <f ca="1">IFERROR(__xludf.DUMMYFUNCTION("""COMPUTED_VALUE"""),"039328013")</f>
        <v>039328013</v>
      </c>
      <c r="C95" s="121">
        <f ca="1">IFERROR(__xludf.DUMMYFUNCTION("""COMPUTED_VALUE"""),350000)</f>
        <v>350000</v>
      </c>
      <c r="D95" s="21" t="str">
        <f ca="1">IFERROR(__xludf.DUMMYFUNCTION("""COMPUTED_VALUE"""),"Nasser Eslaquit")</f>
        <v>Nasser Eslaquit</v>
      </c>
      <c r="E95" s="123">
        <f ca="1">IFERROR(__xludf.DUMMYFUNCTION("""COMPUTED_VALUE"""),45346)</f>
        <v>45346</v>
      </c>
      <c r="F95" s="121">
        <f ca="1">IFERROR(__xludf.DUMMYFUNCTION("""COMPUTED_VALUE"""),350000)</f>
        <v>350000</v>
      </c>
      <c r="G95" s="124">
        <f ca="1">IFERROR(__xludf.DUMMYFUNCTION("""COMPUTED_VALUE"""),1)</f>
        <v>1</v>
      </c>
      <c r="H95" s="21"/>
    </row>
    <row r="96" spans="1:8" x14ac:dyDescent="0.2">
      <c r="A96" s="21">
        <f t="shared" si="0"/>
        <v>0</v>
      </c>
      <c r="B96" s="21" t="str">
        <f ca="1">IFERROR(__xludf.DUMMYFUNCTION("""COMPUTED_VALUE"""),"019141001")</f>
        <v>019141001</v>
      </c>
      <c r="C96" s="121">
        <f ca="1">IFERROR(__xludf.DUMMYFUNCTION("""COMPUTED_VALUE"""),175000)</f>
        <v>175000</v>
      </c>
      <c r="D96" s="21" t="str">
        <f ca="1">IFERROR(__xludf.DUMMYFUNCTION("""COMPUTED_VALUE"""),"Nasser Eslaquit")</f>
        <v>Nasser Eslaquit</v>
      </c>
      <c r="E96" s="123">
        <f ca="1">IFERROR(__xludf.DUMMYFUNCTION("""COMPUTED_VALUE"""),45346)</f>
        <v>45346</v>
      </c>
      <c r="F96" s="121">
        <f ca="1">IFERROR(__xludf.DUMMYFUNCTION("""COMPUTED_VALUE"""),175000)</f>
        <v>175000</v>
      </c>
      <c r="G96" s="124">
        <f ca="1">IFERROR(__xludf.DUMMYFUNCTION("""COMPUTED_VALUE"""),1)</f>
        <v>1</v>
      </c>
      <c r="H96" s="21"/>
    </row>
    <row r="97" spans="1:8" x14ac:dyDescent="0.2">
      <c r="A97" s="21">
        <f t="shared" si="0"/>
        <v>0</v>
      </c>
      <c r="B97" s="122" t="str">
        <f ca="1">IFERROR(__xludf.DUMMYFUNCTION("""COMPUTED_VALUE"""),"029301009")</f>
        <v>029301009</v>
      </c>
      <c r="C97" s="121">
        <f ca="1">IFERROR(__xludf.DUMMYFUNCTION("""COMPUTED_VALUE"""),60000)</f>
        <v>60000</v>
      </c>
      <c r="D97" s="21" t="str">
        <f ca="1">IFERROR(__xludf.DUMMYFUNCTION("""COMPUTED_VALUE"""),"Nasser Eslaquit")</f>
        <v>Nasser Eslaquit</v>
      </c>
      <c r="E97" s="123">
        <f ca="1">IFERROR(__xludf.DUMMYFUNCTION("""COMPUTED_VALUE"""),45346)</f>
        <v>45346</v>
      </c>
      <c r="F97" s="121" t="str">
        <f ca="1">IFERROR(__xludf.DUMMYFUNCTION("""COMPUTED_VALUE"""),"No ha consignado platica")</f>
        <v>No ha consignado platica</v>
      </c>
      <c r="G97" s="124" t="str">
        <f ca="1">IFERROR(__xludf.DUMMYFUNCTION("""COMPUTED_VALUE"""),"N/A")</f>
        <v>N/A</v>
      </c>
      <c r="H97" s="21"/>
    </row>
    <row r="98" spans="1:8" x14ac:dyDescent="0.2">
      <c r="A98" s="21">
        <f t="shared" si="0"/>
        <v>0</v>
      </c>
      <c r="B98" s="122" t="str">
        <f ca="1">IFERROR(__xludf.DUMMYFUNCTION("""COMPUTED_VALUE"""),"029301010")</f>
        <v>029301010</v>
      </c>
      <c r="C98" s="121">
        <f ca="1">IFERROR(__xludf.DUMMYFUNCTION("""COMPUTED_VALUE"""),60000)</f>
        <v>60000</v>
      </c>
      <c r="D98" s="21" t="str">
        <f ca="1">IFERROR(__xludf.DUMMYFUNCTION("""COMPUTED_VALUE"""),"Nasser Eslaquit")</f>
        <v>Nasser Eslaquit</v>
      </c>
      <c r="E98" s="123">
        <f ca="1">IFERROR(__xludf.DUMMYFUNCTION("""COMPUTED_VALUE"""),45346)</f>
        <v>45346</v>
      </c>
      <c r="F98" s="121">
        <f ca="1">IFERROR(__xludf.DUMMYFUNCTION("""COMPUTED_VALUE"""),60000)</f>
        <v>60000</v>
      </c>
      <c r="G98" s="124">
        <f ca="1">IFERROR(__xludf.DUMMYFUNCTION("""COMPUTED_VALUE"""),1)</f>
        <v>1</v>
      </c>
      <c r="H98" s="21"/>
    </row>
    <row r="99" spans="1:8" x14ac:dyDescent="0.2">
      <c r="A99" s="21">
        <f t="shared" si="0"/>
        <v>0</v>
      </c>
      <c r="B99" s="122" t="str">
        <f ca="1">IFERROR(__xludf.DUMMYFUNCTION("""COMPUTED_VALUE"""),"039328014")</f>
        <v>039328014</v>
      </c>
      <c r="C99" s="121">
        <f ca="1">IFERROR(__xludf.DUMMYFUNCTION("""COMPUTED_VALUE"""),450000)</f>
        <v>450000</v>
      </c>
      <c r="D99" s="21" t="str">
        <f ca="1">IFERROR(__xludf.DUMMYFUNCTION("""COMPUTED_VALUE"""),"Nasser Eslaquit")</f>
        <v>Nasser Eslaquit</v>
      </c>
      <c r="E99" s="123">
        <f ca="1">IFERROR(__xludf.DUMMYFUNCTION("""COMPUTED_VALUE"""),45368)</f>
        <v>45368</v>
      </c>
      <c r="F99" s="121">
        <f ca="1">IFERROR(__xludf.DUMMYFUNCTION("""COMPUTED_VALUE"""),450000)</f>
        <v>450000</v>
      </c>
      <c r="G99" s="124">
        <f ca="1">IFERROR(__xludf.DUMMYFUNCTION("""COMPUTED_VALUE"""),1)</f>
        <v>1</v>
      </c>
      <c r="H99" s="21"/>
    </row>
    <row r="100" spans="1:8" x14ac:dyDescent="0.2">
      <c r="A100" s="21">
        <f t="shared" si="0"/>
        <v>0</v>
      </c>
      <c r="B100" s="21" t="str">
        <f ca="1">IFERROR(__xludf.DUMMYFUNCTION("""COMPUTED_VALUE"""),"039144001")</f>
        <v>039144001</v>
      </c>
      <c r="C100" s="121">
        <f ca="1">IFERROR(__xludf.DUMMYFUNCTION("""COMPUTED_VALUE"""),450000)</f>
        <v>450000</v>
      </c>
      <c r="D100" s="21" t="str">
        <f ca="1">IFERROR(__xludf.DUMMYFUNCTION("""COMPUTED_VALUE"""),"Nasser Eslaquit")</f>
        <v>Nasser Eslaquit</v>
      </c>
      <c r="E100" s="123">
        <f ca="1">IFERROR(__xludf.DUMMYFUNCTION("""COMPUTED_VALUE"""),45409)</f>
        <v>45409</v>
      </c>
      <c r="F100" s="121">
        <f ca="1">IFERROR(__xludf.DUMMYFUNCTION("""COMPUTED_VALUE"""),450000)</f>
        <v>450000</v>
      </c>
      <c r="G100" s="124">
        <f ca="1">IFERROR(__xludf.DUMMYFUNCTION("""COMPUTED_VALUE"""),1)</f>
        <v>1</v>
      </c>
      <c r="H100" s="21"/>
    </row>
    <row r="101" spans="1:8" x14ac:dyDescent="0.2">
      <c r="A101" s="21">
        <f t="shared" si="0"/>
        <v>0</v>
      </c>
      <c r="B101" s="21" t="str">
        <f ca="1">IFERROR(__xludf.DUMMYFUNCTION("""COMPUTED_VALUE"""),"039144002")</f>
        <v>039144002</v>
      </c>
      <c r="C101" s="121">
        <f ca="1">IFERROR(__xludf.DUMMYFUNCTION("""COMPUTED_VALUE"""),450000)</f>
        <v>450000</v>
      </c>
      <c r="D101" s="21" t="str">
        <f ca="1">IFERROR(__xludf.DUMMYFUNCTION("""COMPUTED_VALUE"""),"Nasser Eslaquit")</f>
        <v>Nasser Eslaquit</v>
      </c>
      <c r="E101" s="123">
        <f ca="1">IFERROR(__xludf.DUMMYFUNCTION("""COMPUTED_VALUE"""),45409)</f>
        <v>45409</v>
      </c>
      <c r="F101" s="121">
        <f ca="1">IFERROR(__xludf.DUMMYFUNCTION("""COMPUTED_VALUE"""),450000)</f>
        <v>450000</v>
      </c>
      <c r="G101" s="124">
        <f ca="1">IFERROR(__xludf.DUMMYFUNCTION("""COMPUTED_VALUE"""),1)</f>
        <v>1</v>
      </c>
      <c r="H101" s="21"/>
    </row>
    <row r="102" spans="1:8" x14ac:dyDescent="0.2">
      <c r="A102" s="21">
        <f t="shared" si="0"/>
        <v>0</v>
      </c>
      <c r="B102" s="21" t="str">
        <f ca="1">IFERROR(__xludf.DUMMYFUNCTION("""COMPUTED_VALUE"""),"039144003")</f>
        <v>039144003</v>
      </c>
      <c r="C102" s="121">
        <f ca="1">IFERROR(__xludf.DUMMYFUNCTION("""COMPUTED_VALUE"""),450000)</f>
        <v>450000</v>
      </c>
      <c r="D102" s="21" t="str">
        <f ca="1">IFERROR(__xludf.DUMMYFUNCTION("""COMPUTED_VALUE"""),"Nasser Eslaquit")</f>
        <v>Nasser Eslaquit</v>
      </c>
      <c r="E102" s="123">
        <f ca="1">IFERROR(__xludf.DUMMYFUNCTION("""COMPUTED_VALUE"""),45409)</f>
        <v>45409</v>
      </c>
      <c r="F102" s="121">
        <f ca="1">IFERROR(__xludf.DUMMYFUNCTION("""COMPUTED_VALUE"""),450000)</f>
        <v>450000</v>
      </c>
      <c r="G102" s="124">
        <f ca="1">IFERROR(__xludf.DUMMYFUNCTION("""COMPUTED_VALUE"""),1)</f>
        <v>1</v>
      </c>
      <c r="H102" s="21"/>
    </row>
    <row r="103" spans="1:8" x14ac:dyDescent="0.2">
      <c r="A103" s="21">
        <f t="shared" si="0"/>
        <v>0</v>
      </c>
      <c r="B103" s="21" t="str">
        <f ca="1">IFERROR(__xludf.DUMMYFUNCTION("""COMPUTED_VALUE"""),"049144001")</f>
        <v>049144001</v>
      </c>
      <c r="C103" s="121">
        <f ca="1">IFERROR(__xludf.DUMMYFUNCTION("""COMPUTED_VALUE"""),670000)</f>
        <v>670000</v>
      </c>
      <c r="D103" s="21" t="str">
        <f ca="1">IFERROR(__xludf.DUMMYFUNCTION("""COMPUTED_VALUE"""),"Nasser Eslaquit")</f>
        <v>Nasser Eslaquit</v>
      </c>
      <c r="E103" s="123">
        <f ca="1">IFERROR(__xludf.DUMMYFUNCTION("""COMPUTED_VALUE"""),45409)</f>
        <v>45409</v>
      </c>
      <c r="F103" s="121">
        <f ca="1">IFERROR(__xludf.DUMMYFUNCTION("""COMPUTED_VALUE"""),670000)</f>
        <v>670000</v>
      </c>
      <c r="G103" s="124">
        <f ca="1">IFERROR(__xludf.DUMMYFUNCTION("""COMPUTED_VALUE"""),1)</f>
        <v>1</v>
      </c>
      <c r="H103" s="21"/>
    </row>
    <row r="104" spans="1:8" x14ac:dyDescent="0.2">
      <c r="A104" s="21">
        <f t="shared" si="0"/>
        <v>0</v>
      </c>
      <c r="B104" s="21" t="str">
        <f ca="1">IFERROR(__xludf.DUMMYFUNCTION("""COMPUTED_VALUE"""),"049144002")</f>
        <v>049144002</v>
      </c>
      <c r="C104" s="121">
        <f ca="1">IFERROR(__xludf.DUMMYFUNCTION("""COMPUTED_VALUE"""),670000)</f>
        <v>670000</v>
      </c>
      <c r="D104" s="21" t="str">
        <f ca="1">IFERROR(__xludf.DUMMYFUNCTION("""COMPUTED_VALUE"""),"Nasser Eslaquit")</f>
        <v>Nasser Eslaquit</v>
      </c>
      <c r="E104" s="123">
        <f ca="1">IFERROR(__xludf.DUMMYFUNCTION("""COMPUTED_VALUE"""),45409)</f>
        <v>45409</v>
      </c>
      <c r="F104" s="121">
        <f ca="1">IFERROR(__xludf.DUMMYFUNCTION("""COMPUTED_VALUE"""),670000)</f>
        <v>670000</v>
      </c>
      <c r="G104" s="124">
        <f ca="1">IFERROR(__xludf.DUMMYFUNCTION("""COMPUTED_VALUE"""),1)</f>
        <v>1</v>
      </c>
      <c r="H104" s="21"/>
    </row>
    <row r="105" spans="1:8" x14ac:dyDescent="0.2">
      <c r="A105" s="21">
        <f t="shared" si="0"/>
        <v>0</v>
      </c>
      <c r="B105" s="21" t="str">
        <f ca="1">IFERROR(__xludf.DUMMYFUNCTION("""COMPUTED_VALUE"""),"029144001")</f>
        <v>029144001</v>
      </c>
      <c r="C105" s="121">
        <f ca="1">IFERROR(__xludf.DUMMYFUNCTION("""COMPUTED_VALUE"""),105000)</f>
        <v>105000</v>
      </c>
      <c r="D105" s="21" t="str">
        <f ca="1">IFERROR(__xludf.DUMMYFUNCTION("""COMPUTED_VALUE"""),"Nasser Eslaquit")</f>
        <v>Nasser Eslaquit</v>
      </c>
      <c r="E105" s="123">
        <f ca="1">IFERROR(__xludf.DUMMYFUNCTION("""COMPUTED_VALUE"""),45409)</f>
        <v>45409</v>
      </c>
      <c r="F105" s="121">
        <f ca="1">IFERROR(__xludf.DUMMYFUNCTION("""COMPUTED_VALUE"""),105000)</f>
        <v>105000</v>
      </c>
      <c r="G105" s="124">
        <f ca="1">IFERROR(__xludf.DUMMYFUNCTION("""COMPUTED_VALUE"""),1)</f>
        <v>1</v>
      </c>
      <c r="H105" s="21"/>
    </row>
    <row r="106" spans="1:8" x14ac:dyDescent="0.2">
      <c r="A106" s="21">
        <f t="shared" si="0"/>
        <v>0</v>
      </c>
      <c r="B106" s="21" t="str">
        <f ca="1">IFERROR(__xludf.DUMMYFUNCTION("""COMPUTED_VALUE"""),"029144002")</f>
        <v>029144002</v>
      </c>
      <c r="C106" s="121">
        <f ca="1">IFERROR(__xludf.DUMMYFUNCTION("""COMPUTED_VALUE"""),105000)</f>
        <v>105000</v>
      </c>
      <c r="D106" s="21" t="str">
        <f ca="1">IFERROR(__xludf.DUMMYFUNCTION("""COMPUTED_VALUE"""),"Nasser Eslaquit")</f>
        <v>Nasser Eslaquit</v>
      </c>
      <c r="E106" s="123">
        <f ca="1">IFERROR(__xludf.DUMMYFUNCTION("""COMPUTED_VALUE"""),45409)</f>
        <v>45409</v>
      </c>
      <c r="F106" s="121">
        <f ca="1">IFERROR(__xludf.DUMMYFUNCTION("""COMPUTED_VALUE"""),105000)</f>
        <v>105000</v>
      </c>
      <c r="G106" s="124">
        <f ca="1">IFERROR(__xludf.DUMMYFUNCTION("""COMPUTED_VALUE"""),1)</f>
        <v>1</v>
      </c>
      <c r="H106" s="21"/>
    </row>
    <row r="107" spans="1:8" x14ac:dyDescent="0.2">
      <c r="A107" s="21">
        <f t="shared" si="0"/>
        <v>0</v>
      </c>
      <c r="B107" s="21" t="str">
        <f ca="1">IFERROR(__xludf.DUMMYFUNCTION("""COMPUTED_VALUE"""),"039140004")</f>
        <v>039140004</v>
      </c>
      <c r="C107" s="121">
        <f ca="1">IFERROR(__xludf.DUMMYFUNCTION("""COMPUTED_VALUE"""),450000)</f>
        <v>450000</v>
      </c>
      <c r="D107" s="21" t="str">
        <f ca="1">IFERROR(__xludf.DUMMYFUNCTION("""COMPUTED_VALUE"""),"Nasser Eslaquit")</f>
        <v>Nasser Eslaquit</v>
      </c>
      <c r="E107" s="123">
        <f ca="1">IFERROR(__xludf.DUMMYFUNCTION("""COMPUTED_VALUE"""),45437)</f>
        <v>45437</v>
      </c>
      <c r="F107" s="121">
        <f ca="1">IFERROR(__xludf.DUMMYFUNCTION("""COMPUTED_VALUE"""),450000)</f>
        <v>450000</v>
      </c>
      <c r="G107" s="124">
        <f ca="1">IFERROR(__xludf.DUMMYFUNCTION("""COMPUTED_VALUE"""),1)</f>
        <v>1</v>
      </c>
      <c r="H107" s="21"/>
    </row>
    <row r="108" spans="1:8" x14ac:dyDescent="0.2">
      <c r="A108" s="21">
        <f t="shared" si="0"/>
        <v>0</v>
      </c>
      <c r="B108" s="21" t="str">
        <f ca="1">IFERROR(__xludf.DUMMYFUNCTION("""COMPUTED_VALUE"""),"039140005")</f>
        <v>039140005</v>
      </c>
      <c r="C108" s="121">
        <f ca="1">IFERROR(__xludf.DUMMYFUNCTION("""COMPUTED_VALUE"""),450000)</f>
        <v>450000</v>
      </c>
      <c r="D108" s="21" t="str">
        <f ca="1">IFERROR(__xludf.DUMMYFUNCTION("""COMPUTED_VALUE"""),"Nasser Eslaquit")</f>
        <v>Nasser Eslaquit</v>
      </c>
      <c r="E108" s="123">
        <f ca="1">IFERROR(__xludf.DUMMYFUNCTION("""COMPUTED_VALUE"""),45437)</f>
        <v>45437</v>
      </c>
      <c r="F108" s="121">
        <f ca="1">IFERROR(__xludf.DUMMYFUNCTION("""COMPUTED_VALUE"""),450000)</f>
        <v>450000</v>
      </c>
      <c r="G108" s="124">
        <f ca="1">IFERROR(__xludf.DUMMYFUNCTION("""COMPUTED_VALUE"""),1)</f>
        <v>1</v>
      </c>
      <c r="H108" s="21"/>
    </row>
    <row r="109" spans="1:8" x14ac:dyDescent="0.2">
      <c r="A109" s="21">
        <f t="shared" si="0"/>
        <v>0</v>
      </c>
      <c r="B109" s="21" t="str">
        <f ca="1">IFERROR(__xludf.DUMMYFUNCTION("""COMPUTED_VALUE"""),"039140006")</f>
        <v>039140006</v>
      </c>
      <c r="C109" s="121">
        <f ca="1">IFERROR(__xludf.DUMMYFUNCTION("""COMPUTED_VALUE"""),450000)</f>
        <v>450000</v>
      </c>
      <c r="D109" s="21" t="str">
        <f ca="1">IFERROR(__xludf.DUMMYFUNCTION("""COMPUTED_VALUE"""),"Nasser Eslaquit")</f>
        <v>Nasser Eslaquit</v>
      </c>
      <c r="E109" s="123">
        <f ca="1">IFERROR(__xludf.DUMMYFUNCTION("""COMPUTED_VALUE"""),45437)</f>
        <v>45437</v>
      </c>
      <c r="F109" s="121">
        <f ca="1">IFERROR(__xludf.DUMMYFUNCTION("""COMPUTED_VALUE"""),450000)</f>
        <v>450000</v>
      </c>
      <c r="G109" s="124">
        <f ca="1">IFERROR(__xludf.DUMMYFUNCTION("""COMPUTED_VALUE"""),1)</f>
        <v>1</v>
      </c>
      <c r="H109" s="21"/>
    </row>
    <row r="110" spans="1:8" x14ac:dyDescent="0.2">
      <c r="A110" s="21">
        <f t="shared" si="0"/>
        <v>0</v>
      </c>
      <c r="B110" s="21" t="str">
        <f ca="1">IFERROR(__xludf.DUMMYFUNCTION("""COMPUTED_VALUE"""),"039140007")</f>
        <v>039140007</v>
      </c>
      <c r="C110" s="121">
        <f ca="1">IFERROR(__xludf.DUMMYFUNCTION("""COMPUTED_VALUE"""),450000)</f>
        <v>450000</v>
      </c>
      <c r="D110" s="21" t="str">
        <f ca="1">IFERROR(__xludf.DUMMYFUNCTION("""COMPUTED_VALUE"""),"Nasser Eslaquit")</f>
        <v>Nasser Eslaquit</v>
      </c>
      <c r="E110" s="123">
        <f ca="1">IFERROR(__xludf.DUMMYFUNCTION("""COMPUTED_VALUE"""),45437)</f>
        <v>45437</v>
      </c>
      <c r="F110" s="121">
        <f ca="1">IFERROR(__xludf.DUMMYFUNCTION("""COMPUTED_VALUE"""),450000)</f>
        <v>450000</v>
      </c>
      <c r="G110" s="124">
        <f ca="1">IFERROR(__xludf.DUMMYFUNCTION("""COMPUTED_VALUE"""),1)</f>
        <v>1</v>
      </c>
      <c r="H110" s="21"/>
    </row>
    <row r="111" spans="1:8" x14ac:dyDescent="0.2">
      <c r="A111" s="21">
        <f t="shared" si="0"/>
        <v>0</v>
      </c>
      <c r="B111" s="21" t="str">
        <f ca="1">IFERROR(__xludf.DUMMYFUNCTION("""COMPUTED_VALUE"""),"034101001")</f>
        <v>034101001</v>
      </c>
      <c r="C111" s="121">
        <f ca="1">IFERROR(__xludf.DUMMYFUNCTION("""COMPUTED_VALUE"""),450000)</f>
        <v>450000</v>
      </c>
      <c r="D111" s="21" t="str">
        <f ca="1">IFERROR(__xludf.DUMMYFUNCTION("""COMPUTED_VALUE"""),"Emel Rodríguez")</f>
        <v>Emel Rodríguez</v>
      </c>
      <c r="E111" s="123">
        <f ca="1">IFERROR(__xludf.DUMMYFUNCTION("""COMPUTED_VALUE"""),45416)</f>
        <v>45416</v>
      </c>
      <c r="F111" s="121" t="str">
        <f ca="1">IFERROR(__xludf.DUMMYFUNCTION("""COMPUTED_VALUE"""),"No ha consignado platica")</f>
        <v>No ha consignado platica</v>
      </c>
      <c r="G111" s="124" t="str">
        <f ca="1">IFERROR(__xludf.DUMMYFUNCTION("""COMPUTED_VALUE"""),"N/A")</f>
        <v>N/A</v>
      </c>
      <c r="H111" s="21"/>
    </row>
    <row r="112" spans="1:8" x14ac:dyDescent="0.2">
      <c r="A112" s="21">
        <f t="shared" si="0"/>
        <v>0</v>
      </c>
      <c r="B112" s="21" t="str">
        <f ca="1">IFERROR(__xludf.DUMMYFUNCTION("""COMPUTED_VALUE"""),"039143001")</f>
        <v>039143001</v>
      </c>
      <c r="C112" s="121">
        <f ca="1">IFERROR(__xludf.DUMMYFUNCTION("""COMPUTED_VALUE"""),450000)</f>
        <v>450000</v>
      </c>
      <c r="D112" s="21" t="str">
        <f ca="1">IFERROR(__xludf.DUMMYFUNCTION("""COMPUTED_VALUE"""),"Nasser Eslaquit")</f>
        <v>Nasser Eslaquit</v>
      </c>
      <c r="E112" s="123">
        <f ca="1">IFERROR(__xludf.DUMMYFUNCTION("""COMPUTED_VALUE"""),45471)</f>
        <v>45471</v>
      </c>
      <c r="F112" s="121">
        <f ca="1">IFERROR(__xludf.DUMMYFUNCTION("""COMPUTED_VALUE"""),450000)</f>
        <v>450000</v>
      </c>
      <c r="G112" s="124">
        <f ca="1">IFERROR(__xludf.DUMMYFUNCTION("""COMPUTED_VALUE"""),1)</f>
        <v>1</v>
      </c>
      <c r="H112" s="21"/>
    </row>
    <row r="113" spans="1:8" x14ac:dyDescent="0.2">
      <c r="A113" s="21">
        <f t="shared" si="0"/>
        <v>0</v>
      </c>
      <c r="B113" s="21" t="str">
        <f ca="1">IFERROR(__xludf.DUMMYFUNCTION("""COMPUTED_VALUE"""),"039143002")</f>
        <v>039143002</v>
      </c>
      <c r="C113" s="121">
        <f ca="1">IFERROR(__xludf.DUMMYFUNCTION("""COMPUTED_VALUE"""),450000)</f>
        <v>450000</v>
      </c>
      <c r="D113" s="21" t="str">
        <f ca="1">IFERROR(__xludf.DUMMYFUNCTION("""COMPUTED_VALUE"""),"Nasser Eslaquit")</f>
        <v>Nasser Eslaquit</v>
      </c>
      <c r="E113" s="123">
        <f ca="1">IFERROR(__xludf.DUMMYFUNCTION("""COMPUTED_VALUE"""),45471)</f>
        <v>45471</v>
      </c>
      <c r="F113" s="121" t="str">
        <f ca="1">IFERROR(__xludf.DUMMYFUNCTION("""COMPUTED_VALUE"""),"No ha consignado platica")</f>
        <v>No ha consignado platica</v>
      </c>
      <c r="G113" s="124" t="str">
        <f ca="1">IFERROR(__xludf.DUMMYFUNCTION("""COMPUTED_VALUE"""),"N/A")</f>
        <v>N/A</v>
      </c>
      <c r="H113" s="21"/>
    </row>
    <row r="114" spans="1:8" x14ac:dyDescent="0.2">
      <c r="A114" s="21">
        <f t="shared" si="0"/>
        <v>0</v>
      </c>
      <c r="B114" s="21" t="str">
        <f ca="1">IFERROR(__xludf.DUMMYFUNCTION("""COMPUTED_VALUE"""),"039143003")</f>
        <v>039143003</v>
      </c>
      <c r="C114" s="121">
        <f ca="1">IFERROR(__xludf.DUMMYFUNCTION("""COMPUTED_VALUE"""),450000)</f>
        <v>450000</v>
      </c>
      <c r="D114" s="21" t="str">
        <f ca="1">IFERROR(__xludf.DUMMYFUNCTION("""COMPUTED_VALUE"""),"Nasser Eslaquit")</f>
        <v>Nasser Eslaquit</v>
      </c>
      <c r="E114" s="123">
        <f ca="1">IFERROR(__xludf.DUMMYFUNCTION("""COMPUTED_VALUE"""),45471)</f>
        <v>45471</v>
      </c>
      <c r="F114" s="121" t="str">
        <f ca="1">IFERROR(__xludf.DUMMYFUNCTION("""COMPUTED_VALUE"""),"No ha consignado platica")</f>
        <v>No ha consignado platica</v>
      </c>
      <c r="G114" s="124" t="str">
        <f ca="1">IFERROR(__xludf.DUMMYFUNCTION("""COMPUTED_VALUE"""),"N/A")</f>
        <v>N/A</v>
      </c>
      <c r="H114" s="21"/>
    </row>
    <row r="115" spans="1:8" x14ac:dyDescent="0.2">
      <c r="A115" s="21">
        <f t="shared" si="0"/>
        <v>0</v>
      </c>
      <c r="B115" s="21" t="str">
        <f ca="1">IFERROR(__xludf.DUMMYFUNCTION("""COMPUTED_VALUE"""),"049143001")</f>
        <v>049143001</v>
      </c>
      <c r="C115" s="121">
        <f ca="1">IFERROR(__xludf.DUMMYFUNCTION("""COMPUTED_VALUE"""),705000)</f>
        <v>705000</v>
      </c>
      <c r="D115" s="21" t="str">
        <f ca="1">IFERROR(__xludf.DUMMYFUNCTION("""COMPUTED_VALUE"""),"Nasser Eslaquit")</f>
        <v>Nasser Eslaquit</v>
      </c>
      <c r="E115" s="123">
        <f ca="1">IFERROR(__xludf.DUMMYFUNCTION("""COMPUTED_VALUE"""),45471)</f>
        <v>45471</v>
      </c>
      <c r="F115" s="121" t="str">
        <f ca="1">IFERROR(__xludf.DUMMYFUNCTION("""COMPUTED_VALUE"""),"No ha consignado platica")</f>
        <v>No ha consignado platica</v>
      </c>
      <c r="G115" s="124" t="str">
        <f ca="1">IFERROR(__xludf.DUMMYFUNCTION("""COMPUTED_VALUE"""),"N/A")</f>
        <v>N/A</v>
      </c>
      <c r="H115" s="21"/>
    </row>
    <row r="116" spans="1:8" x14ac:dyDescent="0.2">
      <c r="A116" s="21">
        <f t="shared" si="0"/>
        <v>0</v>
      </c>
      <c r="B116" s="21" t="str">
        <f ca="1">IFERROR(__xludf.DUMMYFUNCTION("""COMPUTED_VALUE"""),"039144004")</f>
        <v>039144004</v>
      </c>
      <c r="C116" s="121">
        <f ca="1">IFERROR(__xludf.DUMMYFUNCTION("""COMPUTED_VALUE"""),450000)</f>
        <v>450000</v>
      </c>
      <c r="D116" s="21" t="str">
        <f ca="1">IFERROR(__xludf.DUMMYFUNCTION("""COMPUTED_VALUE"""),"Nasser Eslaquit")</f>
        <v>Nasser Eslaquit</v>
      </c>
      <c r="E116" s="123">
        <f ca="1">IFERROR(__xludf.DUMMYFUNCTION("""COMPUTED_VALUE"""),45471)</f>
        <v>45471</v>
      </c>
      <c r="F116" s="121">
        <f ca="1">IFERROR(__xludf.DUMMYFUNCTION("""COMPUTED_VALUE"""),450000)</f>
        <v>450000</v>
      </c>
      <c r="G116" s="124">
        <f ca="1">IFERROR(__xludf.DUMMYFUNCTION("""COMPUTED_VALUE"""),1)</f>
        <v>1</v>
      </c>
      <c r="H116" s="21"/>
    </row>
    <row r="117" spans="1:8" x14ac:dyDescent="0.2">
      <c r="A117" s="21">
        <f t="shared" si="0"/>
        <v>0</v>
      </c>
      <c r="B117" s="21" t="str">
        <f ca="1">IFERROR(__xludf.DUMMYFUNCTION("""COMPUTED_VALUE"""),"049144003")</f>
        <v>049144003</v>
      </c>
      <c r="C117" s="121">
        <f ca="1">IFERROR(__xludf.DUMMYFUNCTION("""COMPUTED_VALUE"""),705000)</f>
        <v>705000</v>
      </c>
      <c r="D117" s="21" t="str">
        <f ca="1">IFERROR(__xludf.DUMMYFUNCTION("""COMPUTED_VALUE"""),"Nasser Eslaquit")</f>
        <v>Nasser Eslaquit</v>
      </c>
      <c r="E117" s="123">
        <f ca="1">IFERROR(__xludf.DUMMYFUNCTION("""COMPUTED_VALUE"""),45471)</f>
        <v>45471</v>
      </c>
      <c r="F117" s="121">
        <f ca="1">IFERROR(__xludf.DUMMYFUNCTION("""COMPUTED_VALUE"""),670000)</f>
        <v>670000</v>
      </c>
      <c r="G117" s="124">
        <f ca="1">IFERROR(__xludf.DUMMYFUNCTION("""COMPUTED_VALUE"""),0.950354609929078)</f>
        <v>0.95035460992907805</v>
      </c>
      <c r="H117" s="21"/>
    </row>
    <row r="118" spans="1:8" x14ac:dyDescent="0.2">
      <c r="A118" s="21">
        <f t="shared" si="0"/>
        <v>0</v>
      </c>
      <c r="B118" s="21" t="str">
        <f ca="1">IFERROR(__xludf.DUMMYFUNCTION("""COMPUTED_VALUE"""),"049146001")</f>
        <v>049146001</v>
      </c>
      <c r="C118" s="121">
        <f ca="1">IFERROR(__xludf.DUMMYFUNCTION("""COMPUTED_VALUE"""),150000)</f>
        <v>150000</v>
      </c>
      <c r="D118" s="21" t="str">
        <f ca="1">IFERROR(__xludf.DUMMYFUNCTION("""COMPUTED_VALUE"""),"Nasser Eslaquit")</f>
        <v>Nasser Eslaquit</v>
      </c>
      <c r="E118" s="123">
        <f ca="1">IFERROR(__xludf.DUMMYFUNCTION("""COMPUTED_VALUE"""),45415)</f>
        <v>45415</v>
      </c>
      <c r="F118" s="121">
        <f ca="1">IFERROR(__xludf.DUMMYFUNCTION("""COMPUTED_VALUE"""),150000)</f>
        <v>150000</v>
      </c>
      <c r="G118" s="124">
        <f ca="1">IFERROR(__xludf.DUMMYFUNCTION("""COMPUTED_VALUE"""),1)</f>
        <v>1</v>
      </c>
      <c r="H118" s="21"/>
    </row>
    <row r="119" spans="1:8" x14ac:dyDescent="0.2">
      <c r="A119" s="21">
        <f t="shared" si="0"/>
        <v>0</v>
      </c>
      <c r="B119" s="21" t="str">
        <f ca="1">IFERROR(__xludf.DUMMYFUNCTION("""COMPUTED_VALUE"""),"049146002")</f>
        <v>049146002</v>
      </c>
      <c r="C119" s="121">
        <f ca="1">IFERROR(__xludf.DUMMYFUNCTION("""COMPUTED_VALUE"""),150000)</f>
        <v>150000</v>
      </c>
      <c r="D119" s="21" t="str">
        <f ca="1">IFERROR(__xludf.DUMMYFUNCTION("""COMPUTED_VALUE"""),"Nasser Eslaquit")</f>
        <v>Nasser Eslaquit</v>
      </c>
      <c r="E119" s="123">
        <f ca="1">IFERROR(__xludf.DUMMYFUNCTION("""COMPUTED_VALUE"""),45415)</f>
        <v>45415</v>
      </c>
      <c r="F119" s="121">
        <f ca="1">IFERROR(__xludf.DUMMYFUNCTION("""COMPUTED_VALUE"""),150000)</f>
        <v>150000</v>
      </c>
      <c r="G119" s="124">
        <f ca="1">IFERROR(__xludf.DUMMYFUNCTION("""COMPUTED_VALUE"""),1)</f>
        <v>1</v>
      </c>
      <c r="H119" s="21"/>
    </row>
    <row r="120" spans="1:8" x14ac:dyDescent="0.2">
      <c r="A120" s="21">
        <f t="shared" si="0"/>
        <v>0</v>
      </c>
      <c r="B120" s="21" t="str">
        <f ca="1">IFERROR(__xludf.DUMMYFUNCTION("""COMPUTED_VALUE"""),"049146003")</f>
        <v>049146003</v>
      </c>
      <c r="C120" s="121">
        <f ca="1">IFERROR(__xludf.DUMMYFUNCTION("""COMPUTED_VALUE"""),150000)</f>
        <v>150000</v>
      </c>
      <c r="D120" s="21" t="str">
        <f ca="1">IFERROR(__xludf.DUMMYFUNCTION("""COMPUTED_VALUE"""),"Nasser Eslaquit")</f>
        <v>Nasser Eslaquit</v>
      </c>
      <c r="E120" s="123">
        <f ca="1">IFERROR(__xludf.DUMMYFUNCTION("""COMPUTED_VALUE"""),45415)</f>
        <v>45415</v>
      </c>
      <c r="F120" s="121" t="str">
        <f ca="1">IFERROR(__xludf.DUMMYFUNCTION("""COMPUTED_VALUE"""),"No ha consignado platica")</f>
        <v>No ha consignado platica</v>
      </c>
      <c r="G120" s="124" t="str">
        <f ca="1">IFERROR(__xludf.DUMMYFUNCTION("""COMPUTED_VALUE"""),"N/A")</f>
        <v>N/A</v>
      </c>
      <c r="H120" s="21"/>
    </row>
    <row r="121" spans="1:8" x14ac:dyDescent="0.2">
      <c r="A121" s="21">
        <f t="shared" si="0"/>
        <v>0</v>
      </c>
      <c r="B121" s="21" t="str">
        <f ca="1">IFERROR(__xludf.DUMMYFUNCTION("""COMPUTED_VALUE"""),"049146004")</f>
        <v>049146004</v>
      </c>
      <c r="C121" s="121">
        <f ca="1">IFERROR(__xludf.DUMMYFUNCTION("""COMPUTED_VALUE"""),150000)</f>
        <v>150000</v>
      </c>
      <c r="D121" s="21" t="str">
        <f ca="1">IFERROR(__xludf.DUMMYFUNCTION("""COMPUTED_VALUE"""),"Nasser Eslaquit")</f>
        <v>Nasser Eslaquit</v>
      </c>
      <c r="E121" s="123">
        <f ca="1">IFERROR(__xludf.DUMMYFUNCTION("""COMPUTED_VALUE"""),45415)</f>
        <v>45415</v>
      </c>
      <c r="F121" s="121" t="str">
        <f ca="1">IFERROR(__xludf.DUMMYFUNCTION("""COMPUTED_VALUE"""),"No ha consignado platica")</f>
        <v>No ha consignado platica</v>
      </c>
      <c r="G121" s="124" t="str">
        <f ca="1">IFERROR(__xludf.DUMMYFUNCTION("""COMPUTED_VALUE"""),"N/A")</f>
        <v>N/A</v>
      </c>
      <c r="H121" s="21"/>
    </row>
    <row r="122" spans="1:8" x14ac:dyDescent="0.2">
      <c r="A122" s="21">
        <f t="shared" si="0"/>
        <v>0</v>
      </c>
      <c r="B122" s="21" t="str">
        <f ca="1">IFERROR(__xludf.DUMMYFUNCTION("""COMPUTED_VALUE"""),"049146005")</f>
        <v>049146005</v>
      </c>
      <c r="C122" s="121">
        <f ca="1">IFERROR(__xludf.DUMMYFUNCTION("""COMPUTED_VALUE"""),150000)</f>
        <v>150000</v>
      </c>
      <c r="D122" s="21" t="str">
        <f ca="1">IFERROR(__xludf.DUMMYFUNCTION("""COMPUTED_VALUE"""),"Nasser Eslaquit")</f>
        <v>Nasser Eslaquit</v>
      </c>
      <c r="E122" s="123">
        <f ca="1">IFERROR(__xludf.DUMMYFUNCTION("""COMPUTED_VALUE"""),45415)</f>
        <v>45415</v>
      </c>
      <c r="F122" s="121">
        <f ca="1">IFERROR(__xludf.DUMMYFUNCTION("""COMPUTED_VALUE"""),150000)</f>
        <v>150000</v>
      </c>
      <c r="G122" s="124">
        <f ca="1">IFERROR(__xludf.DUMMYFUNCTION("""COMPUTED_VALUE"""),1)</f>
        <v>1</v>
      </c>
      <c r="H122" s="21"/>
    </row>
    <row r="123" spans="1:8" x14ac:dyDescent="0.2">
      <c r="A123" s="21">
        <f t="shared" si="0"/>
        <v>0</v>
      </c>
      <c r="B123" s="21" t="str">
        <f ca="1">IFERROR(__xludf.DUMMYFUNCTION("""COMPUTED_VALUE"""),"049146006")</f>
        <v>049146006</v>
      </c>
      <c r="C123" s="121">
        <f ca="1">IFERROR(__xludf.DUMMYFUNCTION("""COMPUTED_VALUE"""),150000)</f>
        <v>150000</v>
      </c>
      <c r="D123" s="21" t="str">
        <f ca="1">IFERROR(__xludf.DUMMYFUNCTION("""COMPUTED_VALUE"""),"Nasser Eslaquit")</f>
        <v>Nasser Eslaquit</v>
      </c>
      <c r="E123" s="123">
        <f ca="1">IFERROR(__xludf.DUMMYFUNCTION("""COMPUTED_VALUE"""),45415)</f>
        <v>45415</v>
      </c>
      <c r="F123" s="121">
        <f ca="1">IFERROR(__xludf.DUMMYFUNCTION("""COMPUTED_VALUE"""),150000)</f>
        <v>150000</v>
      </c>
      <c r="G123" s="124">
        <f ca="1">IFERROR(__xludf.DUMMYFUNCTION("""COMPUTED_VALUE"""),1)</f>
        <v>1</v>
      </c>
      <c r="H123" s="21"/>
    </row>
    <row r="124" spans="1:8" x14ac:dyDescent="0.2">
      <c r="A124" s="21">
        <f t="shared" si="0"/>
        <v>0</v>
      </c>
      <c r="B124" s="21" t="str">
        <f ca="1">IFERROR(__xludf.DUMMYFUNCTION("""COMPUTED_VALUE"""),"049146007")</f>
        <v>049146007</v>
      </c>
      <c r="C124" s="121">
        <f ca="1">IFERROR(__xludf.DUMMYFUNCTION("""COMPUTED_VALUE"""),150000)</f>
        <v>150000</v>
      </c>
      <c r="D124" s="21" t="str">
        <f ca="1">IFERROR(__xludf.DUMMYFUNCTION("""COMPUTED_VALUE"""),"Nasser Eslaquit")</f>
        <v>Nasser Eslaquit</v>
      </c>
      <c r="E124" s="123">
        <f ca="1">IFERROR(__xludf.DUMMYFUNCTION("""COMPUTED_VALUE"""),45415)</f>
        <v>45415</v>
      </c>
      <c r="F124" s="121">
        <f ca="1">IFERROR(__xludf.DUMMYFUNCTION("""COMPUTED_VALUE"""),150000)</f>
        <v>150000</v>
      </c>
      <c r="G124" s="124">
        <f ca="1">IFERROR(__xludf.DUMMYFUNCTION("""COMPUTED_VALUE"""),1)</f>
        <v>1</v>
      </c>
      <c r="H124" s="21"/>
    </row>
    <row r="125" spans="1:8" x14ac:dyDescent="0.2">
      <c r="A125" s="21">
        <f t="shared" si="0"/>
        <v>0</v>
      </c>
      <c r="B125" s="21" t="str">
        <f ca="1">IFERROR(__xludf.DUMMYFUNCTION("""COMPUTED_VALUE"""),"049146008")</f>
        <v>049146008</v>
      </c>
      <c r="C125" s="121">
        <f ca="1">IFERROR(__xludf.DUMMYFUNCTION("""COMPUTED_VALUE"""),150000)</f>
        <v>150000</v>
      </c>
      <c r="D125" s="21" t="str">
        <f ca="1">IFERROR(__xludf.DUMMYFUNCTION("""COMPUTED_VALUE"""),"Nasser Eslaquit")</f>
        <v>Nasser Eslaquit</v>
      </c>
      <c r="E125" s="123">
        <f ca="1">IFERROR(__xludf.DUMMYFUNCTION("""COMPUTED_VALUE"""),45415)</f>
        <v>45415</v>
      </c>
      <c r="F125" s="121" t="str">
        <f ca="1">IFERROR(__xludf.DUMMYFUNCTION("""COMPUTED_VALUE"""),"No ha consignado platica")</f>
        <v>No ha consignado platica</v>
      </c>
      <c r="G125" s="124" t="str">
        <f ca="1">IFERROR(__xludf.DUMMYFUNCTION("""COMPUTED_VALUE"""),"N/A")</f>
        <v>N/A</v>
      </c>
      <c r="H125" s="21"/>
    </row>
    <row r="126" spans="1:8" x14ac:dyDescent="0.2">
      <c r="A126" s="21">
        <f t="shared" si="0"/>
        <v>0</v>
      </c>
      <c r="B126" s="21" t="str">
        <f ca="1">IFERROR(__xludf.DUMMYFUNCTION("""COMPUTED_VALUE"""),"049146009")</f>
        <v>049146009</v>
      </c>
      <c r="C126" s="121">
        <f ca="1">IFERROR(__xludf.DUMMYFUNCTION("""COMPUTED_VALUE"""),150000)</f>
        <v>150000</v>
      </c>
      <c r="D126" s="21" t="str">
        <f ca="1">IFERROR(__xludf.DUMMYFUNCTION("""COMPUTED_VALUE"""),"Nasser Eslaquit")</f>
        <v>Nasser Eslaquit</v>
      </c>
      <c r="E126" s="123">
        <f ca="1">IFERROR(__xludf.DUMMYFUNCTION("""COMPUTED_VALUE"""),45415)</f>
        <v>45415</v>
      </c>
      <c r="F126" s="121" t="str">
        <f ca="1">IFERROR(__xludf.DUMMYFUNCTION("""COMPUTED_VALUE"""),"No ha consignado platica")</f>
        <v>No ha consignado platica</v>
      </c>
      <c r="G126" s="124" t="str">
        <f ca="1">IFERROR(__xludf.DUMMYFUNCTION("""COMPUTED_VALUE"""),"N/A")</f>
        <v>N/A</v>
      </c>
      <c r="H126" s="21"/>
    </row>
    <row r="127" spans="1:8" x14ac:dyDescent="0.2">
      <c r="A127" s="21">
        <f t="shared" si="0"/>
        <v>0</v>
      </c>
      <c r="B127" s="21" t="str">
        <f ca="1">IFERROR(__xludf.DUMMYFUNCTION("""COMPUTED_VALUE"""),"0491460010")</f>
        <v>0491460010</v>
      </c>
      <c r="C127" s="121">
        <f ca="1">IFERROR(__xludf.DUMMYFUNCTION("""COMPUTED_VALUE"""),150000)</f>
        <v>150000</v>
      </c>
      <c r="D127" s="21" t="str">
        <f ca="1">IFERROR(__xludf.DUMMYFUNCTION("""COMPUTED_VALUE"""),"Nasser Eslaquit")</f>
        <v>Nasser Eslaquit</v>
      </c>
      <c r="E127" s="123">
        <f ca="1">IFERROR(__xludf.DUMMYFUNCTION("""COMPUTED_VALUE"""),45415)</f>
        <v>45415</v>
      </c>
      <c r="F127" s="121" t="str">
        <f ca="1">IFERROR(__xludf.DUMMYFUNCTION("""COMPUTED_VALUE"""),"No ha consignado platica")</f>
        <v>No ha consignado platica</v>
      </c>
      <c r="G127" s="124" t="str">
        <f ca="1">IFERROR(__xludf.DUMMYFUNCTION("""COMPUTED_VALUE"""),"N/A")</f>
        <v>N/A</v>
      </c>
      <c r="H127" s="21"/>
    </row>
    <row r="128" spans="1:8" x14ac:dyDescent="0.2">
      <c r="A128" s="21">
        <f t="shared" si="0"/>
        <v>0</v>
      </c>
      <c r="B128" s="21" t="str">
        <f ca="1">IFERROR(__xludf.DUMMYFUNCTION("""COMPUTED_VALUE"""),"0491460011")</f>
        <v>0491460011</v>
      </c>
      <c r="C128" s="121">
        <f ca="1">IFERROR(__xludf.DUMMYFUNCTION("""COMPUTED_VALUE"""),150000)</f>
        <v>150000</v>
      </c>
      <c r="D128" s="21" t="str">
        <f ca="1">IFERROR(__xludf.DUMMYFUNCTION("""COMPUTED_VALUE"""),"Nasser Eslaquit")</f>
        <v>Nasser Eslaquit</v>
      </c>
      <c r="E128" s="123">
        <f ca="1">IFERROR(__xludf.DUMMYFUNCTION("""COMPUTED_VALUE"""),45415)</f>
        <v>45415</v>
      </c>
      <c r="F128" s="121" t="str">
        <f ca="1">IFERROR(__xludf.DUMMYFUNCTION("""COMPUTED_VALUE"""),"No ha consignado platica")</f>
        <v>No ha consignado platica</v>
      </c>
      <c r="G128" s="124" t="str">
        <f ca="1">IFERROR(__xludf.DUMMYFUNCTION("""COMPUTED_VALUE"""),"N/A")</f>
        <v>N/A</v>
      </c>
      <c r="H128" s="21"/>
    </row>
    <row r="129" spans="1:8" x14ac:dyDescent="0.2">
      <c r="A129" s="21">
        <f t="shared" si="0"/>
        <v>0</v>
      </c>
      <c r="B129" s="21" t="str">
        <f ca="1">IFERROR(__xludf.DUMMYFUNCTION("""COMPUTED_VALUE"""),"0491460012")</f>
        <v>0491460012</v>
      </c>
      <c r="C129" s="121">
        <f ca="1">IFERROR(__xludf.DUMMYFUNCTION("""COMPUTED_VALUE"""),150000)</f>
        <v>150000</v>
      </c>
      <c r="D129" s="21" t="str">
        <f ca="1">IFERROR(__xludf.DUMMYFUNCTION("""COMPUTED_VALUE"""),"Nasser Eslaquit")</f>
        <v>Nasser Eslaquit</v>
      </c>
      <c r="E129" s="123">
        <f ca="1">IFERROR(__xludf.DUMMYFUNCTION("""COMPUTED_VALUE"""),45415)</f>
        <v>45415</v>
      </c>
      <c r="F129" s="121" t="str">
        <f ca="1">IFERROR(__xludf.DUMMYFUNCTION("""COMPUTED_VALUE"""),"No ha consignado platica")</f>
        <v>No ha consignado platica</v>
      </c>
      <c r="G129" s="124" t="str">
        <f ca="1">IFERROR(__xludf.DUMMYFUNCTION("""COMPUTED_VALUE"""),"N/A")</f>
        <v>N/A</v>
      </c>
      <c r="H129" s="21"/>
    </row>
    <row r="130" spans="1:8" x14ac:dyDescent="0.2">
      <c r="A130" s="21">
        <f t="shared" si="0"/>
        <v>0</v>
      </c>
      <c r="B130" s="21" t="str">
        <f ca="1">IFERROR(__xludf.DUMMYFUNCTION("""COMPUTED_VALUE"""),"049145001")</f>
        <v>049145001</v>
      </c>
      <c r="C130" s="121">
        <f ca="1">IFERROR(__xludf.DUMMYFUNCTION("""COMPUTED_VALUE"""),150000)</f>
        <v>150000</v>
      </c>
      <c r="D130" s="21" t="str">
        <f ca="1">IFERROR(__xludf.DUMMYFUNCTION("""COMPUTED_VALUE"""),"Nasser Eslaquit")</f>
        <v>Nasser Eslaquit</v>
      </c>
      <c r="E130" s="123">
        <f ca="1">IFERROR(__xludf.DUMMYFUNCTION("""COMPUTED_VALUE"""),45415)</f>
        <v>45415</v>
      </c>
      <c r="F130" s="121">
        <f ca="1">IFERROR(__xludf.DUMMYFUNCTION("""COMPUTED_VALUE"""),150000)</f>
        <v>150000</v>
      </c>
      <c r="G130" s="124">
        <f ca="1">IFERROR(__xludf.DUMMYFUNCTION("""COMPUTED_VALUE"""),1)</f>
        <v>1</v>
      </c>
      <c r="H130" s="21"/>
    </row>
    <row r="131" spans="1:8" x14ac:dyDescent="0.2">
      <c r="A131" s="21">
        <f t="shared" si="0"/>
        <v>0</v>
      </c>
      <c r="B131" s="21" t="str">
        <f ca="1">IFERROR(__xludf.DUMMYFUNCTION("""COMPUTED_VALUE"""),"049145002")</f>
        <v>049145002</v>
      </c>
      <c r="C131" s="121">
        <f ca="1">IFERROR(__xludf.DUMMYFUNCTION("""COMPUTED_VALUE"""),150000)</f>
        <v>150000</v>
      </c>
      <c r="D131" s="21" t="str">
        <f ca="1">IFERROR(__xludf.DUMMYFUNCTION("""COMPUTED_VALUE"""),"Nasser Eslaquit")</f>
        <v>Nasser Eslaquit</v>
      </c>
      <c r="E131" s="123">
        <f ca="1">IFERROR(__xludf.DUMMYFUNCTION("""COMPUTED_VALUE"""),45415)</f>
        <v>45415</v>
      </c>
      <c r="F131" s="121">
        <f ca="1">IFERROR(__xludf.DUMMYFUNCTION("""COMPUTED_VALUE"""),150000)</f>
        <v>150000</v>
      </c>
      <c r="G131" s="124">
        <f ca="1">IFERROR(__xludf.DUMMYFUNCTION("""COMPUTED_VALUE"""),1)</f>
        <v>1</v>
      </c>
      <c r="H131" s="21"/>
    </row>
    <row r="132" spans="1:8" x14ac:dyDescent="0.2">
      <c r="A132" s="21">
        <f t="shared" si="0"/>
        <v>0</v>
      </c>
      <c r="B132" s="21" t="str">
        <f ca="1">IFERROR(__xludf.DUMMYFUNCTION("""COMPUTED_VALUE"""),"049145003")</f>
        <v>049145003</v>
      </c>
      <c r="C132" s="121">
        <f ca="1">IFERROR(__xludf.DUMMYFUNCTION("""COMPUTED_VALUE"""),150000)</f>
        <v>150000</v>
      </c>
      <c r="D132" s="21" t="str">
        <f ca="1">IFERROR(__xludf.DUMMYFUNCTION("""COMPUTED_VALUE"""),"Nasser Eslaquit")</f>
        <v>Nasser Eslaquit</v>
      </c>
      <c r="E132" s="123">
        <f ca="1">IFERROR(__xludf.DUMMYFUNCTION("""COMPUTED_VALUE"""),45415)</f>
        <v>45415</v>
      </c>
      <c r="F132" s="121">
        <f ca="1">IFERROR(__xludf.DUMMYFUNCTION("""COMPUTED_VALUE"""),150000)</f>
        <v>150000</v>
      </c>
      <c r="G132" s="124">
        <f ca="1">IFERROR(__xludf.DUMMYFUNCTION("""COMPUTED_VALUE"""),1)</f>
        <v>1</v>
      </c>
      <c r="H132" s="21"/>
    </row>
    <row r="133" spans="1:8" x14ac:dyDescent="0.2">
      <c r="A133" s="21">
        <f t="shared" si="0"/>
        <v>0</v>
      </c>
      <c r="B133" s="21" t="str">
        <f ca="1">IFERROR(__xludf.DUMMYFUNCTION("""COMPUTED_VALUE"""),"049145004")</f>
        <v>049145004</v>
      </c>
      <c r="C133" s="121">
        <f ca="1">IFERROR(__xludf.DUMMYFUNCTION("""COMPUTED_VALUE"""),150000)</f>
        <v>150000</v>
      </c>
      <c r="D133" s="21" t="str">
        <f ca="1">IFERROR(__xludf.DUMMYFUNCTION("""COMPUTED_VALUE"""),"Nasser Eslaquit")</f>
        <v>Nasser Eslaquit</v>
      </c>
      <c r="E133" s="123">
        <f ca="1">IFERROR(__xludf.DUMMYFUNCTION("""COMPUTED_VALUE"""),45415)</f>
        <v>45415</v>
      </c>
      <c r="F133" s="121">
        <f ca="1">IFERROR(__xludf.DUMMYFUNCTION("""COMPUTED_VALUE"""),150000)</f>
        <v>150000</v>
      </c>
      <c r="G133" s="124">
        <f ca="1">IFERROR(__xludf.DUMMYFUNCTION("""COMPUTED_VALUE"""),1)</f>
        <v>1</v>
      </c>
      <c r="H133" s="21"/>
    </row>
    <row r="134" spans="1:8" x14ac:dyDescent="0.2">
      <c r="A134" s="21">
        <f t="shared" si="0"/>
        <v>0</v>
      </c>
      <c r="B134" s="21" t="str">
        <f ca="1">IFERROR(__xludf.DUMMYFUNCTION("""COMPUTED_VALUE"""),"049145005")</f>
        <v>049145005</v>
      </c>
      <c r="C134" s="121">
        <f ca="1">IFERROR(__xludf.DUMMYFUNCTION("""COMPUTED_VALUE"""),150000)</f>
        <v>150000</v>
      </c>
      <c r="D134" s="21" t="str">
        <f ca="1">IFERROR(__xludf.DUMMYFUNCTION("""COMPUTED_VALUE"""),"Nasser Eslaquit")</f>
        <v>Nasser Eslaquit</v>
      </c>
      <c r="E134" s="123">
        <f ca="1">IFERROR(__xludf.DUMMYFUNCTION("""COMPUTED_VALUE"""),45415)</f>
        <v>45415</v>
      </c>
      <c r="F134" s="121" t="str">
        <f ca="1">IFERROR(__xludf.DUMMYFUNCTION("""COMPUTED_VALUE"""),"No ha consignado platica")</f>
        <v>No ha consignado platica</v>
      </c>
      <c r="G134" s="124" t="str">
        <f ca="1">IFERROR(__xludf.DUMMYFUNCTION("""COMPUTED_VALUE"""),"N/A")</f>
        <v>N/A</v>
      </c>
      <c r="H134" s="21"/>
    </row>
    <row r="135" spans="1:8" x14ac:dyDescent="0.2">
      <c r="A135" s="21">
        <f t="shared" si="0"/>
        <v>0</v>
      </c>
      <c r="B135" s="21" t="str">
        <f ca="1">IFERROR(__xludf.DUMMYFUNCTION("""COMPUTED_VALUE"""),"049145006")</f>
        <v>049145006</v>
      </c>
      <c r="C135" s="121">
        <f ca="1">IFERROR(__xludf.DUMMYFUNCTION("""COMPUTED_VALUE"""),150000)</f>
        <v>150000</v>
      </c>
      <c r="D135" s="21" t="str">
        <f ca="1">IFERROR(__xludf.DUMMYFUNCTION("""COMPUTED_VALUE"""),"Nasser Eslaquit")</f>
        <v>Nasser Eslaquit</v>
      </c>
      <c r="E135" s="123">
        <f ca="1">IFERROR(__xludf.DUMMYFUNCTION("""COMPUTED_VALUE"""),45415)</f>
        <v>45415</v>
      </c>
      <c r="F135" s="121">
        <f ca="1">IFERROR(__xludf.DUMMYFUNCTION("""COMPUTED_VALUE"""),150000)</f>
        <v>150000</v>
      </c>
      <c r="G135" s="124">
        <f ca="1">IFERROR(__xludf.DUMMYFUNCTION("""COMPUTED_VALUE"""),1)</f>
        <v>1</v>
      </c>
      <c r="H135" s="21"/>
    </row>
    <row r="136" spans="1:8" x14ac:dyDescent="0.2">
      <c r="A136" s="21">
        <f t="shared" si="0"/>
        <v>0</v>
      </c>
      <c r="B136" s="21" t="str">
        <f ca="1">IFERROR(__xludf.DUMMYFUNCTION("""COMPUTED_VALUE"""),"049145007")</f>
        <v>049145007</v>
      </c>
      <c r="C136" s="121">
        <f ca="1">IFERROR(__xludf.DUMMYFUNCTION("""COMPUTED_VALUE"""),150000)</f>
        <v>150000</v>
      </c>
      <c r="D136" s="21" t="str">
        <f ca="1">IFERROR(__xludf.DUMMYFUNCTION("""COMPUTED_VALUE"""),"Nasser Eslaquit")</f>
        <v>Nasser Eslaquit</v>
      </c>
      <c r="E136" s="123">
        <f ca="1">IFERROR(__xludf.DUMMYFUNCTION("""COMPUTED_VALUE"""),45415)</f>
        <v>45415</v>
      </c>
      <c r="F136" s="121" t="str">
        <f ca="1">IFERROR(__xludf.DUMMYFUNCTION("""COMPUTED_VALUE"""),"No ha consignado platica")</f>
        <v>No ha consignado platica</v>
      </c>
      <c r="G136" s="124" t="str">
        <f ca="1">IFERROR(__xludf.DUMMYFUNCTION("""COMPUTED_VALUE"""),"N/A")</f>
        <v>N/A</v>
      </c>
      <c r="H136" s="21"/>
    </row>
    <row r="137" spans="1:8" x14ac:dyDescent="0.2">
      <c r="A137" s="21">
        <f t="shared" si="0"/>
        <v>0</v>
      </c>
      <c r="B137" s="21" t="str">
        <f ca="1">IFERROR(__xludf.DUMMYFUNCTION("""COMPUTED_VALUE"""),"049145008")</f>
        <v>049145008</v>
      </c>
      <c r="C137" s="121">
        <f ca="1">IFERROR(__xludf.DUMMYFUNCTION("""COMPUTED_VALUE"""),150000)</f>
        <v>150000</v>
      </c>
      <c r="D137" s="21" t="str">
        <f ca="1">IFERROR(__xludf.DUMMYFUNCTION("""COMPUTED_VALUE"""),"Nasser Eslaquit")</f>
        <v>Nasser Eslaquit</v>
      </c>
      <c r="E137" s="123">
        <f ca="1">IFERROR(__xludf.DUMMYFUNCTION("""COMPUTED_VALUE"""),45415)</f>
        <v>45415</v>
      </c>
      <c r="F137" s="121" t="str">
        <f ca="1">IFERROR(__xludf.DUMMYFUNCTION("""COMPUTED_VALUE"""),"No ha consignado platica")</f>
        <v>No ha consignado platica</v>
      </c>
      <c r="G137" s="124" t="str">
        <f ca="1">IFERROR(__xludf.DUMMYFUNCTION("""COMPUTED_VALUE"""),"N/A")</f>
        <v>N/A</v>
      </c>
      <c r="H137" s="21"/>
    </row>
    <row r="138" spans="1:8" x14ac:dyDescent="0.2">
      <c r="A138" s="21">
        <f t="shared" si="0"/>
        <v>0</v>
      </c>
      <c r="B138" s="21" t="str">
        <f ca="1">IFERROR(__xludf.DUMMYFUNCTION("""COMPUTED_VALUE"""),"049145009")</f>
        <v>049145009</v>
      </c>
      <c r="C138" s="121">
        <f ca="1">IFERROR(__xludf.DUMMYFUNCTION("""COMPUTED_VALUE"""),150000)</f>
        <v>150000</v>
      </c>
      <c r="D138" s="21" t="str">
        <f ca="1">IFERROR(__xludf.DUMMYFUNCTION("""COMPUTED_VALUE"""),"Nasser Eslaquit")</f>
        <v>Nasser Eslaquit</v>
      </c>
      <c r="E138" s="123">
        <f ca="1">IFERROR(__xludf.DUMMYFUNCTION("""COMPUTED_VALUE"""),45415)</f>
        <v>45415</v>
      </c>
      <c r="F138" s="121" t="str">
        <f ca="1">IFERROR(__xludf.DUMMYFUNCTION("""COMPUTED_VALUE"""),"No ha consignado platica")</f>
        <v>No ha consignado platica</v>
      </c>
      <c r="G138" s="124" t="str">
        <f ca="1">IFERROR(__xludf.DUMMYFUNCTION("""COMPUTED_VALUE"""),"N/A")</f>
        <v>N/A</v>
      </c>
      <c r="H138" s="21"/>
    </row>
    <row r="139" spans="1:8" x14ac:dyDescent="0.2">
      <c r="A139" s="21">
        <f t="shared" si="0"/>
        <v>0</v>
      </c>
      <c r="B139" s="21" t="str">
        <f ca="1">IFERROR(__xludf.DUMMYFUNCTION("""COMPUTED_VALUE"""),"0491450010")</f>
        <v>0491450010</v>
      </c>
      <c r="C139" s="121">
        <f ca="1">IFERROR(__xludf.DUMMYFUNCTION("""COMPUTED_VALUE"""),150000)</f>
        <v>150000</v>
      </c>
      <c r="D139" s="21" t="str">
        <f ca="1">IFERROR(__xludf.DUMMYFUNCTION("""COMPUTED_VALUE"""),"Nasser Eslaquit")</f>
        <v>Nasser Eslaquit</v>
      </c>
      <c r="E139" s="123">
        <f ca="1">IFERROR(__xludf.DUMMYFUNCTION("""COMPUTED_VALUE"""),45415)</f>
        <v>45415</v>
      </c>
      <c r="F139" s="121" t="str">
        <f ca="1">IFERROR(__xludf.DUMMYFUNCTION("""COMPUTED_VALUE"""),"No ha consignado platica")</f>
        <v>No ha consignado platica</v>
      </c>
      <c r="G139" s="124" t="str">
        <f ca="1">IFERROR(__xludf.DUMMYFUNCTION("""COMPUTED_VALUE"""),"N/A")</f>
        <v>N/A</v>
      </c>
      <c r="H139" s="21"/>
    </row>
    <row r="140" spans="1:8" x14ac:dyDescent="0.2">
      <c r="A140" s="21">
        <f t="shared" si="0"/>
        <v>0</v>
      </c>
      <c r="B140" s="21" t="str">
        <f ca="1">IFERROR(__xludf.DUMMYFUNCTION("""COMPUTED_VALUE"""),"0491450011")</f>
        <v>0491450011</v>
      </c>
      <c r="C140" s="121">
        <f ca="1">IFERROR(__xludf.DUMMYFUNCTION("""COMPUTED_VALUE"""),150000)</f>
        <v>150000</v>
      </c>
      <c r="D140" s="21" t="str">
        <f ca="1">IFERROR(__xludf.DUMMYFUNCTION("""COMPUTED_VALUE"""),"Nasser Eslaquit")</f>
        <v>Nasser Eslaquit</v>
      </c>
      <c r="E140" s="123">
        <f ca="1">IFERROR(__xludf.DUMMYFUNCTION("""COMPUTED_VALUE"""),45415)</f>
        <v>45415</v>
      </c>
      <c r="F140" s="121" t="str">
        <f ca="1">IFERROR(__xludf.DUMMYFUNCTION("""COMPUTED_VALUE"""),"No ha consignado platica")</f>
        <v>No ha consignado platica</v>
      </c>
      <c r="G140" s="124" t="str">
        <f ca="1">IFERROR(__xludf.DUMMYFUNCTION("""COMPUTED_VALUE"""),"N/A")</f>
        <v>N/A</v>
      </c>
      <c r="H140" s="21"/>
    </row>
    <row r="141" spans="1:8" x14ac:dyDescent="0.2">
      <c r="A141" s="21">
        <f t="shared" si="0"/>
        <v>0</v>
      </c>
      <c r="B141" s="21" t="str">
        <f ca="1">IFERROR(__xludf.DUMMYFUNCTION("""COMPUTED_VALUE"""),"0491450012")</f>
        <v>0491450012</v>
      </c>
      <c r="C141" s="121">
        <f ca="1">IFERROR(__xludf.DUMMYFUNCTION("""COMPUTED_VALUE"""),150000)</f>
        <v>150000</v>
      </c>
      <c r="D141" s="21" t="str">
        <f ca="1">IFERROR(__xludf.DUMMYFUNCTION("""COMPUTED_VALUE"""),"Nasser Eslaquit")</f>
        <v>Nasser Eslaquit</v>
      </c>
      <c r="E141" s="123">
        <f ca="1">IFERROR(__xludf.DUMMYFUNCTION("""COMPUTED_VALUE"""),45415)</f>
        <v>45415</v>
      </c>
      <c r="F141" s="121" t="str">
        <f ca="1">IFERROR(__xludf.DUMMYFUNCTION("""COMPUTED_VALUE"""),"No ha consignado platica")</f>
        <v>No ha consignado platica</v>
      </c>
      <c r="G141" s="124" t="str">
        <f ca="1">IFERROR(__xludf.DUMMYFUNCTION("""COMPUTED_VALUE"""),"N/A")</f>
        <v>N/A</v>
      </c>
      <c r="H141" s="21"/>
    </row>
    <row r="142" spans="1:8" x14ac:dyDescent="0.2">
      <c r="A142" s="21">
        <f t="shared" si="0"/>
        <v>0</v>
      </c>
      <c r="B142" s="21" t="str">
        <f ca="1">IFERROR(__xludf.DUMMYFUNCTION("""COMPUTED_VALUE"""),"0491450013")</f>
        <v>0491450013</v>
      </c>
      <c r="C142" s="121">
        <f ca="1">IFERROR(__xludf.DUMMYFUNCTION("""COMPUTED_VALUE"""),150000)</f>
        <v>150000</v>
      </c>
      <c r="D142" s="21" t="str">
        <f ca="1">IFERROR(__xludf.DUMMYFUNCTION("""COMPUTED_VALUE"""),"Nasser Eslaquit")</f>
        <v>Nasser Eslaquit</v>
      </c>
      <c r="E142" s="123">
        <f ca="1">IFERROR(__xludf.DUMMYFUNCTION("""COMPUTED_VALUE"""),45415)</f>
        <v>45415</v>
      </c>
      <c r="F142" s="121" t="str">
        <f ca="1">IFERROR(__xludf.DUMMYFUNCTION("""COMPUTED_VALUE"""),"No ha consignado platica")</f>
        <v>No ha consignado platica</v>
      </c>
      <c r="G142" s="124" t="str">
        <f ca="1">IFERROR(__xludf.DUMMYFUNCTION("""COMPUTED_VALUE"""),"N/A")</f>
        <v>N/A</v>
      </c>
      <c r="H142" s="21"/>
    </row>
    <row r="143" spans="1:8" x14ac:dyDescent="0.2">
      <c r="A143" s="21">
        <f t="shared" si="0"/>
        <v>0</v>
      </c>
      <c r="B143" s="21" t="str">
        <f ca="1">IFERROR(__xludf.DUMMYFUNCTION("""COMPUTED_VALUE"""),"0491450014")</f>
        <v>0491450014</v>
      </c>
      <c r="C143" s="121">
        <f ca="1">IFERROR(__xludf.DUMMYFUNCTION("""COMPUTED_VALUE"""),150000)</f>
        <v>150000</v>
      </c>
      <c r="D143" s="21" t="str">
        <f ca="1">IFERROR(__xludf.DUMMYFUNCTION("""COMPUTED_VALUE"""),"Nasser Eslaquit")</f>
        <v>Nasser Eslaquit</v>
      </c>
      <c r="E143" s="123">
        <f ca="1">IFERROR(__xludf.DUMMYFUNCTION("""COMPUTED_VALUE"""),45415)</f>
        <v>45415</v>
      </c>
      <c r="F143" s="121" t="str">
        <f ca="1">IFERROR(__xludf.DUMMYFUNCTION("""COMPUTED_VALUE"""),"No ha consignado platica")</f>
        <v>No ha consignado platica</v>
      </c>
      <c r="G143" s="124" t="str">
        <f ca="1">IFERROR(__xludf.DUMMYFUNCTION("""COMPUTED_VALUE"""),"N/A")</f>
        <v>N/A</v>
      </c>
      <c r="H143" s="21"/>
    </row>
    <row r="144" spans="1:8" x14ac:dyDescent="0.2">
      <c r="A144" s="21">
        <f t="shared" si="0"/>
        <v>0</v>
      </c>
      <c r="B144" s="21" t="str">
        <f ca="1">IFERROR(__xludf.DUMMYFUNCTION("""COMPUTED_VALUE"""),"0491450015")</f>
        <v>0491450015</v>
      </c>
      <c r="C144" s="121">
        <f ca="1">IFERROR(__xludf.DUMMYFUNCTION("""COMPUTED_VALUE"""),150000)</f>
        <v>150000</v>
      </c>
      <c r="D144" s="21" t="str">
        <f ca="1">IFERROR(__xludf.DUMMYFUNCTION("""COMPUTED_VALUE"""),"Nasser Eslaquit")</f>
        <v>Nasser Eslaquit</v>
      </c>
      <c r="E144" s="123">
        <f ca="1">IFERROR(__xludf.DUMMYFUNCTION("""COMPUTED_VALUE"""),45415)</f>
        <v>45415</v>
      </c>
      <c r="F144" s="121" t="str">
        <f ca="1">IFERROR(__xludf.DUMMYFUNCTION("""COMPUTED_VALUE"""),"No ha consignado platica")</f>
        <v>No ha consignado platica</v>
      </c>
      <c r="G144" s="124" t="str">
        <f ca="1">IFERROR(__xludf.DUMMYFUNCTION("""COMPUTED_VALUE"""),"N/A")</f>
        <v>N/A</v>
      </c>
      <c r="H144" s="21"/>
    </row>
    <row r="145" spans="1:8" x14ac:dyDescent="0.2">
      <c r="A145" s="21">
        <f t="shared" si="0"/>
        <v>0</v>
      </c>
      <c r="B145" s="21" t="str">
        <f ca="1">IFERROR(__xludf.DUMMYFUNCTION("""COMPUTED_VALUE"""),"0491450016")</f>
        <v>0491450016</v>
      </c>
      <c r="C145" s="121">
        <f ca="1">IFERROR(__xludf.DUMMYFUNCTION("""COMPUTED_VALUE"""),150000)</f>
        <v>150000</v>
      </c>
      <c r="D145" s="21" t="str">
        <f ca="1">IFERROR(__xludf.DUMMYFUNCTION("""COMPUTED_VALUE"""),"Nasser Eslaquit")</f>
        <v>Nasser Eslaquit</v>
      </c>
      <c r="E145" s="123">
        <f ca="1">IFERROR(__xludf.DUMMYFUNCTION("""COMPUTED_VALUE"""),45415)</f>
        <v>45415</v>
      </c>
      <c r="F145" s="121" t="str">
        <f ca="1">IFERROR(__xludf.DUMMYFUNCTION("""COMPUTED_VALUE"""),"No ha consignado platica")</f>
        <v>No ha consignado platica</v>
      </c>
      <c r="G145" s="124" t="str">
        <f ca="1">IFERROR(__xludf.DUMMYFUNCTION("""COMPUTED_VALUE"""),"N/A")</f>
        <v>N/A</v>
      </c>
      <c r="H145" s="21"/>
    </row>
    <row r="146" spans="1:8" x14ac:dyDescent="0.2">
      <c r="A146" s="21">
        <f t="shared" si="0"/>
        <v>0</v>
      </c>
      <c r="B146" s="21" t="str">
        <f ca="1">IFERROR(__xludf.DUMMYFUNCTION("""COMPUTED_VALUE"""),"0491460013")</f>
        <v>0491460013</v>
      </c>
      <c r="C146" s="121">
        <f ca="1">IFERROR(__xludf.DUMMYFUNCTION("""COMPUTED_VALUE"""),150000)</f>
        <v>150000</v>
      </c>
      <c r="D146" s="21" t="str">
        <f ca="1">IFERROR(__xludf.DUMMYFUNCTION("""COMPUTED_VALUE"""),"Nasser Eslaquit")</f>
        <v>Nasser Eslaquit</v>
      </c>
      <c r="E146" s="123">
        <f ca="1">IFERROR(__xludf.DUMMYFUNCTION("""COMPUTED_VALUE"""),45436)</f>
        <v>45436</v>
      </c>
      <c r="F146" s="121" t="str">
        <f ca="1">IFERROR(__xludf.DUMMYFUNCTION("""COMPUTED_VALUE"""),"No ha consignado platica")</f>
        <v>No ha consignado platica</v>
      </c>
      <c r="G146" s="124" t="str">
        <f ca="1">IFERROR(__xludf.DUMMYFUNCTION("""COMPUTED_VALUE"""),"N/A")</f>
        <v>N/A</v>
      </c>
      <c r="H146" s="21"/>
    </row>
    <row r="147" spans="1:8" x14ac:dyDescent="0.2">
      <c r="A147" s="21">
        <f t="shared" si="0"/>
        <v>0</v>
      </c>
      <c r="B147" s="21" t="str">
        <f ca="1">IFERROR(__xludf.DUMMYFUNCTION("""COMPUTED_VALUE"""),"0491460014")</f>
        <v>0491460014</v>
      </c>
      <c r="C147" s="121">
        <f ca="1">IFERROR(__xludf.DUMMYFUNCTION("""COMPUTED_VALUE"""),150000)</f>
        <v>150000</v>
      </c>
      <c r="D147" s="21" t="str">
        <f ca="1">IFERROR(__xludf.DUMMYFUNCTION("""COMPUTED_VALUE"""),"Nasser Eslaquit")</f>
        <v>Nasser Eslaquit</v>
      </c>
      <c r="E147" s="123">
        <f ca="1">IFERROR(__xludf.DUMMYFUNCTION("""COMPUTED_VALUE"""),45436)</f>
        <v>45436</v>
      </c>
      <c r="F147" s="121" t="str">
        <f ca="1">IFERROR(__xludf.DUMMYFUNCTION("""COMPUTED_VALUE"""),"No ha consignado platica")</f>
        <v>No ha consignado platica</v>
      </c>
      <c r="G147" s="124" t="str">
        <f ca="1">IFERROR(__xludf.DUMMYFUNCTION("""COMPUTED_VALUE"""),"N/A")</f>
        <v>N/A</v>
      </c>
      <c r="H147" s="21"/>
    </row>
    <row r="148" spans="1:8" x14ac:dyDescent="0.2">
      <c r="A148" s="21">
        <f t="shared" si="0"/>
        <v>0</v>
      </c>
      <c r="B148" s="21" t="str">
        <f ca="1">IFERROR(__xludf.DUMMYFUNCTION("""COMPUTED_VALUE"""),"0491460015")</f>
        <v>0491460015</v>
      </c>
      <c r="C148" s="121">
        <f ca="1">IFERROR(__xludf.DUMMYFUNCTION("""COMPUTED_VALUE"""),150000)</f>
        <v>150000</v>
      </c>
      <c r="D148" s="21" t="str">
        <f ca="1">IFERROR(__xludf.DUMMYFUNCTION("""COMPUTED_VALUE"""),"Nasser Eslaquit")</f>
        <v>Nasser Eslaquit</v>
      </c>
      <c r="E148" s="123">
        <f ca="1">IFERROR(__xludf.DUMMYFUNCTION("""COMPUTED_VALUE"""),45436)</f>
        <v>45436</v>
      </c>
      <c r="F148" s="121" t="str">
        <f ca="1">IFERROR(__xludf.DUMMYFUNCTION("""COMPUTED_VALUE"""),"No ha consignado platica")</f>
        <v>No ha consignado platica</v>
      </c>
      <c r="G148" s="124" t="str">
        <f ca="1">IFERROR(__xludf.DUMMYFUNCTION("""COMPUTED_VALUE"""),"N/A")</f>
        <v>N/A</v>
      </c>
      <c r="H148" s="21"/>
    </row>
    <row r="149" spans="1:8" x14ac:dyDescent="0.2">
      <c r="A149" s="21">
        <f t="shared" si="0"/>
        <v>0</v>
      </c>
      <c r="B149" s="21" t="str">
        <f ca="1">IFERROR(__xludf.DUMMYFUNCTION("""COMPUTED_VALUE"""),"0491460016")</f>
        <v>0491460016</v>
      </c>
      <c r="C149" s="121">
        <f ca="1">IFERROR(__xludf.DUMMYFUNCTION("""COMPUTED_VALUE"""),150000)</f>
        <v>150000</v>
      </c>
      <c r="D149" s="21" t="str">
        <f ca="1">IFERROR(__xludf.DUMMYFUNCTION("""COMPUTED_VALUE"""),"Nasser Eslaquit")</f>
        <v>Nasser Eslaquit</v>
      </c>
      <c r="E149" s="123">
        <f ca="1">IFERROR(__xludf.DUMMYFUNCTION("""COMPUTED_VALUE"""),45436)</f>
        <v>45436</v>
      </c>
      <c r="F149" s="121" t="str">
        <f ca="1">IFERROR(__xludf.DUMMYFUNCTION("""COMPUTED_VALUE"""),"No ha consignado platica")</f>
        <v>No ha consignado platica</v>
      </c>
      <c r="G149" s="124" t="str">
        <f ca="1">IFERROR(__xludf.DUMMYFUNCTION("""COMPUTED_VALUE"""),"N/A")</f>
        <v>N/A</v>
      </c>
      <c r="H149" s="21"/>
    </row>
    <row r="150" spans="1:8" x14ac:dyDescent="0.2">
      <c r="A150" s="21">
        <f t="shared" si="0"/>
        <v>0</v>
      </c>
      <c r="B150" s="21" t="str">
        <f ca="1">IFERROR(__xludf.DUMMYFUNCTION("""COMPUTED_VALUE"""),"0491460017")</f>
        <v>0491460017</v>
      </c>
      <c r="C150" s="121">
        <f ca="1">IFERROR(__xludf.DUMMYFUNCTION("""COMPUTED_VALUE"""),150000)</f>
        <v>150000</v>
      </c>
      <c r="D150" s="21" t="str">
        <f ca="1">IFERROR(__xludf.DUMMYFUNCTION("""COMPUTED_VALUE"""),"Nasser Eslaquit")</f>
        <v>Nasser Eslaquit</v>
      </c>
      <c r="E150" s="123">
        <f ca="1">IFERROR(__xludf.DUMMYFUNCTION("""COMPUTED_VALUE"""),45436)</f>
        <v>45436</v>
      </c>
      <c r="F150" s="121" t="str">
        <f ca="1">IFERROR(__xludf.DUMMYFUNCTION("""COMPUTED_VALUE"""),"No ha consignado platica")</f>
        <v>No ha consignado platica</v>
      </c>
      <c r="G150" s="124" t="str">
        <f ca="1">IFERROR(__xludf.DUMMYFUNCTION("""COMPUTED_VALUE"""),"N/A")</f>
        <v>N/A</v>
      </c>
      <c r="H150" s="21"/>
    </row>
    <row r="151" spans="1:8" x14ac:dyDescent="0.2">
      <c r="A151" s="21">
        <f t="shared" si="0"/>
        <v>0</v>
      </c>
      <c r="B151" s="21" t="str">
        <f ca="1">IFERROR(__xludf.DUMMYFUNCTION("""COMPUTED_VALUE"""),"0491460018")</f>
        <v>0491460018</v>
      </c>
      <c r="C151" s="121">
        <f ca="1">IFERROR(__xludf.DUMMYFUNCTION("""COMPUTED_VALUE"""),150000)</f>
        <v>150000</v>
      </c>
      <c r="D151" s="21" t="str">
        <f ca="1">IFERROR(__xludf.DUMMYFUNCTION("""COMPUTED_VALUE"""),"Nasser Eslaquit")</f>
        <v>Nasser Eslaquit</v>
      </c>
      <c r="E151" s="123">
        <f ca="1">IFERROR(__xludf.DUMMYFUNCTION("""COMPUTED_VALUE"""),45436)</f>
        <v>45436</v>
      </c>
      <c r="F151" s="121" t="str">
        <f ca="1">IFERROR(__xludf.DUMMYFUNCTION("""COMPUTED_VALUE"""),"No ha consignado platica")</f>
        <v>No ha consignado platica</v>
      </c>
      <c r="G151" s="124" t="str">
        <f ca="1">IFERROR(__xludf.DUMMYFUNCTION("""COMPUTED_VALUE"""),"N/A")</f>
        <v>N/A</v>
      </c>
      <c r="H151" s="21"/>
    </row>
    <row r="152" spans="1:8" x14ac:dyDescent="0.2">
      <c r="A152" s="21">
        <f t="shared" si="0"/>
        <v>0</v>
      </c>
      <c r="B152" s="21" t="str">
        <f ca="1">IFERROR(__xludf.DUMMYFUNCTION("""COMPUTED_VALUE"""),"0491460019")</f>
        <v>0491460019</v>
      </c>
      <c r="C152" s="121">
        <f ca="1">IFERROR(__xludf.DUMMYFUNCTION("""COMPUTED_VALUE"""),150000)</f>
        <v>150000</v>
      </c>
      <c r="D152" s="21" t="str">
        <f ca="1">IFERROR(__xludf.DUMMYFUNCTION("""COMPUTED_VALUE"""),"Nasser Eslaquit")</f>
        <v>Nasser Eslaquit</v>
      </c>
      <c r="E152" s="123">
        <f ca="1">IFERROR(__xludf.DUMMYFUNCTION("""COMPUTED_VALUE"""),45436)</f>
        <v>45436</v>
      </c>
      <c r="F152" s="121" t="str">
        <f ca="1">IFERROR(__xludf.DUMMYFUNCTION("""COMPUTED_VALUE"""),"No ha consignado platica")</f>
        <v>No ha consignado platica</v>
      </c>
      <c r="G152" s="124" t="str">
        <f ca="1">IFERROR(__xludf.DUMMYFUNCTION("""COMPUTED_VALUE"""),"N/A")</f>
        <v>N/A</v>
      </c>
      <c r="H152" s="21"/>
    </row>
    <row r="153" spans="1:8" x14ac:dyDescent="0.2">
      <c r="A153" s="21">
        <f t="shared" si="0"/>
        <v>0</v>
      </c>
      <c r="B153" s="21" t="str">
        <f ca="1">IFERROR(__xludf.DUMMYFUNCTION("""COMPUTED_VALUE"""),"0491460020")</f>
        <v>0491460020</v>
      </c>
      <c r="C153" s="121">
        <f ca="1">IFERROR(__xludf.DUMMYFUNCTION("""COMPUTED_VALUE"""),150000)</f>
        <v>150000</v>
      </c>
      <c r="D153" s="21" t="str">
        <f ca="1">IFERROR(__xludf.DUMMYFUNCTION("""COMPUTED_VALUE"""),"Nasser Eslaquit")</f>
        <v>Nasser Eslaquit</v>
      </c>
      <c r="E153" s="123">
        <f ca="1">IFERROR(__xludf.DUMMYFUNCTION("""COMPUTED_VALUE"""),45436)</f>
        <v>45436</v>
      </c>
      <c r="F153" s="121" t="str">
        <f ca="1">IFERROR(__xludf.DUMMYFUNCTION("""COMPUTED_VALUE"""),"No ha consignado platica")</f>
        <v>No ha consignado platica</v>
      </c>
      <c r="G153" s="124" t="str">
        <f ca="1">IFERROR(__xludf.DUMMYFUNCTION("""COMPUTED_VALUE"""),"N/A")</f>
        <v>N/A</v>
      </c>
      <c r="H153" s="21"/>
    </row>
    <row r="154" spans="1:8" x14ac:dyDescent="0.2">
      <c r="A154" s="21">
        <f t="shared" si="0"/>
        <v>0</v>
      </c>
      <c r="B154" s="21" t="str">
        <f ca="1">IFERROR(__xludf.DUMMYFUNCTION("""COMPUTED_VALUE"""),"0491450017")</f>
        <v>0491450017</v>
      </c>
      <c r="C154" s="121">
        <f ca="1">IFERROR(__xludf.DUMMYFUNCTION("""COMPUTED_VALUE"""),150000)</f>
        <v>150000</v>
      </c>
      <c r="D154" s="21" t="str">
        <f ca="1">IFERROR(__xludf.DUMMYFUNCTION("""COMPUTED_VALUE"""),"Nasser Eslaquit")</f>
        <v>Nasser Eslaquit</v>
      </c>
      <c r="E154" s="123">
        <f ca="1">IFERROR(__xludf.DUMMYFUNCTION("""COMPUTED_VALUE"""),45436)</f>
        <v>45436</v>
      </c>
      <c r="F154" s="121" t="str">
        <f ca="1">IFERROR(__xludf.DUMMYFUNCTION("""COMPUTED_VALUE"""),"No ha consignado platica")</f>
        <v>No ha consignado platica</v>
      </c>
      <c r="G154" s="124" t="str">
        <f ca="1">IFERROR(__xludf.DUMMYFUNCTION("""COMPUTED_VALUE"""),"N/A")</f>
        <v>N/A</v>
      </c>
      <c r="H154" s="21"/>
    </row>
    <row r="155" spans="1:8" x14ac:dyDescent="0.2">
      <c r="A155" s="21">
        <f t="shared" si="0"/>
        <v>0</v>
      </c>
      <c r="B155" s="21" t="str">
        <f ca="1">IFERROR(__xludf.DUMMYFUNCTION("""COMPUTED_VALUE"""),"0491450018")</f>
        <v>0491450018</v>
      </c>
      <c r="C155" s="121">
        <f ca="1">IFERROR(__xludf.DUMMYFUNCTION("""COMPUTED_VALUE"""),150000)</f>
        <v>150000</v>
      </c>
      <c r="D155" s="21" t="str">
        <f ca="1">IFERROR(__xludf.DUMMYFUNCTION("""COMPUTED_VALUE"""),"Nasser Eslaquit")</f>
        <v>Nasser Eslaquit</v>
      </c>
      <c r="E155" s="123">
        <f ca="1">IFERROR(__xludf.DUMMYFUNCTION("""COMPUTED_VALUE"""),45436)</f>
        <v>45436</v>
      </c>
      <c r="F155" s="121" t="str">
        <f ca="1">IFERROR(__xludf.DUMMYFUNCTION("""COMPUTED_VALUE"""),"No ha consignado platica")</f>
        <v>No ha consignado platica</v>
      </c>
      <c r="G155" s="124" t="str">
        <f ca="1">IFERROR(__xludf.DUMMYFUNCTION("""COMPUTED_VALUE"""),"N/A")</f>
        <v>N/A</v>
      </c>
      <c r="H155" s="21"/>
    </row>
    <row r="156" spans="1:8" x14ac:dyDescent="0.2">
      <c r="A156" s="21">
        <f t="shared" si="0"/>
        <v>0</v>
      </c>
      <c r="B156" s="21" t="str">
        <f ca="1">IFERROR(__xludf.DUMMYFUNCTION("""COMPUTED_VALUE"""),"0491450019")</f>
        <v>0491450019</v>
      </c>
      <c r="C156" s="121">
        <f ca="1">IFERROR(__xludf.DUMMYFUNCTION("""COMPUTED_VALUE"""),150000)</f>
        <v>150000</v>
      </c>
      <c r="D156" s="21" t="str">
        <f ca="1">IFERROR(__xludf.DUMMYFUNCTION("""COMPUTED_VALUE"""),"Nasser Eslaquit")</f>
        <v>Nasser Eslaquit</v>
      </c>
      <c r="E156" s="123">
        <f ca="1">IFERROR(__xludf.DUMMYFUNCTION("""COMPUTED_VALUE"""),45436)</f>
        <v>45436</v>
      </c>
      <c r="F156" s="121" t="str">
        <f ca="1">IFERROR(__xludf.DUMMYFUNCTION("""COMPUTED_VALUE"""),"No ha consignado platica")</f>
        <v>No ha consignado platica</v>
      </c>
      <c r="G156" s="124" t="str">
        <f ca="1">IFERROR(__xludf.DUMMYFUNCTION("""COMPUTED_VALUE"""),"N/A")</f>
        <v>N/A</v>
      </c>
      <c r="H156" s="21"/>
    </row>
    <row r="157" spans="1:8" x14ac:dyDescent="0.2">
      <c r="A157" s="21">
        <f t="shared" si="0"/>
        <v>0</v>
      </c>
      <c r="B157" s="21" t="str">
        <f ca="1">IFERROR(__xludf.DUMMYFUNCTION("""COMPUTED_VALUE"""),"0491450020")</f>
        <v>0491450020</v>
      </c>
      <c r="C157" s="121">
        <f ca="1">IFERROR(__xludf.DUMMYFUNCTION("""COMPUTED_VALUE"""),150000)</f>
        <v>150000</v>
      </c>
      <c r="D157" s="21" t="str">
        <f ca="1">IFERROR(__xludf.DUMMYFUNCTION("""COMPUTED_VALUE"""),"Nasser Eslaquit")</f>
        <v>Nasser Eslaquit</v>
      </c>
      <c r="E157" s="123">
        <f ca="1">IFERROR(__xludf.DUMMYFUNCTION("""COMPUTED_VALUE"""),45436)</f>
        <v>45436</v>
      </c>
      <c r="F157" s="121" t="str">
        <f ca="1">IFERROR(__xludf.DUMMYFUNCTION("""COMPUTED_VALUE"""),"No ha consignado platica")</f>
        <v>No ha consignado platica</v>
      </c>
      <c r="G157" s="124" t="str">
        <f ca="1">IFERROR(__xludf.DUMMYFUNCTION("""COMPUTED_VALUE"""),"N/A")</f>
        <v>N/A</v>
      </c>
      <c r="H157" s="21"/>
    </row>
    <row r="158" spans="1:8" x14ac:dyDescent="0.2">
      <c r="A158" s="21">
        <f t="shared" si="0"/>
        <v>0</v>
      </c>
      <c r="B158" s="21" t="str">
        <f ca="1">IFERROR(__xludf.DUMMYFUNCTION("""COMPUTED_VALUE"""),"0491450021")</f>
        <v>0491450021</v>
      </c>
      <c r="C158" s="121">
        <f ca="1">IFERROR(__xludf.DUMMYFUNCTION("""COMPUTED_VALUE"""),150000)</f>
        <v>150000</v>
      </c>
      <c r="D158" s="21" t="str">
        <f ca="1">IFERROR(__xludf.DUMMYFUNCTION("""COMPUTED_VALUE"""),"Nasser Eslaquit")</f>
        <v>Nasser Eslaquit</v>
      </c>
      <c r="E158" s="123">
        <f ca="1">IFERROR(__xludf.DUMMYFUNCTION("""COMPUTED_VALUE"""),45436)</f>
        <v>45436</v>
      </c>
      <c r="F158" s="121" t="str">
        <f ca="1">IFERROR(__xludf.DUMMYFUNCTION("""COMPUTED_VALUE"""),"No ha consignado platica")</f>
        <v>No ha consignado platica</v>
      </c>
      <c r="G158" s="124" t="str">
        <f ca="1">IFERROR(__xludf.DUMMYFUNCTION("""COMPUTED_VALUE"""),"N/A")</f>
        <v>N/A</v>
      </c>
      <c r="H158" s="21"/>
    </row>
    <row r="159" spans="1:8" x14ac:dyDescent="0.2">
      <c r="A159" s="21">
        <f t="shared" si="0"/>
        <v>0</v>
      </c>
      <c r="B159" s="21" t="str">
        <f ca="1">IFERROR(__xludf.DUMMYFUNCTION("""COMPUTED_VALUE"""),"0491450022")</f>
        <v>0491450022</v>
      </c>
      <c r="C159" s="121">
        <f ca="1">IFERROR(__xludf.DUMMYFUNCTION("""COMPUTED_VALUE"""),150000)</f>
        <v>150000</v>
      </c>
      <c r="D159" s="21" t="str">
        <f ca="1">IFERROR(__xludf.DUMMYFUNCTION("""COMPUTED_VALUE"""),"Nasser Eslaquit")</f>
        <v>Nasser Eslaquit</v>
      </c>
      <c r="E159" s="123">
        <f ca="1">IFERROR(__xludf.DUMMYFUNCTION("""COMPUTED_VALUE"""),45436)</f>
        <v>45436</v>
      </c>
      <c r="F159" s="121" t="str">
        <f ca="1">IFERROR(__xludf.DUMMYFUNCTION("""COMPUTED_VALUE"""),"No ha consignado platica")</f>
        <v>No ha consignado platica</v>
      </c>
      <c r="G159" s="124" t="str">
        <f ca="1">IFERROR(__xludf.DUMMYFUNCTION("""COMPUTED_VALUE"""),"N/A")</f>
        <v>N/A</v>
      </c>
      <c r="H159" s="21"/>
    </row>
    <row r="160" spans="1:8" x14ac:dyDescent="0.2">
      <c r="A160" s="21">
        <f t="shared" si="0"/>
        <v>0</v>
      </c>
      <c r="B160" s="21" t="str">
        <f ca="1">IFERROR(__xludf.DUMMYFUNCTION("""COMPUTED_VALUE"""),"0491450023")</f>
        <v>0491450023</v>
      </c>
      <c r="C160" s="121">
        <f ca="1">IFERROR(__xludf.DUMMYFUNCTION("""COMPUTED_VALUE"""),150000)</f>
        <v>150000</v>
      </c>
      <c r="D160" s="21" t="str">
        <f ca="1">IFERROR(__xludf.DUMMYFUNCTION("""COMPUTED_VALUE"""),"Nasser Eslaquit")</f>
        <v>Nasser Eslaquit</v>
      </c>
      <c r="E160" s="123">
        <f ca="1">IFERROR(__xludf.DUMMYFUNCTION("""COMPUTED_VALUE"""),45436)</f>
        <v>45436</v>
      </c>
      <c r="F160" s="121">
        <f ca="1">IFERROR(__xludf.DUMMYFUNCTION("""COMPUTED_VALUE"""),150000)</f>
        <v>150000</v>
      </c>
      <c r="G160" s="124">
        <f ca="1">IFERROR(__xludf.DUMMYFUNCTION("""COMPUTED_VALUE"""),1)</f>
        <v>1</v>
      </c>
      <c r="H160" s="21"/>
    </row>
    <row r="161" spans="1:8" x14ac:dyDescent="0.2">
      <c r="A161" s="21">
        <f t="shared" si="0"/>
        <v>0</v>
      </c>
      <c r="B161" s="21" t="str">
        <f ca="1">IFERROR(__xludf.DUMMYFUNCTION("""COMPUTED_VALUE"""),"0491450024")</f>
        <v>0491450024</v>
      </c>
      <c r="C161" s="121">
        <f ca="1">IFERROR(__xludf.DUMMYFUNCTION("""COMPUTED_VALUE"""),150000)</f>
        <v>150000</v>
      </c>
      <c r="D161" s="21" t="str">
        <f ca="1">IFERROR(__xludf.DUMMYFUNCTION("""COMPUTED_VALUE"""),"Nasser Eslaquit")</f>
        <v>Nasser Eslaquit</v>
      </c>
      <c r="E161" s="123">
        <f ca="1">IFERROR(__xludf.DUMMYFUNCTION("""COMPUTED_VALUE"""),45436)</f>
        <v>45436</v>
      </c>
      <c r="F161" s="121" t="str">
        <f ca="1">IFERROR(__xludf.DUMMYFUNCTION("""COMPUTED_VALUE"""),"No ha consignado platica")</f>
        <v>No ha consignado platica</v>
      </c>
      <c r="G161" s="124" t="str">
        <f ca="1">IFERROR(__xludf.DUMMYFUNCTION("""COMPUTED_VALUE"""),"N/A")</f>
        <v>N/A</v>
      </c>
      <c r="H161" s="21"/>
    </row>
    <row r="162" spans="1:8" x14ac:dyDescent="0.2">
      <c r="A162" s="21">
        <f t="shared" si="0"/>
        <v>0</v>
      </c>
      <c r="B162" s="21" t="str">
        <f ca="1">IFERROR(__xludf.DUMMYFUNCTION("""COMPUTED_VALUE"""),"0491450025")</f>
        <v>0491450025</v>
      </c>
      <c r="C162" s="121">
        <f ca="1">IFERROR(__xludf.DUMMYFUNCTION("""COMPUTED_VALUE"""),150000)</f>
        <v>150000</v>
      </c>
      <c r="D162" s="21" t="str">
        <f ca="1">IFERROR(__xludf.DUMMYFUNCTION("""COMPUTED_VALUE"""),"Nasser Eslaquit")</f>
        <v>Nasser Eslaquit</v>
      </c>
      <c r="E162" s="123">
        <f ca="1">IFERROR(__xludf.DUMMYFUNCTION("""COMPUTED_VALUE"""),45436)</f>
        <v>45436</v>
      </c>
      <c r="F162" s="121" t="str">
        <f ca="1">IFERROR(__xludf.DUMMYFUNCTION("""COMPUTED_VALUE"""),"No ha consignado platica")</f>
        <v>No ha consignado platica</v>
      </c>
      <c r="G162" s="124" t="str">
        <f ca="1">IFERROR(__xludf.DUMMYFUNCTION("""COMPUTED_VALUE"""),"N/A")</f>
        <v>N/A</v>
      </c>
      <c r="H162" s="21"/>
    </row>
    <row r="163" spans="1:8" x14ac:dyDescent="0.2">
      <c r="A163" s="21">
        <f t="shared" si="0"/>
        <v>0</v>
      </c>
      <c r="B163" s="21" t="str">
        <f ca="1">IFERROR(__xludf.DUMMYFUNCTION("""COMPUTED_VALUE"""),"0491450026")</f>
        <v>0491450026</v>
      </c>
      <c r="C163" s="121">
        <f ca="1">IFERROR(__xludf.DUMMYFUNCTION("""COMPUTED_VALUE"""),150000)</f>
        <v>150000</v>
      </c>
      <c r="D163" s="21" t="str">
        <f ca="1">IFERROR(__xludf.DUMMYFUNCTION("""COMPUTED_VALUE"""),"Nasser Eslaquit")</f>
        <v>Nasser Eslaquit</v>
      </c>
      <c r="E163" s="123">
        <f ca="1">IFERROR(__xludf.DUMMYFUNCTION("""COMPUTED_VALUE"""),45436)</f>
        <v>45436</v>
      </c>
      <c r="F163" s="121" t="str">
        <f ca="1">IFERROR(__xludf.DUMMYFUNCTION("""COMPUTED_VALUE"""),"No ha consignado platica")</f>
        <v>No ha consignado platica</v>
      </c>
      <c r="G163" s="124" t="str">
        <f ca="1">IFERROR(__xludf.DUMMYFUNCTION("""COMPUTED_VALUE"""),"N/A")</f>
        <v>N/A</v>
      </c>
      <c r="H163" s="21"/>
    </row>
    <row r="164" spans="1:8" x14ac:dyDescent="0.2">
      <c r="A164" s="21">
        <f t="shared" si="0"/>
        <v>0</v>
      </c>
      <c r="B164" s="21" t="str">
        <f ca="1">IFERROR(__xludf.DUMMYFUNCTION("""COMPUTED_VALUE"""),"0491450027")</f>
        <v>0491450027</v>
      </c>
      <c r="C164" s="121">
        <f ca="1">IFERROR(__xludf.DUMMYFUNCTION("""COMPUTED_VALUE"""),150000)</f>
        <v>150000</v>
      </c>
      <c r="D164" s="21" t="str">
        <f ca="1">IFERROR(__xludf.DUMMYFUNCTION("""COMPUTED_VALUE"""),"Nasser Eslaquit")</f>
        <v>Nasser Eslaquit</v>
      </c>
      <c r="E164" s="123">
        <f ca="1">IFERROR(__xludf.DUMMYFUNCTION("""COMPUTED_VALUE"""),45436)</f>
        <v>45436</v>
      </c>
      <c r="F164" s="121" t="str">
        <f ca="1">IFERROR(__xludf.DUMMYFUNCTION("""COMPUTED_VALUE"""),"No ha consignado platica")</f>
        <v>No ha consignado platica</v>
      </c>
      <c r="G164" s="124" t="str">
        <f ca="1">IFERROR(__xludf.DUMMYFUNCTION("""COMPUTED_VALUE"""),"N/A")</f>
        <v>N/A</v>
      </c>
      <c r="H164" s="21"/>
    </row>
    <row r="165" spans="1:8" x14ac:dyDescent="0.2">
      <c r="A165" s="21">
        <f t="shared" si="0"/>
        <v>0</v>
      </c>
      <c r="B165" s="21" t="str">
        <f ca="1">IFERROR(__xludf.DUMMYFUNCTION("""COMPUTED_VALUE"""),"0491450028")</f>
        <v>0491450028</v>
      </c>
      <c r="C165" s="121">
        <f ca="1">IFERROR(__xludf.DUMMYFUNCTION("""COMPUTED_VALUE"""),150000)</f>
        <v>150000</v>
      </c>
      <c r="D165" s="21" t="str">
        <f ca="1">IFERROR(__xludf.DUMMYFUNCTION("""COMPUTED_VALUE"""),"Nasser Eslaquit")</f>
        <v>Nasser Eslaquit</v>
      </c>
      <c r="E165" s="123">
        <f ca="1">IFERROR(__xludf.DUMMYFUNCTION("""COMPUTED_VALUE"""),45436)</f>
        <v>45436</v>
      </c>
      <c r="F165" s="121" t="str">
        <f ca="1">IFERROR(__xludf.DUMMYFUNCTION("""COMPUTED_VALUE"""),"No ha consignado platica")</f>
        <v>No ha consignado platica</v>
      </c>
      <c r="G165" s="124" t="str">
        <f ca="1">IFERROR(__xludf.DUMMYFUNCTION("""COMPUTED_VALUE"""),"N/A")</f>
        <v>N/A</v>
      </c>
      <c r="H165" s="21"/>
    </row>
    <row r="166" spans="1:8" x14ac:dyDescent="0.2">
      <c r="A166" s="21">
        <f t="shared" si="0"/>
        <v>0</v>
      </c>
      <c r="B166" s="21" t="str">
        <f ca="1">IFERROR(__xludf.DUMMYFUNCTION("""COMPUTED_VALUE"""),"0491450029")</f>
        <v>0491450029</v>
      </c>
      <c r="C166" s="121">
        <f ca="1">IFERROR(__xludf.DUMMYFUNCTION("""COMPUTED_VALUE"""),150000)</f>
        <v>150000</v>
      </c>
      <c r="D166" s="21" t="str">
        <f ca="1">IFERROR(__xludf.DUMMYFUNCTION("""COMPUTED_VALUE"""),"Nasser Eslaquit")</f>
        <v>Nasser Eslaquit</v>
      </c>
      <c r="E166" s="123">
        <f ca="1">IFERROR(__xludf.DUMMYFUNCTION("""COMPUTED_VALUE"""),45436)</f>
        <v>45436</v>
      </c>
      <c r="F166" s="121" t="str">
        <f ca="1">IFERROR(__xludf.DUMMYFUNCTION("""COMPUTED_VALUE"""),"No ha consignado platica")</f>
        <v>No ha consignado platica</v>
      </c>
      <c r="G166" s="124" t="str">
        <f ca="1">IFERROR(__xludf.DUMMYFUNCTION("""COMPUTED_VALUE"""),"N/A")</f>
        <v>N/A</v>
      </c>
      <c r="H166" s="21"/>
    </row>
    <row r="167" spans="1:8" x14ac:dyDescent="0.2">
      <c r="A167" s="21">
        <f t="shared" si="0"/>
        <v>0</v>
      </c>
      <c r="B167" s="21" t="str">
        <f ca="1">IFERROR(__xludf.DUMMYFUNCTION("""COMPUTED_VALUE"""),"0491450030")</f>
        <v>0491450030</v>
      </c>
      <c r="C167" s="121">
        <f ca="1">IFERROR(__xludf.DUMMYFUNCTION("""COMPUTED_VALUE"""),150000)</f>
        <v>150000</v>
      </c>
      <c r="D167" s="21" t="str">
        <f ca="1">IFERROR(__xludf.DUMMYFUNCTION("""COMPUTED_VALUE"""),"Nasser Eslaquit")</f>
        <v>Nasser Eslaquit</v>
      </c>
      <c r="E167" s="123">
        <f ca="1">IFERROR(__xludf.DUMMYFUNCTION("""COMPUTED_VALUE"""),45436)</f>
        <v>45436</v>
      </c>
      <c r="F167" s="121" t="str">
        <f ca="1">IFERROR(__xludf.DUMMYFUNCTION("""COMPUTED_VALUE"""),"No ha consignado platica")</f>
        <v>No ha consignado platica</v>
      </c>
      <c r="G167" s="124" t="str">
        <f ca="1">IFERROR(__xludf.DUMMYFUNCTION("""COMPUTED_VALUE"""),"N/A")</f>
        <v>N/A</v>
      </c>
      <c r="H167" s="21"/>
    </row>
    <row r="168" spans="1:8" x14ac:dyDescent="0.2">
      <c r="A168" s="21">
        <f t="shared" si="0"/>
        <v>0</v>
      </c>
      <c r="B168" s="21" t="str">
        <f ca="1">IFERROR(__xludf.DUMMYFUNCTION("""COMPUTED_VALUE"""),"0491450031")</f>
        <v>0491450031</v>
      </c>
      <c r="C168" s="121">
        <f ca="1">IFERROR(__xludf.DUMMYFUNCTION("""COMPUTED_VALUE"""),150000)</f>
        <v>150000</v>
      </c>
      <c r="D168" s="21" t="str">
        <f ca="1">IFERROR(__xludf.DUMMYFUNCTION("""COMPUTED_VALUE"""),"Nasser Eslaquit")</f>
        <v>Nasser Eslaquit</v>
      </c>
      <c r="E168" s="123">
        <f ca="1">IFERROR(__xludf.DUMMYFUNCTION("""COMPUTED_VALUE"""),45436)</f>
        <v>45436</v>
      </c>
      <c r="F168" s="121" t="str">
        <f ca="1">IFERROR(__xludf.DUMMYFUNCTION("""COMPUTED_VALUE"""),"No ha consignado platica")</f>
        <v>No ha consignado platica</v>
      </c>
      <c r="G168" s="124" t="str">
        <f ca="1">IFERROR(__xludf.DUMMYFUNCTION("""COMPUTED_VALUE"""),"N/A")</f>
        <v>N/A</v>
      </c>
      <c r="H168" s="21"/>
    </row>
    <row r="169" spans="1:8" x14ac:dyDescent="0.2">
      <c r="A169" s="21">
        <f t="shared" si="0"/>
        <v>0</v>
      </c>
      <c r="B169" s="21" t="str">
        <f ca="1">IFERROR(__xludf.DUMMYFUNCTION("""COMPUTED_VALUE"""),"0491450032")</f>
        <v>0491450032</v>
      </c>
      <c r="C169" s="121">
        <f ca="1">IFERROR(__xludf.DUMMYFUNCTION("""COMPUTED_VALUE"""),150000)</f>
        <v>150000</v>
      </c>
      <c r="D169" s="21" t="str">
        <f ca="1">IFERROR(__xludf.DUMMYFUNCTION("""COMPUTED_VALUE"""),"Nasser Eslaquit")</f>
        <v>Nasser Eslaquit</v>
      </c>
      <c r="E169" s="123">
        <f ca="1">IFERROR(__xludf.DUMMYFUNCTION("""COMPUTED_VALUE"""),45436)</f>
        <v>45436</v>
      </c>
      <c r="F169" s="121">
        <f ca="1">IFERROR(__xludf.DUMMYFUNCTION("""COMPUTED_VALUE"""),150000)</f>
        <v>150000</v>
      </c>
      <c r="G169" s="124">
        <f ca="1">IFERROR(__xludf.DUMMYFUNCTION("""COMPUTED_VALUE"""),1)</f>
        <v>1</v>
      </c>
      <c r="H169" s="21"/>
    </row>
    <row r="170" spans="1:8" x14ac:dyDescent="0.2">
      <c r="A170" s="21">
        <f t="shared" si="0"/>
        <v>0</v>
      </c>
      <c r="B170" s="21" t="str">
        <f ca="1">IFERROR(__xludf.DUMMYFUNCTION("""COMPUTED_VALUE"""),"0491450033")</f>
        <v>0491450033</v>
      </c>
      <c r="C170" s="121">
        <f ca="1">IFERROR(__xludf.DUMMYFUNCTION("""COMPUTED_VALUE"""),150000)</f>
        <v>150000</v>
      </c>
      <c r="D170" s="21" t="str">
        <f ca="1">IFERROR(__xludf.DUMMYFUNCTION("""COMPUTED_VALUE"""),"Nasser Eslaquit")</f>
        <v>Nasser Eslaquit</v>
      </c>
      <c r="E170" s="123">
        <f ca="1">IFERROR(__xludf.DUMMYFUNCTION("""COMPUTED_VALUE"""),45436)</f>
        <v>45436</v>
      </c>
      <c r="F170" s="121" t="str">
        <f ca="1">IFERROR(__xludf.DUMMYFUNCTION("""COMPUTED_VALUE"""),"No ha consignado platica")</f>
        <v>No ha consignado platica</v>
      </c>
      <c r="G170" s="124" t="str">
        <f ca="1">IFERROR(__xludf.DUMMYFUNCTION("""COMPUTED_VALUE"""),"N/A")</f>
        <v>N/A</v>
      </c>
      <c r="H170" s="21"/>
    </row>
    <row r="171" spans="1:8" x14ac:dyDescent="0.2">
      <c r="A171" s="21">
        <f t="shared" si="0"/>
        <v>0</v>
      </c>
      <c r="B171" s="21" t="str">
        <f ca="1">IFERROR(__xludf.DUMMYFUNCTION("""COMPUTED_VALUE"""),"0491450034")</f>
        <v>0491450034</v>
      </c>
      <c r="C171" s="121">
        <f ca="1">IFERROR(__xludf.DUMMYFUNCTION("""COMPUTED_VALUE"""),150000)</f>
        <v>150000</v>
      </c>
      <c r="D171" s="21" t="str">
        <f ca="1">IFERROR(__xludf.DUMMYFUNCTION("""COMPUTED_VALUE"""),"Nasser Eslaquit")</f>
        <v>Nasser Eslaquit</v>
      </c>
      <c r="E171" s="123">
        <f ca="1">IFERROR(__xludf.DUMMYFUNCTION("""COMPUTED_VALUE"""),45436)</f>
        <v>45436</v>
      </c>
      <c r="F171" s="121" t="str">
        <f ca="1">IFERROR(__xludf.DUMMYFUNCTION("""COMPUTED_VALUE"""),"No ha consignado platica")</f>
        <v>No ha consignado platica</v>
      </c>
      <c r="G171" s="124" t="str">
        <f ca="1">IFERROR(__xludf.DUMMYFUNCTION("""COMPUTED_VALUE"""),"N/A")</f>
        <v>N/A</v>
      </c>
      <c r="H171" s="21"/>
    </row>
    <row r="172" spans="1:8" x14ac:dyDescent="0.2">
      <c r="A172" s="21">
        <f t="shared" si="0"/>
        <v>0</v>
      </c>
      <c r="B172" s="21" t="str">
        <f ca="1">IFERROR(__xludf.DUMMYFUNCTION("""COMPUTED_VALUE"""),"0491450035")</f>
        <v>0491450035</v>
      </c>
      <c r="C172" s="121">
        <f ca="1">IFERROR(__xludf.DUMMYFUNCTION("""COMPUTED_VALUE"""),150000)</f>
        <v>150000</v>
      </c>
      <c r="D172" s="21" t="str">
        <f ca="1">IFERROR(__xludf.DUMMYFUNCTION("""COMPUTED_VALUE"""),"Nasser Eslaquit")</f>
        <v>Nasser Eslaquit</v>
      </c>
      <c r="E172" s="123">
        <f ca="1">IFERROR(__xludf.DUMMYFUNCTION("""COMPUTED_VALUE"""),45436)</f>
        <v>45436</v>
      </c>
      <c r="F172" s="121" t="str">
        <f ca="1">IFERROR(__xludf.DUMMYFUNCTION("""COMPUTED_VALUE"""),"No ha consignado platica")</f>
        <v>No ha consignado platica</v>
      </c>
      <c r="G172" s="124" t="str">
        <f ca="1">IFERROR(__xludf.DUMMYFUNCTION("""COMPUTED_VALUE"""),"N/A")</f>
        <v>N/A</v>
      </c>
      <c r="H172" s="21"/>
    </row>
    <row r="173" spans="1:8" x14ac:dyDescent="0.2">
      <c r="A173" s="21">
        <f t="shared" si="0"/>
        <v>0</v>
      </c>
      <c r="B173" s="21" t="str">
        <f ca="1">IFERROR(__xludf.DUMMYFUNCTION("""COMPUTED_VALUE"""),"0491450036")</f>
        <v>0491450036</v>
      </c>
      <c r="C173" s="121">
        <f ca="1">IFERROR(__xludf.DUMMYFUNCTION("""COMPUTED_VALUE"""),150000)</f>
        <v>150000</v>
      </c>
      <c r="D173" s="21" t="str">
        <f ca="1">IFERROR(__xludf.DUMMYFUNCTION("""COMPUTED_VALUE"""),"Nasser Eslaquit")</f>
        <v>Nasser Eslaquit</v>
      </c>
      <c r="E173" s="123">
        <f ca="1">IFERROR(__xludf.DUMMYFUNCTION("""COMPUTED_VALUE"""),45436)</f>
        <v>45436</v>
      </c>
      <c r="F173" s="121" t="str">
        <f ca="1">IFERROR(__xludf.DUMMYFUNCTION("""COMPUTED_VALUE"""),"No ha consignado platica")</f>
        <v>No ha consignado platica</v>
      </c>
      <c r="G173" s="124" t="str">
        <f ca="1">IFERROR(__xludf.DUMMYFUNCTION("""COMPUTED_VALUE"""),"N/A")</f>
        <v>N/A</v>
      </c>
      <c r="H173" s="21"/>
    </row>
    <row r="174" spans="1:8" x14ac:dyDescent="0.2">
      <c r="A174" s="21">
        <f t="shared" si="0"/>
        <v>0</v>
      </c>
      <c r="B174" s="21" t="str">
        <f ca="1">IFERROR(__xludf.DUMMYFUNCTION("""COMPUTED_VALUE"""),"039143004")</f>
        <v>039143004</v>
      </c>
      <c r="C174" s="121">
        <f ca="1">IFERROR(__xludf.DUMMYFUNCTION("""COMPUTED_VALUE"""),450000)</f>
        <v>450000</v>
      </c>
      <c r="D174" s="21" t="str">
        <f ca="1">IFERROR(__xludf.DUMMYFUNCTION("""COMPUTED_VALUE"""),"Nasser Eslaquit")</f>
        <v>Nasser Eslaquit</v>
      </c>
      <c r="E174" s="123">
        <f ca="1">IFERROR(__xludf.DUMMYFUNCTION("""COMPUTED_VALUE"""),45499)</f>
        <v>45499</v>
      </c>
      <c r="F174" s="121">
        <f ca="1">IFERROR(__xludf.DUMMYFUNCTION("""COMPUTED_VALUE"""),450000)</f>
        <v>450000</v>
      </c>
      <c r="G174" s="124">
        <f ca="1">IFERROR(__xludf.DUMMYFUNCTION("""COMPUTED_VALUE"""),1)</f>
        <v>1</v>
      </c>
      <c r="H174" s="21"/>
    </row>
    <row r="175" spans="1:8" x14ac:dyDescent="0.2">
      <c r="A175" s="21">
        <f t="shared" si="0"/>
        <v>0</v>
      </c>
      <c r="B175" s="21" t="str">
        <f ca="1">IFERROR(__xludf.DUMMYFUNCTION("""COMPUTED_VALUE"""),"029143001")</f>
        <v>029143001</v>
      </c>
      <c r="C175" s="121">
        <f ca="1">IFERROR(__xludf.DUMMYFUNCTION("""COMPUTED_VALUE"""),240000)</f>
        <v>240000</v>
      </c>
      <c r="D175" s="21" t="str">
        <f ca="1">IFERROR(__xludf.DUMMYFUNCTION("""COMPUTED_VALUE"""),"Nasser Eslaquit")</f>
        <v>Nasser Eslaquit</v>
      </c>
      <c r="E175" s="123">
        <f ca="1">IFERROR(__xludf.DUMMYFUNCTION("""COMPUTED_VALUE"""),45499)</f>
        <v>45499</v>
      </c>
      <c r="F175" s="121">
        <f ca="1">IFERROR(__xludf.DUMMYFUNCTION("""COMPUTED_VALUE"""),105000)</f>
        <v>105000</v>
      </c>
      <c r="G175" s="124">
        <f ca="1">IFERROR(__xludf.DUMMYFUNCTION("""COMPUTED_VALUE"""),0.4375)</f>
        <v>0.4375</v>
      </c>
      <c r="H175" s="21"/>
    </row>
    <row r="176" spans="1:8" x14ac:dyDescent="0.2">
      <c r="A176" s="21">
        <f t="shared" si="0"/>
        <v>0</v>
      </c>
      <c r="B176" s="21" t="str">
        <f ca="1">IFERROR(__xludf.DUMMYFUNCTION("""COMPUTED_VALUE"""),"029325001")</f>
        <v>029325001</v>
      </c>
      <c r="C176" s="121">
        <f ca="1">IFERROR(__xludf.DUMMYFUNCTION("""COMPUTED_VALUE"""),240000)</f>
        <v>240000</v>
      </c>
      <c r="D176" s="21" t="str">
        <f ca="1">IFERROR(__xludf.DUMMYFUNCTION("""COMPUTED_VALUE"""),"Nasser Eslaquit")</f>
        <v>Nasser Eslaquit</v>
      </c>
      <c r="E176" s="123">
        <f ca="1">IFERROR(__xludf.DUMMYFUNCTION("""COMPUTED_VALUE"""),45499)</f>
        <v>45499</v>
      </c>
      <c r="F176" s="121" t="str">
        <f ca="1">IFERROR(__xludf.DUMMYFUNCTION("""COMPUTED_VALUE"""),"No ha consignado platica")</f>
        <v>No ha consignado platica</v>
      </c>
      <c r="G176" s="124" t="str">
        <f ca="1">IFERROR(__xludf.DUMMYFUNCTION("""COMPUTED_VALUE"""),"N/A")</f>
        <v>N/A</v>
      </c>
      <c r="H176" s="21"/>
    </row>
    <row r="177" spans="1:8" x14ac:dyDescent="0.2">
      <c r="A177" s="21">
        <f t="shared" si="0"/>
        <v>0</v>
      </c>
      <c r="B177" s="21" t="str">
        <f ca="1">IFERROR(__xludf.DUMMYFUNCTION("""COMPUTED_VALUE"""),"046130001")</f>
        <v>046130001</v>
      </c>
      <c r="C177" s="121">
        <f ca="1">IFERROR(__xludf.DUMMYFUNCTION("""COMPUTED_VALUE"""),450000)</f>
        <v>450000</v>
      </c>
      <c r="D177" s="21" t="str">
        <f ca="1">IFERROR(__xludf.DUMMYFUNCTION("""COMPUTED_VALUE"""),"Laura Arbelaez")</f>
        <v>Laura Arbelaez</v>
      </c>
      <c r="E177" s="123">
        <f ca="1">IFERROR(__xludf.DUMMYFUNCTION("""COMPUTED_VALUE"""),45491)</f>
        <v>45491</v>
      </c>
      <c r="F177" s="121">
        <f ca="1">IFERROR(__xludf.DUMMYFUNCTION("""COMPUTED_VALUE"""),450000)</f>
        <v>450000</v>
      </c>
      <c r="G177" s="124">
        <f ca="1">IFERROR(__xludf.DUMMYFUNCTION("""COMPUTED_VALUE"""),1)</f>
        <v>1</v>
      </c>
      <c r="H177" s="21"/>
    </row>
    <row r="178" spans="1:8" x14ac:dyDescent="0.2">
      <c r="A178" s="21">
        <f t="shared" si="0"/>
        <v>0</v>
      </c>
      <c r="B178" s="21" t="str">
        <f ca="1">IFERROR(__xludf.DUMMYFUNCTION("""COMPUTED_VALUE"""),"046130002")</f>
        <v>046130002</v>
      </c>
      <c r="C178" s="121">
        <f ca="1">IFERROR(__xludf.DUMMYFUNCTION("""COMPUTED_VALUE"""),450000)</f>
        <v>450000</v>
      </c>
      <c r="D178" s="21" t="str">
        <f ca="1">IFERROR(__xludf.DUMMYFUNCTION("""COMPUTED_VALUE"""),"Laura Arbelaez")</f>
        <v>Laura Arbelaez</v>
      </c>
      <c r="E178" s="123">
        <f ca="1">IFERROR(__xludf.DUMMYFUNCTION("""COMPUTED_VALUE"""),45491)</f>
        <v>45491</v>
      </c>
      <c r="F178" s="121" t="str">
        <f ca="1">IFERROR(__xludf.DUMMYFUNCTION("""COMPUTED_VALUE"""),"No ha consignado platica")</f>
        <v>No ha consignado platica</v>
      </c>
      <c r="G178" s="124" t="str">
        <f ca="1">IFERROR(__xludf.DUMMYFUNCTION("""COMPUTED_VALUE"""),"N/A")</f>
        <v>N/A</v>
      </c>
      <c r="H178" s="21"/>
    </row>
    <row r="179" spans="1:8" x14ac:dyDescent="0.2">
      <c r="A179" s="21">
        <f t="shared" si="0"/>
        <v>0</v>
      </c>
      <c r="B179" s="21" t="str">
        <f ca="1">IFERROR(__xludf.DUMMYFUNCTION("""COMPUTED_VALUE"""),"041201001")</f>
        <v>041201001</v>
      </c>
      <c r="C179" s="121">
        <f ca="1">IFERROR(__xludf.DUMMYFUNCTION("""COMPUTED_VALUE"""),600000)</f>
        <v>600000</v>
      </c>
      <c r="D179" s="21" t="str">
        <f ca="1">IFERROR(__xludf.DUMMYFUNCTION("""COMPUTED_VALUE"""),"Yesica Mazo")</f>
        <v>Yesica Mazo</v>
      </c>
      <c r="E179" s="123">
        <f ca="1">IFERROR(__xludf.DUMMYFUNCTION("""COMPUTED_VALUE"""),45436)</f>
        <v>45436</v>
      </c>
      <c r="F179" s="121">
        <f ca="1">IFERROR(__xludf.DUMMYFUNCTION("""COMPUTED_VALUE"""),300000)</f>
        <v>300000</v>
      </c>
      <c r="G179" s="124">
        <f ca="1">IFERROR(__xludf.DUMMYFUNCTION("""COMPUTED_VALUE"""),0.5)</f>
        <v>0.5</v>
      </c>
      <c r="H179" s="21"/>
    </row>
    <row r="180" spans="1:8" x14ac:dyDescent="0.2">
      <c r="A180" s="21">
        <f t="shared" si="0"/>
        <v>0</v>
      </c>
      <c r="B180" s="21" t="str">
        <f ca="1">IFERROR(__xludf.DUMMYFUNCTION("""COMPUTED_VALUE"""),"041201002")</f>
        <v>041201002</v>
      </c>
      <c r="C180" s="121">
        <f ca="1">IFERROR(__xludf.DUMMYFUNCTION("""COMPUTED_VALUE"""),600000)</f>
        <v>600000</v>
      </c>
      <c r="D180" s="21" t="str">
        <f ca="1">IFERROR(__xludf.DUMMYFUNCTION("""COMPUTED_VALUE"""),"Yesica Mazo")</f>
        <v>Yesica Mazo</v>
      </c>
      <c r="E180" s="123">
        <f ca="1">IFERROR(__xludf.DUMMYFUNCTION("""COMPUTED_VALUE"""),45436)</f>
        <v>45436</v>
      </c>
      <c r="F180" s="121">
        <f ca="1">IFERROR(__xludf.DUMMYFUNCTION("""COMPUTED_VALUE"""),100000)</f>
        <v>100000</v>
      </c>
      <c r="G180" s="124">
        <f ca="1">IFERROR(__xludf.DUMMYFUNCTION("""COMPUTED_VALUE"""),0.166666666666666)</f>
        <v>0.16666666666666599</v>
      </c>
      <c r="H180" s="21"/>
    </row>
    <row r="181" spans="1:8" x14ac:dyDescent="0.2">
      <c r="A181" s="21">
        <f t="shared" si="0"/>
        <v>0</v>
      </c>
      <c r="B181" s="21" t="str">
        <f ca="1">IFERROR(__xludf.DUMMYFUNCTION("""COMPUTED_VALUE"""),"041201003")</f>
        <v>041201003</v>
      </c>
      <c r="C181" s="121">
        <f ca="1">IFERROR(__xludf.DUMMYFUNCTION("""COMPUTED_VALUE"""),600000)</f>
        <v>600000</v>
      </c>
      <c r="D181" s="21" t="str">
        <f ca="1">IFERROR(__xludf.DUMMYFUNCTION("""COMPUTED_VALUE"""),"Yesica Mazo")</f>
        <v>Yesica Mazo</v>
      </c>
      <c r="E181" s="123">
        <f ca="1">IFERROR(__xludf.DUMMYFUNCTION("""COMPUTED_VALUE"""),45436)</f>
        <v>45436</v>
      </c>
      <c r="F181" s="121">
        <f ca="1">IFERROR(__xludf.DUMMYFUNCTION("""COMPUTED_VALUE"""),600000)</f>
        <v>600000</v>
      </c>
      <c r="G181" s="124">
        <f ca="1">IFERROR(__xludf.DUMMYFUNCTION("""COMPUTED_VALUE"""),1)</f>
        <v>1</v>
      </c>
      <c r="H181" s="21"/>
    </row>
    <row r="182" spans="1:8" x14ac:dyDescent="0.2">
      <c r="A182" s="21">
        <f t="shared" si="0"/>
        <v>0</v>
      </c>
      <c r="B182" s="21" t="str">
        <f ca="1">IFERROR(__xludf.DUMMYFUNCTION("""COMPUTED_VALUE"""),"041201004")</f>
        <v>041201004</v>
      </c>
      <c r="C182" s="121">
        <f ca="1">IFERROR(__xludf.DUMMYFUNCTION("""COMPUTED_VALUE"""),600000)</f>
        <v>600000</v>
      </c>
      <c r="D182" s="21" t="str">
        <f ca="1">IFERROR(__xludf.DUMMYFUNCTION("""COMPUTED_VALUE"""),"Yesica Mazo")</f>
        <v>Yesica Mazo</v>
      </c>
      <c r="E182" s="123">
        <f ca="1">IFERROR(__xludf.DUMMYFUNCTION("""COMPUTED_VALUE"""),45436)</f>
        <v>45436</v>
      </c>
      <c r="F182" s="121">
        <f ca="1">IFERROR(__xludf.DUMMYFUNCTION("""COMPUTED_VALUE"""),100000)</f>
        <v>100000</v>
      </c>
      <c r="G182" s="124">
        <f ca="1">IFERROR(__xludf.DUMMYFUNCTION("""COMPUTED_VALUE"""),0.166666666666666)</f>
        <v>0.16666666666666599</v>
      </c>
      <c r="H182" s="21"/>
    </row>
    <row r="183" spans="1:8" x14ac:dyDescent="0.2">
      <c r="A183" s="21">
        <f t="shared" si="0"/>
        <v>0</v>
      </c>
      <c r="B183" s="21" t="str">
        <f ca="1">IFERROR(__xludf.DUMMYFUNCTION("""COMPUTED_VALUE"""),"041201005")</f>
        <v>041201005</v>
      </c>
      <c r="C183" s="121">
        <f ca="1">IFERROR(__xludf.DUMMYFUNCTION("""COMPUTED_VALUE"""),600000)</f>
        <v>600000</v>
      </c>
      <c r="D183" s="21" t="str">
        <f ca="1">IFERROR(__xludf.DUMMYFUNCTION("""COMPUTED_VALUE"""),"Yesica Mazo")</f>
        <v>Yesica Mazo</v>
      </c>
      <c r="E183" s="123">
        <f ca="1">IFERROR(__xludf.DUMMYFUNCTION("""COMPUTED_VALUE"""),45436)</f>
        <v>45436</v>
      </c>
      <c r="F183" s="121">
        <f ca="1">IFERROR(__xludf.DUMMYFUNCTION("""COMPUTED_VALUE"""),600000)</f>
        <v>600000</v>
      </c>
      <c r="G183" s="124">
        <f ca="1">IFERROR(__xludf.DUMMYFUNCTION("""COMPUTED_VALUE"""),1)</f>
        <v>1</v>
      </c>
      <c r="H183" s="21"/>
    </row>
    <row r="184" spans="1:8" x14ac:dyDescent="0.2">
      <c r="A184" s="21">
        <f t="shared" si="0"/>
        <v>0</v>
      </c>
      <c r="B184" s="21" t="str">
        <f ca="1">IFERROR(__xludf.DUMMYFUNCTION("""COMPUTED_VALUE"""),"041201006")</f>
        <v>041201006</v>
      </c>
      <c r="C184" s="121">
        <f ca="1">IFERROR(__xludf.DUMMYFUNCTION("""COMPUTED_VALUE"""),600000)</f>
        <v>600000</v>
      </c>
      <c r="D184" s="21" t="str">
        <f ca="1">IFERROR(__xludf.DUMMYFUNCTION("""COMPUTED_VALUE"""),"Yesica Mazo")</f>
        <v>Yesica Mazo</v>
      </c>
      <c r="E184" s="123">
        <f ca="1">IFERROR(__xludf.DUMMYFUNCTION("""COMPUTED_VALUE"""),45436)</f>
        <v>45436</v>
      </c>
      <c r="F184" s="121">
        <f ca="1">IFERROR(__xludf.DUMMYFUNCTION("""COMPUTED_VALUE"""),200000)</f>
        <v>200000</v>
      </c>
      <c r="G184" s="124">
        <f ca="1">IFERROR(__xludf.DUMMYFUNCTION("""COMPUTED_VALUE"""),0.333333333333333)</f>
        <v>0.33333333333333298</v>
      </c>
      <c r="H184" s="21"/>
    </row>
    <row r="185" spans="1:8" x14ac:dyDescent="0.2">
      <c r="A185" s="21">
        <f t="shared" si="0"/>
        <v>0</v>
      </c>
      <c r="B185" s="21" t="str">
        <f ca="1">IFERROR(__xludf.DUMMYFUNCTION("""COMPUTED_VALUE"""),"031204001")</f>
        <v>031204001</v>
      </c>
      <c r="C185" s="121">
        <f ca="1">IFERROR(__xludf.DUMMYFUNCTION("""COMPUTED_VALUE"""),450000)</f>
        <v>450000</v>
      </c>
      <c r="D185" s="21"/>
      <c r="E185" s="21"/>
      <c r="F185" s="121" t="str">
        <f ca="1">IFERROR(__xludf.DUMMYFUNCTION("""COMPUTED_VALUE"""),"No ha consignado platica")</f>
        <v>No ha consignado platica</v>
      </c>
      <c r="G185" s="124" t="str">
        <f ca="1">IFERROR(__xludf.DUMMYFUNCTION("""COMPUTED_VALUE"""),"N/A")</f>
        <v>N/A</v>
      </c>
      <c r="H185" s="21"/>
    </row>
    <row r="186" spans="1:8" x14ac:dyDescent="0.2">
      <c r="A186" s="21">
        <f t="shared" si="0"/>
        <v>0</v>
      </c>
      <c r="B186" s="21" t="str">
        <f ca="1">IFERROR(__xludf.DUMMYFUNCTION("""COMPUTED_VALUE"""),"031204002")</f>
        <v>031204002</v>
      </c>
      <c r="C186" s="121">
        <f ca="1">IFERROR(__xludf.DUMMYFUNCTION("""COMPUTED_VALUE"""),450000)</f>
        <v>450000</v>
      </c>
      <c r="D186" s="21"/>
      <c r="E186" s="21"/>
      <c r="F186" s="121" t="str">
        <f ca="1">IFERROR(__xludf.DUMMYFUNCTION("""COMPUTED_VALUE"""),"No ha consignado platica")</f>
        <v>No ha consignado platica</v>
      </c>
      <c r="G186" s="124" t="str">
        <f ca="1">IFERROR(__xludf.DUMMYFUNCTION("""COMPUTED_VALUE"""),"N/A")</f>
        <v>N/A</v>
      </c>
      <c r="H186" s="21"/>
    </row>
    <row r="187" spans="1:8" x14ac:dyDescent="0.2">
      <c r="A187" s="21">
        <f t="shared" si="0"/>
        <v>0</v>
      </c>
      <c r="B187" s="21" t="str">
        <f ca="1">IFERROR(__xludf.DUMMYFUNCTION("""COMPUTED_VALUE"""),"031204003")</f>
        <v>031204003</v>
      </c>
      <c r="C187" s="121">
        <f ca="1">IFERROR(__xludf.DUMMYFUNCTION("""COMPUTED_VALUE"""),450000)</f>
        <v>450000</v>
      </c>
      <c r="D187" s="21"/>
      <c r="E187" s="21"/>
      <c r="F187" s="121" t="str">
        <f ca="1">IFERROR(__xludf.DUMMYFUNCTION("""COMPUTED_VALUE"""),"No ha consignado platica")</f>
        <v>No ha consignado platica</v>
      </c>
      <c r="G187" s="124" t="str">
        <f ca="1">IFERROR(__xludf.DUMMYFUNCTION("""COMPUTED_VALUE"""),"N/A")</f>
        <v>N/A</v>
      </c>
      <c r="H187" s="21"/>
    </row>
    <row r="188" spans="1:8" x14ac:dyDescent="0.2">
      <c r="A188" s="21">
        <f t="shared" si="0"/>
        <v>0</v>
      </c>
      <c r="B188" s="21" t="str">
        <f ca="1">IFERROR(__xludf.DUMMYFUNCTION("""COMPUTED_VALUE"""),"031204004")</f>
        <v>031204004</v>
      </c>
      <c r="C188" s="121">
        <f ca="1">IFERROR(__xludf.DUMMYFUNCTION("""COMPUTED_VALUE"""),450000)</f>
        <v>450000</v>
      </c>
      <c r="D188" s="21"/>
      <c r="E188" s="21"/>
      <c r="F188" s="121" t="str">
        <f ca="1">IFERROR(__xludf.DUMMYFUNCTION("""COMPUTED_VALUE"""),"No ha consignado platica")</f>
        <v>No ha consignado platica</v>
      </c>
      <c r="G188" s="21"/>
      <c r="H188" s="21"/>
    </row>
    <row r="189" spans="1:8" x14ac:dyDescent="0.2">
      <c r="A189" s="21">
        <f t="shared" si="0"/>
        <v>0</v>
      </c>
      <c r="B189" s="21" t="str">
        <f ca="1">IFERROR(__xludf.DUMMYFUNCTION("""COMPUTED_VALUE"""),"031204005")</f>
        <v>031204005</v>
      </c>
      <c r="C189" s="121">
        <f ca="1">IFERROR(__xludf.DUMMYFUNCTION("""COMPUTED_VALUE"""),450000)</f>
        <v>450000</v>
      </c>
      <c r="D189" s="21"/>
      <c r="E189" s="21"/>
      <c r="F189" s="121" t="str">
        <f ca="1">IFERROR(__xludf.DUMMYFUNCTION("""COMPUTED_VALUE"""),"No ha consignado platica")</f>
        <v>No ha consignado platica</v>
      </c>
      <c r="G189" s="21"/>
      <c r="H189" s="21"/>
    </row>
    <row r="190" spans="1:8" x14ac:dyDescent="0.2">
      <c r="A190" s="21">
        <f t="shared" si="0"/>
        <v>0</v>
      </c>
      <c r="B190" s="21" t="str">
        <f ca="1">IFERROR(__xludf.DUMMYFUNCTION("""COMPUTED_VALUE"""),"031204006")</f>
        <v>031204006</v>
      </c>
      <c r="C190" s="121">
        <f ca="1">IFERROR(__xludf.DUMMYFUNCTION("""COMPUTED_VALUE"""),450000)</f>
        <v>450000</v>
      </c>
      <c r="D190" s="21"/>
      <c r="E190" s="21"/>
      <c r="F190" s="121" t="str">
        <f ca="1">IFERROR(__xludf.DUMMYFUNCTION("""COMPUTED_VALUE"""),"No ha consignado platica")</f>
        <v>No ha consignado platica</v>
      </c>
      <c r="G190" s="21"/>
      <c r="H190" s="21"/>
    </row>
    <row r="191" spans="1:8" x14ac:dyDescent="0.2">
      <c r="A191" s="21">
        <f t="shared" si="0"/>
        <v>0</v>
      </c>
      <c r="B191" s="21" t="str">
        <f ca="1">IFERROR(__xludf.DUMMYFUNCTION("""COMPUTED_VALUE"""),"031204007")</f>
        <v>031204007</v>
      </c>
      <c r="C191" s="121">
        <f ca="1">IFERROR(__xludf.DUMMYFUNCTION("""COMPUTED_VALUE"""),450000)</f>
        <v>450000</v>
      </c>
      <c r="D191" s="21"/>
      <c r="E191" s="21"/>
      <c r="F191" s="121" t="str">
        <f ca="1">IFERROR(__xludf.DUMMYFUNCTION("""COMPUTED_VALUE"""),"No ha consignado platica")</f>
        <v>No ha consignado platica</v>
      </c>
      <c r="G191" s="21"/>
      <c r="H191" s="21"/>
    </row>
    <row r="192" spans="1:8" x14ac:dyDescent="0.2">
      <c r="A192" s="21">
        <f t="shared" si="0"/>
        <v>0</v>
      </c>
      <c r="B192" s="21" t="str">
        <f ca="1">IFERROR(__xludf.DUMMYFUNCTION("""COMPUTED_VALUE"""),"031204008")</f>
        <v>031204008</v>
      </c>
      <c r="C192" s="121">
        <f ca="1">IFERROR(__xludf.DUMMYFUNCTION("""COMPUTED_VALUE"""),450000)</f>
        <v>450000</v>
      </c>
      <c r="D192" s="21"/>
      <c r="E192" s="21"/>
      <c r="F192" s="121" t="str">
        <f ca="1">IFERROR(__xludf.DUMMYFUNCTION("""COMPUTED_VALUE"""),"No ha consignado platica")</f>
        <v>No ha consignado platica</v>
      </c>
      <c r="G192" s="21"/>
      <c r="H192" s="21"/>
    </row>
    <row r="193" spans="1:8" x14ac:dyDescent="0.2">
      <c r="A193" s="21">
        <f t="shared" si="0"/>
        <v>0</v>
      </c>
      <c r="B193" s="21" t="str">
        <f ca="1">IFERROR(__xludf.DUMMYFUNCTION("""COMPUTED_VALUE"""),"031204009")</f>
        <v>031204009</v>
      </c>
      <c r="C193" s="121">
        <f ca="1">IFERROR(__xludf.DUMMYFUNCTION("""COMPUTED_VALUE"""),450000)</f>
        <v>450000</v>
      </c>
      <c r="D193" s="21"/>
      <c r="E193" s="21"/>
      <c r="F193" s="121" t="str">
        <f ca="1">IFERROR(__xludf.DUMMYFUNCTION("""COMPUTED_VALUE"""),"No ha consignado platica")</f>
        <v>No ha consignado platica</v>
      </c>
      <c r="G193" s="21"/>
      <c r="H193" s="21"/>
    </row>
    <row r="194" spans="1:8" x14ac:dyDescent="0.2">
      <c r="A194" s="21">
        <f t="shared" si="0"/>
        <v>0</v>
      </c>
      <c r="B194" s="21" t="str">
        <f ca="1">IFERROR(__xludf.DUMMYFUNCTION("""COMPUTED_VALUE"""),"0312040010")</f>
        <v>0312040010</v>
      </c>
      <c r="C194" s="121">
        <f ca="1">IFERROR(__xludf.DUMMYFUNCTION("""COMPUTED_VALUE"""),450000)</f>
        <v>450000</v>
      </c>
      <c r="D194" s="21"/>
      <c r="E194" s="21"/>
      <c r="F194" s="121" t="str">
        <f ca="1">IFERROR(__xludf.DUMMYFUNCTION("""COMPUTED_VALUE"""),"No ha consignado platica")</f>
        <v>No ha consignado platica</v>
      </c>
      <c r="G194" s="21"/>
      <c r="H194" s="21"/>
    </row>
    <row r="195" spans="1:8" x14ac:dyDescent="0.2">
      <c r="A195" s="21">
        <f t="shared" si="0"/>
        <v>0</v>
      </c>
      <c r="B195" s="21" t="str">
        <f ca="1">IFERROR(__xludf.DUMMYFUNCTION("""COMPUTED_VALUE"""),"0312040011")</f>
        <v>0312040011</v>
      </c>
      <c r="C195" s="121">
        <f ca="1">IFERROR(__xludf.DUMMYFUNCTION("""COMPUTED_VALUE"""),450000)</f>
        <v>450000</v>
      </c>
      <c r="D195" s="21"/>
      <c r="E195" s="21"/>
      <c r="F195" s="121" t="str">
        <f ca="1">IFERROR(__xludf.DUMMYFUNCTION("""COMPUTED_VALUE"""),"No ha consignado platica")</f>
        <v>No ha consignado platica</v>
      </c>
      <c r="G195" s="21"/>
      <c r="H195" s="21"/>
    </row>
    <row r="196" spans="1:8" x14ac:dyDescent="0.2">
      <c r="A196" s="21">
        <f t="shared" si="0"/>
        <v>0</v>
      </c>
      <c r="B196" s="21" t="str">
        <f ca="1">IFERROR(__xludf.DUMMYFUNCTION("""COMPUTED_VALUE"""),"0312040012")</f>
        <v>0312040012</v>
      </c>
      <c r="C196" s="121">
        <f ca="1">IFERROR(__xludf.DUMMYFUNCTION("""COMPUTED_VALUE"""),450000)</f>
        <v>450000</v>
      </c>
      <c r="D196" s="21"/>
      <c r="E196" s="21"/>
      <c r="F196" s="121" t="str">
        <f ca="1">IFERROR(__xludf.DUMMYFUNCTION("""COMPUTED_VALUE"""),"No ha consignado platica")</f>
        <v>No ha consignado platica</v>
      </c>
      <c r="G196" s="21"/>
      <c r="H196" s="21"/>
    </row>
    <row r="197" spans="1:8" x14ac:dyDescent="0.2">
      <c r="A197" s="21">
        <f t="shared" si="0"/>
        <v>0</v>
      </c>
      <c r="B197" s="21" t="str">
        <f ca="1">IFERROR(__xludf.DUMMYFUNCTION("""COMPUTED_VALUE"""),"0312040013")</f>
        <v>0312040013</v>
      </c>
      <c r="C197" s="121">
        <f ca="1">IFERROR(__xludf.DUMMYFUNCTION("""COMPUTED_VALUE"""),450000)</f>
        <v>450000</v>
      </c>
      <c r="D197" s="21"/>
      <c r="E197" s="21"/>
      <c r="F197" s="121" t="str">
        <f ca="1">IFERROR(__xludf.DUMMYFUNCTION("""COMPUTED_VALUE"""),"No ha consignado platica")</f>
        <v>No ha consignado platica</v>
      </c>
      <c r="G197" s="21"/>
      <c r="H197" s="21"/>
    </row>
    <row r="198" spans="1:8" x14ac:dyDescent="0.2">
      <c r="A198" s="21">
        <f t="shared" si="0"/>
        <v>0</v>
      </c>
      <c r="B198" s="21" t="str">
        <f ca="1">IFERROR(__xludf.DUMMYFUNCTION("""COMPUTED_VALUE"""),"0312040014")</f>
        <v>0312040014</v>
      </c>
      <c r="C198" s="121">
        <f ca="1">IFERROR(__xludf.DUMMYFUNCTION("""COMPUTED_VALUE"""),450000)</f>
        <v>450000</v>
      </c>
      <c r="D198" s="21"/>
      <c r="E198" s="21"/>
      <c r="F198" s="121" t="str">
        <f ca="1">IFERROR(__xludf.DUMMYFUNCTION("""COMPUTED_VALUE"""),"No ha consignado platica")</f>
        <v>No ha consignado platica</v>
      </c>
      <c r="G198" s="21"/>
      <c r="H198" s="21"/>
    </row>
    <row r="199" spans="1:8" x14ac:dyDescent="0.2">
      <c r="A199" s="21">
        <f t="shared" si="0"/>
        <v>0</v>
      </c>
      <c r="B199" s="21" t="str">
        <f ca="1">IFERROR(__xludf.DUMMYFUNCTION("""COMPUTED_VALUE"""),"0312040015")</f>
        <v>0312040015</v>
      </c>
      <c r="C199" s="121">
        <f ca="1">IFERROR(__xludf.DUMMYFUNCTION("""COMPUTED_VALUE"""),450000)</f>
        <v>450000</v>
      </c>
      <c r="D199" s="21"/>
      <c r="E199" s="21"/>
      <c r="F199" s="121" t="str">
        <f ca="1">IFERROR(__xludf.DUMMYFUNCTION("""COMPUTED_VALUE"""),"No ha consignado platica")</f>
        <v>No ha consignado platica</v>
      </c>
      <c r="G199" s="21"/>
      <c r="H199" s="21"/>
    </row>
    <row r="200" spans="1:8" x14ac:dyDescent="0.2">
      <c r="A200" s="21">
        <f t="shared" si="0"/>
        <v>0</v>
      </c>
      <c r="B200" s="21" t="str">
        <f ca="1">IFERROR(__xludf.DUMMYFUNCTION("""COMPUTED_VALUE"""),"0312040016")</f>
        <v>0312040016</v>
      </c>
      <c r="C200" s="121">
        <f ca="1">IFERROR(__xludf.DUMMYFUNCTION("""COMPUTED_VALUE"""),450000)</f>
        <v>450000</v>
      </c>
      <c r="D200" s="21"/>
      <c r="E200" s="21"/>
      <c r="F200" s="121" t="str">
        <f ca="1">IFERROR(__xludf.DUMMYFUNCTION("""COMPUTED_VALUE"""),"No ha consignado platica")</f>
        <v>No ha consignado platica</v>
      </c>
      <c r="G200" s="21"/>
      <c r="H200" s="21"/>
    </row>
    <row r="201" spans="1:8" x14ac:dyDescent="0.2">
      <c r="A201" s="21">
        <f t="shared" si="0"/>
        <v>0</v>
      </c>
      <c r="B201" s="21" t="str">
        <f ca="1">IFERROR(__xludf.DUMMYFUNCTION("""COMPUTED_VALUE"""),"0312040017")</f>
        <v>0312040017</v>
      </c>
      <c r="C201" s="121">
        <f ca="1">IFERROR(__xludf.DUMMYFUNCTION("""COMPUTED_VALUE"""),450000)</f>
        <v>450000</v>
      </c>
      <c r="D201" s="21"/>
      <c r="E201" s="21"/>
      <c r="F201" s="121" t="str">
        <f ca="1">IFERROR(__xludf.DUMMYFUNCTION("""COMPUTED_VALUE"""),"No ha consignado platica")</f>
        <v>No ha consignado platica</v>
      </c>
      <c r="G201" s="21"/>
      <c r="H201" s="21"/>
    </row>
    <row r="202" spans="1:8" x14ac:dyDescent="0.2">
      <c r="A202" s="21">
        <f t="shared" si="0"/>
        <v>0</v>
      </c>
      <c r="B202" s="21" t="str">
        <f ca="1">IFERROR(__xludf.DUMMYFUNCTION("""COMPUTED_VALUE"""),"0312040018")</f>
        <v>0312040018</v>
      </c>
      <c r="C202" s="121">
        <f ca="1">IFERROR(__xludf.DUMMYFUNCTION("""COMPUTED_VALUE"""),450000)</f>
        <v>450000</v>
      </c>
      <c r="D202" s="21"/>
      <c r="E202" s="21"/>
      <c r="F202" s="121" t="str">
        <f ca="1">IFERROR(__xludf.DUMMYFUNCTION("""COMPUTED_VALUE"""),"No ha consignado platica")</f>
        <v>No ha consignado platica</v>
      </c>
      <c r="G202" s="21"/>
      <c r="H202" s="21"/>
    </row>
    <row r="203" spans="1:8" x14ac:dyDescent="0.2">
      <c r="A203" s="21">
        <f t="shared" si="0"/>
        <v>0</v>
      </c>
      <c r="B203" s="21" t="str">
        <f ca="1">IFERROR(__xludf.DUMMYFUNCTION("""COMPUTED_VALUE"""),"0312040019")</f>
        <v>0312040019</v>
      </c>
      <c r="C203" s="121">
        <f ca="1">IFERROR(__xludf.DUMMYFUNCTION("""COMPUTED_VALUE"""),450000)</f>
        <v>450000</v>
      </c>
      <c r="D203" s="21"/>
      <c r="E203" s="21"/>
      <c r="F203" s="121" t="str">
        <f ca="1">IFERROR(__xludf.DUMMYFUNCTION("""COMPUTED_VALUE"""),"No ha consignado platica")</f>
        <v>No ha consignado platica</v>
      </c>
      <c r="G203" s="21"/>
      <c r="H203" s="21"/>
    </row>
    <row r="204" spans="1:8" x14ac:dyDescent="0.2">
      <c r="A204" s="21">
        <f t="shared" si="0"/>
        <v>0</v>
      </c>
      <c r="B204" s="21" t="str">
        <f ca="1">IFERROR(__xludf.DUMMYFUNCTION("""COMPUTED_VALUE"""),"0312040020")</f>
        <v>0312040020</v>
      </c>
      <c r="C204" s="121">
        <f ca="1">IFERROR(__xludf.DUMMYFUNCTION("""COMPUTED_VALUE"""),450000)</f>
        <v>450000</v>
      </c>
      <c r="D204" s="21"/>
      <c r="E204" s="21"/>
      <c r="F204" s="121" t="str">
        <f ca="1">IFERROR(__xludf.DUMMYFUNCTION("""COMPUTED_VALUE"""),"No ha consignado platica")</f>
        <v>No ha consignado platica</v>
      </c>
      <c r="G204" s="21"/>
      <c r="H204" s="21"/>
    </row>
    <row r="205" spans="1:8" x14ac:dyDescent="0.2">
      <c r="A205" s="21">
        <f t="shared" si="0"/>
        <v>0</v>
      </c>
      <c r="B205" s="21" t="str">
        <f ca="1">IFERROR(__xludf.DUMMYFUNCTION("""COMPUTED_VALUE"""),"0312040021")</f>
        <v>0312040021</v>
      </c>
      <c r="C205" s="121">
        <f ca="1">IFERROR(__xludf.DUMMYFUNCTION("""COMPUTED_VALUE"""),450000)</f>
        <v>450000</v>
      </c>
      <c r="D205" s="21"/>
      <c r="E205" s="21"/>
      <c r="F205" s="121" t="str">
        <f ca="1">IFERROR(__xludf.DUMMYFUNCTION("""COMPUTED_VALUE"""),"No ha consignado platica")</f>
        <v>No ha consignado platica</v>
      </c>
      <c r="G205" s="21"/>
      <c r="H205" s="21"/>
    </row>
    <row r="206" spans="1:8" x14ac:dyDescent="0.2">
      <c r="A206" s="21">
        <f t="shared" si="0"/>
        <v>0</v>
      </c>
      <c r="B206" s="21" t="str">
        <f ca="1">IFERROR(__xludf.DUMMYFUNCTION("""COMPUTED_VALUE"""),"0312040022")</f>
        <v>0312040022</v>
      </c>
      <c r="C206" s="121">
        <f ca="1">IFERROR(__xludf.DUMMYFUNCTION("""COMPUTED_VALUE"""),450000)</f>
        <v>450000</v>
      </c>
      <c r="D206" s="21"/>
      <c r="E206" s="21"/>
      <c r="F206" s="121" t="str">
        <f ca="1">IFERROR(__xludf.DUMMYFUNCTION("""COMPUTED_VALUE"""),"No ha consignado platica")</f>
        <v>No ha consignado platica</v>
      </c>
      <c r="G206" s="21"/>
      <c r="H206" s="21"/>
    </row>
    <row r="207" spans="1:8" x14ac:dyDescent="0.2">
      <c r="A207" s="21">
        <f t="shared" si="0"/>
        <v>0</v>
      </c>
      <c r="B207" s="21" t="str">
        <f ca="1">IFERROR(__xludf.DUMMYFUNCTION("""COMPUTED_VALUE"""),"0312040023")</f>
        <v>0312040023</v>
      </c>
      <c r="C207" s="121">
        <f ca="1">IFERROR(__xludf.DUMMYFUNCTION("""COMPUTED_VALUE"""),450000)</f>
        <v>450000</v>
      </c>
      <c r="D207" s="21"/>
      <c r="E207" s="21"/>
      <c r="F207" s="121" t="str">
        <f ca="1">IFERROR(__xludf.DUMMYFUNCTION("""COMPUTED_VALUE"""),"No ha consignado platica")</f>
        <v>No ha consignado platica</v>
      </c>
      <c r="G207" s="21"/>
      <c r="H207" s="21"/>
    </row>
    <row r="208" spans="1:8" x14ac:dyDescent="0.2">
      <c r="A208" s="21">
        <f t="shared" si="0"/>
        <v>0</v>
      </c>
      <c r="B208" s="21" t="str">
        <f ca="1">IFERROR(__xludf.DUMMYFUNCTION("""COMPUTED_VALUE"""),"0312040024")</f>
        <v>0312040024</v>
      </c>
      <c r="C208" s="121">
        <f ca="1">IFERROR(__xludf.DUMMYFUNCTION("""COMPUTED_VALUE"""),450000)</f>
        <v>450000</v>
      </c>
      <c r="D208" s="21"/>
      <c r="E208" s="21"/>
      <c r="F208" s="121" t="str">
        <f ca="1">IFERROR(__xludf.DUMMYFUNCTION("""COMPUTED_VALUE"""),"No ha consignado platica")</f>
        <v>No ha consignado platica</v>
      </c>
      <c r="G208" s="21"/>
      <c r="H208" s="21"/>
    </row>
    <row r="209" spans="1:8" x14ac:dyDescent="0.2">
      <c r="A209" s="21">
        <f t="shared" si="0"/>
        <v>0</v>
      </c>
      <c r="B209" s="21" t="str">
        <f ca="1">IFERROR(__xludf.DUMMYFUNCTION("""COMPUTED_VALUE"""),"0312040025")</f>
        <v>0312040025</v>
      </c>
      <c r="C209" s="121">
        <f ca="1">IFERROR(__xludf.DUMMYFUNCTION("""COMPUTED_VALUE"""),450000)</f>
        <v>450000</v>
      </c>
      <c r="D209" s="21"/>
      <c r="E209" s="21"/>
      <c r="F209" s="121" t="str">
        <f ca="1">IFERROR(__xludf.DUMMYFUNCTION("""COMPUTED_VALUE"""),"No ha consignado platica")</f>
        <v>No ha consignado platica</v>
      </c>
      <c r="G209" s="21"/>
      <c r="H209" s="21"/>
    </row>
    <row r="210" spans="1:8" x14ac:dyDescent="0.2">
      <c r="A210" s="21">
        <f t="shared" si="0"/>
        <v>0</v>
      </c>
      <c r="B210" s="21" t="str">
        <f ca="1">IFERROR(__xludf.DUMMYFUNCTION("""COMPUTED_VALUE"""),"0312040026")</f>
        <v>0312040026</v>
      </c>
      <c r="C210" s="121">
        <f ca="1">IFERROR(__xludf.DUMMYFUNCTION("""COMPUTED_VALUE"""),450000)</f>
        <v>450000</v>
      </c>
      <c r="D210" s="21"/>
      <c r="E210" s="21"/>
      <c r="F210" s="121" t="str">
        <f ca="1">IFERROR(__xludf.DUMMYFUNCTION("""COMPUTED_VALUE"""),"No ha consignado platica")</f>
        <v>No ha consignado platica</v>
      </c>
      <c r="G210" s="21"/>
      <c r="H210" s="21"/>
    </row>
    <row r="211" spans="1:8" x14ac:dyDescent="0.2">
      <c r="A211" s="21">
        <f t="shared" si="0"/>
        <v>0</v>
      </c>
      <c r="B211" s="21" t="str">
        <f ca="1">IFERROR(__xludf.DUMMYFUNCTION("""COMPUTED_VALUE"""),"0312040027")</f>
        <v>0312040027</v>
      </c>
      <c r="C211" s="121">
        <f ca="1">IFERROR(__xludf.DUMMYFUNCTION("""COMPUTED_VALUE"""),450000)</f>
        <v>450000</v>
      </c>
      <c r="D211" s="21"/>
      <c r="E211" s="21"/>
      <c r="F211" s="121" t="str">
        <f ca="1">IFERROR(__xludf.DUMMYFUNCTION("""COMPUTED_VALUE"""),"No ha consignado platica")</f>
        <v>No ha consignado platica</v>
      </c>
      <c r="G211" s="21"/>
      <c r="H211" s="21"/>
    </row>
    <row r="212" spans="1:8" x14ac:dyDescent="0.2">
      <c r="A212" s="21">
        <f t="shared" si="0"/>
        <v>0</v>
      </c>
      <c r="B212" s="21" t="str">
        <f ca="1">IFERROR(__xludf.DUMMYFUNCTION("""COMPUTED_VALUE"""),"0312040028")</f>
        <v>0312040028</v>
      </c>
      <c r="C212" s="121">
        <f ca="1">IFERROR(__xludf.DUMMYFUNCTION("""COMPUTED_VALUE"""),450000)</f>
        <v>450000</v>
      </c>
      <c r="D212" s="21"/>
      <c r="E212" s="21"/>
      <c r="F212" s="121" t="str">
        <f ca="1">IFERROR(__xludf.DUMMYFUNCTION("""COMPUTED_VALUE"""),"No ha consignado platica")</f>
        <v>No ha consignado platica</v>
      </c>
      <c r="G212" s="21"/>
      <c r="H212" s="21"/>
    </row>
    <row r="213" spans="1:8" x14ac:dyDescent="0.2">
      <c r="A213" s="21">
        <f t="shared" si="0"/>
        <v>0</v>
      </c>
      <c r="B213" s="21" t="str">
        <f ca="1">IFERROR(__xludf.DUMMYFUNCTION("""COMPUTED_VALUE"""),"0312040029")</f>
        <v>0312040029</v>
      </c>
      <c r="C213" s="121">
        <f ca="1">IFERROR(__xludf.DUMMYFUNCTION("""COMPUTED_VALUE"""),450000)</f>
        <v>450000</v>
      </c>
      <c r="D213" s="21"/>
      <c r="E213" s="21"/>
      <c r="F213" s="121" t="str">
        <f ca="1">IFERROR(__xludf.DUMMYFUNCTION("""COMPUTED_VALUE"""),"No ha consignado platica")</f>
        <v>No ha consignado platica</v>
      </c>
      <c r="G213" s="21"/>
      <c r="H213" s="21"/>
    </row>
    <row r="214" spans="1:8" x14ac:dyDescent="0.2">
      <c r="A214" s="21">
        <f t="shared" si="0"/>
        <v>0</v>
      </c>
      <c r="B214" s="21" t="str">
        <f ca="1">IFERROR(__xludf.DUMMYFUNCTION("""COMPUTED_VALUE"""),"0312040030")</f>
        <v>0312040030</v>
      </c>
      <c r="C214" s="121">
        <f ca="1">IFERROR(__xludf.DUMMYFUNCTION("""COMPUTED_VALUE"""),450000)</f>
        <v>450000</v>
      </c>
      <c r="D214" s="21"/>
      <c r="E214" s="21"/>
      <c r="F214" s="121" t="str">
        <f ca="1">IFERROR(__xludf.DUMMYFUNCTION("""COMPUTED_VALUE"""),"No ha consignado platica")</f>
        <v>No ha consignado platica</v>
      </c>
      <c r="G214" s="21"/>
      <c r="H214" s="21"/>
    </row>
    <row r="215" spans="1:8" x14ac:dyDescent="0.2">
      <c r="A215" s="21">
        <f t="shared" si="0"/>
        <v>0</v>
      </c>
      <c r="B215" s="21" t="str">
        <f ca="1">IFERROR(__xludf.DUMMYFUNCTION("""COMPUTED_VALUE"""),"0312040031")</f>
        <v>0312040031</v>
      </c>
      <c r="C215" s="121">
        <f ca="1">IFERROR(__xludf.DUMMYFUNCTION("""COMPUTED_VALUE"""),450000)</f>
        <v>450000</v>
      </c>
      <c r="D215" s="21"/>
      <c r="E215" s="21"/>
      <c r="F215" s="121" t="str">
        <f ca="1">IFERROR(__xludf.DUMMYFUNCTION("""COMPUTED_VALUE"""),"No ha consignado platica")</f>
        <v>No ha consignado platica</v>
      </c>
      <c r="G215" s="21"/>
      <c r="H215" s="21"/>
    </row>
    <row r="216" spans="1:8" x14ac:dyDescent="0.2">
      <c r="A216" s="21">
        <f t="shared" si="0"/>
        <v>0</v>
      </c>
      <c r="B216" s="21" t="str">
        <f ca="1">IFERROR(__xludf.DUMMYFUNCTION("""COMPUTED_VALUE"""),"0312040032")</f>
        <v>0312040032</v>
      </c>
      <c r="C216" s="121">
        <f ca="1">IFERROR(__xludf.DUMMYFUNCTION("""COMPUTED_VALUE"""),450000)</f>
        <v>450000</v>
      </c>
      <c r="D216" s="21"/>
      <c r="E216" s="21"/>
      <c r="F216" s="121" t="str">
        <f ca="1">IFERROR(__xludf.DUMMYFUNCTION("""COMPUTED_VALUE"""),"No ha consignado platica")</f>
        <v>No ha consignado platica</v>
      </c>
      <c r="G216" s="21"/>
      <c r="H216" s="21"/>
    </row>
    <row r="217" spans="1:8" x14ac:dyDescent="0.2">
      <c r="A217" s="21">
        <f t="shared" si="0"/>
        <v>0</v>
      </c>
      <c r="B217" s="21" t="str">
        <f ca="1">IFERROR(__xludf.DUMMYFUNCTION("""COMPUTED_VALUE"""),"0312040033")</f>
        <v>0312040033</v>
      </c>
      <c r="C217" s="121">
        <f ca="1">IFERROR(__xludf.DUMMYFUNCTION("""COMPUTED_VALUE"""),450000)</f>
        <v>450000</v>
      </c>
      <c r="D217" s="21"/>
      <c r="E217" s="21"/>
      <c r="F217" s="121" t="str">
        <f ca="1">IFERROR(__xludf.DUMMYFUNCTION("""COMPUTED_VALUE"""),"No ha consignado platica")</f>
        <v>No ha consignado platica</v>
      </c>
      <c r="G217" s="21"/>
      <c r="H217" s="21"/>
    </row>
    <row r="218" spans="1:8" x14ac:dyDescent="0.2">
      <c r="A218" s="21">
        <f t="shared" si="0"/>
        <v>0</v>
      </c>
      <c r="B218" s="21" t="str">
        <f ca="1">IFERROR(__xludf.DUMMYFUNCTION("""COMPUTED_VALUE"""),"0312040034")</f>
        <v>0312040034</v>
      </c>
      <c r="C218" s="121">
        <f ca="1">IFERROR(__xludf.DUMMYFUNCTION("""COMPUTED_VALUE"""),450000)</f>
        <v>450000</v>
      </c>
      <c r="D218" s="21"/>
      <c r="E218" s="21"/>
      <c r="F218" s="121" t="str">
        <f ca="1">IFERROR(__xludf.DUMMYFUNCTION("""COMPUTED_VALUE"""),"No ha consignado platica")</f>
        <v>No ha consignado platica</v>
      </c>
      <c r="G218" s="21"/>
      <c r="H218" s="21"/>
    </row>
    <row r="219" spans="1:8" x14ac:dyDescent="0.2">
      <c r="A219" s="21">
        <f t="shared" si="0"/>
        <v>0</v>
      </c>
      <c r="B219" s="21" t="str">
        <f ca="1">IFERROR(__xludf.DUMMYFUNCTION("""COMPUTED_VALUE"""),"0312040035")</f>
        <v>0312040035</v>
      </c>
      <c r="C219" s="121">
        <f ca="1">IFERROR(__xludf.DUMMYFUNCTION("""COMPUTED_VALUE"""),450000)</f>
        <v>450000</v>
      </c>
      <c r="D219" s="21"/>
      <c r="E219" s="21"/>
      <c r="F219" s="121" t="str">
        <f ca="1">IFERROR(__xludf.DUMMYFUNCTION("""COMPUTED_VALUE"""),"No ha consignado platica")</f>
        <v>No ha consignado platica</v>
      </c>
      <c r="G219" s="21"/>
      <c r="H219" s="21"/>
    </row>
    <row r="220" spans="1:8" x14ac:dyDescent="0.2">
      <c r="A220" s="21">
        <f t="shared" si="0"/>
        <v>0</v>
      </c>
      <c r="B220" s="21" t="str">
        <f ca="1">IFERROR(__xludf.DUMMYFUNCTION("""COMPUTED_VALUE"""),"0312040036")</f>
        <v>0312040036</v>
      </c>
      <c r="C220" s="121">
        <f ca="1">IFERROR(__xludf.DUMMYFUNCTION("""COMPUTED_VALUE"""),450000)</f>
        <v>450000</v>
      </c>
      <c r="D220" s="21"/>
      <c r="E220" s="21"/>
      <c r="F220" s="121" t="str">
        <f ca="1">IFERROR(__xludf.DUMMYFUNCTION("""COMPUTED_VALUE"""),"No ha consignado platica")</f>
        <v>No ha consignado platica</v>
      </c>
      <c r="G220" s="21"/>
      <c r="H220" s="21"/>
    </row>
    <row r="221" spans="1:8" x14ac:dyDescent="0.2">
      <c r="A221" s="21">
        <f t="shared" si="0"/>
        <v>0</v>
      </c>
      <c r="B221" s="21" t="str">
        <f ca="1">IFERROR(__xludf.DUMMYFUNCTION("""COMPUTED_VALUE"""),"0312040037")</f>
        <v>0312040037</v>
      </c>
      <c r="C221" s="121">
        <f ca="1">IFERROR(__xludf.DUMMYFUNCTION("""COMPUTED_VALUE"""),450000)</f>
        <v>450000</v>
      </c>
      <c r="D221" s="21"/>
      <c r="E221" s="21"/>
      <c r="F221" s="121" t="str">
        <f ca="1">IFERROR(__xludf.DUMMYFUNCTION("""COMPUTED_VALUE"""),"No ha consignado platica")</f>
        <v>No ha consignado platica</v>
      </c>
      <c r="G221" s="21"/>
      <c r="H221" s="21"/>
    </row>
    <row r="222" spans="1:8" x14ac:dyDescent="0.2">
      <c r="A222" s="21">
        <f t="shared" si="0"/>
        <v>0</v>
      </c>
      <c r="B222" s="21" t="str">
        <f ca="1">IFERROR(__xludf.DUMMYFUNCTION("""COMPUTED_VALUE"""),"0312040038")</f>
        <v>0312040038</v>
      </c>
      <c r="C222" s="121">
        <f ca="1">IFERROR(__xludf.DUMMYFUNCTION("""COMPUTED_VALUE"""),450000)</f>
        <v>450000</v>
      </c>
      <c r="D222" s="21"/>
      <c r="E222" s="21"/>
      <c r="F222" s="121" t="str">
        <f ca="1">IFERROR(__xludf.DUMMYFUNCTION("""COMPUTED_VALUE"""),"No ha consignado platica")</f>
        <v>No ha consignado platica</v>
      </c>
      <c r="G222" s="21"/>
      <c r="H222" s="21"/>
    </row>
    <row r="223" spans="1:8" x14ac:dyDescent="0.2">
      <c r="A223" s="21">
        <f t="shared" si="0"/>
        <v>0</v>
      </c>
      <c r="B223" s="21" t="str">
        <f ca="1">IFERROR(__xludf.DUMMYFUNCTION("""COMPUTED_VALUE"""),"0312040039")</f>
        <v>0312040039</v>
      </c>
      <c r="C223" s="121">
        <f ca="1">IFERROR(__xludf.DUMMYFUNCTION("""COMPUTED_VALUE"""),450000)</f>
        <v>450000</v>
      </c>
      <c r="D223" s="21"/>
      <c r="E223" s="21"/>
      <c r="F223" s="121" t="str">
        <f ca="1">IFERROR(__xludf.DUMMYFUNCTION("""COMPUTED_VALUE"""),"No ha consignado platica")</f>
        <v>No ha consignado platica</v>
      </c>
      <c r="G223" s="21"/>
      <c r="H223" s="21"/>
    </row>
    <row r="224" spans="1:8" x14ac:dyDescent="0.2">
      <c r="A224" s="21">
        <f t="shared" si="0"/>
        <v>0</v>
      </c>
      <c r="B224" s="21" t="str">
        <f ca="1">IFERROR(__xludf.DUMMYFUNCTION("""COMPUTED_VALUE"""),"0312040040")</f>
        <v>0312040040</v>
      </c>
      <c r="C224" s="121">
        <f ca="1">IFERROR(__xludf.DUMMYFUNCTION("""COMPUTED_VALUE"""),450000)</f>
        <v>450000</v>
      </c>
      <c r="D224" s="21"/>
      <c r="E224" s="21"/>
      <c r="F224" s="121" t="str">
        <f ca="1">IFERROR(__xludf.DUMMYFUNCTION("""COMPUTED_VALUE"""),"No ha consignado platica")</f>
        <v>No ha consignado platica</v>
      </c>
      <c r="G224" s="21"/>
      <c r="H224" s="21"/>
    </row>
    <row r="225" spans="1:8" x14ac:dyDescent="0.2">
      <c r="A225" s="21">
        <f t="shared" si="0"/>
        <v>0</v>
      </c>
      <c r="B225" s="21" t="str">
        <f ca="1">IFERROR(__xludf.DUMMYFUNCTION("""COMPUTED_VALUE"""),"0312040041")</f>
        <v>0312040041</v>
      </c>
      <c r="C225" s="121">
        <f ca="1">IFERROR(__xludf.DUMMYFUNCTION("""COMPUTED_VALUE"""),450000)</f>
        <v>450000</v>
      </c>
      <c r="D225" s="21"/>
      <c r="E225" s="21"/>
      <c r="F225" s="121" t="str">
        <f ca="1">IFERROR(__xludf.DUMMYFUNCTION("""COMPUTED_VALUE"""),"No ha consignado platica")</f>
        <v>No ha consignado platica</v>
      </c>
      <c r="G225" s="21"/>
      <c r="H225" s="21"/>
    </row>
    <row r="226" spans="1:8" x14ac:dyDescent="0.2">
      <c r="A226" s="21">
        <f t="shared" si="0"/>
        <v>0</v>
      </c>
      <c r="B226" s="21" t="str">
        <f ca="1">IFERROR(__xludf.DUMMYFUNCTION("""COMPUTED_VALUE"""),"0312040042")</f>
        <v>0312040042</v>
      </c>
      <c r="C226" s="121">
        <f ca="1">IFERROR(__xludf.DUMMYFUNCTION("""COMPUTED_VALUE"""),450000)</f>
        <v>450000</v>
      </c>
      <c r="D226" s="21"/>
      <c r="E226" s="21"/>
      <c r="F226" s="121" t="str">
        <f ca="1">IFERROR(__xludf.DUMMYFUNCTION("""COMPUTED_VALUE"""),"No ha consignado platica")</f>
        <v>No ha consignado platica</v>
      </c>
      <c r="G226" s="21"/>
      <c r="H226" s="21"/>
    </row>
    <row r="227" spans="1:8" x14ac:dyDescent="0.2">
      <c r="A227" s="21">
        <f t="shared" si="0"/>
        <v>0</v>
      </c>
      <c r="B227" s="21" t="str">
        <f ca="1">IFERROR(__xludf.DUMMYFUNCTION("""COMPUTED_VALUE"""),"0312040043")</f>
        <v>0312040043</v>
      </c>
      <c r="C227" s="121">
        <f ca="1">IFERROR(__xludf.DUMMYFUNCTION("""COMPUTED_VALUE"""),450000)</f>
        <v>450000</v>
      </c>
      <c r="D227" s="21"/>
      <c r="E227" s="21"/>
      <c r="F227" s="121" t="str">
        <f ca="1">IFERROR(__xludf.DUMMYFUNCTION("""COMPUTED_VALUE"""),"No ha consignado platica")</f>
        <v>No ha consignado platica</v>
      </c>
      <c r="G227" s="21"/>
      <c r="H227" s="21"/>
    </row>
    <row r="228" spans="1:8" x14ac:dyDescent="0.2">
      <c r="A228" s="21">
        <f t="shared" si="0"/>
        <v>0</v>
      </c>
      <c r="B228" s="21" t="str">
        <f ca="1">IFERROR(__xludf.DUMMYFUNCTION("""COMPUTED_VALUE"""),"0312040044")</f>
        <v>0312040044</v>
      </c>
      <c r="C228" s="121">
        <f ca="1">IFERROR(__xludf.DUMMYFUNCTION("""COMPUTED_VALUE"""),450000)</f>
        <v>450000</v>
      </c>
      <c r="D228" s="21"/>
      <c r="E228" s="21"/>
      <c r="F228" s="121" t="str">
        <f ca="1">IFERROR(__xludf.DUMMYFUNCTION("""COMPUTED_VALUE"""),"No ha consignado platica")</f>
        <v>No ha consignado platica</v>
      </c>
      <c r="G228" s="21"/>
      <c r="H228" s="21"/>
    </row>
    <row r="229" spans="1:8" x14ac:dyDescent="0.2">
      <c r="A229" s="21">
        <f t="shared" si="0"/>
        <v>0</v>
      </c>
      <c r="B229" s="21" t="str">
        <f ca="1">IFERROR(__xludf.DUMMYFUNCTION("""COMPUTED_VALUE"""),"0312040045")</f>
        <v>0312040045</v>
      </c>
      <c r="C229" s="121">
        <f ca="1">IFERROR(__xludf.DUMMYFUNCTION("""COMPUTED_VALUE"""),450000)</f>
        <v>450000</v>
      </c>
      <c r="D229" s="21"/>
      <c r="E229" s="21"/>
      <c r="F229" s="121" t="str">
        <f ca="1">IFERROR(__xludf.DUMMYFUNCTION("""COMPUTED_VALUE"""),"No ha consignado platica")</f>
        <v>No ha consignado platica</v>
      </c>
      <c r="G229" s="21"/>
      <c r="H229" s="21"/>
    </row>
    <row r="230" spans="1:8" x14ac:dyDescent="0.2">
      <c r="A230" s="21">
        <f t="shared" si="0"/>
        <v>0</v>
      </c>
      <c r="B230" s="21" t="str">
        <f ca="1">IFERROR(__xludf.DUMMYFUNCTION("""COMPUTED_VALUE"""),"0312040046")</f>
        <v>0312040046</v>
      </c>
      <c r="C230" s="121">
        <f ca="1">IFERROR(__xludf.DUMMYFUNCTION("""COMPUTED_VALUE"""),450000)</f>
        <v>450000</v>
      </c>
      <c r="D230" s="21"/>
      <c r="E230" s="21"/>
      <c r="F230" s="121" t="str">
        <f ca="1">IFERROR(__xludf.DUMMYFUNCTION("""COMPUTED_VALUE"""),"No ha consignado platica")</f>
        <v>No ha consignado platica</v>
      </c>
      <c r="G230" s="21"/>
      <c r="H230" s="21"/>
    </row>
    <row r="231" spans="1:8" x14ac:dyDescent="0.2">
      <c r="A231" s="21">
        <f t="shared" si="0"/>
        <v>0</v>
      </c>
      <c r="B231" s="21" t="str">
        <f ca="1">IFERROR(__xludf.DUMMYFUNCTION("""COMPUTED_VALUE"""),"0312040047")</f>
        <v>0312040047</v>
      </c>
      <c r="C231" s="121">
        <f ca="1">IFERROR(__xludf.DUMMYFUNCTION("""COMPUTED_VALUE"""),450000)</f>
        <v>450000</v>
      </c>
      <c r="D231" s="21"/>
      <c r="E231" s="21"/>
      <c r="F231" s="121" t="str">
        <f ca="1">IFERROR(__xludf.DUMMYFUNCTION("""COMPUTED_VALUE"""),"No ha consignado platica")</f>
        <v>No ha consignado platica</v>
      </c>
      <c r="G231" s="21"/>
      <c r="H231" s="21"/>
    </row>
    <row r="232" spans="1:8" x14ac:dyDescent="0.2">
      <c r="A232" s="21">
        <f t="shared" si="0"/>
        <v>0</v>
      </c>
      <c r="B232" s="21" t="str">
        <f ca="1">IFERROR(__xludf.DUMMYFUNCTION("""COMPUTED_VALUE"""),"0312040048")</f>
        <v>0312040048</v>
      </c>
      <c r="C232" s="121">
        <f ca="1">IFERROR(__xludf.DUMMYFUNCTION("""COMPUTED_VALUE"""),450000)</f>
        <v>450000</v>
      </c>
      <c r="D232" s="21"/>
      <c r="E232" s="21"/>
      <c r="F232" s="121" t="str">
        <f ca="1">IFERROR(__xludf.DUMMYFUNCTION("""COMPUTED_VALUE"""),"No ha consignado platica")</f>
        <v>No ha consignado platica</v>
      </c>
      <c r="G232" s="21"/>
      <c r="H232" s="21"/>
    </row>
    <row r="233" spans="1:8" x14ac:dyDescent="0.2">
      <c r="A233" s="21">
        <f t="shared" si="0"/>
        <v>0</v>
      </c>
      <c r="B233" s="21" t="str">
        <f ca="1">IFERROR(__xludf.DUMMYFUNCTION("""COMPUTED_VALUE"""),"0312040049")</f>
        <v>0312040049</v>
      </c>
      <c r="C233" s="121">
        <f ca="1">IFERROR(__xludf.DUMMYFUNCTION("""COMPUTED_VALUE"""),450000)</f>
        <v>450000</v>
      </c>
      <c r="D233" s="21"/>
      <c r="E233" s="21"/>
      <c r="F233" s="121" t="str">
        <f ca="1">IFERROR(__xludf.DUMMYFUNCTION("""COMPUTED_VALUE"""),"No ha consignado platica")</f>
        <v>No ha consignado platica</v>
      </c>
      <c r="G233" s="21"/>
      <c r="H233" s="21"/>
    </row>
    <row r="234" spans="1:8" x14ac:dyDescent="0.2">
      <c r="A234" s="21">
        <f t="shared" si="0"/>
        <v>0</v>
      </c>
      <c r="B234" s="21" t="str">
        <f ca="1">IFERROR(__xludf.DUMMYFUNCTION("""COMPUTED_VALUE"""),"0312040050")</f>
        <v>0312040050</v>
      </c>
      <c r="C234" s="121">
        <f ca="1">IFERROR(__xludf.DUMMYFUNCTION("""COMPUTED_VALUE"""),450000)</f>
        <v>450000</v>
      </c>
      <c r="D234" s="21"/>
      <c r="E234" s="21"/>
      <c r="F234" s="121" t="str">
        <f ca="1">IFERROR(__xludf.DUMMYFUNCTION("""COMPUTED_VALUE"""),"No ha consignado platica")</f>
        <v>No ha consignado platica</v>
      </c>
      <c r="G234" s="21"/>
      <c r="H234" s="21"/>
    </row>
    <row r="235" spans="1:8" x14ac:dyDescent="0.2">
      <c r="A235" s="21">
        <f t="shared" si="0"/>
        <v>0</v>
      </c>
      <c r="B235" s="21" t="str">
        <f ca="1">IFERROR(__xludf.DUMMYFUNCTION("""COMPUTED_VALUE"""),"0312040051")</f>
        <v>0312040051</v>
      </c>
      <c r="C235" s="121">
        <f ca="1">IFERROR(__xludf.DUMMYFUNCTION("""COMPUTED_VALUE"""),450000)</f>
        <v>450000</v>
      </c>
      <c r="D235" s="21"/>
      <c r="E235" s="21"/>
      <c r="F235" s="121" t="str">
        <f ca="1">IFERROR(__xludf.DUMMYFUNCTION("""COMPUTED_VALUE"""),"No ha consignado platica")</f>
        <v>No ha consignado platica</v>
      </c>
      <c r="G235" s="21"/>
      <c r="H235" s="21"/>
    </row>
    <row r="236" spans="1:8" x14ac:dyDescent="0.2">
      <c r="A236" s="21">
        <f t="shared" si="0"/>
        <v>0</v>
      </c>
      <c r="B236" s="21" t="str">
        <f ca="1">IFERROR(__xludf.DUMMYFUNCTION("""COMPUTED_VALUE"""),"0312040052")</f>
        <v>0312040052</v>
      </c>
      <c r="C236" s="121">
        <f ca="1">IFERROR(__xludf.DUMMYFUNCTION("""COMPUTED_VALUE"""),450000)</f>
        <v>450000</v>
      </c>
      <c r="D236" s="21"/>
      <c r="E236" s="21"/>
      <c r="F236" s="121" t="str">
        <f ca="1">IFERROR(__xludf.DUMMYFUNCTION("""COMPUTED_VALUE"""),"No ha consignado platica")</f>
        <v>No ha consignado platica</v>
      </c>
      <c r="G236" s="21"/>
      <c r="H236" s="21"/>
    </row>
    <row r="237" spans="1:8" x14ac:dyDescent="0.2">
      <c r="A237" s="21">
        <f t="shared" si="0"/>
        <v>0</v>
      </c>
      <c r="B237" s="21" t="str">
        <f ca="1">IFERROR(__xludf.DUMMYFUNCTION("""COMPUTED_VALUE"""),"0312040053")</f>
        <v>0312040053</v>
      </c>
      <c r="C237" s="121">
        <f ca="1">IFERROR(__xludf.DUMMYFUNCTION("""COMPUTED_VALUE"""),450000)</f>
        <v>450000</v>
      </c>
      <c r="D237" s="21"/>
      <c r="E237" s="21"/>
      <c r="F237" s="121" t="str">
        <f ca="1">IFERROR(__xludf.DUMMYFUNCTION("""COMPUTED_VALUE"""),"No ha consignado platica")</f>
        <v>No ha consignado platica</v>
      </c>
      <c r="G237" s="21"/>
      <c r="H237" s="21"/>
    </row>
    <row r="238" spans="1:8" x14ac:dyDescent="0.2">
      <c r="A238" s="21">
        <f t="shared" si="0"/>
        <v>0</v>
      </c>
      <c r="B238" s="21" t="str">
        <f ca="1">IFERROR(__xludf.DUMMYFUNCTION("""COMPUTED_VALUE"""),"0312040054")</f>
        <v>0312040054</v>
      </c>
      <c r="C238" s="121">
        <f ca="1">IFERROR(__xludf.DUMMYFUNCTION("""COMPUTED_VALUE"""),450000)</f>
        <v>450000</v>
      </c>
      <c r="D238" s="21"/>
      <c r="E238" s="21"/>
      <c r="F238" s="121" t="str">
        <f ca="1">IFERROR(__xludf.DUMMYFUNCTION("""COMPUTED_VALUE"""),"No ha consignado platica")</f>
        <v>No ha consignado platica</v>
      </c>
      <c r="G238" s="21"/>
      <c r="H238" s="21"/>
    </row>
    <row r="239" spans="1:8" x14ac:dyDescent="0.2">
      <c r="A239" s="21">
        <f t="shared" si="0"/>
        <v>0</v>
      </c>
      <c r="B239" s="21" t="str">
        <f ca="1">IFERROR(__xludf.DUMMYFUNCTION("""COMPUTED_VALUE"""),"0312040055")</f>
        <v>0312040055</v>
      </c>
      <c r="C239" s="121">
        <f ca="1">IFERROR(__xludf.DUMMYFUNCTION("""COMPUTED_VALUE"""),450000)</f>
        <v>450000</v>
      </c>
      <c r="D239" s="21"/>
      <c r="E239" s="21"/>
      <c r="F239" s="121" t="str">
        <f ca="1">IFERROR(__xludf.DUMMYFUNCTION("""COMPUTED_VALUE"""),"No ha consignado platica")</f>
        <v>No ha consignado platica</v>
      </c>
      <c r="G239" s="21"/>
      <c r="H239" s="21"/>
    </row>
    <row r="240" spans="1:8" x14ac:dyDescent="0.2">
      <c r="A240" s="21">
        <f t="shared" si="0"/>
        <v>0</v>
      </c>
      <c r="B240" s="21" t="str">
        <f ca="1">IFERROR(__xludf.DUMMYFUNCTION("""COMPUTED_VALUE"""),"0312040056")</f>
        <v>0312040056</v>
      </c>
      <c r="C240" s="121">
        <f ca="1">IFERROR(__xludf.DUMMYFUNCTION("""COMPUTED_VALUE"""),450000)</f>
        <v>450000</v>
      </c>
      <c r="D240" s="21"/>
      <c r="E240" s="21"/>
      <c r="F240" s="121" t="str">
        <f ca="1">IFERROR(__xludf.DUMMYFUNCTION("""COMPUTED_VALUE"""),"No ha consignado platica")</f>
        <v>No ha consignado platica</v>
      </c>
      <c r="G240" s="21"/>
      <c r="H240" s="21"/>
    </row>
    <row r="241" spans="1:8" x14ac:dyDescent="0.2">
      <c r="A241" s="21">
        <f t="shared" si="0"/>
        <v>0</v>
      </c>
      <c r="B241" s="21" t="str">
        <f ca="1">IFERROR(__xludf.DUMMYFUNCTION("""COMPUTED_VALUE"""),"0312040057")</f>
        <v>0312040057</v>
      </c>
      <c r="C241" s="121">
        <f ca="1">IFERROR(__xludf.DUMMYFUNCTION("""COMPUTED_VALUE"""),450000)</f>
        <v>450000</v>
      </c>
      <c r="D241" s="21"/>
      <c r="E241" s="21"/>
      <c r="F241" s="121" t="str">
        <f ca="1">IFERROR(__xludf.DUMMYFUNCTION("""COMPUTED_VALUE"""),"No ha consignado platica")</f>
        <v>No ha consignado platica</v>
      </c>
      <c r="G241" s="21"/>
      <c r="H241" s="21"/>
    </row>
    <row r="242" spans="1:8" x14ac:dyDescent="0.2">
      <c r="A242" s="21">
        <f t="shared" si="0"/>
        <v>0</v>
      </c>
      <c r="B242" s="21" t="str">
        <f ca="1">IFERROR(__xludf.DUMMYFUNCTION("""COMPUTED_VALUE"""),"0312040058")</f>
        <v>0312040058</v>
      </c>
      <c r="C242" s="121">
        <f ca="1">IFERROR(__xludf.DUMMYFUNCTION("""COMPUTED_VALUE"""),450000)</f>
        <v>450000</v>
      </c>
      <c r="D242" s="21"/>
      <c r="E242" s="21"/>
      <c r="F242" s="121" t="str">
        <f ca="1">IFERROR(__xludf.DUMMYFUNCTION("""COMPUTED_VALUE"""),"No ha consignado platica")</f>
        <v>No ha consignado platica</v>
      </c>
      <c r="G242" s="21"/>
      <c r="H242" s="21"/>
    </row>
    <row r="243" spans="1:8" x14ac:dyDescent="0.2">
      <c r="A243" s="21">
        <f t="shared" si="0"/>
        <v>0</v>
      </c>
      <c r="B243" s="21" t="str">
        <f ca="1">IFERROR(__xludf.DUMMYFUNCTION("""COMPUTED_VALUE"""),"0312040059")</f>
        <v>0312040059</v>
      </c>
      <c r="C243" s="121">
        <f ca="1">IFERROR(__xludf.DUMMYFUNCTION("""COMPUTED_VALUE"""),450000)</f>
        <v>450000</v>
      </c>
      <c r="D243" s="21"/>
      <c r="E243" s="21"/>
      <c r="F243" s="121" t="str">
        <f ca="1">IFERROR(__xludf.DUMMYFUNCTION("""COMPUTED_VALUE"""),"No ha consignado platica")</f>
        <v>No ha consignado platica</v>
      </c>
      <c r="G243" s="21"/>
      <c r="H243" s="21"/>
    </row>
    <row r="244" spans="1:8" x14ac:dyDescent="0.2">
      <c r="A244" s="21">
        <f t="shared" si="0"/>
        <v>0</v>
      </c>
      <c r="B244" s="21" t="str">
        <f ca="1">IFERROR(__xludf.DUMMYFUNCTION("""COMPUTED_VALUE"""),"0312040060")</f>
        <v>0312040060</v>
      </c>
      <c r="C244" s="121">
        <f ca="1">IFERROR(__xludf.DUMMYFUNCTION("""COMPUTED_VALUE"""),450000)</f>
        <v>450000</v>
      </c>
      <c r="D244" s="21"/>
      <c r="E244" s="21"/>
      <c r="F244" s="121" t="str">
        <f ca="1">IFERROR(__xludf.DUMMYFUNCTION("""COMPUTED_VALUE"""),"No ha consignado platica")</f>
        <v>No ha consignado platica</v>
      </c>
      <c r="G244" s="21"/>
      <c r="H244" s="21"/>
    </row>
    <row r="245" spans="1:8" x14ac:dyDescent="0.2">
      <c r="A245" s="21">
        <f t="shared" si="0"/>
        <v>0</v>
      </c>
      <c r="B245" s="21" t="str">
        <f ca="1">IFERROR(__xludf.DUMMYFUNCTION("""COMPUTED_VALUE"""),"0312040061")</f>
        <v>0312040061</v>
      </c>
      <c r="C245" s="121">
        <f ca="1">IFERROR(__xludf.DUMMYFUNCTION("""COMPUTED_VALUE"""),450000)</f>
        <v>450000</v>
      </c>
      <c r="D245" s="21"/>
      <c r="E245" s="21"/>
      <c r="F245" s="121" t="str">
        <f ca="1">IFERROR(__xludf.DUMMYFUNCTION("""COMPUTED_VALUE"""),"No ha consignado platica")</f>
        <v>No ha consignado platica</v>
      </c>
      <c r="G245" s="21"/>
      <c r="H245" s="21"/>
    </row>
    <row r="246" spans="1:8" x14ac:dyDescent="0.2">
      <c r="A246" s="21">
        <f t="shared" si="0"/>
        <v>0</v>
      </c>
      <c r="B246" s="21" t="str">
        <f ca="1">IFERROR(__xludf.DUMMYFUNCTION("""COMPUTED_VALUE"""),"0312040062")</f>
        <v>0312040062</v>
      </c>
      <c r="C246" s="121">
        <f ca="1">IFERROR(__xludf.DUMMYFUNCTION("""COMPUTED_VALUE"""),450000)</f>
        <v>450000</v>
      </c>
      <c r="D246" s="21"/>
      <c r="E246" s="21"/>
      <c r="F246" s="121" t="str">
        <f ca="1">IFERROR(__xludf.DUMMYFUNCTION("""COMPUTED_VALUE"""),"No ha consignado platica")</f>
        <v>No ha consignado platica</v>
      </c>
      <c r="G246" s="21"/>
      <c r="H246" s="21"/>
    </row>
    <row r="247" spans="1:8" x14ac:dyDescent="0.2">
      <c r="A247" s="21">
        <f t="shared" si="0"/>
        <v>0</v>
      </c>
      <c r="B247" s="21" t="str">
        <f ca="1">IFERROR(__xludf.DUMMYFUNCTION("""COMPUTED_VALUE"""),"0312040063")</f>
        <v>0312040063</v>
      </c>
      <c r="C247" s="121">
        <f ca="1">IFERROR(__xludf.DUMMYFUNCTION("""COMPUTED_VALUE"""),450000)</f>
        <v>450000</v>
      </c>
      <c r="D247" s="21"/>
      <c r="E247" s="21"/>
      <c r="F247" s="121" t="str">
        <f ca="1">IFERROR(__xludf.DUMMYFUNCTION("""COMPUTED_VALUE"""),"No ha consignado platica")</f>
        <v>No ha consignado platica</v>
      </c>
      <c r="G247" s="21"/>
      <c r="H247" s="21"/>
    </row>
    <row r="248" spans="1:8" x14ac:dyDescent="0.2">
      <c r="A248" s="21">
        <f t="shared" si="0"/>
        <v>0</v>
      </c>
      <c r="B248" s="21" t="str">
        <f ca="1">IFERROR(__xludf.DUMMYFUNCTION("""COMPUTED_VALUE"""),"0312040064")</f>
        <v>0312040064</v>
      </c>
      <c r="C248" s="121">
        <f ca="1">IFERROR(__xludf.DUMMYFUNCTION("""COMPUTED_VALUE"""),450000)</f>
        <v>450000</v>
      </c>
      <c r="D248" s="21"/>
      <c r="E248" s="21"/>
      <c r="F248" s="121" t="str">
        <f ca="1">IFERROR(__xludf.DUMMYFUNCTION("""COMPUTED_VALUE"""),"No ha consignado platica")</f>
        <v>No ha consignado platica</v>
      </c>
      <c r="G248" s="21"/>
      <c r="H248" s="21"/>
    </row>
    <row r="249" spans="1:8" x14ac:dyDescent="0.2">
      <c r="A249" s="21">
        <f t="shared" si="0"/>
        <v>0</v>
      </c>
      <c r="B249" s="21" t="str">
        <f ca="1">IFERROR(__xludf.DUMMYFUNCTION("""COMPUTED_VALUE"""),"0312040065")</f>
        <v>0312040065</v>
      </c>
      <c r="C249" s="121">
        <f ca="1">IFERROR(__xludf.DUMMYFUNCTION("""COMPUTED_VALUE"""),450000)</f>
        <v>450000</v>
      </c>
      <c r="D249" s="21"/>
      <c r="E249" s="21"/>
      <c r="F249" s="121" t="str">
        <f ca="1">IFERROR(__xludf.DUMMYFUNCTION("""COMPUTED_VALUE"""),"No ha consignado platica")</f>
        <v>No ha consignado platica</v>
      </c>
      <c r="G249" s="21"/>
      <c r="H249" s="21"/>
    </row>
    <row r="250" spans="1:8" x14ac:dyDescent="0.2">
      <c r="A250" s="21">
        <f t="shared" si="0"/>
        <v>0</v>
      </c>
      <c r="B250" s="21" t="str">
        <f ca="1">IFERROR(__xludf.DUMMYFUNCTION("""COMPUTED_VALUE"""),"0312040066")</f>
        <v>0312040066</v>
      </c>
      <c r="C250" s="121">
        <f ca="1">IFERROR(__xludf.DUMMYFUNCTION("""COMPUTED_VALUE"""),450000)</f>
        <v>450000</v>
      </c>
      <c r="D250" s="21"/>
      <c r="E250" s="21"/>
      <c r="F250" s="121" t="str">
        <f ca="1">IFERROR(__xludf.DUMMYFUNCTION("""COMPUTED_VALUE"""),"No ha consignado platica")</f>
        <v>No ha consignado platica</v>
      </c>
      <c r="G250" s="21"/>
      <c r="H250" s="21"/>
    </row>
    <row r="251" spans="1:8" x14ac:dyDescent="0.2">
      <c r="A251" s="21">
        <f t="shared" si="0"/>
        <v>0</v>
      </c>
      <c r="B251" s="21" t="str">
        <f ca="1">IFERROR(__xludf.DUMMYFUNCTION("""COMPUTED_VALUE"""),"0312040067")</f>
        <v>0312040067</v>
      </c>
      <c r="C251" s="121">
        <f ca="1">IFERROR(__xludf.DUMMYFUNCTION("""COMPUTED_VALUE"""),450000)</f>
        <v>450000</v>
      </c>
      <c r="D251" s="21"/>
      <c r="E251" s="21"/>
      <c r="F251" s="121" t="str">
        <f ca="1">IFERROR(__xludf.DUMMYFUNCTION("""COMPUTED_VALUE"""),"No ha consignado platica")</f>
        <v>No ha consignado platica</v>
      </c>
      <c r="G251" s="21"/>
      <c r="H251" s="21"/>
    </row>
    <row r="252" spans="1:8" x14ac:dyDescent="0.2">
      <c r="A252" s="21">
        <f t="shared" si="0"/>
        <v>0</v>
      </c>
      <c r="B252" s="21" t="str">
        <f ca="1">IFERROR(__xludf.DUMMYFUNCTION("""COMPUTED_VALUE"""),"0312040068")</f>
        <v>0312040068</v>
      </c>
      <c r="C252" s="121">
        <f ca="1">IFERROR(__xludf.DUMMYFUNCTION("""COMPUTED_VALUE"""),450000)</f>
        <v>450000</v>
      </c>
      <c r="D252" s="21"/>
      <c r="E252" s="21"/>
      <c r="F252" s="121" t="str">
        <f ca="1">IFERROR(__xludf.DUMMYFUNCTION("""COMPUTED_VALUE"""),"No ha consignado platica")</f>
        <v>No ha consignado platica</v>
      </c>
      <c r="G252" s="21"/>
      <c r="H252" s="21"/>
    </row>
    <row r="253" spans="1:8" x14ac:dyDescent="0.2">
      <c r="A253" s="21">
        <f t="shared" si="0"/>
        <v>0</v>
      </c>
      <c r="B253" s="21" t="str">
        <f ca="1">IFERROR(__xludf.DUMMYFUNCTION("""COMPUTED_VALUE"""),"0312040069")</f>
        <v>0312040069</v>
      </c>
      <c r="C253" s="121">
        <f ca="1">IFERROR(__xludf.DUMMYFUNCTION("""COMPUTED_VALUE"""),450000)</f>
        <v>450000</v>
      </c>
      <c r="D253" s="21"/>
      <c r="E253" s="21"/>
      <c r="F253" s="121" t="str">
        <f ca="1">IFERROR(__xludf.DUMMYFUNCTION("""COMPUTED_VALUE"""),"No ha consignado platica")</f>
        <v>No ha consignado platica</v>
      </c>
      <c r="G253" s="21"/>
      <c r="H253" s="21"/>
    </row>
    <row r="254" spans="1:8" x14ac:dyDescent="0.2">
      <c r="A254" s="21">
        <f t="shared" si="0"/>
        <v>0</v>
      </c>
      <c r="B254" s="21" t="str">
        <f ca="1">IFERROR(__xludf.DUMMYFUNCTION("""COMPUTED_VALUE"""),"0312040070")</f>
        <v>0312040070</v>
      </c>
      <c r="C254" s="121">
        <f ca="1">IFERROR(__xludf.DUMMYFUNCTION("""COMPUTED_VALUE"""),450000)</f>
        <v>450000</v>
      </c>
      <c r="D254" s="21"/>
      <c r="E254" s="21"/>
      <c r="F254" s="121" t="str">
        <f ca="1">IFERROR(__xludf.DUMMYFUNCTION("""COMPUTED_VALUE"""),"No ha consignado platica")</f>
        <v>No ha consignado platica</v>
      </c>
      <c r="G254" s="21"/>
      <c r="H254" s="21"/>
    </row>
    <row r="255" spans="1:8" x14ac:dyDescent="0.2">
      <c r="A255" s="21">
        <f t="shared" si="0"/>
        <v>0</v>
      </c>
      <c r="B255" s="21" t="str">
        <f ca="1">IFERROR(__xludf.DUMMYFUNCTION("""COMPUTED_VALUE"""),"0312040071")</f>
        <v>0312040071</v>
      </c>
      <c r="C255" s="121">
        <f ca="1">IFERROR(__xludf.DUMMYFUNCTION("""COMPUTED_VALUE"""),450000)</f>
        <v>450000</v>
      </c>
      <c r="D255" s="21"/>
      <c r="E255" s="21"/>
      <c r="F255" s="121" t="str">
        <f ca="1">IFERROR(__xludf.DUMMYFUNCTION("""COMPUTED_VALUE"""),"No ha consignado platica")</f>
        <v>No ha consignado platica</v>
      </c>
      <c r="G255" s="21"/>
      <c r="H255" s="21"/>
    </row>
    <row r="256" spans="1:8" x14ac:dyDescent="0.2">
      <c r="A256" s="21">
        <f t="shared" ref="A256:A510" si="1">H256</f>
        <v>0</v>
      </c>
      <c r="B256" s="21" t="str">
        <f ca="1">IFERROR(__xludf.DUMMYFUNCTION("""COMPUTED_VALUE"""),"0312040072")</f>
        <v>0312040072</v>
      </c>
      <c r="C256" s="121">
        <f ca="1">IFERROR(__xludf.DUMMYFUNCTION("""COMPUTED_VALUE"""),450000)</f>
        <v>450000</v>
      </c>
      <c r="D256" s="21"/>
      <c r="E256" s="21"/>
      <c r="F256" s="121" t="str">
        <f ca="1">IFERROR(__xludf.DUMMYFUNCTION("""COMPUTED_VALUE"""),"No ha consignado platica")</f>
        <v>No ha consignado platica</v>
      </c>
      <c r="G256" s="21"/>
      <c r="H256" s="21"/>
    </row>
    <row r="257" spans="1:8" x14ac:dyDescent="0.2">
      <c r="A257" s="21">
        <f t="shared" si="1"/>
        <v>0</v>
      </c>
      <c r="B257" s="21" t="str">
        <f ca="1">IFERROR(__xludf.DUMMYFUNCTION("""COMPUTED_VALUE"""),"0312040073")</f>
        <v>0312040073</v>
      </c>
      <c r="C257" s="121">
        <f ca="1">IFERROR(__xludf.DUMMYFUNCTION("""COMPUTED_VALUE"""),450000)</f>
        <v>450000</v>
      </c>
      <c r="D257" s="21"/>
      <c r="E257" s="21"/>
      <c r="F257" s="121" t="str">
        <f ca="1">IFERROR(__xludf.DUMMYFUNCTION("""COMPUTED_VALUE"""),"No ha consignado platica")</f>
        <v>No ha consignado platica</v>
      </c>
      <c r="G257" s="21"/>
      <c r="H257" s="21"/>
    </row>
    <row r="258" spans="1:8" x14ac:dyDescent="0.2">
      <c r="A258" s="21">
        <f t="shared" si="1"/>
        <v>0</v>
      </c>
      <c r="B258" s="21" t="str">
        <f ca="1">IFERROR(__xludf.DUMMYFUNCTION("""COMPUTED_VALUE"""),"0312040074")</f>
        <v>0312040074</v>
      </c>
      <c r="C258" s="121">
        <f ca="1">IFERROR(__xludf.DUMMYFUNCTION("""COMPUTED_VALUE"""),450000)</f>
        <v>450000</v>
      </c>
      <c r="D258" s="21"/>
      <c r="E258" s="21"/>
      <c r="F258" s="121" t="str">
        <f ca="1">IFERROR(__xludf.DUMMYFUNCTION("""COMPUTED_VALUE"""),"No ha consignado platica")</f>
        <v>No ha consignado platica</v>
      </c>
      <c r="G258" s="21"/>
      <c r="H258" s="21"/>
    </row>
    <row r="259" spans="1:8" x14ac:dyDescent="0.2">
      <c r="A259" s="21">
        <f t="shared" si="1"/>
        <v>0</v>
      </c>
      <c r="B259" s="21" t="str">
        <f ca="1">IFERROR(__xludf.DUMMYFUNCTION("""COMPUTED_VALUE"""),"0312040075")</f>
        <v>0312040075</v>
      </c>
      <c r="C259" s="121">
        <f ca="1">IFERROR(__xludf.DUMMYFUNCTION("""COMPUTED_VALUE"""),450000)</f>
        <v>450000</v>
      </c>
      <c r="D259" s="21"/>
      <c r="E259" s="21"/>
      <c r="F259" s="121" t="str">
        <f ca="1">IFERROR(__xludf.DUMMYFUNCTION("""COMPUTED_VALUE"""),"No ha consignado platica")</f>
        <v>No ha consignado platica</v>
      </c>
      <c r="G259" s="21"/>
      <c r="H259" s="21"/>
    </row>
    <row r="260" spans="1:8" x14ac:dyDescent="0.2">
      <c r="A260" s="21">
        <f t="shared" si="1"/>
        <v>0</v>
      </c>
      <c r="B260" s="21" t="str">
        <f ca="1">IFERROR(__xludf.DUMMYFUNCTION("""COMPUTED_VALUE"""),"0312040076")</f>
        <v>0312040076</v>
      </c>
      <c r="C260" s="121">
        <f ca="1">IFERROR(__xludf.DUMMYFUNCTION("""COMPUTED_VALUE"""),450000)</f>
        <v>450000</v>
      </c>
      <c r="D260" s="21"/>
      <c r="E260" s="21"/>
      <c r="F260" s="121" t="str">
        <f ca="1">IFERROR(__xludf.DUMMYFUNCTION("""COMPUTED_VALUE"""),"No ha consignado platica")</f>
        <v>No ha consignado platica</v>
      </c>
      <c r="G260" s="21"/>
      <c r="H260" s="21"/>
    </row>
    <row r="261" spans="1:8" x14ac:dyDescent="0.2">
      <c r="A261" s="21">
        <f t="shared" si="1"/>
        <v>0</v>
      </c>
      <c r="B261" s="21" t="str">
        <f ca="1">IFERROR(__xludf.DUMMYFUNCTION("""COMPUTED_VALUE"""),"0312040077")</f>
        <v>0312040077</v>
      </c>
      <c r="C261" s="121">
        <f ca="1">IFERROR(__xludf.DUMMYFUNCTION("""COMPUTED_VALUE"""),450000)</f>
        <v>450000</v>
      </c>
      <c r="D261" s="21"/>
      <c r="E261" s="21"/>
      <c r="F261" s="121" t="str">
        <f ca="1">IFERROR(__xludf.DUMMYFUNCTION("""COMPUTED_VALUE"""),"No ha consignado platica")</f>
        <v>No ha consignado platica</v>
      </c>
      <c r="G261" s="21"/>
      <c r="H261" s="21"/>
    </row>
    <row r="262" spans="1:8" x14ac:dyDescent="0.2">
      <c r="A262" s="21">
        <f t="shared" si="1"/>
        <v>0</v>
      </c>
      <c r="B262" s="21" t="str">
        <f ca="1">IFERROR(__xludf.DUMMYFUNCTION("""COMPUTED_VALUE"""),"0312040078")</f>
        <v>0312040078</v>
      </c>
      <c r="C262" s="121">
        <f ca="1">IFERROR(__xludf.DUMMYFUNCTION("""COMPUTED_VALUE"""),450000)</f>
        <v>450000</v>
      </c>
      <c r="D262" s="21"/>
      <c r="E262" s="21"/>
      <c r="F262" s="121" t="str">
        <f ca="1">IFERROR(__xludf.DUMMYFUNCTION("""COMPUTED_VALUE"""),"No ha consignado platica")</f>
        <v>No ha consignado platica</v>
      </c>
      <c r="G262" s="21"/>
      <c r="H262" s="21"/>
    </row>
    <row r="263" spans="1:8" x14ac:dyDescent="0.2">
      <c r="A263" s="21">
        <f t="shared" si="1"/>
        <v>0</v>
      </c>
      <c r="B263" s="21" t="str">
        <f ca="1">IFERROR(__xludf.DUMMYFUNCTION("""COMPUTED_VALUE"""),"0312040079")</f>
        <v>0312040079</v>
      </c>
      <c r="C263" s="121">
        <f ca="1">IFERROR(__xludf.DUMMYFUNCTION("""COMPUTED_VALUE"""),450000)</f>
        <v>450000</v>
      </c>
      <c r="D263" s="21"/>
      <c r="E263" s="21"/>
      <c r="F263" s="121" t="str">
        <f ca="1">IFERROR(__xludf.DUMMYFUNCTION("""COMPUTED_VALUE"""),"No ha consignado platica")</f>
        <v>No ha consignado platica</v>
      </c>
      <c r="G263" s="21"/>
      <c r="H263" s="21"/>
    </row>
    <row r="264" spans="1:8" x14ac:dyDescent="0.2">
      <c r="A264" s="21">
        <f t="shared" si="1"/>
        <v>0</v>
      </c>
      <c r="B264" s="21" t="str">
        <f ca="1">IFERROR(__xludf.DUMMYFUNCTION("""COMPUTED_VALUE"""),"0312040080")</f>
        <v>0312040080</v>
      </c>
      <c r="C264" s="121">
        <f ca="1">IFERROR(__xludf.DUMMYFUNCTION("""COMPUTED_VALUE"""),450000)</f>
        <v>450000</v>
      </c>
      <c r="D264" s="21"/>
      <c r="E264" s="21"/>
      <c r="F264" s="121" t="str">
        <f ca="1">IFERROR(__xludf.DUMMYFUNCTION("""COMPUTED_VALUE"""),"No ha consignado platica")</f>
        <v>No ha consignado platica</v>
      </c>
      <c r="G264" s="21"/>
      <c r="H264" s="21"/>
    </row>
    <row r="265" spans="1:8" x14ac:dyDescent="0.2">
      <c r="A265" s="21">
        <f t="shared" si="1"/>
        <v>0</v>
      </c>
      <c r="B265" s="21" t="str">
        <f ca="1">IFERROR(__xludf.DUMMYFUNCTION("""COMPUTED_VALUE"""),"0312040081")</f>
        <v>0312040081</v>
      </c>
      <c r="C265" s="121">
        <f ca="1">IFERROR(__xludf.DUMMYFUNCTION("""COMPUTED_VALUE"""),450000)</f>
        <v>450000</v>
      </c>
      <c r="D265" s="21"/>
      <c r="E265" s="21"/>
      <c r="F265" s="121" t="str">
        <f ca="1">IFERROR(__xludf.DUMMYFUNCTION("""COMPUTED_VALUE"""),"No ha consignado platica")</f>
        <v>No ha consignado platica</v>
      </c>
      <c r="G265" s="21"/>
      <c r="H265" s="21"/>
    </row>
    <row r="266" spans="1:8" x14ac:dyDescent="0.2">
      <c r="A266" s="21">
        <f t="shared" si="1"/>
        <v>0</v>
      </c>
      <c r="B266" s="21" t="str">
        <f ca="1">IFERROR(__xludf.DUMMYFUNCTION("""COMPUTED_VALUE"""),"0312040082")</f>
        <v>0312040082</v>
      </c>
      <c r="C266" s="121">
        <f ca="1">IFERROR(__xludf.DUMMYFUNCTION("""COMPUTED_VALUE"""),450000)</f>
        <v>450000</v>
      </c>
      <c r="D266" s="21"/>
      <c r="E266" s="21"/>
      <c r="F266" s="121" t="str">
        <f ca="1">IFERROR(__xludf.DUMMYFUNCTION("""COMPUTED_VALUE"""),"No ha consignado platica")</f>
        <v>No ha consignado platica</v>
      </c>
      <c r="G266" s="21"/>
      <c r="H266" s="21"/>
    </row>
    <row r="267" spans="1:8" x14ac:dyDescent="0.2">
      <c r="A267" s="21">
        <f t="shared" si="1"/>
        <v>0</v>
      </c>
      <c r="B267" s="21" t="str">
        <f ca="1">IFERROR(__xludf.DUMMYFUNCTION("""COMPUTED_VALUE"""),"0312040083")</f>
        <v>0312040083</v>
      </c>
      <c r="C267" s="121">
        <f ca="1">IFERROR(__xludf.DUMMYFUNCTION("""COMPUTED_VALUE"""),450000)</f>
        <v>450000</v>
      </c>
      <c r="D267" s="21"/>
      <c r="E267" s="21"/>
      <c r="F267" s="121" t="str">
        <f ca="1">IFERROR(__xludf.DUMMYFUNCTION("""COMPUTED_VALUE"""),"No ha consignado platica")</f>
        <v>No ha consignado platica</v>
      </c>
      <c r="G267" s="21"/>
      <c r="H267" s="21"/>
    </row>
    <row r="268" spans="1:8" x14ac:dyDescent="0.2">
      <c r="A268" s="21">
        <f t="shared" si="1"/>
        <v>0</v>
      </c>
      <c r="B268" s="21" t="str">
        <f ca="1">IFERROR(__xludf.DUMMYFUNCTION("""COMPUTED_VALUE"""),"0312040084")</f>
        <v>0312040084</v>
      </c>
      <c r="C268" s="121">
        <f ca="1">IFERROR(__xludf.DUMMYFUNCTION("""COMPUTED_VALUE"""),450000)</f>
        <v>450000</v>
      </c>
      <c r="D268" s="21"/>
      <c r="E268" s="21"/>
      <c r="F268" s="121" t="str">
        <f ca="1">IFERROR(__xludf.DUMMYFUNCTION("""COMPUTED_VALUE"""),"No ha consignado platica")</f>
        <v>No ha consignado platica</v>
      </c>
      <c r="G268" s="21"/>
      <c r="H268" s="21"/>
    </row>
    <row r="269" spans="1:8" x14ac:dyDescent="0.2">
      <c r="A269" s="21">
        <f t="shared" si="1"/>
        <v>0</v>
      </c>
      <c r="B269" s="21" t="str">
        <f ca="1">IFERROR(__xludf.DUMMYFUNCTION("""COMPUTED_VALUE"""),"0312040085")</f>
        <v>0312040085</v>
      </c>
      <c r="C269" s="121">
        <f ca="1">IFERROR(__xludf.DUMMYFUNCTION("""COMPUTED_VALUE"""),450000)</f>
        <v>450000</v>
      </c>
      <c r="D269" s="21"/>
      <c r="E269" s="21"/>
      <c r="F269" s="121" t="str">
        <f ca="1">IFERROR(__xludf.DUMMYFUNCTION("""COMPUTED_VALUE"""),"No ha consignado platica")</f>
        <v>No ha consignado platica</v>
      </c>
      <c r="G269" s="21"/>
      <c r="H269" s="21"/>
    </row>
    <row r="270" spans="1:8" x14ac:dyDescent="0.2">
      <c r="A270" s="21">
        <f t="shared" si="1"/>
        <v>0</v>
      </c>
      <c r="B270" s="21" t="str">
        <f ca="1">IFERROR(__xludf.DUMMYFUNCTION("""COMPUTED_VALUE"""),"0312040086")</f>
        <v>0312040086</v>
      </c>
      <c r="C270" s="121">
        <f ca="1">IFERROR(__xludf.DUMMYFUNCTION("""COMPUTED_VALUE"""),450000)</f>
        <v>450000</v>
      </c>
      <c r="D270" s="21"/>
      <c r="E270" s="21"/>
      <c r="F270" s="121" t="str">
        <f ca="1">IFERROR(__xludf.DUMMYFUNCTION("""COMPUTED_VALUE"""),"No ha consignado platica")</f>
        <v>No ha consignado platica</v>
      </c>
      <c r="G270" s="21"/>
      <c r="H270" s="21"/>
    </row>
    <row r="271" spans="1:8" x14ac:dyDescent="0.2">
      <c r="A271" s="21">
        <f t="shared" si="1"/>
        <v>0</v>
      </c>
      <c r="B271" s="21" t="str">
        <f ca="1">IFERROR(__xludf.DUMMYFUNCTION("""COMPUTED_VALUE"""),"0312040087")</f>
        <v>0312040087</v>
      </c>
      <c r="C271" s="121">
        <f ca="1">IFERROR(__xludf.DUMMYFUNCTION("""COMPUTED_VALUE"""),450000)</f>
        <v>450000</v>
      </c>
      <c r="D271" s="21"/>
      <c r="E271" s="21"/>
      <c r="F271" s="121" t="str">
        <f ca="1">IFERROR(__xludf.DUMMYFUNCTION("""COMPUTED_VALUE"""),"No ha consignado platica")</f>
        <v>No ha consignado platica</v>
      </c>
      <c r="G271" s="21"/>
      <c r="H271" s="21"/>
    </row>
    <row r="272" spans="1:8" x14ac:dyDescent="0.2">
      <c r="A272" s="21">
        <f t="shared" si="1"/>
        <v>0</v>
      </c>
      <c r="B272" s="21" t="str">
        <f ca="1">IFERROR(__xludf.DUMMYFUNCTION("""COMPUTED_VALUE"""),"0312040088")</f>
        <v>0312040088</v>
      </c>
      <c r="C272" s="121">
        <f ca="1">IFERROR(__xludf.DUMMYFUNCTION("""COMPUTED_VALUE"""),450000)</f>
        <v>450000</v>
      </c>
      <c r="D272" s="21"/>
      <c r="E272" s="21"/>
      <c r="F272" s="121" t="str">
        <f ca="1">IFERROR(__xludf.DUMMYFUNCTION("""COMPUTED_VALUE"""),"No ha consignado platica")</f>
        <v>No ha consignado platica</v>
      </c>
      <c r="G272" s="21"/>
      <c r="H272" s="21"/>
    </row>
    <row r="273" spans="1:8" x14ac:dyDescent="0.2">
      <c r="A273" s="21">
        <f t="shared" si="1"/>
        <v>0</v>
      </c>
      <c r="B273" s="21" t="str">
        <f ca="1">IFERROR(__xludf.DUMMYFUNCTION("""COMPUTED_VALUE"""),"0312040089")</f>
        <v>0312040089</v>
      </c>
      <c r="C273" s="121">
        <f ca="1">IFERROR(__xludf.DUMMYFUNCTION("""COMPUTED_VALUE"""),450000)</f>
        <v>450000</v>
      </c>
      <c r="D273" s="21"/>
      <c r="E273" s="21"/>
      <c r="F273" s="121" t="str">
        <f ca="1">IFERROR(__xludf.DUMMYFUNCTION("""COMPUTED_VALUE"""),"No ha consignado platica")</f>
        <v>No ha consignado platica</v>
      </c>
      <c r="G273" s="21"/>
      <c r="H273" s="21"/>
    </row>
    <row r="274" spans="1:8" x14ac:dyDescent="0.2">
      <c r="A274" s="21">
        <f t="shared" si="1"/>
        <v>0</v>
      </c>
      <c r="B274" s="21" t="str">
        <f ca="1">IFERROR(__xludf.DUMMYFUNCTION("""COMPUTED_VALUE"""),"0312040090")</f>
        <v>0312040090</v>
      </c>
      <c r="C274" s="121">
        <f ca="1">IFERROR(__xludf.DUMMYFUNCTION("""COMPUTED_VALUE"""),450000)</f>
        <v>450000</v>
      </c>
      <c r="D274" s="21"/>
      <c r="E274" s="21"/>
      <c r="F274" s="121" t="str">
        <f ca="1">IFERROR(__xludf.DUMMYFUNCTION("""COMPUTED_VALUE"""),"No ha consignado platica")</f>
        <v>No ha consignado platica</v>
      </c>
      <c r="G274" s="21"/>
      <c r="H274" s="21"/>
    </row>
    <row r="275" spans="1:8" x14ac:dyDescent="0.2">
      <c r="A275" s="21">
        <f t="shared" si="1"/>
        <v>0</v>
      </c>
      <c r="B275" s="21" t="str">
        <f ca="1">IFERROR(__xludf.DUMMYFUNCTION("""COMPUTED_VALUE"""),"0312040091")</f>
        <v>0312040091</v>
      </c>
      <c r="C275" s="121">
        <f ca="1">IFERROR(__xludf.DUMMYFUNCTION("""COMPUTED_VALUE"""),450000)</f>
        <v>450000</v>
      </c>
      <c r="D275" s="21"/>
      <c r="E275" s="21"/>
      <c r="F275" s="121" t="str">
        <f ca="1">IFERROR(__xludf.DUMMYFUNCTION("""COMPUTED_VALUE"""),"No ha consignado platica")</f>
        <v>No ha consignado platica</v>
      </c>
      <c r="G275" s="21"/>
      <c r="H275" s="21"/>
    </row>
    <row r="276" spans="1:8" x14ac:dyDescent="0.2">
      <c r="A276" s="21">
        <f t="shared" si="1"/>
        <v>0</v>
      </c>
      <c r="B276" s="21" t="str">
        <f ca="1">IFERROR(__xludf.DUMMYFUNCTION("""COMPUTED_VALUE"""),"0312040092")</f>
        <v>0312040092</v>
      </c>
      <c r="C276" s="121">
        <f ca="1">IFERROR(__xludf.DUMMYFUNCTION("""COMPUTED_VALUE"""),450000)</f>
        <v>450000</v>
      </c>
      <c r="D276" s="21"/>
      <c r="E276" s="21"/>
      <c r="F276" s="121" t="str">
        <f ca="1">IFERROR(__xludf.DUMMYFUNCTION("""COMPUTED_VALUE"""),"No ha consignado platica")</f>
        <v>No ha consignado platica</v>
      </c>
      <c r="G276" s="21"/>
      <c r="H276" s="21"/>
    </row>
    <row r="277" spans="1:8" x14ac:dyDescent="0.2">
      <c r="A277" s="21">
        <f t="shared" si="1"/>
        <v>0</v>
      </c>
      <c r="B277" s="21" t="str">
        <f ca="1">IFERROR(__xludf.DUMMYFUNCTION("""COMPUTED_VALUE"""),"0312040093")</f>
        <v>0312040093</v>
      </c>
      <c r="C277" s="121">
        <f ca="1">IFERROR(__xludf.DUMMYFUNCTION("""COMPUTED_VALUE"""),450000)</f>
        <v>450000</v>
      </c>
      <c r="D277" s="21"/>
      <c r="E277" s="21"/>
      <c r="F277" s="121" t="str">
        <f ca="1">IFERROR(__xludf.DUMMYFUNCTION("""COMPUTED_VALUE"""),"No ha consignado platica")</f>
        <v>No ha consignado platica</v>
      </c>
      <c r="G277" s="21"/>
      <c r="H277" s="21"/>
    </row>
    <row r="278" spans="1:8" x14ac:dyDescent="0.2">
      <c r="A278" s="21">
        <f t="shared" si="1"/>
        <v>0</v>
      </c>
      <c r="B278" s="21" t="str">
        <f ca="1">IFERROR(__xludf.DUMMYFUNCTION("""COMPUTED_VALUE"""),"0312040094")</f>
        <v>0312040094</v>
      </c>
      <c r="C278" s="121">
        <f ca="1">IFERROR(__xludf.DUMMYFUNCTION("""COMPUTED_VALUE"""),450000)</f>
        <v>450000</v>
      </c>
      <c r="D278" s="21"/>
      <c r="E278" s="21"/>
      <c r="F278" s="121" t="str">
        <f ca="1">IFERROR(__xludf.DUMMYFUNCTION("""COMPUTED_VALUE"""),"No ha consignado platica")</f>
        <v>No ha consignado platica</v>
      </c>
      <c r="G278" s="21"/>
      <c r="H278" s="21"/>
    </row>
    <row r="279" spans="1:8" x14ac:dyDescent="0.2">
      <c r="A279" s="21">
        <f t="shared" si="1"/>
        <v>0</v>
      </c>
      <c r="B279" s="21" t="str">
        <f ca="1">IFERROR(__xludf.DUMMYFUNCTION("""COMPUTED_VALUE"""),"0312040095")</f>
        <v>0312040095</v>
      </c>
      <c r="C279" s="121">
        <f ca="1">IFERROR(__xludf.DUMMYFUNCTION("""COMPUTED_VALUE"""),450000)</f>
        <v>450000</v>
      </c>
      <c r="D279" s="21"/>
      <c r="E279" s="21"/>
      <c r="F279" s="121" t="str">
        <f ca="1">IFERROR(__xludf.DUMMYFUNCTION("""COMPUTED_VALUE"""),"No ha consignado platica")</f>
        <v>No ha consignado platica</v>
      </c>
      <c r="G279" s="21"/>
      <c r="H279" s="21"/>
    </row>
    <row r="280" spans="1:8" x14ac:dyDescent="0.2">
      <c r="A280" s="21">
        <f t="shared" si="1"/>
        <v>0</v>
      </c>
      <c r="B280" s="21" t="str">
        <f ca="1">IFERROR(__xludf.DUMMYFUNCTION("""COMPUTED_VALUE"""),"0312040096")</f>
        <v>0312040096</v>
      </c>
      <c r="C280" s="121">
        <f ca="1">IFERROR(__xludf.DUMMYFUNCTION("""COMPUTED_VALUE"""),450000)</f>
        <v>450000</v>
      </c>
      <c r="D280" s="21"/>
      <c r="E280" s="21"/>
      <c r="F280" s="121" t="str">
        <f ca="1">IFERROR(__xludf.DUMMYFUNCTION("""COMPUTED_VALUE"""),"No ha consignado platica")</f>
        <v>No ha consignado platica</v>
      </c>
      <c r="G280" s="21"/>
      <c r="H280" s="21"/>
    </row>
    <row r="281" spans="1:8" x14ac:dyDescent="0.2">
      <c r="A281" s="21">
        <f t="shared" si="1"/>
        <v>0</v>
      </c>
      <c r="B281" s="21" t="str">
        <f ca="1">IFERROR(__xludf.DUMMYFUNCTION("""COMPUTED_VALUE"""),"0312040097")</f>
        <v>0312040097</v>
      </c>
      <c r="C281" s="121">
        <f ca="1">IFERROR(__xludf.DUMMYFUNCTION("""COMPUTED_VALUE"""),450000)</f>
        <v>450000</v>
      </c>
      <c r="D281" s="21"/>
      <c r="E281" s="21"/>
      <c r="F281" s="121" t="str">
        <f ca="1">IFERROR(__xludf.DUMMYFUNCTION("""COMPUTED_VALUE"""),"No ha consignado platica")</f>
        <v>No ha consignado platica</v>
      </c>
      <c r="G281" s="21"/>
      <c r="H281" s="21"/>
    </row>
    <row r="282" spans="1:8" x14ac:dyDescent="0.2">
      <c r="A282" s="21">
        <f t="shared" si="1"/>
        <v>0</v>
      </c>
      <c r="B282" s="21" t="str">
        <f ca="1">IFERROR(__xludf.DUMMYFUNCTION("""COMPUTED_VALUE"""),"0312040098")</f>
        <v>0312040098</v>
      </c>
      <c r="C282" s="121">
        <f ca="1">IFERROR(__xludf.DUMMYFUNCTION("""COMPUTED_VALUE"""),450000)</f>
        <v>450000</v>
      </c>
      <c r="D282" s="21"/>
      <c r="E282" s="21"/>
      <c r="F282" s="121" t="str">
        <f ca="1">IFERROR(__xludf.DUMMYFUNCTION("""COMPUTED_VALUE"""),"No ha consignado platica")</f>
        <v>No ha consignado platica</v>
      </c>
      <c r="G282" s="21"/>
      <c r="H282" s="21"/>
    </row>
    <row r="283" spans="1:8" x14ac:dyDescent="0.2">
      <c r="A283" s="21">
        <f t="shared" si="1"/>
        <v>0</v>
      </c>
      <c r="B283" s="21" t="str">
        <f ca="1">IFERROR(__xludf.DUMMYFUNCTION("""COMPUTED_VALUE"""),"0312040099")</f>
        <v>0312040099</v>
      </c>
      <c r="C283" s="121">
        <f ca="1">IFERROR(__xludf.DUMMYFUNCTION("""COMPUTED_VALUE"""),450000)</f>
        <v>450000</v>
      </c>
      <c r="D283" s="21"/>
      <c r="E283" s="21"/>
      <c r="F283" s="121" t="str">
        <f ca="1">IFERROR(__xludf.DUMMYFUNCTION("""COMPUTED_VALUE"""),"No ha consignado platica")</f>
        <v>No ha consignado platica</v>
      </c>
      <c r="G283" s="21"/>
      <c r="H283" s="21"/>
    </row>
    <row r="284" spans="1:8" x14ac:dyDescent="0.2">
      <c r="A284" s="21">
        <f t="shared" si="1"/>
        <v>0</v>
      </c>
      <c r="B284" s="21" t="str">
        <f ca="1">IFERROR(__xludf.DUMMYFUNCTION("""COMPUTED_VALUE"""),"03120400100")</f>
        <v>03120400100</v>
      </c>
      <c r="C284" s="121">
        <f ca="1">IFERROR(__xludf.DUMMYFUNCTION("""COMPUTED_VALUE"""),450000)</f>
        <v>450000</v>
      </c>
      <c r="D284" s="21"/>
      <c r="E284" s="21"/>
      <c r="F284" s="121" t="str">
        <f ca="1">IFERROR(__xludf.DUMMYFUNCTION("""COMPUTED_VALUE"""),"No ha consignado platica")</f>
        <v>No ha consignado platica</v>
      </c>
      <c r="G284" s="21"/>
      <c r="H284" s="21"/>
    </row>
    <row r="285" spans="1:8" x14ac:dyDescent="0.2">
      <c r="A285" s="21">
        <f t="shared" si="1"/>
        <v>0</v>
      </c>
      <c r="B285" s="21" t="str">
        <f ca="1">IFERROR(__xludf.DUMMYFUNCTION("""COMPUTED_VALUE"""),"03120400101")</f>
        <v>03120400101</v>
      </c>
      <c r="C285" s="121">
        <f ca="1">IFERROR(__xludf.DUMMYFUNCTION("""COMPUTED_VALUE"""),450000)</f>
        <v>450000</v>
      </c>
      <c r="D285" s="21"/>
      <c r="E285" s="21"/>
      <c r="F285" s="121" t="str">
        <f ca="1">IFERROR(__xludf.DUMMYFUNCTION("""COMPUTED_VALUE"""),"No ha consignado platica")</f>
        <v>No ha consignado platica</v>
      </c>
      <c r="G285" s="21"/>
      <c r="H285" s="21"/>
    </row>
    <row r="286" spans="1:8" x14ac:dyDescent="0.2">
      <c r="A286" s="21">
        <f t="shared" si="1"/>
        <v>0</v>
      </c>
      <c r="B286" s="21" t="str">
        <f ca="1">IFERROR(__xludf.DUMMYFUNCTION("""COMPUTED_VALUE"""),"03120400102")</f>
        <v>03120400102</v>
      </c>
      <c r="C286" s="121">
        <f ca="1">IFERROR(__xludf.DUMMYFUNCTION("""COMPUTED_VALUE"""),450000)</f>
        <v>450000</v>
      </c>
      <c r="D286" s="21"/>
      <c r="E286" s="21"/>
      <c r="F286" s="121" t="str">
        <f ca="1">IFERROR(__xludf.DUMMYFUNCTION("""COMPUTED_VALUE"""),"No ha consignado platica")</f>
        <v>No ha consignado platica</v>
      </c>
      <c r="G286" s="21"/>
      <c r="H286" s="21"/>
    </row>
    <row r="287" spans="1:8" x14ac:dyDescent="0.2">
      <c r="A287" s="21">
        <f t="shared" si="1"/>
        <v>0</v>
      </c>
      <c r="B287" s="21" t="str">
        <f ca="1">IFERROR(__xludf.DUMMYFUNCTION("""COMPUTED_VALUE"""),"03120400103")</f>
        <v>03120400103</v>
      </c>
      <c r="C287" s="121">
        <f ca="1">IFERROR(__xludf.DUMMYFUNCTION("""COMPUTED_VALUE"""),450000)</f>
        <v>450000</v>
      </c>
      <c r="D287" s="21"/>
      <c r="E287" s="21"/>
      <c r="F287" s="121" t="str">
        <f ca="1">IFERROR(__xludf.DUMMYFUNCTION("""COMPUTED_VALUE"""),"No ha consignado platica")</f>
        <v>No ha consignado platica</v>
      </c>
      <c r="G287" s="21"/>
      <c r="H287" s="21"/>
    </row>
    <row r="288" spans="1:8" x14ac:dyDescent="0.2">
      <c r="A288" s="21">
        <f t="shared" si="1"/>
        <v>0</v>
      </c>
      <c r="B288" s="21" t="str">
        <f ca="1">IFERROR(__xludf.DUMMYFUNCTION("""COMPUTED_VALUE"""),"03120400104")</f>
        <v>03120400104</v>
      </c>
      <c r="C288" s="121">
        <f ca="1">IFERROR(__xludf.DUMMYFUNCTION("""COMPUTED_VALUE"""),450000)</f>
        <v>450000</v>
      </c>
      <c r="D288" s="21"/>
      <c r="E288" s="21"/>
      <c r="F288" s="121" t="str">
        <f ca="1">IFERROR(__xludf.DUMMYFUNCTION("""COMPUTED_VALUE"""),"No ha consignado platica")</f>
        <v>No ha consignado platica</v>
      </c>
      <c r="G288" s="21"/>
      <c r="H288" s="21"/>
    </row>
    <row r="289" spans="1:8" x14ac:dyDescent="0.2">
      <c r="A289" s="21">
        <f t="shared" si="1"/>
        <v>0</v>
      </c>
      <c r="B289" s="21" t="str">
        <f ca="1">IFERROR(__xludf.DUMMYFUNCTION("""COMPUTED_VALUE"""),"03120400105")</f>
        <v>03120400105</v>
      </c>
      <c r="C289" s="121">
        <f ca="1">IFERROR(__xludf.DUMMYFUNCTION("""COMPUTED_VALUE"""),450000)</f>
        <v>450000</v>
      </c>
      <c r="D289" s="21"/>
      <c r="E289" s="21"/>
      <c r="F289" s="121" t="str">
        <f ca="1">IFERROR(__xludf.DUMMYFUNCTION("""COMPUTED_VALUE"""),"No ha consignado platica")</f>
        <v>No ha consignado platica</v>
      </c>
      <c r="G289" s="21"/>
      <c r="H289" s="21"/>
    </row>
    <row r="290" spans="1:8" x14ac:dyDescent="0.2">
      <c r="A290" s="21">
        <f t="shared" si="1"/>
        <v>0</v>
      </c>
      <c r="B290" s="21" t="str">
        <f ca="1">IFERROR(__xludf.DUMMYFUNCTION("""COMPUTED_VALUE"""),"03120400106")</f>
        <v>03120400106</v>
      </c>
      <c r="C290" s="121">
        <f ca="1">IFERROR(__xludf.DUMMYFUNCTION("""COMPUTED_VALUE"""),450000)</f>
        <v>450000</v>
      </c>
      <c r="D290" s="21"/>
      <c r="E290" s="21"/>
      <c r="F290" s="121" t="str">
        <f ca="1">IFERROR(__xludf.DUMMYFUNCTION("""COMPUTED_VALUE"""),"No ha consignado platica")</f>
        <v>No ha consignado platica</v>
      </c>
      <c r="G290" s="21"/>
      <c r="H290" s="21"/>
    </row>
    <row r="291" spans="1:8" x14ac:dyDescent="0.2">
      <c r="A291" s="21">
        <f t="shared" si="1"/>
        <v>0</v>
      </c>
      <c r="B291" s="21" t="str">
        <f ca="1">IFERROR(__xludf.DUMMYFUNCTION("""COMPUTED_VALUE"""),"03120400107")</f>
        <v>03120400107</v>
      </c>
      <c r="C291" s="121">
        <f ca="1">IFERROR(__xludf.DUMMYFUNCTION("""COMPUTED_VALUE"""),450000)</f>
        <v>450000</v>
      </c>
      <c r="D291" s="21"/>
      <c r="E291" s="21"/>
      <c r="F291" s="121" t="str">
        <f ca="1">IFERROR(__xludf.DUMMYFUNCTION("""COMPUTED_VALUE"""),"No ha consignado platica")</f>
        <v>No ha consignado platica</v>
      </c>
      <c r="G291" s="21"/>
      <c r="H291" s="21"/>
    </row>
    <row r="292" spans="1:8" x14ac:dyDescent="0.2">
      <c r="A292" s="21">
        <f t="shared" si="1"/>
        <v>0</v>
      </c>
      <c r="B292" s="21" t="str">
        <f ca="1">IFERROR(__xludf.DUMMYFUNCTION("""COMPUTED_VALUE"""),"03120400108")</f>
        <v>03120400108</v>
      </c>
      <c r="C292" s="121">
        <f ca="1">IFERROR(__xludf.DUMMYFUNCTION("""COMPUTED_VALUE"""),450000)</f>
        <v>450000</v>
      </c>
      <c r="D292" s="21"/>
      <c r="E292" s="21"/>
      <c r="F292" s="121" t="str">
        <f ca="1">IFERROR(__xludf.DUMMYFUNCTION("""COMPUTED_VALUE"""),"No ha consignado platica")</f>
        <v>No ha consignado platica</v>
      </c>
      <c r="G292" s="21"/>
      <c r="H292" s="21"/>
    </row>
    <row r="293" spans="1:8" x14ac:dyDescent="0.2">
      <c r="A293" s="21">
        <f t="shared" si="1"/>
        <v>0</v>
      </c>
      <c r="B293" s="21" t="str">
        <f ca="1">IFERROR(__xludf.DUMMYFUNCTION("""COMPUTED_VALUE"""),"03120400109")</f>
        <v>03120400109</v>
      </c>
      <c r="C293" s="121">
        <f ca="1">IFERROR(__xludf.DUMMYFUNCTION("""COMPUTED_VALUE"""),450000)</f>
        <v>450000</v>
      </c>
      <c r="D293" s="21"/>
      <c r="E293" s="21"/>
      <c r="F293" s="121" t="str">
        <f ca="1">IFERROR(__xludf.DUMMYFUNCTION("""COMPUTED_VALUE"""),"No ha consignado platica")</f>
        <v>No ha consignado platica</v>
      </c>
      <c r="G293" s="21"/>
      <c r="H293" s="21"/>
    </row>
    <row r="294" spans="1:8" x14ac:dyDescent="0.2">
      <c r="A294" s="21">
        <f t="shared" si="1"/>
        <v>0</v>
      </c>
      <c r="B294" s="21" t="str">
        <f ca="1">IFERROR(__xludf.DUMMYFUNCTION("""COMPUTED_VALUE"""),"03120400110")</f>
        <v>03120400110</v>
      </c>
      <c r="C294" s="121">
        <f ca="1">IFERROR(__xludf.DUMMYFUNCTION("""COMPUTED_VALUE"""),450000)</f>
        <v>450000</v>
      </c>
      <c r="D294" s="21"/>
      <c r="E294" s="21"/>
      <c r="F294" s="121" t="str">
        <f ca="1">IFERROR(__xludf.DUMMYFUNCTION("""COMPUTED_VALUE"""),"No ha consignado platica")</f>
        <v>No ha consignado platica</v>
      </c>
      <c r="G294" s="21"/>
      <c r="H294" s="21"/>
    </row>
    <row r="295" spans="1:8" x14ac:dyDescent="0.2">
      <c r="A295" s="21">
        <f t="shared" si="1"/>
        <v>0</v>
      </c>
      <c r="B295" s="21" t="str">
        <f ca="1">IFERROR(__xludf.DUMMYFUNCTION("""COMPUTED_VALUE"""),"03120400111")</f>
        <v>03120400111</v>
      </c>
      <c r="C295" s="121">
        <f ca="1">IFERROR(__xludf.DUMMYFUNCTION("""COMPUTED_VALUE"""),450000)</f>
        <v>450000</v>
      </c>
      <c r="D295" s="21"/>
      <c r="E295" s="21"/>
      <c r="F295" s="121" t="str">
        <f ca="1">IFERROR(__xludf.DUMMYFUNCTION("""COMPUTED_VALUE"""),"No ha consignado platica")</f>
        <v>No ha consignado platica</v>
      </c>
      <c r="G295" s="21"/>
      <c r="H295" s="21"/>
    </row>
    <row r="296" spans="1:8" x14ac:dyDescent="0.2">
      <c r="A296" s="21">
        <f t="shared" si="1"/>
        <v>0</v>
      </c>
      <c r="B296" s="21" t="str">
        <f ca="1">IFERROR(__xludf.DUMMYFUNCTION("""COMPUTED_VALUE"""),"03120400112")</f>
        <v>03120400112</v>
      </c>
      <c r="C296" s="121">
        <f ca="1">IFERROR(__xludf.DUMMYFUNCTION("""COMPUTED_VALUE"""),450000)</f>
        <v>450000</v>
      </c>
      <c r="D296" s="21"/>
      <c r="E296" s="21"/>
      <c r="F296" s="121" t="str">
        <f ca="1">IFERROR(__xludf.DUMMYFUNCTION("""COMPUTED_VALUE"""),"No ha consignado platica")</f>
        <v>No ha consignado platica</v>
      </c>
      <c r="G296" s="21"/>
      <c r="H296" s="21"/>
    </row>
    <row r="297" spans="1:8" x14ac:dyDescent="0.2">
      <c r="A297" s="21">
        <f t="shared" si="1"/>
        <v>0</v>
      </c>
      <c r="B297" s="21" t="str">
        <f ca="1">IFERROR(__xludf.DUMMYFUNCTION("""COMPUTED_VALUE"""),"03120400113")</f>
        <v>03120400113</v>
      </c>
      <c r="C297" s="121">
        <f ca="1">IFERROR(__xludf.DUMMYFUNCTION("""COMPUTED_VALUE"""),450000)</f>
        <v>450000</v>
      </c>
      <c r="D297" s="21"/>
      <c r="E297" s="21"/>
      <c r="F297" s="121" t="str">
        <f ca="1">IFERROR(__xludf.DUMMYFUNCTION("""COMPUTED_VALUE"""),"No ha consignado platica")</f>
        <v>No ha consignado platica</v>
      </c>
      <c r="G297" s="21"/>
      <c r="H297" s="21"/>
    </row>
    <row r="298" spans="1:8" x14ac:dyDescent="0.2">
      <c r="A298" s="21">
        <f t="shared" si="1"/>
        <v>0</v>
      </c>
      <c r="B298" s="21" t="str">
        <f ca="1">IFERROR(__xludf.DUMMYFUNCTION("""COMPUTED_VALUE"""),"03120400114")</f>
        <v>03120400114</v>
      </c>
      <c r="C298" s="121">
        <f ca="1">IFERROR(__xludf.DUMMYFUNCTION("""COMPUTED_VALUE"""),450000)</f>
        <v>450000</v>
      </c>
      <c r="D298" s="21"/>
      <c r="E298" s="21"/>
      <c r="F298" s="121" t="str">
        <f ca="1">IFERROR(__xludf.DUMMYFUNCTION("""COMPUTED_VALUE"""),"No ha consignado platica")</f>
        <v>No ha consignado platica</v>
      </c>
      <c r="G298" s="21"/>
      <c r="H298" s="21"/>
    </row>
    <row r="299" spans="1:8" x14ac:dyDescent="0.2">
      <c r="A299" s="21">
        <f t="shared" si="1"/>
        <v>0</v>
      </c>
      <c r="B299" s="21" t="str">
        <f ca="1">IFERROR(__xludf.DUMMYFUNCTION("""COMPUTED_VALUE"""),"03120400115")</f>
        <v>03120400115</v>
      </c>
      <c r="C299" s="121">
        <f ca="1">IFERROR(__xludf.DUMMYFUNCTION("""COMPUTED_VALUE"""),450000)</f>
        <v>450000</v>
      </c>
      <c r="D299" s="21"/>
      <c r="E299" s="21"/>
      <c r="F299" s="121" t="str">
        <f ca="1">IFERROR(__xludf.DUMMYFUNCTION("""COMPUTED_VALUE"""),"No ha consignado platica")</f>
        <v>No ha consignado platica</v>
      </c>
      <c r="G299" s="21"/>
      <c r="H299" s="21"/>
    </row>
    <row r="300" spans="1:8" x14ac:dyDescent="0.2">
      <c r="A300" s="21">
        <f t="shared" si="1"/>
        <v>0</v>
      </c>
      <c r="B300" s="21" t="str">
        <f ca="1">IFERROR(__xludf.DUMMYFUNCTION("""COMPUTED_VALUE"""),"03120400116")</f>
        <v>03120400116</v>
      </c>
      <c r="C300" s="121">
        <f ca="1">IFERROR(__xludf.DUMMYFUNCTION("""COMPUTED_VALUE"""),450000)</f>
        <v>450000</v>
      </c>
      <c r="D300" s="21"/>
      <c r="E300" s="21"/>
      <c r="F300" s="121" t="str">
        <f ca="1">IFERROR(__xludf.DUMMYFUNCTION("""COMPUTED_VALUE"""),"No ha consignado platica")</f>
        <v>No ha consignado platica</v>
      </c>
      <c r="G300" s="21"/>
      <c r="H300" s="21"/>
    </row>
    <row r="301" spans="1:8" x14ac:dyDescent="0.2">
      <c r="A301" s="21">
        <f t="shared" si="1"/>
        <v>0</v>
      </c>
      <c r="B301" s="21" t="str">
        <f ca="1">IFERROR(__xludf.DUMMYFUNCTION("""COMPUTED_VALUE"""),"03120400117")</f>
        <v>03120400117</v>
      </c>
      <c r="C301" s="121">
        <f ca="1">IFERROR(__xludf.DUMMYFUNCTION("""COMPUTED_VALUE"""),450000)</f>
        <v>450000</v>
      </c>
      <c r="D301" s="21"/>
      <c r="E301" s="21"/>
      <c r="F301" s="121" t="str">
        <f ca="1">IFERROR(__xludf.DUMMYFUNCTION("""COMPUTED_VALUE"""),"No ha consignado platica")</f>
        <v>No ha consignado platica</v>
      </c>
      <c r="G301" s="21"/>
      <c r="H301" s="21"/>
    </row>
    <row r="302" spans="1:8" x14ac:dyDescent="0.2">
      <c r="A302" s="21">
        <f t="shared" si="1"/>
        <v>0</v>
      </c>
      <c r="B302" s="21" t="str">
        <f ca="1">IFERROR(__xludf.DUMMYFUNCTION("""COMPUTED_VALUE"""),"03120400118")</f>
        <v>03120400118</v>
      </c>
      <c r="C302" s="121">
        <f ca="1">IFERROR(__xludf.DUMMYFUNCTION("""COMPUTED_VALUE"""),450000)</f>
        <v>450000</v>
      </c>
      <c r="D302" s="21"/>
      <c r="E302" s="21"/>
      <c r="F302" s="121" t="str">
        <f ca="1">IFERROR(__xludf.DUMMYFUNCTION("""COMPUTED_VALUE"""),"No ha consignado platica")</f>
        <v>No ha consignado platica</v>
      </c>
      <c r="G302" s="21"/>
      <c r="H302" s="21"/>
    </row>
    <row r="303" spans="1:8" x14ac:dyDescent="0.2">
      <c r="A303" s="21">
        <f t="shared" si="1"/>
        <v>0</v>
      </c>
      <c r="B303" s="21" t="str">
        <f ca="1">IFERROR(__xludf.DUMMYFUNCTION("""COMPUTED_VALUE"""),"03120400119")</f>
        <v>03120400119</v>
      </c>
      <c r="C303" s="121">
        <f ca="1">IFERROR(__xludf.DUMMYFUNCTION("""COMPUTED_VALUE"""),450000)</f>
        <v>450000</v>
      </c>
      <c r="D303" s="21"/>
      <c r="E303" s="21"/>
      <c r="F303" s="121" t="str">
        <f ca="1">IFERROR(__xludf.DUMMYFUNCTION("""COMPUTED_VALUE"""),"No ha consignado platica")</f>
        <v>No ha consignado platica</v>
      </c>
      <c r="G303" s="21"/>
      <c r="H303" s="21"/>
    </row>
    <row r="304" spans="1:8" x14ac:dyDescent="0.2">
      <c r="A304" s="21">
        <f t="shared" si="1"/>
        <v>0</v>
      </c>
      <c r="B304" s="21" t="str">
        <f ca="1">IFERROR(__xludf.DUMMYFUNCTION("""COMPUTED_VALUE"""),"03120400120")</f>
        <v>03120400120</v>
      </c>
      <c r="C304" s="121">
        <f ca="1">IFERROR(__xludf.DUMMYFUNCTION("""COMPUTED_VALUE"""),450000)</f>
        <v>450000</v>
      </c>
      <c r="D304" s="21"/>
      <c r="E304" s="21"/>
      <c r="F304" s="121" t="str">
        <f ca="1">IFERROR(__xludf.DUMMYFUNCTION("""COMPUTED_VALUE"""),"No ha consignado platica")</f>
        <v>No ha consignado platica</v>
      </c>
      <c r="G304" s="21"/>
      <c r="H304" s="21"/>
    </row>
    <row r="305" spans="1:8" x14ac:dyDescent="0.2">
      <c r="A305" s="21">
        <f t="shared" si="1"/>
        <v>0</v>
      </c>
      <c r="B305" s="21" t="str">
        <f ca="1">IFERROR(__xludf.DUMMYFUNCTION("""COMPUTED_VALUE"""),"03120400121")</f>
        <v>03120400121</v>
      </c>
      <c r="C305" s="121">
        <f ca="1">IFERROR(__xludf.DUMMYFUNCTION("""COMPUTED_VALUE"""),450000)</f>
        <v>450000</v>
      </c>
      <c r="D305" s="21"/>
      <c r="E305" s="21"/>
      <c r="F305" s="121" t="str">
        <f ca="1">IFERROR(__xludf.DUMMYFUNCTION("""COMPUTED_VALUE"""),"No ha consignado platica")</f>
        <v>No ha consignado platica</v>
      </c>
      <c r="G305" s="21"/>
      <c r="H305" s="21"/>
    </row>
    <row r="306" spans="1:8" x14ac:dyDescent="0.2">
      <c r="A306" s="21">
        <f t="shared" si="1"/>
        <v>0</v>
      </c>
      <c r="B306" s="21" t="str">
        <f ca="1">IFERROR(__xludf.DUMMYFUNCTION("""COMPUTED_VALUE"""),"03120400122")</f>
        <v>03120400122</v>
      </c>
      <c r="C306" s="121">
        <f ca="1">IFERROR(__xludf.DUMMYFUNCTION("""COMPUTED_VALUE"""),450000)</f>
        <v>450000</v>
      </c>
      <c r="D306" s="21"/>
      <c r="E306" s="21"/>
      <c r="F306" s="121" t="str">
        <f ca="1">IFERROR(__xludf.DUMMYFUNCTION("""COMPUTED_VALUE"""),"No ha consignado platica")</f>
        <v>No ha consignado platica</v>
      </c>
      <c r="G306" s="21"/>
      <c r="H306" s="21"/>
    </row>
    <row r="307" spans="1:8" x14ac:dyDescent="0.2">
      <c r="A307" s="21">
        <f t="shared" si="1"/>
        <v>0</v>
      </c>
      <c r="B307" s="21" t="str">
        <f ca="1">IFERROR(__xludf.DUMMYFUNCTION("""COMPUTED_VALUE"""),"03120400123")</f>
        <v>03120400123</v>
      </c>
      <c r="C307" s="121">
        <f ca="1">IFERROR(__xludf.DUMMYFUNCTION("""COMPUTED_VALUE"""),450000)</f>
        <v>450000</v>
      </c>
      <c r="D307" s="21"/>
      <c r="E307" s="21"/>
      <c r="F307" s="121" t="str">
        <f ca="1">IFERROR(__xludf.DUMMYFUNCTION("""COMPUTED_VALUE"""),"No ha consignado platica")</f>
        <v>No ha consignado platica</v>
      </c>
      <c r="G307" s="21"/>
      <c r="H307" s="21"/>
    </row>
    <row r="308" spans="1:8" x14ac:dyDescent="0.2">
      <c r="A308" s="21">
        <f t="shared" si="1"/>
        <v>0</v>
      </c>
      <c r="B308" s="21" t="str">
        <f ca="1">IFERROR(__xludf.DUMMYFUNCTION("""COMPUTED_VALUE"""),"03120400124")</f>
        <v>03120400124</v>
      </c>
      <c r="C308" s="121">
        <f ca="1">IFERROR(__xludf.DUMMYFUNCTION("""COMPUTED_VALUE"""),450000)</f>
        <v>450000</v>
      </c>
      <c r="D308" s="21"/>
      <c r="E308" s="21"/>
      <c r="F308" s="121" t="str">
        <f ca="1">IFERROR(__xludf.DUMMYFUNCTION("""COMPUTED_VALUE"""),"No ha consignado platica")</f>
        <v>No ha consignado platica</v>
      </c>
      <c r="G308" s="21"/>
      <c r="H308" s="21"/>
    </row>
    <row r="309" spans="1:8" x14ac:dyDescent="0.2">
      <c r="A309" s="21">
        <f t="shared" si="1"/>
        <v>0</v>
      </c>
      <c r="B309" s="21" t="str">
        <f ca="1">IFERROR(__xludf.DUMMYFUNCTION("""COMPUTED_VALUE"""),"03120400125")</f>
        <v>03120400125</v>
      </c>
      <c r="C309" s="121">
        <f ca="1">IFERROR(__xludf.DUMMYFUNCTION("""COMPUTED_VALUE"""),450000)</f>
        <v>450000</v>
      </c>
      <c r="D309" s="21"/>
      <c r="E309" s="21"/>
      <c r="F309" s="121" t="str">
        <f ca="1">IFERROR(__xludf.DUMMYFUNCTION("""COMPUTED_VALUE"""),"No ha consignado platica")</f>
        <v>No ha consignado platica</v>
      </c>
      <c r="G309" s="21"/>
      <c r="H309" s="21"/>
    </row>
    <row r="310" spans="1:8" x14ac:dyDescent="0.2">
      <c r="A310" s="21">
        <f t="shared" si="1"/>
        <v>0</v>
      </c>
      <c r="B310" s="21" t="str">
        <f ca="1">IFERROR(__xludf.DUMMYFUNCTION("""COMPUTED_VALUE"""),"03120400126")</f>
        <v>03120400126</v>
      </c>
      <c r="C310" s="121">
        <f ca="1">IFERROR(__xludf.DUMMYFUNCTION("""COMPUTED_VALUE"""),450000)</f>
        <v>450000</v>
      </c>
      <c r="D310" s="21"/>
      <c r="E310" s="21"/>
      <c r="F310" s="121" t="str">
        <f ca="1">IFERROR(__xludf.DUMMYFUNCTION("""COMPUTED_VALUE"""),"No ha consignado platica")</f>
        <v>No ha consignado platica</v>
      </c>
      <c r="G310" s="21"/>
      <c r="H310" s="21"/>
    </row>
    <row r="311" spans="1:8" x14ac:dyDescent="0.2">
      <c r="A311" s="21">
        <f t="shared" si="1"/>
        <v>0</v>
      </c>
      <c r="B311" s="21" t="str">
        <f ca="1">IFERROR(__xludf.DUMMYFUNCTION("""COMPUTED_VALUE"""),"03120400127")</f>
        <v>03120400127</v>
      </c>
      <c r="C311" s="121">
        <f ca="1">IFERROR(__xludf.DUMMYFUNCTION("""COMPUTED_VALUE"""),450000)</f>
        <v>450000</v>
      </c>
      <c r="D311" s="21"/>
      <c r="E311" s="21"/>
      <c r="F311" s="121" t="str">
        <f ca="1">IFERROR(__xludf.DUMMYFUNCTION("""COMPUTED_VALUE"""),"No ha consignado platica")</f>
        <v>No ha consignado platica</v>
      </c>
      <c r="G311" s="21"/>
      <c r="H311" s="21"/>
    </row>
    <row r="312" spans="1:8" x14ac:dyDescent="0.2">
      <c r="A312" s="21">
        <f t="shared" si="1"/>
        <v>0</v>
      </c>
      <c r="B312" s="21" t="str">
        <f ca="1">IFERROR(__xludf.DUMMYFUNCTION("""COMPUTED_VALUE"""),"03120400128")</f>
        <v>03120400128</v>
      </c>
      <c r="C312" s="121">
        <f ca="1">IFERROR(__xludf.DUMMYFUNCTION("""COMPUTED_VALUE"""),450000)</f>
        <v>450000</v>
      </c>
      <c r="D312" s="21"/>
      <c r="E312" s="21"/>
      <c r="F312" s="121" t="str">
        <f ca="1">IFERROR(__xludf.DUMMYFUNCTION("""COMPUTED_VALUE"""),"No ha consignado platica")</f>
        <v>No ha consignado platica</v>
      </c>
      <c r="G312" s="21"/>
      <c r="H312" s="21"/>
    </row>
    <row r="313" spans="1:8" x14ac:dyDescent="0.2">
      <c r="A313" s="21">
        <f t="shared" si="1"/>
        <v>0</v>
      </c>
      <c r="B313" s="21" t="str">
        <f ca="1">IFERROR(__xludf.DUMMYFUNCTION("""COMPUTED_VALUE"""),"03120400129")</f>
        <v>03120400129</v>
      </c>
      <c r="C313" s="121">
        <f ca="1">IFERROR(__xludf.DUMMYFUNCTION("""COMPUTED_VALUE"""),450000)</f>
        <v>450000</v>
      </c>
      <c r="D313" s="21"/>
      <c r="E313" s="21"/>
      <c r="F313" s="121" t="str">
        <f ca="1">IFERROR(__xludf.DUMMYFUNCTION("""COMPUTED_VALUE"""),"No ha consignado platica")</f>
        <v>No ha consignado platica</v>
      </c>
      <c r="G313" s="21"/>
      <c r="H313" s="21"/>
    </row>
    <row r="314" spans="1:8" x14ac:dyDescent="0.2">
      <c r="A314" s="21">
        <f t="shared" si="1"/>
        <v>0</v>
      </c>
      <c r="B314" s="21" t="str">
        <f ca="1">IFERROR(__xludf.DUMMYFUNCTION("""COMPUTED_VALUE"""),"03120400130")</f>
        <v>03120400130</v>
      </c>
      <c r="C314" s="121">
        <f ca="1">IFERROR(__xludf.DUMMYFUNCTION("""COMPUTED_VALUE"""),450000)</f>
        <v>450000</v>
      </c>
      <c r="D314" s="21"/>
      <c r="E314" s="21"/>
      <c r="F314" s="121" t="str">
        <f ca="1">IFERROR(__xludf.DUMMYFUNCTION("""COMPUTED_VALUE"""),"No ha consignado platica")</f>
        <v>No ha consignado platica</v>
      </c>
      <c r="G314" s="21"/>
      <c r="H314" s="21"/>
    </row>
    <row r="315" spans="1:8" x14ac:dyDescent="0.2">
      <c r="A315" s="21">
        <f t="shared" si="1"/>
        <v>0</v>
      </c>
      <c r="B315" s="21" t="str">
        <f ca="1">IFERROR(__xludf.DUMMYFUNCTION("""COMPUTED_VALUE"""),"03120400131")</f>
        <v>03120400131</v>
      </c>
      <c r="C315" s="121">
        <f ca="1">IFERROR(__xludf.DUMMYFUNCTION("""COMPUTED_VALUE"""),450000)</f>
        <v>450000</v>
      </c>
      <c r="D315" s="21"/>
      <c r="E315" s="21"/>
      <c r="F315" s="121" t="str">
        <f ca="1">IFERROR(__xludf.DUMMYFUNCTION("""COMPUTED_VALUE"""),"No ha consignado platica")</f>
        <v>No ha consignado platica</v>
      </c>
      <c r="G315" s="21"/>
      <c r="H315" s="21"/>
    </row>
    <row r="316" spans="1:8" x14ac:dyDescent="0.2">
      <c r="A316" s="21">
        <f t="shared" si="1"/>
        <v>0</v>
      </c>
      <c r="B316" s="21" t="str">
        <f ca="1">IFERROR(__xludf.DUMMYFUNCTION("""COMPUTED_VALUE"""),"03120400132")</f>
        <v>03120400132</v>
      </c>
      <c r="C316" s="121">
        <f ca="1">IFERROR(__xludf.DUMMYFUNCTION("""COMPUTED_VALUE"""),450000)</f>
        <v>450000</v>
      </c>
      <c r="D316" s="21"/>
      <c r="E316" s="21"/>
      <c r="F316" s="121" t="str">
        <f ca="1">IFERROR(__xludf.DUMMYFUNCTION("""COMPUTED_VALUE"""),"No ha consignado platica")</f>
        <v>No ha consignado platica</v>
      </c>
      <c r="G316" s="21"/>
      <c r="H316" s="21"/>
    </row>
    <row r="317" spans="1:8" x14ac:dyDescent="0.2">
      <c r="A317" s="21">
        <f t="shared" si="1"/>
        <v>0</v>
      </c>
      <c r="B317" s="21"/>
      <c r="C317" s="21"/>
      <c r="D317" s="21"/>
      <c r="E317" s="21"/>
      <c r="F317" s="121" t="str">
        <f ca="1">IFERROR(__xludf.DUMMYFUNCTION("""COMPUTED_VALUE"""),"No ha consignado platica")</f>
        <v>No ha consignado platica</v>
      </c>
      <c r="G317" s="21"/>
      <c r="H317" s="21"/>
    </row>
    <row r="318" spans="1:8" x14ac:dyDescent="0.2">
      <c r="A318" s="21">
        <f t="shared" si="1"/>
        <v>0</v>
      </c>
      <c r="B318" s="21" t="str">
        <f ca="1">IFERROR(__xludf.DUMMYFUNCTION("""COMPUTED_VALUE"""),"011204001")</f>
        <v>011204001</v>
      </c>
      <c r="C318" s="121">
        <f ca="1">IFERROR(__xludf.DUMMYFUNCTION("""COMPUTED_VALUE"""),330000)</f>
        <v>330000</v>
      </c>
      <c r="D318" s="21"/>
      <c r="E318" s="21"/>
      <c r="F318" s="121" t="str">
        <f ca="1">IFERROR(__xludf.DUMMYFUNCTION("""COMPUTED_VALUE"""),"No ha consignado platica")</f>
        <v>No ha consignado platica</v>
      </c>
      <c r="G318" s="124" t="str">
        <f ca="1">IFERROR(__xludf.DUMMYFUNCTION("""COMPUTED_VALUE"""),"N/A")</f>
        <v>N/A</v>
      </c>
      <c r="H318" s="21"/>
    </row>
    <row r="319" spans="1:8" x14ac:dyDescent="0.2">
      <c r="A319" s="21">
        <f t="shared" si="1"/>
        <v>0</v>
      </c>
      <c r="B319" s="21" t="str">
        <f ca="1">IFERROR(__xludf.DUMMYFUNCTION("""COMPUTED_VALUE"""),"011204002")</f>
        <v>011204002</v>
      </c>
      <c r="C319" s="121">
        <f ca="1">IFERROR(__xludf.DUMMYFUNCTION("""COMPUTED_VALUE"""),330000)</f>
        <v>330000</v>
      </c>
      <c r="D319" s="21"/>
      <c r="E319" s="21"/>
      <c r="F319" s="121" t="str">
        <f ca="1">IFERROR(__xludf.DUMMYFUNCTION("""COMPUTED_VALUE"""),"No ha consignado platica")</f>
        <v>No ha consignado platica</v>
      </c>
      <c r="G319" s="124" t="str">
        <f ca="1">IFERROR(__xludf.DUMMYFUNCTION("""COMPUTED_VALUE"""),"N/A")</f>
        <v>N/A</v>
      </c>
      <c r="H319" s="21"/>
    </row>
    <row r="320" spans="1:8" x14ac:dyDescent="0.2">
      <c r="A320" s="21">
        <f t="shared" si="1"/>
        <v>0</v>
      </c>
      <c r="B320" s="21" t="str">
        <f ca="1">IFERROR(__xludf.DUMMYFUNCTION("""COMPUTED_VALUE"""),"031201001")</f>
        <v>031201001</v>
      </c>
      <c r="C320" s="121">
        <f ca="1">IFERROR(__xludf.DUMMYFUNCTION("""COMPUTED_VALUE"""),450000)</f>
        <v>450000</v>
      </c>
      <c r="D320" s="21"/>
      <c r="E320" s="21"/>
      <c r="F320" s="121" t="str">
        <f ca="1">IFERROR(__xludf.DUMMYFUNCTION("""COMPUTED_VALUE"""),"No ha consignado platica")</f>
        <v>No ha consignado platica</v>
      </c>
      <c r="G320" s="124" t="str">
        <f ca="1">IFERROR(__xludf.DUMMYFUNCTION("""COMPUTED_VALUE"""),"N/A")</f>
        <v>N/A</v>
      </c>
      <c r="H320" s="21"/>
    </row>
    <row r="321" spans="1:8" x14ac:dyDescent="0.2">
      <c r="A321" s="21">
        <f t="shared" si="1"/>
        <v>0</v>
      </c>
      <c r="B321" s="21" t="str">
        <f ca="1">IFERROR(__xludf.DUMMYFUNCTION("""COMPUTED_VALUE"""),"031201002")</f>
        <v>031201002</v>
      </c>
      <c r="C321" s="121">
        <f ca="1">IFERROR(__xludf.DUMMYFUNCTION("""COMPUTED_VALUE"""),450000)</f>
        <v>450000</v>
      </c>
      <c r="D321" s="21"/>
      <c r="E321" s="21"/>
      <c r="F321" s="121" t="str">
        <f ca="1">IFERROR(__xludf.DUMMYFUNCTION("""COMPUTED_VALUE"""),"No ha consignado platica")</f>
        <v>No ha consignado platica</v>
      </c>
      <c r="G321" s="21"/>
      <c r="H321" s="21"/>
    </row>
    <row r="322" spans="1:8" x14ac:dyDescent="0.2">
      <c r="A322" s="21">
        <f t="shared" si="1"/>
        <v>0</v>
      </c>
      <c r="B322" s="21" t="str">
        <f ca="1">IFERROR(__xludf.DUMMYFUNCTION("""COMPUTED_VALUE"""),"031201003")</f>
        <v>031201003</v>
      </c>
      <c r="C322" s="121">
        <f ca="1">IFERROR(__xludf.DUMMYFUNCTION("""COMPUTED_VALUE"""),450000)</f>
        <v>450000</v>
      </c>
      <c r="D322" s="21"/>
      <c r="E322" s="21"/>
      <c r="F322" s="121" t="str">
        <f ca="1">IFERROR(__xludf.DUMMYFUNCTION("""COMPUTED_VALUE"""),"No ha consignado platica")</f>
        <v>No ha consignado platica</v>
      </c>
      <c r="G322" s="21"/>
      <c r="H322" s="21"/>
    </row>
    <row r="323" spans="1:8" x14ac:dyDescent="0.2">
      <c r="A323" s="21">
        <f t="shared" si="1"/>
        <v>0</v>
      </c>
      <c r="B323" s="21" t="str">
        <f ca="1">IFERROR(__xludf.DUMMYFUNCTION("""COMPUTED_VALUE"""),"031201004")</f>
        <v>031201004</v>
      </c>
      <c r="C323" s="121">
        <f ca="1">IFERROR(__xludf.DUMMYFUNCTION("""COMPUTED_VALUE"""),450000)</f>
        <v>450000</v>
      </c>
      <c r="D323" s="21"/>
      <c r="E323" s="21"/>
      <c r="F323" s="121" t="str">
        <f ca="1">IFERROR(__xludf.DUMMYFUNCTION("""COMPUTED_VALUE"""),"No ha consignado platica")</f>
        <v>No ha consignado platica</v>
      </c>
      <c r="G323" s="21"/>
      <c r="H323" s="21"/>
    </row>
    <row r="324" spans="1:8" x14ac:dyDescent="0.2">
      <c r="A324" s="21">
        <f t="shared" si="1"/>
        <v>0</v>
      </c>
      <c r="B324" s="21" t="str">
        <f ca="1">IFERROR(__xludf.DUMMYFUNCTION("""COMPUTED_VALUE"""),"031201005")</f>
        <v>031201005</v>
      </c>
      <c r="C324" s="121">
        <f ca="1">IFERROR(__xludf.DUMMYFUNCTION("""COMPUTED_VALUE"""),450000)</f>
        <v>450000</v>
      </c>
      <c r="D324" s="21"/>
      <c r="E324" s="21"/>
      <c r="F324" s="121" t="str">
        <f ca="1">IFERROR(__xludf.DUMMYFUNCTION("""COMPUTED_VALUE"""),"No ha consignado platica")</f>
        <v>No ha consignado platica</v>
      </c>
      <c r="G324" s="21"/>
      <c r="H324" s="21"/>
    </row>
    <row r="325" spans="1:8" x14ac:dyDescent="0.2">
      <c r="A325" s="21">
        <f t="shared" si="1"/>
        <v>0</v>
      </c>
      <c r="B325" s="21" t="str">
        <f ca="1">IFERROR(__xludf.DUMMYFUNCTION("""COMPUTED_VALUE"""),"031201006")</f>
        <v>031201006</v>
      </c>
      <c r="C325" s="121">
        <f ca="1">IFERROR(__xludf.DUMMYFUNCTION("""COMPUTED_VALUE"""),450000)</f>
        <v>450000</v>
      </c>
      <c r="D325" s="21"/>
      <c r="E325" s="21"/>
      <c r="F325" s="121" t="str">
        <f ca="1">IFERROR(__xludf.DUMMYFUNCTION("""COMPUTED_VALUE"""),"No ha consignado platica")</f>
        <v>No ha consignado platica</v>
      </c>
      <c r="G325" s="21"/>
      <c r="H325" s="21"/>
    </row>
    <row r="326" spans="1:8" x14ac:dyDescent="0.2">
      <c r="A326" s="21">
        <f t="shared" si="1"/>
        <v>0</v>
      </c>
      <c r="B326" s="21" t="str">
        <f ca="1">IFERROR(__xludf.DUMMYFUNCTION("""COMPUTED_VALUE"""),"031201007")</f>
        <v>031201007</v>
      </c>
      <c r="C326" s="121">
        <f ca="1">IFERROR(__xludf.DUMMYFUNCTION("""COMPUTED_VALUE"""),450000)</f>
        <v>450000</v>
      </c>
      <c r="D326" s="21"/>
      <c r="E326" s="21"/>
      <c r="F326" s="121" t="str">
        <f ca="1">IFERROR(__xludf.DUMMYFUNCTION("""COMPUTED_VALUE"""),"No ha consignado platica")</f>
        <v>No ha consignado platica</v>
      </c>
      <c r="G326" s="21"/>
      <c r="H326" s="21"/>
    </row>
    <row r="327" spans="1:8" x14ac:dyDescent="0.2">
      <c r="A327" s="21">
        <f t="shared" si="1"/>
        <v>0</v>
      </c>
      <c r="B327" s="21" t="str">
        <f ca="1">IFERROR(__xludf.DUMMYFUNCTION("""COMPUTED_VALUE"""),"031201008")</f>
        <v>031201008</v>
      </c>
      <c r="C327" s="121">
        <f ca="1">IFERROR(__xludf.DUMMYFUNCTION("""COMPUTED_VALUE"""),450000)</f>
        <v>450000</v>
      </c>
      <c r="D327" s="21"/>
      <c r="E327" s="21"/>
      <c r="F327" s="121" t="str">
        <f ca="1">IFERROR(__xludf.DUMMYFUNCTION("""COMPUTED_VALUE"""),"No ha consignado platica")</f>
        <v>No ha consignado platica</v>
      </c>
      <c r="G327" s="21"/>
      <c r="H327" s="21"/>
    </row>
    <row r="328" spans="1:8" x14ac:dyDescent="0.2">
      <c r="A328" s="21">
        <f t="shared" si="1"/>
        <v>0</v>
      </c>
      <c r="B328" s="21" t="str">
        <f ca="1">IFERROR(__xludf.DUMMYFUNCTION("""COMPUTED_VALUE"""),"031201009")</f>
        <v>031201009</v>
      </c>
      <c r="C328" s="121">
        <f ca="1">IFERROR(__xludf.DUMMYFUNCTION("""COMPUTED_VALUE"""),450000)</f>
        <v>450000</v>
      </c>
      <c r="D328" s="21"/>
      <c r="E328" s="21"/>
      <c r="F328" s="121" t="str">
        <f ca="1">IFERROR(__xludf.DUMMYFUNCTION("""COMPUTED_VALUE"""),"No ha consignado platica")</f>
        <v>No ha consignado platica</v>
      </c>
      <c r="G328" s="21"/>
      <c r="H328" s="21"/>
    </row>
    <row r="329" spans="1:8" x14ac:dyDescent="0.2">
      <c r="A329" s="21">
        <f t="shared" si="1"/>
        <v>0</v>
      </c>
      <c r="B329" s="21">
        <f ca="1">IFERROR(__xludf.DUMMYFUNCTION("""COMPUTED_VALUE"""),31201010)</f>
        <v>31201010</v>
      </c>
      <c r="C329" s="121">
        <f ca="1">IFERROR(__xludf.DUMMYFUNCTION("""COMPUTED_VALUE"""),450000)</f>
        <v>450000</v>
      </c>
      <c r="D329" s="21"/>
      <c r="E329" s="21"/>
      <c r="F329" s="121" t="str">
        <f ca="1">IFERROR(__xludf.DUMMYFUNCTION("""COMPUTED_VALUE"""),"No ha consignado platica")</f>
        <v>No ha consignado platica</v>
      </c>
      <c r="G329" s="21"/>
      <c r="H329" s="21"/>
    </row>
    <row r="330" spans="1:8" x14ac:dyDescent="0.2">
      <c r="A330" s="21">
        <f t="shared" si="1"/>
        <v>0</v>
      </c>
      <c r="B330" s="21">
        <f ca="1">IFERROR(__xludf.DUMMYFUNCTION("""COMPUTED_VALUE"""),31201011)</f>
        <v>31201011</v>
      </c>
      <c r="C330" s="121">
        <f ca="1">IFERROR(__xludf.DUMMYFUNCTION("""COMPUTED_VALUE"""),450000)</f>
        <v>450000</v>
      </c>
      <c r="D330" s="21"/>
      <c r="E330" s="21"/>
      <c r="F330" s="121" t="str">
        <f ca="1">IFERROR(__xludf.DUMMYFUNCTION("""COMPUTED_VALUE"""),"No ha consignado platica")</f>
        <v>No ha consignado platica</v>
      </c>
      <c r="G330" s="21"/>
      <c r="H330" s="21"/>
    </row>
    <row r="331" spans="1:8" x14ac:dyDescent="0.2">
      <c r="A331" s="21">
        <f t="shared" si="1"/>
        <v>0</v>
      </c>
      <c r="B331" s="21">
        <f ca="1">IFERROR(__xludf.DUMMYFUNCTION("""COMPUTED_VALUE"""),31201012)</f>
        <v>31201012</v>
      </c>
      <c r="C331" s="121">
        <f ca="1">IFERROR(__xludf.DUMMYFUNCTION("""COMPUTED_VALUE"""),450000)</f>
        <v>450000</v>
      </c>
      <c r="D331" s="21"/>
      <c r="E331" s="21"/>
      <c r="F331" s="121" t="str">
        <f ca="1">IFERROR(__xludf.DUMMYFUNCTION("""COMPUTED_VALUE"""),"No ha consignado platica")</f>
        <v>No ha consignado platica</v>
      </c>
      <c r="G331" s="21"/>
      <c r="H331" s="21"/>
    </row>
    <row r="332" spans="1:8" x14ac:dyDescent="0.2">
      <c r="A332" s="21">
        <f t="shared" si="1"/>
        <v>0</v>
      </c>
      <c r="B332" s="21">
        <f ca="1">IFERROR(__xludf.DUMMYFUNCTION("""COMPUTED_VALUE"""),31201013)</f>
        <v>31201013</v>
      </c>
      <c r="C332" s="121">
        <f ca="1">IFERROR(__xludf.DUMMYFUNCTION("""COMPUTED_VALUE"""),450000)</f>
        <v>450000</v>
      </c>
      <c r="D332" s="21"/>
      <c r="E332" s="21"/>
      <c r="F332" s="121" t="str">
        <f ca="1">IFERROR(__xludf.DUMMYFUNCTION("""COMPUTED_VALUE"""),"No ha consignado platica")</f>
        <v>No ha consignado platica</v>
      </c>
      <c r="G332" s="21"/>
      <c r="H332" s="21"/>
    </row>
    <row r="333" spans="1:8" x14ac:dyDescent="0.2">
      <c r="A333" s="21">
        <f t="shared" si="1"/>
        <v>0</v>
      </c>
      <c r="B333" s="21">
        <f ca="1">IFERROR(__xludf.DUMMYFUNCTION("""COMPUTED_VALUE"""),31201014)</f>
        <v>31201014</v>
      </c>
      <c r="C333" s="121">
        <f ca="1">IFERROR(__xludf.DUMMYFUNCTION("""COMPUTED_VALUE"""),450000)</f>
        <v>450000</v>
      </c>
      <c r="D333" s="21"/>
      <c r="E333" s="21"/>
      <c r="F333" s="121" t="str">
        <f ca="1">IFERROR(__xludf.DUMMYFUNCTION("""COMPUTED_VALUE"""),"No ha consignado platica")</f>
        <v>No ha consignado platica</v>
      </c>
      <c r="G333" s="21"/>
      <c r="H333" s="21"/>
    </row>
    <row r="334" spans="1:8" x14ac:dyDescent="0.2">
      <c r="A334" s="21">
        <f t="shared" si="1"/>
        <v>0</v>
      </c>
      <c r="B334" s="21">
        <f ca="1">IFERROR(__xludf.DUMMYFUNCTION("""COMPUTED_VALUE"""),31201015)</f>
        <v>31201015</v>
      </c>
      <c r="C334" s="121">
        <f ca="1">IFERROR(__xludf.DUMMYFUNCTION("""COMPUTED_VALUE"""),450000)</f>
        <v>450000</v>
      </c>
      <c r="D334" s="21"/>
      <c r="E334" s="21"/>
      <c r="F334" s="121" t="str">
        <f ca="1">IFERROR(__xludf.DUMMYFUNCTION("""COMPUTED_VALUE"""),"No ha consignado platica")</f>
        <v>No ha consignado platica</v>
      </c>
      <c r="G334" s="21"/>
      <c r="H334" s="21"/>
    </row>
    <row r="335" spans="1:8" x14ac:dyDescent="0.2">
      <c r="A335" s="21">
        <f t="shared" si="1"/>
        <v>0</v>
      </c>
      <c r="B335" s="21">
        <f ca="1">IFERROR(__xludf.DUMMYFUNCTION("""COMPUTED_VALUE"""),31201016)</f>
        <v>31201016</v>
      </c>
      <c r="C335" s="121">
        <f ca="1">IFERROR(__xludf.DUMMYFUNCTION("""COMPUTED_VALUE"""),450000)</f>
        <v>450000</v>
      </c>
      <c r="D335" s="21"/>
      <c r="E335" s="21"/>
      <c r="F335" s="121" t="str">
        <f ca="1">IFERROR(__xludf.DUMMYFUNCTION("""COMPUTED_VALUE"""),"No ha consignado platica")</f>
        <v>No ha consignado platica</v>
      </c>
      <c r="G335" s="21"/>
      <c r="H335" s="21"/>
    </row>
    <row r="336" spans="1:8" x14ac:dyDescent="0.2">
      <c r="A336" s="21">
        <f t="shared" si="1"/>
        <v>0</v>
      </c>
      <c r="B336" s="21">
        <f ca="1">IFERROR(__xludf.DUMMYFUNCTION("""COMPUTED_VALUE"""),31201017)</f>
        <v>31201017</v>
      </c>
      <c r="C336" s="121">
        <f ca="1">IFERROR(__xludf.DUMMYFUNCTION("""COMPUTED_VALUE"""),450000)</f>
        <v>450000</v>
      </c>
      <c r="D336" s="21"/>
      <c r="E336" s="21"/>
      <c r="F336" s="121" t="str">
        <f ca="1">IFERROR(__xludf.DUMMYFUNCTION("""COMPUTED_VALUE"""),"No ha consignado platica")</f>
        <v>No ha consignado platica</v>
      </c>
      <c r="G336" s="21"/>
      <c r="H336" s="21"/>
    </row>
    <row r="337" spans="1:8" x14ac:dyDescent="0.2">
      <c r="A337" s="21">
        <f t="shared" si="1"/>
        <v>0</v>
      </c>
      <c r="B337" s="21">
        <f ca="1">IFERROR(__xludf.DUMMYFUNCTION("""COMPUTED_VALUE"""),31201018)</f>
        <v>31201018</v>
      </c>
      <c r="C337" s="121">
        <f ca="1">IFERROR(__xludf.DUMMYFUNCTION("""COMPUTED_VALUE"""),450000)</f>
        <v>450000</v>
      </c>
      <c r="D337" s="21"/>
      <c r="E337" s="21"/>
      <c r="F337" s="121" t="str">
        <f ca="1">IFERROR(__xludf.DUMMYFUNCTION("""COMPUTED_VALUE"""),"No ha consignado platica")</f>
        <v>No ha consignado platica</v>
      </c>
      <c r="G337" s="21"/>
      <c r="H337" s="21"/>
    </row>
    <row r="338" spans="1:8" x14ac:dyDescent="0.2">
      <c r="A338" s="21">
        <f t="shared" si="1"/>
        <v>0</v>
      </c>
      <c r="B338" s="21">
        <f ca="1">IFERROR(__xludf.DUMMYFUNCTION("""COMPUTED_VALUE"""),31201019)</f>
        <v>31201019</v>
      </c>
      <c r="C338" s="121">
        <f ca="1">IFERROR(__xludf.DUMMYFUNCTION("""COMPUTED_VALUE"""),450000)</f>
        <v>450000</v>
      </c>
      <c r="D338" s="21"/>
      <c r="E338" s="21"/>
      <c r="F338" s="121" t="str">
        <f ca="1">IFERROR(__xludf.DUMMYFUNCTION("""COMPUTED_VALUE"""),"No ha consignado platica")</f>
        <v>No ha consignado platica</v>
      </c>
      <c r="G338" s="21"/>
      <c r="H338" s="21"/>
    </row>
    <row r="339" spans="1:8" x14ac:dyDescent="0.2">
      <c r="A339" s="21">
        <f t="shared" si="1"/>
        <v>0</v>
      </c>
      <c r="B339" s="21">
        <f ca="1">IFERROR(__xludf.DUMMYFUNCTION("""COMPUTED_VALUE"""),31201020)</f>
        <v>31201020</v>
      </c>
      <c r="C339" s="121">
        <f ca="1">IFERROR(__xludf.DUMMYFUNCTION("""COMPUTED_VALUE"""),450000)</f>
        <v>450000</v>
      </c>
      <c r="D339" s="21"/>
      <c r="E339" s="21"/>
      <c r="F339" s="121" t="str">
        <f ca="1">IFERROR(__xludf.DUMMYFUNCTION("""COMPUTED_VALUE"""),"No ha consignado platica")</f>
        <v>No ha consignado platica</v>
      </c>
      <c r="G339" s="21"/>
      <c r="H339" s="21"/>
    </row>
    <row r="340" spans="1:8" x14ac:dyDescent="0.2">
      <c r="A340" s="21">
        <f t="shared" si="1"/>
        <v>0</v>
      </c>
      <c r="B340" s="21">
        <f ca="1">IFERROR(__xludf.DUMMYFUNCTION("""COMPUTED_VALUE"""),31201021)</f>
        <v>31201021</v>
      </c>
      <c r="C340" s="121">
        <f ca="1">IFERROR(__xludf.DUMMYFUNCTION("""COMPUTED_VALUE"""),450000)</f>
        <v>450000</v>
      </c>
      <c r="D340" s="21"/>
      <c r="E340" s="21"/>
      <c r="F340" s="121" t="str">
        <f ca="1">IFERROR(__xludf.DUMMYFUNCTION("""COMPUTED_VALUE"""),"No ha consignado platica")</f>
        <v>No ha consignado platica</v>
      </c>
      <c r="G340" s="21"/>
      <c r="H340" s="21"/>
    </row>
    <row r="341" spans="1:8" x14ac:dyDescent="0.2">
      <c r="A341" s="21">
        <f t="shared" si="1"/>
        <v>0</v>
      </c>
      <c r="B341" s="21">
        <f ca="1">IFERROR(__xludf.DUMMYFUNCTION("""COMPUTED_VALUE"""),31201022)</f>
        <v>31201022</v>
      </c>
      <c r="C341" s="121">
        <f ca="1">IFERROR(__xludf.DUMMYFUNCTION("""COMPUTED_VALUE"""),450000)</f>
        <v>450000</v>
      </c>
      <c r="D341" s="21"/>
      <c r="E341" s="21"/>
      <c r="F341" s="121" t="str">
        <f ca="1">IFERROR(__xludf.DUMMYFUNCTION("""COMPUTED_VALUE"""),"No ha consignado platica")</f>
        <v>No ha consignado platica</v>
      </c>
      <c r="G341" s="21"/>
      <c r="H341" s="21"/>
    </row>
    <row r="342" spans="1:8" x14ac:dyDescent="0.2">
      <c r="A342" s="21">
        <f t="shared" si="1"/>
        <v>0</v>
      </c>
      <c r="B342" s="21">
        <f ca="1">IFERROR(__xludf.DUMMYFUNCTION("""COMPUTED_VALUE"""),31201023)</f>
        <v>31201023</v>
      </c>
      <c r="C342" s="121">
        <f ca="1">IFERROR(__xludf.DUMMYFUNCTION("""COMPUTED_VALUE"""),450000)</f>
        <v>450000</v>
      </c>
      <c r="D342" s="21"/>
      <c r="E342" s="21"/>
      <c r="F342" s="121" t="str">
        <f ca="1">IFERROR(__xludf.DUMMYFUNCTION("""COMPUTED_VALUE"""),"No ha consignado platica")</f>
        <v>No ha consignado platica</v>
      </c>
      <c r="G342" s="21"/>
      <c r="H342" s="21"/>
    </row>
    <row r="343" spans="1:8" x14ac:dyDescent="0.2">
      <c r="A343" s="21">
        <f t="shared" si="1"/>
        <v>0</v>
      </c>
      <c r="B343" s="21">
        <f ca="1">IFERROR(__xludf.DUMMYFUNCTION("""COMPUTED_VALUE"""),31201024)</f>
        <v>31201024</v>
      </c>
      <c r="C343" s="121">
        <f ca="1">IFERROR(__xludf.DUMMYFUNCTION("""COMPUTED_VALUE"""),450000)</f>
        <v>450000</v>
      </c>
      <c r="D343" s="21"/>
      <c r="E343" s="21"/>
      <c r="F343" s="121" t="str">
        <f ca="1">IFERROR(__xludf.DUMMYFUNCTION("""COMPUTED_VALUE"""),"No ha consignado platica")</f>
        <v>No ha consignado platica</v>
      </c>
      <c r="G343" s="21"/>
      <c r="H343" s="21"/>
    </row>
    <row r="344" spans="1:8" x14ac:dyDescent="0.2">
      <c r="A344" s="21">
        <f t="shared" si="1"/>
        <v>0</v>
      </c>
      <c r="B344" s="21">
        <f ca="1">IFERROR(__xludf.DUMMYFUNCTION("""COMPUTED_VALUE"""),31201025)</f>
        <v>31201025</v>
      </c>
      <c r="C344" s="121">
        <f ca="1">IFERROR(__xludf.DUMMYFUNCTION("""COMPUTED_VALUE"""),450000)</f>
        <v>450000</v>
      </c>
      <c r="D344" s="21"/>
      <c r="E344" s="21"/>
      <c r="F344" s="121" t="str">
        <f ca="1">IFERROR(__xludf.DUMMYFUNCTION("""COMPUTED_VALUE"""),"No ha consignado platica")</f>
        <v>No ha consignado platica</v>
      </c>
      <c r="G344" s="21"/>
      <c r="H344" s="21"/>
    </row>
    <row r="345" spans="1:8" x14ac:dyDescent="0.2">
      <c r="A345" s="21">
        <f t="shared" si="1"/>
        <v>0</v>
      </c>
      <c r="B345" s="21">
        <f ca="1">IFERROR(__xludf.DUMMYFUNCTION("""COMPUTED_VALUE"""),31201026)</f>
        <v>31201026</v>
      </c>
      <c r="C345" s="121">
        <f ca="1">IFERROR(__xludf.DUMMYFUNCTION("""COMPUTED_VALUE"""),450000)</f>
        <v>450000</v>
      </c>
      <c r="D345" s="21"/>
      <c r="E345" s="21"/>
      <c r="F345" s="121" t="str">
        <f ca="1">IFERROR(__xludf.DUMMYFUNCTION("""COMPUTED_VALUE"""),"No ha consignado platica")</f>
        <v>No ha consignado platica</v>
      </c>
      <c r="G345" s="21"/>
      <c r="H345" s="21"/>
    </row>
    <row r="346" spans="1:8" x14ac:dyDescent="0.2">
      <c r="A346" s="21">
        <f t="shared" si="1"/>
        <v>0</v>
      </c>
      <c r="B346" s="21">
        <f ca="1">IFERROR(__xludf.DUMMYFUNCTION("""COMPUTED_VALUE"""),31201027)</f>
        <v>31201027</v>
      </c>
      <c r="C346" s="121">
        <f ca="1">IFERROR(__xludf.DUMMYFUNCTION("""COMPUTED_VALUE"""),450000)</f>
        <v>450000</v>
      </c>
      <c r="D346" s="21"/>
      <c r="E346" s="21"/>
      <c r="F346" s="121" t="str">
        <f ca="1">IFERROR(__xludf.DUMMYFUNCTION("""COMPUTED_VALUE"""),"No ha consignado platica")</f>
        <v>No ha consignado platica</v>
      </c>
      <c r="G346" s="21"/>
      <c r="H346" s="21"/>
    </row>
    <row r="347" spans="1:8" x14ac:dyDescent="0.2">
      <c r="A347" s="21">
        <f t="shared" si="1"/>
        <v>0</v>
      </c>
      <c r="B347" s="21">
        <f ca="1">IFERROR(__xludf.DUMMYFUNCTION("""COMPUTED_VALUE"""),31201028)</f>
        <v>31201028</v>
      </c>
      <c r="C347" s="121">
        <f ca="1">IFERROR(__xludf.DUMMYFUNCTION("""COMPUTED_VALUE"""),450000)</f>
        <v>450000</v>
      </c>
      <c r="D347" s="21"/>
      <c r="E347" s="21"/>
      <c r="F347" s="121" t="str">
        <f ca="1">IFERROR(__xludf.DUMMYFUNCTION("""COMPUTED_VALUE"""),"No ha consignado platica")</f>
        <v>No ha consignado platica</v>
      </c>
      <c r="G347" s="21"/>
      <c r="H347" s="21"/>
    </row>
    <row r="348" spans="1:8" x14ac:dyDescent="0.2">
      <c r="A348" s="21">
        <f t="shared" si="1"/>
        <v>0</v>
      </c>
      <c r="B348" s="21">
        <f ca="1">IFERROR(__xludf.DUMMYFUNCTION("""COMPUTED_VALUE"""),31201029)</f>
        <v>31201029</v>
      </c>
      <c r="C348" s="121">
        <f ca="1">IFERROR(__xludf.DUMMYFUNCTION("""COMPUTED_VALUE"""),450000)</f>
        <v>450000</v>
      </c>
      <c r="D348" s="21"/>
      <c r="E348" s="21"/>
      <c r="F348" s="121" t="str">
        <f ca="1">IFERROR(__xludf.DUMMYFUNCTION("""COMPUTED_VALUE"""),"No ha consignado platica")</f>
        <v>No ha consignado platica</v>
      </c>
      <c r="G348" s="21"/>
      <c r="H348" s="21"/>
    </row>
    <row r="349" spans="1:8" x14ac:dyDescent="0.2">
      <c r="A349" s="21">
        <f t="shared" si="1"/>
        <v>0</v>
      </c>
      <c r="B349" s="21">
        <f ca="1">IFERROR(__xludf.DUMMYFUNCTION("""COMPUTED_VALUE"""),31201030)</f>
        <v>31201030</v>
      </c>
      <c r="C349" s="121">
        <f ca="1">IFERROR(__xludf.DUMMYFUNCTION("""COMPUTED_VALUE"""),450000)</f>
        <v>450000</v>
      </c>
      <c r="D349" s="21"/>
      <c r="E349" s="21"/>
      <c r="F349" s="121" t="str">
        <f ca="1">IFERROR(__xludf.DUMMYFUNCTION("""COMPUTED_VALUE"""),"No ha consignado platica")</f>
        <v>No ha consignado platica</v>
      </c>
      <c r="G349" s="21"/>
      <c r="H349" s="21"/>
    </row>
    <row r="350" spans="1:8" x14ac:dyDescent="0.2">
      <c r="A350" s="21">
        <f t="shared" si="1"/>
        <v>0</v>
      </c>
      <c r="B350" s="21">
        <f ca="1">IFERROR(__xludf.DUMMYFUNCTION("""COMPUTED_VALUE"""),31201031)</f>
        <v>31201031</v>
      </c>
      <c r="C350" s="121">
        <f ca="1">IFERROR(__xludf.DUMMYFUNCTION("""COMPUTED_VALUE"""),450000)</f>
        <v>450000</v>
      </c>
      <c r="D350" s="21"/>
      <c r="E350" s="21"/>
      <c r="F350" s="121" t="str">
        <f ca="1">IFERROR(__xludf.DUMMYFUNCTION("""COMPUTED_VALUE"""),"No ha consignado platica")</f>
        <v>No ha consignado platica</v>
      </c>
      <c r="G350" s="21"/>
      <c r="H350" s="21"/>
    </row>
    <row r="351" spans="1:8" x14ac:dyDescent="0.2">
      <c r="A351" s="21">
        <f t="shared" si="1"/>
        <v>0</v>
      </c>
      <c r="B351" s="21">
        <f ca="1">IFERROR(__xludf.DUMMYFUNCTION("""COMPUTED_VALUE"""),31201032)</f>
        <v>31201032</v>
      </c>
      <c r="C351" s="121">
        <f ca="1">IFERROR(__xludf.DUMMYFUNCTION("""COMPUTED_VALUE"""),450000)</f>
        <v>450000</v>
      </c>
      <c r="D351" s="21"/>
      <c r="E351" s="21"/>
      <c r="F351" s="121" t="str">
        <f ca="1">IFERROR(__xludf.DUMMYFUNCTION("""COMPUTED_VALUE"""),"No ha consignado platica")</f>
        <v>No ha consignado platica</v>
      </c>
      <c r="G351" s="21"/>
      <c r="H351" s="21"/>
    </row>
    <row r="352" spans="1:8" x14ac:dyDescent="0.2">
      <c r="A352" s="21">
        <f t="shared" si="1"/>
        <v>0</v>
      </c>
      <c r="B352" s="21">
        <f ca="1">IFERROR(__xludf.DUMMYFUNCTION("""COMPUTED_VALUE"""),31201033)</f>
        <v>31201033</v>
      </c>
      <c r="C352" s="121">
        <f ca="1">IFERROR(__xludf.DUMMYFUNCTION("""COMPUTED_VALUE"""),450000)</f>
        <v>450000</v>
      </c>
      <c r="D352" s="21"/>
      <c r="E352" s="21"/>
      <c r="F352" s="121" t="str">
        <f ca="1">IFERROR(__xludf.DUMMYFUNCTION("""COMPUTED_VALUE"""),"No ha consignado platica")</f>
        <v>No ha consignado platica</v>
      </c>
      <c r="G352" s="21"/>
      <c r="H352" s="21"/>
    </row>
    <row r="353" spans="1:8" x14ac:dyDescent="0.2">
      <c r="A353" s="21">
        <f t="shared" si="1"/>
        <v>0</v>
      </c>
      <c r="B353" s="21">
        <f ca="1">IFERROR(__xludf.DUMMYFUNCTION("""COMPUTED_VALUE"""),31201034)</f>
        <v>31201034</v>
      </c>
      <c r="C353" s="121">
        <f ca="1">IFERROR(__xludf.DUMMYFUNCTION("""COMPUTED_VALUE"""),450000)</f>
        <v>450000</v>
      </c>
      <c r="D353" s="21"/>
      <c r="E353" s="21"/>
      <c r="F353" s="121" t="str">
        <f ca="1">IFERROR(__xludf.DUMMYFUNCTION("""COMPUTED_VALUE"""),"No ha consignado platica")</f>
        <v>No ha consignado platica</v>
      </c>
      <c r="G353" s="21"/>
      <c r="H353" s="21"/>
    </row>
    <row r="354" spans="1:8" x14ac:dyDescent="0.2">
      <c r="A354" s="21">
        <f t="shared" si="1"/>
        <v>0</v>
      </c>
      <c r="B354" s="21">
        <f ca="1">IFERROR(__xludf.DUMMYFUNCTION("""COMPUTED_VALUE"""),31201035)</f>
        <v>31201035</v>
      </c>
      <c r="C354" s="121">
        <f ca="1">IFERROR(__xludf.DUMMYFUNCTION("""COMPUTED_VALUE"""),450000)</f>
        <v>450000</v>
      </c>
      <c r="D354" s="21"/>
      <c r="E354" s="21"/>
      <c r="F354" s="121" t="str">
        <f ca="1">IFERROR(__xludf.DUMMYFUNCTION("""COMPUTED_VALUE"""),"No ha consignado platica")</f>
        <v>No ha consignado platica</v>
      </c>
      <c r="G354" s="21"/>
      <c r="H354" s="21"/>
    </row>
    <row r="355" spans="1:8" x14ac:dyDescent="0.2">
      <c r="A355" s="21">
        <f t="shared" si="1"/>
        <v>0</v>
      </c>
      <c r="B355" s="21">
        <f ca="1">IFERROR(__xludf.DUMMYFUNCTION("""COMPUTED_VALUE"""),31201036)</f>
        <v>31201036</v>
      </c>
      <c r="C355" s="121">
        <f ca="1">IFERROR(__xludf.DUMMYFUNCTION("""COMPUTED_VALUE"""),450000)</f>
        <v>450000</v>
      </c>
      <c r="D355" s="21"/>
      <c r="E355" s="21"/>
      <c r="F355" s="121" t="str">
        <f ca="1">IFERROR(__xludf.DUMMYFUNCTION("""COMPUTED_VALUE"""),"No ha consignado platica")</f>
        <v>No ha consignado platica</v>
      </c>
      <c r="G355" s="21"/>
      <c r="H355" s="21"/>
    </row>
    <row r="356" spans="1:8" x14ac:dyDescent="0.2">
      <c r="A356" s="21">
        <f t="shared" si="1"/>
        <v>0</v>
      </c>
      <c r="B356" s="21">
        <f ca="1">IFERROR(__xludf.DUMMYFUNCTION("""COMPUTED_VALUE"""),31201037)</f>
        <v>31201037</v>
      </c>
      <c r="C356" s="121">
        <f ca="1">IFERROR(__xludf.DUMMYFUNCTION("""COMPUTED_VALUE"""),450000)</f>
        <v>450000</v>
      </c>
      <c r="D356" s="21"/>
      <c r="E356" s="21"/>
      <c r="F356" s="121" t="str">
        <f ca="1">IFERROR(__xludf.DUMMYFUNCTION("""COMPUTED_VALUE"""),"No ha consignado platica")</f>
        <v>No ha consignado platica</v>
      </c>
      <c r="G356" s="21"/>
      <c r="H356" s="21"/>
    </row>
    <row r="357" spans="1:8" x14ac:dyDescent="0.2">
      <c r="A357" s="21">
        <f t="shared" si="1"/>
        <v>0</v>
      </c>
      <c r="B357" s="21">
        <f ca="1">IFERROR(__xludf.DUMMYFUNCTION("""COMPUTED_VALUE"""),31201038)</f>
        <v>31201038</v>
      </c>
      <c r="C357" s="121">
        <f ca="1">IFERROR(__xludf.DUMMYFUNCTION("""COMPUTED_VALUE"""),450000)</f>
        <v>450000</v>
      </c>
      <c r="D357" s="21"/>
      <c r="E357" s="21"/>
      <c r="F357" s="121" t="str">
        <f ca="1">IFERROR(__xludf.DUMMYFUNCTION("""COMPUTED_VALUE"""),"No ha consignado platica")</f>
        <v>No ha consignado platica</v>
      </c>
      <c r="G357" s="21"/>
      <c r="H357" s="21"/>
    </row>
    <row r="358" spans="1:8" x14ac:dyDescent="0.2">
      <c r="A358" s="21">
        <f t="shared" si="1"/>
        <v>0</v>
      </c>
      <c r="B358" s="21">
        <f ca="1">IFERROR(__xludf.DUMMYFUNCTION("""COMPUTED_VALUE"""),31201039)</f>
        <v>31201039</v>
      </c>
      <c r="C358" s="121">
        <f ca="1">IFERROR(__xludf.DUMMYFUNCTION("""COMPUTED_VALUE"""),450000)</f>
        <v>450000</v>
      </c>
      <c r="D358" s="21"/>
      <c r="E358" s="21"/>
      <c r="F358" s="121" t="str">
        <f ca="1">IFERROR(__xludf.DUMMYFUNCTION("""COMPUTED_VALUE"""),"No ha consignado platica")</f>
        <v>No ha consignado platica</v>
      </c>
      <c r="G358" s="21"/>
      <c r="H358" s="21"/>
    </row>
    <row r="359" spans="1:8" x14ac:dyDescent="0.2">
      <c r="A359" s="21">
        <f t="shared" si="1"/>
        <v>0</v>
      </c>
      <c r="B359" s="21">
        <f ca="1">IFERROR(__xludf.DUMMYFUNCTION("""COMPUTED_VALUE"""),31201040)</f>
        <v>31201040</v>
      </c>
      <c r="C359" s="121">
        <f ca="1">IFERROR(__xludf.DUMMYFUNCTION("""COMPUTED_VALUE"""),450000)</f>
        <v>450000</v>
      </c>
      <c r="D359" s="21"/>
      <c r="E359" s="21"/>
      <c r="F359" s="121" t="str">
        <f ca="1">IFERROR(__xludf.DUMMYFUNCTION("""COMPUTED_VALUE"""),"No ha consignado platica")</f>
        <v>No ha consignado platica</v>
      </c>
      <c r="G359" s="21"/>
      <c r="H359" s="21"/>
    </row>
    <row r="360" spans="1:8" x14ac:dyDescent="0.2">
      <c r="A360" s="21">
        <f t="shared" si="1"/>
        <v>0</v>
      </c>
      <c r="B360" s="21">
        <f ca="1">IFERROR(__xludf.DUMMYFUNCTION("""COMPUTED_VALUE"""),31201041)</f>
        <v>31201041</v>
      </c>
      <c r="C360" s="121">
        <f ca="1">IFERROR(__xludf.DUMMYFUNCTION("""COMPUTED_VALUE"""),450000)</f>
        <v>450000</v>
      </c>
      <c r="D360" s="21"/>
      <c r="E360" s="21"/>
      <c r="F360" s="121" t="str">
        <f ca="1">IFERROR(__xludf.DUMMYFUNCTION("""COMPUTED_VALUE"""),"No ha consignado platica")</f>
        <v>No ha consignado platica</v>
      </c>
      <c r="G360" s="21"/>
      <c r="H360" s="21"/>
    </row>
    <row r="361" spans="1:8" x14ac:dyDescent="0.2">
      <c r="A361" s="21">
        <f t="shared" si="1"/>
        <v>0</v>
      </c>
      <c r="B361" s="21">
        <f ca="1">IFERROR(__xludf.DUMMYFUNCTION("""COMPUTED_VALUE"""),31201042)</f>
        <v>31201042</v>
      </c>
      <c r="C361" s="121">
        <f ca="1">IFERROR(__xludf.DUMMYFUNCTION("""COMPUTED_VALUE"""),450000)</f>
        <v>450000</v>
      </c>
      <c r="D361" s="21"/>
      <c r="E361" s="21"/>
      <c r="F361" s="121" t="str">
        <f ca="1">IFERROR(__xludf.DUMMYFUNCTION("""COMPUTED_VALUE"""),"No ha consignado platica")</f>
        <v>No ha consignado platica</v>
      </c>
      <c r="G361" s="21"/>
      <c r="H361" s="21"/>
    </row>
    <row r="362" spans="1:8" x14ac:dyDescent="0.2">
      <c r="A362" s="21">
        <f t="shared" si="1"/>
        <v>0</v>
      </c>
      <c r="B362" s="21">
        <f ca="1">IFERROR(__xludf.DUMMYFUNCTION("""COMPUTED_VALUE"""),31201043)</f>
        <v>31201043</v>
      </c>
      <c r="C362" s="121">
        <f ca="1">IFERROR(__xludf.DUMMYFUNCTION("""COMPUTED_VALUE"""),450000)</f>
        <v>450000</v>
      </c>
      <c r="D362" s="21"/>
      <c r="E362" s="21"/>
      <c r="F362" s="121" t="str">
        <f ca="1">IFERROR(__xludf.DUMMYFUNCTION("""COMPUTED_VALUE"""),"No ha consignado platica")</f>
        <v>No ha consignado platica</v>
      </c>
      <c r="G362" s="21"/>
      <c r="H362" s="21"/>
    </row>
    <row r="363" spans="1:8" x14ac:dyDescent="0.2">
      <c r="A363" s="21">
        <f t="shared" si="1"/>
        <v>0</v>
      </c>
      <c r="B363" s="21">
        <f ca="1">IFERROR(__xludf.DUMMYFUNCTION("""COMPUTED_VALUE"""),31201044)</f>
        <v>31201044</v>
      </c>
      <c r="C363" s="121">
        <f ca="1">IFERROR(__xludf.DUMMYFUNCTION("""COMPUTED_VALUE"""),450000)</f>
        <v>450000</v>
      </c>
      <c r="D363" s="21"/>
      <c r="E363" s="21"/>
      <c r="F363" s="121" t="str">
        <f ca="1">IFERROR(__xludf.DUMMYFUNCTION("""COMPUTED_VALUE"""),"No ha consignado platica")</f>
        <v>No ha consignado platica</v>
      </c>
      <c r="G363" s="21"/>
      <c r="H363" s="21"/>
    </row>
    <row r="364" spans="1:8" x14ac:dyDescent="0.2">
      <c r="A364" s="21">
        <f t="shared" si="1"/>
        <v>0</v>
      </c>
      <c r="B364" s="21">
        <f ca="1">IFERROR(__xludf.DUMMYFUNCTION("""COMPUTED_VALUE"""),31201045)</f>
        <v>31201045</v>
      </c>
      <c r="C364" s="121">
        <f ca="1">IFERROR(__xludf.DUMMYFUNCTION("""COMPUTED_VALUE"""),450000)</f>
        <v>450000</v>
      </c>
      <c r="D364" s="21"/>
      <c r="E364" s="21"/>
      <c r="F364" s="121" t="str">
        <f ca="1">IFERROR(__xludf.DUMMYFUNCTION("""COMPUTED_VALUE"""),"No ha consignado platica")</f>
        <v>No ha consignado platica</v>
      </c>
      <c r="G364" s="21"/>
      <c r="H364" s="21"/>
    </row>
    <row r="365" spans="1:8" x14ac:dyDescent="0.2">
      <c r="A365" s="21">
        <f t="shared" si="1"/>
        <v>0</v>
      </c>
      <c r="B365" s="21">
        <f ca="1">IFERROR(__xludf.DUMMYFUNCTION("""COMPUTED_VALUE"""),31201046)</f>
        <v>31201046</v>
      </c>
      <c r="C365" s="121">
        <f ca="1">IFERROR(__xludf.DUMMYFUNCTION("""COMPUTED_VALUE"""),450000)</f>
        <v>450000</v>
      </c>
      <c r="D365" s="21"/>
      <c r="E365" s="21"/>
      <c r="F365" s="121" t="str">
        <f ca="1">IFERROR(__xludf.DUMMYFUNCTION("""COMPUTED_VALUE"""),"No ha consignado platica")</f>
        <v>No ha consignado platica</v>
      </c>
      <c r="G365" s="21"/>
      <c r="H365" s="21"/>
    </row>
    <row r="366" spans="1:8" x14ac:dyDescent="0.2">
      <c r="A366" s="21">
        <f t="shared" si="1"/>
        <v>0</v>
      </c>
      <c r="B366" s="21">
        <f ca="1">IFERROR(__xludf.DUMMYFUNCTION("""COMPUTED_VALUE"""),31201047)</f>
        <v>31201047</v>
      </c>
      <c r="C366" s="121">
        <f ca="1">IFERROR(__xludf.DUMMYFUNCTION("""COMPUTED_VALUE"""),450000)</f>
        <v>450000</v>
      </c>
      <c r="D366" s="21"/>
      <c r="E366" s="21"/>
      <c r="F366" s="121" t="str">
        <f ca="1">IFERROR(__xludf.DUMMYFUNCTION("""COMPUTED_VALUE"""),"No ha consignado platica")</f>
        <v>No ha consignado platica</v>
      </c>
      <c r="G366" s="21"/>
      <c r="H366" s="21"/>
    </row>
    <row r="367" spans="1:8" x14ac:dyDescent="0.2">
      <c r="A367" s="21">
        <f t="shared" si="1"/>
        <v>0</v>
      </c>
      <c r="B367" s="21">
        <f ca="1">IFERROR(__xludf.DUMMYFUNCTION("""COMPUTED_VALUE"""),31201048)</f>
        <v>31201048</v>
      </c>
      <c r="C367" s="121">
        <f ca="1">IFERROR(__xludf.DUMMYFUNCTION("""COMPUTED_VALUE"""),450000)</f>
        <v>450000</v>
      </c>
      <c r="D367" s="21"/>
      <c r="E367" s="21"/>
      <c r="F367" s="121" t="str">
        <f ca="1">IFERROR(__xludf.DUMMYFUNCTION("""COMPUTED_VALUE"""),"No ha consignado platica")</f>
        <v>No ha consignado platica</v>
      </c>
      <c r="G367" s="21"/>
      <c r="H367" s="21"/>
    </row>
    <row r="368" spans="1:8" x14ac:dyDescent="0.2">
      <c r="A368" s="21">
        <f t="shared" si="1"/>
        <v>0</v>
      </c>
      <c r="B368" s="21">
        <f ca="1">IFERROR(__xludf.DUMMYFUNCTION("""COMPUTED_VALUE"""),31201049)</f>
        <v>31201049</v>
      </c>
      <c r="C368" s="121">
        <f ca="1">IFERROR(__xludf.DUMMYFUNCTION("""COMPUTED_VALUE"""),450000)</f>
        <v>450000</v>
      </c>
      <c r="D368" s="21"/>
      <c r="E368" s="21"/>
      <c r="F368" s="121" t="str">
        <f ca="1">IFERROR(__xludf.DUMMYFUNCTION("""COMPUTED_VALUE"""),"No ha consignado platica")</f>
        <v>No ha consignado platica</v>
      </c>
      <c r="G368" s="21"/>
      <c r="H368" s="21"/>
    </row>
    <row r="369" spans="1:8" x14ac:dyDescent="0.2">
      <c r="A369" s="21">
        <f t="shared" si="1"/>
        <v>0</v>
      </c>
      <c r="B369" s="21">
        <f ca="1">IFERROR(__xludf.DUMMYFUNCTION("""COMPUTED_VALUE"""),31201050)</f>
        <v>31201050</v>
      </c>
      <c r="C369" s="121">
        <f ca="1">IFERROR(__xludf.DUMMYFUNCTION("""COMPUTED_VALUE"""),450000)</f>
        <v>450000</v>
      </c>
      <c r="D369" s="21"/>
      <c r="E369" s="21"/>
      <c r="F369" s="121" t="str">
        <f ca="1">IFERROR(__xludf.DUMMYFUNCTION("""COMPUTED_VALUE"""),"No ha consignado platica")</f>
        <v>No ha consignado platica</v>
      </c>
      <c r="G369" s="21"/>
      <c r="H369" s="21"/>
    </row>
    <row r="370" spans="1:8" x14ac:dyDescent="0.2">
      <c r="A370" s="21">
        <f t="shared" si="1"/>
        <v>0</v>
      </c>
      <c r="B370" s="21">
        <f ca="1">IFERROR(__xludf.DUMMYFUNCTION("""COMPUTED_VALUE"""),31201051)</f>
        <v>31201051</v>
      </c>
      <c r="C370" s="121">
        <f ca="1">IFERROR(__xludf.DUMMYFUNCTION("""COMPUTED_VALUE"""),450000)</f>
        <v>450000</v>
      </c>
      <c r="D370" s="21"/>
      <c r="E370" s="21"/>
      <c r="F370" s="121" t="str">
        <f ca="1">IFERROR(__xludf.DUMMYFUNCTION("""COMPUTED_VALUE"""),"No ha consignado platica")</f>
        <v>No ha consignado platica</v>
      </c>
      <c r="G370" s="21"/>
      <c r="H370" s="21"/>
    </row>
    <row r="371" spans="1:8" x14ac:dyDescent="0.2">
      <c r="A371" s="21">
        <f t="shared" si="1"/>
        <v>0</v>
      </c>
      <c r="B371" s="21">
        <f ca="1">IFERROR(__xludf.DUMMYFUNCTION("""COMPUTED_VALUE"""),31201052)</f>
        <v>31201052</v>
      </c>
      <c r="C371" s="121">
        <f ca="1">IFERROR(__xludf.DUMMYFUNCTION("""COMPUTED_VALUE"""),450000)</f>
        <v>450000</v>
      </c>
      <c r="D371" s="21"/>
      <c r="E371" s="21"/>
      <c r="F371" s="121" t="str">
        <f ca="1">IFERROR(__xludf.DUMMYFUNCTION("""COMPUTED_VALUE"""),"No ha consignado platica")</f>
        <v>No ha consignado platica</v>
      </c>
      <c r="G371" s="21"/>
      <c r="H371" s="21"/>
    </row>
    <row r="372" spans="1:8" x14ac:dyDescent="0.2">
      <c r="A372" s="21">
        <f t="shared" si="1"/>
        <v>0</v>
      </c>
      <c r="B372" s="21">
        <f ca="1">IFERROR(__xludf.DUMMYFUNCTION("""COMPUTED_VALUE"""),31201053)</f>
        <v>31201053</v>
      </c>
      <c r="C372" s="121">
        <f ca="1">IFERROR(__xludf.DUMMYFUNCTION("""COMPUTED_VALUE"""),450000)</f>
        <v>450000</v>
      </c>
      <c r="D372" s="21"/>
      <c r="E372" s="21"/>
      <c r="F372" s="121" t="str">
        <f ca="1">IFERROR(__xludf.DUMMYFUNCTION("""COMPUTED_VALUE"""),"No ha consignado platica")</f>
        <v>No ha consignado platica</v>
      </c>
      <c r="G372" s="21"/>
      <c r="H372" s="21"/>
    </row>
    <row r="373" spans="1:8" x14ac:dyDescent="0.2">
      <c r="A373" s="21">
        <f t="shared" si="1"/>
        <v>0</v>
      </c>
      <c r="B373" s="21">
        <f ca="1">IFERROR(__xludf.DUMMYFUNCTION("""COMPUTED_VALUE"""),31201054)</f>
        <v>31201054</v>
      </c>
      <c r="C373" s="121">
        <f ca="1">IFERROR(__xludf.DUMMYFUNCTION("""COMPUTED_VALUE"""),450000)</f>
        <v>450000</v>
      </c>
      <c r="D373" s="21"/>
      <c r="E373" s="21"/>
      <c r="F373" s="121" t="str">
        <f ca="1">IFERROR(__xludf.DUMMYFUNCTION("""COMPUTED_VALUE"""),"No ha consignado platica")</f>
        <v>No ha consignado platica</v>
      </c>
      <c r="G373" s="21"/>
      <c r="H373" s="21"/>
    </row>
    <row r="374" spans="1:8" x14ac:dyDescent="0.2">
      <c r="A374" s="21">
        <f t="shared" si="1"/>
        <v>0</v>
      </c>
      <c r="B374" s="21">
        <f ca="1">IFERROR(__xludf.DUMMYFUNCTION("""COMPUTED_VALUE"""),31201055)</f>
        <v>31201055</v>
      </c>
      <c r="C374" s="121">
        <f ca="1">IFERROR(__xludf.DUMMYFUNCTION("""COMPUTED_VALUE"""),450000)</f>
        <v>450000</v>
      </c>
      <c r="D374" s="21"/>
      <c r="E374" s="21"/>
      <c r="F374" s="121" t="str">
        <f ca="1">IFERROR(__xludf.DUMMYFUNCTION("""COMPUTED_VALUE"""),"No ha consignado platica")</f>
        <v>No ha consignado platica</v>
      </c>
      <c r="G374" s="21"/>
      <c r="H374" s="21"/>
    </row>
    <row r="375" spans="1:8" x14ac:dyDescent="0.2">
      <c r="A375" s="21">
        <f t="shared" si="1"/>
        <v>0</v>
      </c>
      <c r="B375" s="21">
        <f ca="1">IFERROR(__xludf.DUMMYFUNCTION("""COMPUTED_VALUE"""),31201056)</f>
        <v>31201056</v>
      </c>
      <c r="C375" s="121">
        <f ca="1">IFERROR(__xludf.DUMMYFUNCTION("""COMPUTED_VALUE"""),450000)</f>
        <v>450000</v>
      </c>
      <c r="D375" s="21"/>
      <c r="E375" s="21"/>
      <c r="F375" s="121" t="str">
        <f ca="1">IFERROR(__xludf.DUMMYFUNCTION("""COMPUTED_VALUE"""),"No ha consignado platica")</f>
        <v>No ha consignado platica</v>
      </c>
      <c r="G375" s="21"/>
      <c r="H375" s="21"/>
    </row>
    <row r="376" spans="1:8" x14ac:dyDescent="0.2">
      <c r="A376" s="21">
        <f t="shared" si="1"/>
        <v>0</v>
      </c>
      <c r="B376" s="21">
        <f ca="1">IFERROR(__xludf.DUMMYFUNCTION("""COMPUTED_VALUE"""),31201057)</f>
        <v>31201057</v>
      </c>
      <c r="C376" s="121">
        <f ca="1">IFERROR(__xludf.DUMMYFUNCTION("""COMPUTED_VALUE"""),450000)</f>
        <v>450000</v>
      </c>
      <c r="D376" s="21"/>
      <c r="E376" s="21"/>
      <c r="F376" s="121" t="str">
        <f ca="1">IFERROR(__xludf.DUMMYFUNCTION("""COMPUTED_VALUE"""),"No ha consignado platica")</f>
        <v>No ha consignado platica</v>
      </c>
      <c r="G376" s="21"/>
      <c r="H376" s="21"/>
    </row>
    <row r="377" spans="1:8" x14ac:dyDescent="0.2">
      <c r="A377" s="21">
        <f t="shared" si="1"/>
        <v>0</v>
      </c>
      <c r="B377" s="21">
        <f ca="1">IFERROR(__xludf.DUMMYFUNCTION("""COMPUTED_VALUE"""),31201058)</f>
        <v>31201058</v>
      </c>
      <c r="C377" s="121">
        <f ca="1">IFERROR(__xludf.DUMMYFUNCTION("""COMPUTED_VALUE"""),450000)</f>
        <v>450000</v>
      </c>
      <c r="D377" s="21"/>
      <c r="E377" s="21"/>
      <c r="F377" s="121" t="str">
        <f ca="1">IFERROR(__xludf.DUMMYFUNCTION("""COMPUTED_VALUE"""),"No ha consignado platica")</f>
        <v>No ha consignado platica</v>
      </c>
      <c r="G377" s="21"/>
      <c r="H377" s="21"/>
    </row>
    <row r="378" spans="1:8" x14ac:dyDescent="0.2">
      <c r="A378" s="21">
        <f t="shared" si="1"/>
        <v>0</v>
      </c>
      <c r="B378" s="21">
        <f ca="1">IFERROR(__xludf.DUMMYFUNCTION("""COMPUTED_VALUE"""),31201059)</f>
        <v>31201059</v>
      </c>
      <c r="C378" s="121">
        <f ca="1">IFERROR(__xludf.DUMMYFUNCTION("""COMPUTED_VALUE"""),450000)</f>
        <v>450000</v>
      </c>
      <c r="D378" s="21"/>
      <c r="E378" s="21"/>
      <c r="F378" s="121" t="str">
        <f ca="1">IFERROR(__xludf.DUMMYFUNCTION("""COMPUTED_VALUE"""),"No ha consignado platica")</f>
        <v>No ha consignado platica</v>
      </c>
      <c r="G378" s="21"/>
      <c r="H378" s="21"/>
    </row>
    <row r="379" spans="1:8" x14ac:dyDescent="0.2">
      <c r="A379" s="21">
        <f t="shared" si="1"/>
        <v>0</v>
      </c>
      <c r="B379" s="21">
        <f ca="1">IFERROR(__xludf.DUMMYFUNCTION("""COMPUTED_VALUE"""),31201060)</f>
        <v>31201060</v>
      </c>
      <c r="C379" s="121">
        <f ca="1">IFERROR(__xludf.DUMMYFUNCTION("""COMPUTED_VALUE"""),450000)</f>
        <v>450000</v>
      </c>
      <c r="D379" s="21"/>
      <c r="E379" s="21"/>
      <c r="F379" s="121" t="str">
        <f ca="1">IFERROR(__xludf.DUMMYFUNCTION("""COMPUTED_VALUE"""),"No ha consignado platica")</f>
        <v>No ha consignado platica</v>
      </c>
      <c r="G379" s="21"/>
      <c r="H379" s="21"/>
    </row>
    <row r="380" spans="1:8" x14ac:dyDescent="0.2">
      <c r="A380" s="21">
        <f t="shared" si="1"/>
        <v>0</v>
      </c>
      <c r="B380" s="21">
        <f ca="1">IFERROR(__xludf.DUMMYFUNCTION("""COMPUTED_VALUE"""),31201061)</f>
        <v>31201061</v>
      </c>
      <c r="C380" s="121">
        <f ca="1">IFERROR(__xludf.DUMMYFUNCTION("""COMPUTED_VALUE"""),450000)</f>
        <v>450000</v>
      </c>
      <c r="D380" s="21"/>
      <c r="E380" s="21"/>
      <c r="F380" s="121" t="str">
        <f ca="1">IFERROR(__xludf.DUMMYFUNCTION("""COMPUTED_VALUE"""),"No ha consignado platica")</f>
        <v>No ha consignado platica</v>
      </c>
      <c r="G380" s="21"/>
      <c r="H380" s="21"/>
    </row>
    <row r="381" spans="1:8" x14ac:dyDescent="0.2">
      <c r="A381" s="21">
        <f t="shared" si="1"/>
        <v>0</v>
      </c>
      <c r="B381" s="21">
        <f ca="1">IFERROR(__xludf.DUMMYFUNCTION("""COMPUTED_VALUE"""),31201062)</f>
        <v>31201062</v>
      </c>
      <c r="C381" s="121">
        <f ca="1">IFERROR(__xludf.DUMMYFUNCTION("""COMPUTED_VALUE"""),450000)</f>
        <v>450000</v>
      </c>
      <c r="D381" s="21"/>
      <c r="E381" s="21"/>
      <c r="F381" s="121" t="str">
        <f ca="1">IFERROR(__xludf.DUMMYFUNCTION("""COMPUTED_VALUE"""),"No ha consignado platica")</f>
        <v>No ha consignado platica</v>
      </c>
      <c r="G381" s="21"/>
      <c r="H381" s="21"/>
    </row>
    <row r="382" spans="1:8" x14ac:dyDescent="0.2">
      <c r="A382" s="21">
        <f t="shared" si="1"/>
        <v>0</v>
      </c>
      <c r="B382" s="21">
        <f ca="1">IFERROR(__xludf.DUMMYFUNCTION("""COMPUTED_VALUE"""),31201063)</f>
        <v>31201063</v>
      </c>
      <c r="C382" s="121">
        <f ca="1">IFERROR(__xludf.DUMMYFUNCTION("""COMPUTED_VALUE"""),450000)</f>
        <v>450000</v>
      </c>
      <c r="D382" s="21"/>
      <c r="E382" s="21"/>
      <c r="F382" s="121" t="str">
        <f ca="1">IFERROR(__xludf.DUMMYFUNCTION("""COMPUTED_VALUE"""),"No ha consignado platica")</f>
        <v>No ha consignado platica</v>
      </c>
      <c r="G382" s="21"/>
      <c r="H382" s="21"/>
    </row>
    <row r="383" spans="1:8" x14ac:dyDescent="0.2">
      <c r="A383" s="21">
        <f t="shared" si="1"/>
        <v>0</v>
      </c>
      <c r="B383" s="21">
        <f ca="1">IFERROR(__xludf.DUMMYFUNCTION("""COMPUTED_VALUE"""),31201064)</f>
        <v>31201064</v>
      </c>
      <c r="C383" s="121">
        <f ca="1">IFERROR(__xludf.DUMMYFUNCTION("""COMPUTED_VALUE"""),450000)</f>
        <v>450000</v>
      </c>
      <c r="D383" s="21"/>
      <c r="E383" s="21"/>
      <c r="F383" s="121" t="str">
        <f ca="1">IFERROR(__xludf.DUMMYFUNCTION("""COMPUTED_VALUE"""),"No ha consignado platica")</f>
        <v>No ha consignado platica</v>
      </c>
      <c r="G383" s="21"/>
      <c r="H383" s="21"/>
    </row>
    <row r="384" spans="1:8" x14ac:dyDescent="0.2">
      <c r="A384" s="21">
        <f t="shared" si="1"/>
        <v>0</v>
      </c>
      <c r="B384" s="21">
        <f ca="1">IFERROR(__xludf.DUMMYFUNCTION("""COMPUTED_VALUE"""),31201065)</f>
        <v>31201065</v>
      </c>
      <c r="C384" s="121">
        <f ca="1">IFERROR(__xludf.DUMMYFUNCTION("""COMPUTED_VALUE"""),450000)</f>
        <v>450000</v>
      </c>
      <c r="D384" s="21"/>
      <c r="E384" s="21"/>
      <c r="F384" s="121" t="str">
        <f ca="1">IFERROR(__xludf.DUMMYFUNCTION("""COMPUTED_VALUE"""),"No ha consignado platica")</f>
        <v>No ha consignado platica</v>
      </c>
      <c r="G384" s="21"/>
      <c r="H384" s="21"/>
    </row>
    <row r="385" spans="1:8" x14ac:dyDescent="0.2">
      <c r="A385" s="21">
        <f t="shared" si="1"/>
        <v>0</v>
      </c>
      <c r="B385" s="21">
        <f ca="1">IFERROR(__xludf.DUMMYFUNCTION("""COMPUTED_VALUE"""),31201066)</f>
        <v>31201066</v>
      </c>
      <c r="C385" s="121">
        <f ca="1">IFERROR(__xludf.DUMMYFUNCTION("""COMPUTED_VALUE"""),450000)</f>
        <v>450000</v>
      </c>
      <c r="D385" s="21"/>
      <c r="E385" s="21"/>
      <c r="F385" s="121" t="str">
        <f ca="1">IFERROR(__xludf.DUMMYFUNCTION("""COMPUTED_VALUE"""),"No ha consignado platica")</f>
        <v>No ha consignado platica</v>
      </c>
      <c r="G385" s="21"/>
      <c r="H385" s="21"/>
    </row>
    <row r="386" spans="1:8" x14ac:dyDescent="0.2">
      <c r="A386" s="21">
        <f t="shared" si="1"/>
        <v>0</v>
      </c>
      <c r="B386" s="21">
        <f ca="1">IFERROR(__xludf.DUMMYFUNCTION("""COMPUTED_VALUE"""),31201067)</f>
        <v>31201067</v>
      </c>
      <c r="C386" s="121">
        <f ca="1">IFERROR(__xludf.DUMMYFUNCTION("""COMPUTED_VALUE"""),450000)</f>
        <v>450000</v>
      </c>
      <c r="D386" s="21"/>
      <c r="E386" s="21"/>
      <c r="F386" s="121" t="str">
        <f ca="1">IFERROR(__xludf.DUMMYFUNCTION("""COMPUTED_VALUE"""),"No ha consignado platica")</f>
        <v>No ha consignado platica</v>
      </c>
      <c r="G386" s="21"/>
      <c r="H386" s="21"/>
    </row>
    <row r="387" spans="1:8" x14ac:dyDescent="0.2">
      <c r="A387" s="21">
        <f t="shared" si="1"/>
        <v>0</v>
      </c>
      <c r="B387" s="21">
        <f ca="1">IFERROR(__xludf.DUMMYFUNCTION("""COMPUTED_VALUE"""),31201068)</f>
        <v>31201068</v>
      </c>
      <c r="C387" s="121">
        <f ca="1">IFERROR(__xludf.DUMMYFUNCTION("""COMPUTED_VALUE"""),450000)</f>
        <v>450000</v>
      </c>
      <c r="D387" s="21"/>
      <c r="E387" s="21"/>
      <c r="F387" s="121" t="str">
        <f ca="1">IFERROR(__xludf.DUMMYFUNCTION("""COMPUTED_VALUE"""),"No ha consignado platica")</f>
        <v>No ha consignado platica</v>
      </c>
      <c r="G387" s="21"/>
      <c r="H387" s="21"/>
    </row>
    <row r="388" spans="1:8" x14ac:dyDescent="0.2">
      <c r="A388" s="21">
        <f t="shared" si="1"/>
        <v>0</v>
      </c>
      <c r="B388" s="21">
        <f ca="1">IFERROR(__xludf.DUMMYFUNCTION("""COMPUTED_VALUE"""),31201069)</f>
        <v>31201069</v>
      </c>
      <c r="C388" s="121">
        <f ca="1">IFERROR(__xludf.DUMMYFUNCTION("""COMPUTED_VALUE"""),450000)</f>
        <v>450000</v>
      </c>
      <c r="D388" s="21"/>
      <c r="E388" s="21"/>
      <c r="F388" s="121" t="str">
        <f ca="1">IFERROR(__xludf.DUMMYFUNCTION("""COMPUTED_VALUE"""),"No ha consignado platica")</f>
        <v>No ha consignado platica</v>
      </c>
      <c r="G388" s="21"/>
      <c r="H388" s="21"/>
    </row>
    <row r="389" spans="1:8" x14ac:dyDescent="0.2">
      <c r="A389" s="21">
        <f t="shared" si="1"/>
        <v>0</v>
      </c>
      <c r="B389" s="21">
        <f ca="1">IFERROR(__xludf.DUMMYFUNCTION("""COMPUTED_VALUE"""),31201070)</f>
        <v>31201070</v>
      </c>
      <c r="C389" s="121">
        <f ca="1">IFERROR(__xludf.DUMMYFUNCTION("""COMPUTED_VALUE"""),450000)</f>
        <v>450000</v>
      </c>
      <c r="D389" s="21"/>
      <c r="E389" s="21"/>
      <c r="F389" s="121" t="str">
        <f ca="1">IFERROR(__xludf.DUMMYFUNCTION("""COMPUTED_VALUE"""),"No ha consignado platica")</f>
        <v>No ha consignado platica</v>
      </c>
      <c r="G389" s="21"/>
      <c r="H389" s="21"/>
    </row>
    <row r="390" spans="1:8" x14ac:dyDescent="0.2">
      <c r="A390" s="21">
        <f t="shared" si="1"/>
        <v>0</v>
      </c>
      <c r="B390" s="21">
        <f ca="1">IFERROR(__xludf.DUMMYFUNCTION("""COMPUTED_VALUE"""),31201071)</f>
        <v>31201071</v>
      </c>
      <c r="C390" s="121">
        <f ca="1">IFERROR(__xludf.DUMMYFUNCTION("""COMPUTED_VALUE"""),450000)</f>
        <v>450000</v>
      </c>
      <c r="D390" s="21"/>
      <c r="E390" s="21"/>
      <c r="F390" s="121" t="str">
        <f ca="1">IFERROR(__xludf.DUMMYFUNCTION("""COMPUTED_VALUE"""),"No ha consignado platica")</f>
        <v>No ha consignado platica</v>
      </c>
      <c r="G390" s="21"/>
      <c r="H390" s="21"/>
    </row>
    <row r="391" spans="1:8" x14ac:dyDescent="0.2">
      <c r="A391" s="21">
        <f t="shared" si="1"/>
        <v>0</v>
      </c>
      <c r="B391" s="21">
        <f ca="1">IFERROR(__xludf.DUMMYFUNCTION("""COMPUTED_VALUE"""),31201072)</f>
        <v>31201072</v>
      </c>
      <c r="C391" s="121">
        <f ca="1">IFERROR(__xludf.DUMMYFUNCTION("""COMPUTED_VALUE"""),450000)</f>
        <v>450000</v>
      </c>
      <c r="D391" s="21"/>
      <c r="E391" s="21"/>
      <c r="F391" s="121" t="str">
        <f ca="1">IFERROR(__xludf.DUMMYFUNCTION("""COMPUTED_VALUE"""),"No ha consignado platica")</f>
        <v>No ha consignado platica</v>
      </c>
      <c r="G391" s="21"/>
      <c r="H391" s="21"/>
    </row>
    <row r="392" spans="1:8" x14ac:dyDescent="0.2">
      <c r="A392" s="21">
        <f t="shared" si="1"/>
        <v>0</v>
      </c>
      <c r="B392" s="21">
        <f ca="1">IFERROR(__xludf.DUMMYFUNCTION("""COMPUTED_VALUE"""),31201073)</f>
        <v>31201073</v>
      </c>
      <c r="C392" s="121">
        <f ca="1">IFERROR(__xludf.DUMMYFUNCTION("""COMPUTED_VALUE"""),450000)</f>
        <v>450000</v>
      </c>
      <c r="D392" s="21"/>
      <c r="E392" s="21"/>
      <c r="F392" s="121" t="str">
        <f ca="1">IFERROR(__xludf.DUMMYFUNCTION("""COMPUTED_VALUE"""),"No ha consignado platica")</f>
        <v>No ha consignado platica</v>
      </c>
      <c r="G392" s="21"/>
      <c r="H392" s="21"/>
    </row>
    <row r="393" spans="1:8" x14ac:dyDescent="0.2">
      <c r="A393" s="21">
        <f t="shared" si="1"/>
        <v>0</v>
      </c>
      <c r="B393" s="21">
        <f ca="1">IFERROR(__xludf.DUMMYFUNCTION("""COMPUTED_VALUE"""),31201074)</f>
        <v>31201074</v>
      </c>
      <c r="C393" s="121">
        <f ca="1">IFERROR(__xludf.DUMMYFUNCTION("""COMPUTED_VALUE"""),450000)</f>
        <v>450000</v>
      </c>
      <c r="D393" s="21"/>
      <c r="E393" s="21"/>
      <c r="F393" s="121" t="str">
        <f ca="1">IFERROR(__xludf.DUMMYFUNCTION("""COMPUTED_VALUE"""),"No ha consignado platica")</f>
        <v>No ha consignado platica</v>
      </c>
      <c r="G393" s="21"/>
      <c r="H393" s="21"/>
    </row>
    <row r="394" spans="1:8" x14ac:dyDescent="0.2">
      <c r="A394" s="21">
        <f t="shared" si="1"/>
        <v>0</v>
      </c>
      <c r="B394" s="21">
        <f ca="1">IFERROR(__xludf.DUMMYFUNCTION("""COMPUTED_VALUE"""),31201075)</f>
        <v>31201075</v>
      </c>
      <c r="C394" s="121">
        <f ca="1">IFERROR(__xludf.DUMMYFUNCTION("""COMPUTED_VALUE"""),450000)</f>
        <v>450000</v>
      </c>
      <c r="D394" s="21"/>
      <c r="E394" s="21"/>
      <c r="F394" s="121" t="str">
        <f ca="1">IFERROR(__xludf.DUMMYFUNCTION("""COMPUTED_VALUE"""),"No ha consignado platica")</f>
        <v>No ha consignado platica</v>
      </c>
      <c r="G394" s="21"/>
      <c r="H394" s="21"/>
    </row>
    <row r="395" spans="1:8" x14ac:dyDescent="0.2">
      <c r="A395" s="21">
        <f t="shared" si="1"/>
        <v>0</v>
      </c>
      <c r="B395" s="21">
        <f ca="1">IFERROR(__xludf.DUMMYFUNCTION("""COMPUTED_VALUE"""),31201076)</f>
        <v>31201076</v>
      </c>
      <c r="C395" s="121">
        <f ca="1">IFERROR(__xludf.DUMMYFUNCTION("""COMPUTED_VALUE"""),450000)</f>
        <v>450000</v>
      </c>
      <c r="D395" s="21"/>
      <c r="E395" s="21"/>
      <c r="F395" s="121" t="str">
        <f ca="1">IFERROR(__xludf.DUMMYFUNCTION("""COMPUTED_VALUE"""),"No ha consignado platica")</f>
        <v>No ha consignado platica</v>
      </c>
      <c r="G395" s="21"/>
      <c r="H395" s="21"/>
    </row>
    <row r="396" spans="1:8" x14ac:dyDescent="0.2">
      <c r="A396" s="21">
        <f t="shared" si="1"/>
        <v>0</v>
      </c>
      <c r="B396" s="21">
        <f ca="1">IFERROR(__xludf.DUMMYFUNCTION("""COMPUTED_VALUE"""),31201077)</f>
        <v>31201077</v>
      </c>
      <c r="C396" s="121">
        <f ca="1">IFERROR(__xludf.DUMMYFUNCTION("""COMPUTED_VALUE"""),450000)</f>
        <v>450000</v>
      </c>
      <c r="D396" s="21"/>
      <c r="E396" s="21"/>
      <c r="F396" s="121" t="str">
        <f ca="1">IFERROR(__xludf.DUMMYFUNCTION("""COMPUTED_VALUE"""),"No ha consignado platica")</f>
        <v>No ha consignado platica</v>
      </c>
      <c r="G396" s="21"/>
      <c r="H396" s="21"/>
    </row>
    <row r="397" spans="1:8" x14ac:dyDescent="0.2">
      <c r="A397" s="21">
        <f t="shared" si="1"/>
        <v>0</v>
      </c>
      <c r="B397" s="21">
        <f ca="1">IFERROR(__xludf.DUMMYFUNCTION("""COMPUTED_VALUE"""),31201078)</f>
        <v>31201078</v>
      </c>
      <c r="C397" s="121">
        <f ca="1">IFERROR(__xludf.DUMMYFUNCTION("""COMPUTED_VALUE"""),450000)</f>
        <v>450000</v>
      </c>
      <c r="D397" s="21"/>
      <c r="E397" s="21"/>
      <c r="F397" s="121" t="str">
        <f ca="1">IFERROR(__xludf.DUMMYFUNCTION("""COMPUTED_VALUE"""),"No ha consignado platica")</f>
        <v>No ha consignado platica</v>
      </c>
      <c r="G397" s="21"/>
      <c r="H397" s="21"/>
    </row>
    <row r="398" spans="1:8" x14ac:dyDescent="0.2">
      <c r="A398" s="21">
        <f t="shared" si="1"/>
        <v>0</v>
      </c>
      <c r="B398" s="21">
        <f ca="1">IFERROR(__xludf.DUMMYFUNCTION("""COMPUTED_VALUE"""),31201079)</f>
        <v>31201079</v>
      </c>
      <c r="C398" s="121">
        <f ca="1">IFERROR(__xludf.DUMMYFUNCTION("""COMPUTED_VALUE"""),450000)</f>
        <v>450000</v>
      </c>
      <c r="D398" s="21"/>
      <c r="E398" s="21"/>
      <c r="F398" s="121" t="str">
        <f ca="1">IFERROR(__xludf.DUMMYFUNCTION("""COMPUTED_VALUE"""),"No ha consignado platica")</f>
        <v>No ha consignado platica</v>
      </c>
      <c r="G398" s="21"/>
      <c r="H398" s="21"/>
    </row>
    <row r="399" spans="1:8" x14ac:dyDescent="0.2">
      <c r="A399" s="21">
        <f t="shared" si="1"/>
        <v>0</v>
      </c>
      <c r="B399" s="21">
        <f ca="1">IFERROR(__xludf.DUMMYFUNCTION("""COMPUTED_VALUE"""),31201080)</f>
        <v>31201080</v>
      </c>
      <c r="C399" s="121">
        <f ca="1">IFERROR(__xludf.DUMMYFUNCTION("""COMPUTED_VALUE"""),450000)</f>
        <v>450000</v>
      </c>
      <c r="D399" s="21"/>
      <c r="E399" s="21"/>
      <c r="F399" s="121" t="str">
        <f ca="1">IFERROR(__xludf.DUMMYFUNCTION("""COMPUTED_VALUE"""),"No ha consignado platica")</f>
        <v>No ha consignado platica</v>
      </c>
      <c r="G399" s="21"/>
      <c r="H399" s="21"/>
    </row>
    <row r="400" spans="1:8" x14ac:dyDescent="0.2">
      <c r="A400" s="21">
        <f t="shared" si="1"/>
        <v>0</v>
      </c>
      <c r="B400" s="21">
        <f ca="1">IFERROR(__xludf.DUMMYFUNCTION("""COMPUTED_VALUE"""),31201081)</f>
        <v>31201081</v>
      </c>
      <c r="C400" s="121">
        <f ca="1">IFERROR(__xludf.DUMMYFUNCTION("""COMPUTED_VALUE"""),450000)</f>
        <v>450000</v>
      </c>
      <c r="D400" s="21"/>
      <c r="E400" s="21"/>
      <c r="F400" s="121" t="str">
        <f ca="1">IFERROR(__xludf.DUMMYFUNCTION("""COMPUTED_VALUE"""),"No ha consignado platica")</f>
        <v>No ha consignado platica</v>
      </c>
      <c r="G400" s="21"/>
      <c r="H400" s="21"/>
    </row>
    <row r="401" spans="1:8" x14ac:dyDescent="0.2">
      <c r="A401" s="21">
        <f t="shared" si="1"/>
        <v>0</v>
      </c>
      <c r="B401" s="21">
        <f ca="1">IFERROR(__xludf.DUMMYFUNCTION("""COMPUTED_VALUE"""),31201082)</f>
        <v>31201082</v>
      </c>
      <c r="C401" s="121">
        <f ca="1">IFERROR(__xludf.DUMMYFUNCTION("""COMPUTED_VALUE"""),450000)</f>
        <v>450000</v>
      </c>
      <c r="D401" s="21"/>
      <c r="E401" s="21"/>
      <c r="F401" s="121" t="str">
        <f ca="1">IFERROR(__xludf.DUMMYFUNCTION("""COMPUTED_VALUE"""),"No ha consignado platica")</f>
        <v>No ha consignado platica</v>
      </c>
      <c r="G401" s="21"/>
      <c r="H401" s="21"/>
    </row>
    <row r="402" spans="1:8" x14ac:dyDescent="0.2">
      <c r="A402" s="21">
        <f t="shared" si="1"/>
        <v>0</v>
      </c>
      <c r="B402" s="21">
        <f ca="1">IFERROR(__xludf.DUMMYFUNCTION("""COMPUTED_VALUE"""),31201083)</f>
        <v>31201083</v>
      </c>
      <c r="C402" s="121">
        <f ca="1">IFERROR(__xludf.DUMMYFUNCTION("""COMPUTED_VALUE"""),450000)</f>
        <v>450000</v>
      </c>
      <c r="D402" s="21"/>
      <c r="E402" s="21"/>
      <c r="F402" s="121" t="str">
        <f ca="1">IFERROR(__xludf.DUMMYFUNCTION("""COMPUTED_VALUE"""),"No ha consignado platica")</f>
        <v>No ha consignado platica</v>
      </c>
      <c r="G402" s="21"/>
      <c r="H402" s="21"/>
    </row>
    <row r="403" spans="1:8" x14ac:dyDescent="0.2">
      <c r="A403" s="21">
        <f t="shared" si="1"/>
        <v>0</v>
      </c>
      <c r="B403" s="21">
        <f ca="1">IFERROR(__xludf.DUMMYFUNCTION("""COMPUTED_VALUE"""),31201084)</f>
        <v>31201084</v>
      </c>
      <c r="C403" s="121">
        <f ca="1">IFERROR(__xludf.DUMMYFUNCTION("""COMPUTED_VALUE"""),450000)</f>
        <v>450000</v>
      </c>
      <c r="D403" s="21"/>
      <c r="E403" s="21"/>
      <c r="F403" s="121" t="str">
        <f ca="1">IFERROR(__xludf.DUMMYFUNCTION("""COMPUTED_VALUE"""),"No ha consignado platica")</f>
        <v>No ha consignado platica</v>
      </c>
      <c r="G403" s="21"/>
      <c r="H403" s="21"/>
    </row>
    <row r="404" spans="1:8" x14ac:dyDescent="0.2">
      <c r="A404" s="21">
        <f t="shared" si="1"/>
        <v>0</v>
      </c>
      <c r="B404" s="21">
        <f ca="1">IFERROR(__xludf.DUMMYFUNCTION("""COMPUTED_VALUE"""),31201085)</f>
        <v>31201085</v>
      </c>
      <c r="C404" s="121">
        <f ca="1">IFERROR(__xludf.DUMMYFUNCTION("""COMPUTED_VALUE"""),450000)</f>
        <v>450000</v>
      </c>
      <c r="D404" s="21"/>
      <c r="E404" s="21"/>
      <c r="F404" s="121" t="str">
        <f ca="1">IFERROR(__xludf.DUMMYFUNCTION("""COMPUTED_VALUE"""),"No ha consignado platica")</f>
        <v>No ha consignado platica</v>
      </c>
      <c r="G404" s="21"/>
      <c r="H404" s="21"/>
    </row>
    <row r="405" spans="1:8" x14ac:dyDescent="0.2">
      <c r="A405" s="21">
        <f t="shared" si="1"/>
        <v>0</v>
      </c>
      <c r="B405" s="21">
        <f ca="1">IFERROR(__xludf.DUMMYFUNCTION("""COMPUTED_VALUE"""),31201086)</f>
        <v>31201086</v>
      </c>
      <c r="C405" s="121">
        <f ca="1">IFERROR(__xludf.DUMMYFUNCTION("""COMPUTED_VALUE"""),450000)</f>
        <v>450000</v>
      </c>
      <c r="D405" s="21"/>
      <c r="E405" s="21"/>
      <c r="F405" s="121" t="str">
        <f ca="1">IFERROR(__xludf.DUMMYFUNCTION("""COMPUTED_VALUE"""),"No ha consignado platica")</f>
        <v>No ha consignado platica</v>
      </c>
      <c r="G405" s="21"/>
      <c r="H405" s="21"/>
    </row>
    <row r="406" spans="1:8" x14ac:dyDescent="0.2">
      <c r="A406" s="21">
        <f t="shared" si="1"/>
        <v>0</v>
      </c>
      <c r="B406" s="21">
        <f ca="1">IFERROR(__xludf.DUMMYFUNCTION("""COMPUTED_VALUE"""),31201087)</f>
        <v>31201087</v>
      </c>
      <c r="C406" s="121">
        <f ca="1">IFERROR(__xludf.DUMMYFUNCTION("""COMPUTED_VALUE"""),450000)</f>
        <v>450000</v>
      </c>
      <c r="D406" s="21"/>
      <c r="E406" s="21"/>
      <c r="F406" s="121" t="str">
        <f ca="1">IFERROR(__xludf.DUMMYFUNCTION("""COMPUTED_VALUE"""),"No ha consignado platica")</f>
        <v>No ha consignado platica</v>
      </c>
      <c r="G406" s="21"/>
      <c r="H406" s="21"/>
    </row>
    <row r="407" spans="1:8" x14ac:dyDescent="0.2">
      <c r="A407" s="21">
        <f t="shared" si="1"/>
        <v>0</v>
      </c>
      <c r="B407" s="21">
        <f ca="1">IFERROR(__xludf.DUMMYFUNCTION("""COMPUTED_VALUE"""),31201088)</f>
        <v>31201088</v>
      </c>
      <c r="C407" s="121">
        <f ca="1">IFERROR(__xludf.DUMMYFUNCTION("""COMPUTED_VALUE"""),450000)</f>
        <v>450000</v>
      </c>
      <c r="D407" s="21"/>
      <c r="E407" s="21"/>
      <c r="F407" s="121" t="str">
        <f ca="1">IFERROR(__xludf.DUMMYFUNCTION("""COMPUTED_VALUE"""),"No ha consignado platica")</f>
        <v>No ha consignado platica</v>
      </c>
      <c r="G407" s="21"/>
      <c r="H407" s="21"/>
    </row>
    <row r="408" spans="1:8" x14ac:dyDescent="0.2">
      <c r="A408" s="21">
        <f t="shared" si="1"/>
        <v>0</v>
      </c>
      <c r="B408" s="21">
        <f ca="1">IFERROR(__xludf.DUMMYFUNCTION("""COMPUTED_VALUE"""),31201089)</f>
        <v>31201089</v>
      </c>
      <c r="C408" s="121">
        <f ca="1">IFERROR(__xludf.DUMMYFUNCTION("""COMPUTED_VALUE"""),450000)</f>
        <v>450000</v>
      </c>
      <c r="D408" s="21"/>
      <c r="E408" s="21"/>
      <c r="F408" s="121" t="str">
        <f ca="1">IFERROR(__xludf.DUMMYFUNCTION("""COMPUTED_VALUE"""),"No ha consignado platica")</f>
        <v>No ha consignado platica</v>
      </c>
      <c r="G408" s="21"/>
      <c r="H408" s="21"/>
    </row>
    <row r="409" spans="1:8" x14ac:dyDescent="0.2">
      <c r="A409" s="21">
        <f t="shared" si="1"/>
        <v>0</v>
      </c>
      <c r="B409" s="21">
        <f ca="1">IFERROR(__xludf.DUMMYFUNCTION("""COMPUTED_VALUE"""),31201090)</f>
        <v>31201090</v>
      </c>
      <c r="C409" s="121">
        <f ca="1">IFERROR(__xludf.DUMMYFUNCTION("""COMPUTED_VALUE"""),450000)</f>
        <v>450000</v>
      </c>
      <c r="D409" s="21"/>
      <c r="E409" s="21"/>
      <c r="F409" s="121" t="str">
        <f ca="1">IFERROR(__xludf.DUMMYFUNCTION("""COMPUTED_VALUE"""),"No ha consignado platica")</f>
        <v>No ha consignado platica</v>
      </c>
      <c r="G409" s="21"/>
      <c r="H409" s="21"/>
    </row>
    <row r="410" spans="1:8" x14ac:dyDescent="0.2">
      <c r="A410" s="21">
        <f t="shared" si="1"/>
        <v>0</v>
      </c>
      <c r="B410" s="21">
        <f ca="1">IFERROR(__xludf.DUMMYFUNCTION("""COMPUTED_VALUE"""),31201091)</f>
        <v>31201091</v>
      </c>
      <c r="C410" s="121">
        <f ca="1">IFERROR(__xludf.DUMMYFUNCTION("""COMPUTED_VALUE"""),450000)</f>
        <v>450000</v>
      </c>
      <c r="D410" s="21"/>
      <c r="E410" s="21"/>
      <c r="F410" s="121" t="str">
        <f ca="1">IFERROR(__xludf.DUMMYFUNCTION("""COMPUTED_VALUE"""),"No ha consignado platica")</f>
        <v>No ha consignado platica</v>
      </c>
      <c r="G410" s="21"/>
      <c r="H410" s="21"/>
    </row>
    <row r="411" spans="1:8" x14ac:dyDescent="0.2">
      <c r="A411" s="21">
        <f t="shared" si="1"/>
        <v>0</v>
      </c>
      <c r="B411" s="122" t="str">
        <f ca="1">IFERROR(__xludf.DUMMYFUNCTION("""COMPUTED_VALUE"""),"021204001")</f>
        <v>021204001</v>
      </c>
      <c r="C411" s="121">
        <f ca="1">IFERROR(__xludf.DUMMYFUNCTION("""COMPUTED_VALUE"""),240000)</f>
        <v>240000</v>
      </c>
      <c r="D411" s="21" t="str">
        <f ca="1">IFERROR(__xludf.DUMMYFUNCTION("""COMPUTED_VALUE"""),"Yesica Mazo")</f>
        <v>Yesica Mazo</v>
      </c>
      <c r="E411" s="21"/>
      <c r="F411" s="121" t="str">
        <f ca="1">IFERROR(__xludf.DUMMYFUNCTION("""COMPUTED_VALUE"""),"No ha consignado platica")</f>
        <v>No ha consignado platica</v>
      </c>
      <c r="G411" s="21"/>
      <c r="H411" s="21"/>
    </row>
    <row r="412" spans="1:8" x14ac:dyDescent="0.2">
      <c r="A412" s="21">
        <f t="shared" si="1"/>
        <v>0</v>
      </c>
      <c r="B412" s="122" t="str">
        <f ca="1">IFERROR(__xludf.DUMMYFUNCTION("""COMPUTED_VALUE"""),"021204002")</f>
        <v>021204002</v>
      </c>
      <c r="C412" s="121">
        <f ca="1">IFERROR(__xludf.DUMMYFUNCTION("""COMPUTED_VALUE"""),240000)</f>
        <v>240000</v>
      </c>
      <c r="D412" s="21"/>
      <c r="E412" s="21"/>
      <c r="F412" s="121" t="str">
        <f ca="1">IFERROR(__xludf.DUMMYFUNCTION("""COMPUTED_VALUE"""),"No ha consignado platica")</f>
        <v>No ha consignado platica</v>
      </c>
      <c r="G412" s="21"/>
      <c r="H412" s="21"/>
    </row>
    <row r="413" spans="1:8" x14ac:dyDescent="0.2">
      <c r="A413" s="21">
        <f t="shared" si="1"/>
        <v>0</v>
      </c>
      <c r="B413" s="122" t="str">
        <f ca="1">IFERROR(__xludf.DUMMYFUNCTION("""COMPUTED_VALUE"""),"021204003")</f>
        <v>021204003</v>
      </c>
      <c r="C413" s="121">
        <f ca="1">IFERROR(__xludf.DUMMYFUNCTION("""COMPUTED_VALUE"""),240000)</f>
        <v>240000</v>
      </c>
      <c r="D413" s="21"/>
      <c r="E413" s="21"/>
      <c r="F413" s="121" t="str">
        <f ca="1">IFERROR(__xludf.DUMMYFUNCTION("""COMPUTED_VALUE"""),"No ha consignado platica")</f>
        <v>No ha consignado platica</v>
      </c>
      <c r="G413" s="21"/>
      <c r="H413" s="21"/>
    </row>
    <row r="414" spans="1:8" x14ac:dyDescent="0.2">
      <c r="A414" s="21">
        <f t="shared" si="1"/>
        <v>0</v>
      </c>
      <c r="B414" s="21" t="str">
        <f ca="1">IFERROR(__xludf.DUMMYFUNCTION("""COMPUTED_VALUE"""),"031207001")</f>
        <v>031207001</v>
      </c>
      <c r="C414" s="121">
        <f ca="1">IFERROR(__xludf.DUMMYFUNCTION("""COMPUTED_VALUE"""),450000)</f>
        <v>450000</v>
      </c>
      <c r="D414" s="21"/>
      <c r="E414" s="21"/>
      <c r="F414" s="121" t="str">
        <f ca="1">IFERROR(__xludf.DUMMYFUNCTION("""COMPUTED_VALUE"""),"No ha consignado platica")</f>
        <v>No ha consignado platica</v>
      </c>
      <c r="G414" s="21"/>
      <c r="H414" s="21"/>
    </row>
    <row r="415" spans="1:8" x14ac:dyDescent="0.2">
      <c r="A415" s="21">
        <f t="shared" si="1"/>
        <v>0</v>
      </c>
      <c r="B415" s="21" t="str">
        <f ca="1">IFERROR(__xludf.DUMMYFUNCTION("""COMPUTED_VALUE"""),"031207002")</f>
        <v>031207002</v>
      </c>
      <c r="C415" s="121">
        <f ca="1">IFERROR(__xludf.DUMMYFUNCTION("""COMPUTED_VALUE"""),450000)</f>
        <v>450000</v>
      </c>
      <c r="D415" s="21"/>
      <c r="E415" s="21"/>
      <c r="F415" s="121" t="str">
        <f ca="1">IFERROR(__xludf.DUMMYFUNCTION("""COMPUTED_VALUE"""),"No ha consignado platica")</f>
        <v>No ha consignado platica</v>
      </c>
      <c r="G415" s="21"/>
      <c r="H415" s="21"/>
    </row>
    <row r="416" spans="1:8" x14ac:dyDescent="0.2">
      <c r="A416" s="21">
        <f t="shared" si="1"/>
        <v>0</v>
      </c>
      <c r="B416" s="21" t="str">
        <f ca="1">IFERROR(__xludf.DUMMYFUNCTION("""COMPUTED_VALUE"""),"031207003")</f>
        <v>031207003</v>
      </c>
      <c r="C416" s="121">
        <f ca="1">IFERROR(__xludf.DUMMYFUNCTION("""COMPUTED_VALUE"""),450000)</f>
        <v>450000</v>
      </c>
      <c r="D416" s="21"/>
      <c r="E416" s="21"/>
      <c r="F416" s="121" t="str">
        <f ca="1">IFERROR(__xludf.DUMMYFUNCTION("""COMPUTED_VALUE"""),"No ha consignado platica")</f>
        <v>No ha consignado platica</v>
      </c>
      <c r="G416" s="21"/>
      <c r="H416" s="21"/>
    </row>
    <row r="417" spans="1:8" x14ac:dyDescent="0.2">
      <c r="A417" s="21">
        <f t="shared" si="1"/>
        <v>0</v>
      </c>
      <c r="B417" s="21" t="str">
        <f ca="1">IFERROR(__xludf.DUMMYFUNCTION("""COMPUTED_VALUE"""),"031207004")</f>
        <v>031207004</v>
      </c>
      <c r="C417" s="121">
        <f ca="1">IFERROR(__xludf.DUMMYFUNCTION("""COMPUTED_VALUE"""),450000)</f>
        <v>450000</v>
      </c>
      <c r="D417" s="21"/>
      <c r="E417" s="21"/>
      <c r="F417" s="121" t="str">
        <f ca="1">IFERROR(__xludf.DUMMYFUNCTION("""COMPUTED_VALUE"""),"No ha consignado platica")</f>
        <v>No ha consignado platica</v>
      </c>
      <c r="G417" s="21"/>
      <c r="H417" s="21"/>
    </row>
    <row r="418" spans="1:8" x14ac:dyDescent="0.2">
      <c r="A418" s="21">
        <f t="shared" si="1"/>
        <v>0</v>
      </c>
      <c r="B418" s="21" t="str">
        <f ca="1">IFERROR(__xludf.DUMMYFUNCTION("""COMPUTED_VALUE"""),"031207005")</f>
        <v>031207005</v>
      </c>
      <c r="C418" s="121">
        <f ca="1">IFERROR(__xludf.DUMMYFUNCTION("""COMPUTED_VALUE"""),450000)</f>
        <v>450000</v>
      </c>
      <c r="D418" s="21"/>
      <c r="E418" s="21"/>
      <c r="F418" s="121" t="str">
        <f ca="1">IFERROR(__xludf.DUMMYFUNCTION("""COMPUTED_VALUE"""),"No ha consignado platica")</f>
        <v>No ha consignado platica</v>
      </c>
      <c r="G418" s="21"/>
      <c r="H418" s="21"/>
    </row>
    <row r="419" spans="1:8" x14ac:dyDescent="0.2">
      <c r="A419" s="21">
        <f t="shared" si="1"/>
        <v>0</v>
      </c>
      <c r="B419" s="21" t="str">
        <f ca="1">IFERROR(__xludf.DUMMYFUNCTION("""COMPUTED_VALUE"""),"031207006")</f>
        <v>031207006</v>
      </c>
      <c r="C419" s="121">
        <f ca="1">IFERROR(__xludf.DUMMYFUNCTION("""COMPUTED_VALUE"""),450000)</f>
        <v>450000</v>
      </c>
      <c r="D419" s="21"/>
      <c r="E419" s="21"/>
      <c r="F419" s="121" t="str">
        <f ca="1">IFERROR(__xludf.DUMMYFUNCTION("""COMPUTED_VALUE"""),"No ha consignado platica")</f>
        <v>No ha consignado platica</v>
      </c>
      <c r="G419" s="21"/>
      <c r="H419" s="21"/>
    </row>
    <row r="420" spans="1:8" x14ac:dyDescent="0.2">
      <c r="A420" s="21">
        <f t="shared" si="1"/>
        <v>0</v>
      </c>
      <c r="B420" s="21" t="str">
        <f ca="1">IFERROR(__xludf.DUMMYFUNCTION("""COMPUTED_VALUE"""),"031207007")</f>
        <v>031207007</v>
      </c>
      <c r="C420" s="121">
        <f ca="1">IFERROR(__xludf.DUMMYFUNCTION("""COMPUTED_VALUE"""),450000)</f>
        <v>450000</v>
      </c>
      <c r="D420" s="21"/>
      <c r="E420" s="21"/>
      <c r="F420" s="121" t="str">
        <f ca="1">IFERROR(__xludf.DUMMYFUNCTION("""COMPUTED_VALUE"""),"No ha consignado platica")</f>
        <v>No ha consignado platica</v>
      </c>
      <c r="G420" s="21"/>
      <c r="H420" s="21"/>
    </row>
    <row r="421" spans="1:8" x14ac:dyDescent="0.2">
      <c r="A421" s="21">
        <f t="shared" si="1"/>
        <v>0</v>
      </c>
      <c r="B421" s="21" t="str">
        <f ca="1">IFERROR(__xludf.DUMMYFUNCTION("""COMPUTED_VALUE"""),"031207008")</f>
        <v>031207008</v>
      </c>
      <c r="C421" s="121">
        <f ca="1">IFERROR(__xludf.DUMMYFUNCTION("""COMPUTED_VALUE"""),450000)</f>
        <v>450000</v>
      </c>
      <c r="D421" s="21"/>
      <c r="E421" s="21"/>
      <c r="F421" s="121" t="str">
        <f ca="1">IFERROR(__xludf.DUMMYFUNCTION("""COMPUTED_VALUE"""),"No ha consignado platica")</f>
        <v>No ha consignado platica</v>
      </c>
      <c r="G421" s="21"/>
      <c r="H421" s="21"/>
    </row>
    <row r="422" spans="1:8" x14ac:dyDescent="0.2">
      <c r="A422" s="21">
        <f t="shared" si="1"/>
        <v>0</v>
      </c>
      <c r="B422" s="21" t="str">
        <f ca="1">IFERROR(__xludf.DUMMYFUNCTION("""COMPUTED_VALUE"""),"031207009")</f>
        <v>031207009</v>
      </c>
      <c r="C422" s="121">
        <f ca="1">IFERROR(__xludf.DUMMYFUNCTION("""COMPUTED_VALUE"""),450000)</f>
        <v>450000</v>
      </c>
      <c r="D422" s="21"/>
      <c r="E422" s="21"/>
      <c r="F422" s="121" t="str">
        <f ca="1">IFERROR(__xludf.DUMMYFUNCTION("""COMPUTED_VALUE"""),"No ha consignado platica")</f>
        <v>No ha consignado platica</v>
      </c>
      <c r="G422" s="21"/>
      <c r="H422" s="21"/>
    </row>
    <row r="423" spans="1:8" x14ac:dyDescent="0.2">
      <c r="A423" s="21">
        <f t="shared" si="1"/>
        <v>0</v>
      </c>
      <c r="B423" s="21" t="str">
        <f ca="1">IFERROR(__xludf.DUMMYFUNCTION("""COMPUTED_VALUE"""),"0312070010")</f>
        <v>0312070010</v>
      </c>
      <c r="C423" s="121">
        <f ca="1">IFERROR(__xludf.DUMMYFUNCTION("""COMPUTED_VALUE"""),450000)</f>
        <v>450000</v>
      </c>
      <c r="D423" s="21"/>
      <c r="E423" s="21"/>
      <c r="F423" s="121" t="str">
        <f ca="1">IFERROR(__xludf.DUMMYFUNCTION("""COMPUTED_VALUE"""),"No ha consignado platica")</f>
        <v>No ha consignado platica</v>
      </c>
      <c r="G423" s="21"/>
      <c r="H423" s="21"/>
    </row>
    <row r="424" spans="1:8" x14ac:dyDescent="0.2">
      <c r="A424" s="21">
        <f t="shared" si="1"/>
        <v>0</v>
      </c>
      <c r="B424" s="21" t="str">
        <f ca="1">IFERROR(__xludf.DUMMYFUNCTION("""COMPUTED_VALUE"""),"0312070011")</f>
        <v>0312070011</v>
      </c>
      <c r="C424" s="121">
        <f ca="1">IFERROR(__xludf.DUMMYFUNCTION("""COMPUTED_VALUE"""),450000)</f>
        <v>450000</v>
      </c>
      <c r="D424" s="21"/>
      <c r="E424" s="21"/>
      <c r="F424" s="121" t="str">
        <f ca="1">IFERROR(__xludf.DUMMYFUNCTION("""COMPUTED_VALUE"""),"No ha consignado platica")</f>
        <v>No ha consignado platica</v>
      </c>
      <c r="G424" s="21"/>
      <c r="H424" s="21"/>
    </row>
    <row r="425" spans="1:8" x14ac:dyDescent="0.2">
      <c r="A425" s="21">
        <f t="shared" si="1"/>
        <v>0</v>
      </c>
      <c r="B425" s="21" t="str">
        <f ca="1">IFERROR(__xludf.DUMMYFUNCTION("""COMPUTED_VALUE"""),"0312070012")</f>
        <v>0312070012</v>
      </c>
      <c r="C425" s="121">
        <f ca="1">IFERROR(__xludf.DUMMYFUNCTION("""COMPUTED_VALUE"""),450000)</f>
        <v>450000</v>
      </c>
      <c r="D425" s="21"/>
      <c r="E425" s="21"/>
      <c r="F425" s="121" t="str">
        <f ca="1">IFERROR(__xludf.DUMMYFUNCTION("""COMPUTED_VALUE"""),"No ha consignado platica")</f>
        <v>No ha consignado platica</v>
      </c>
      <c r="G425" s="21"/>
      <c r="H425" s="21"/>
    </row>
    <row r="426" spans="1:8" x14ac:dyDescent="0.2">
      <c r="A426" s="21">
        <f t="shared" si="1"/>
        <v>0</v>
      </c>
      <c r="B426" s="21" t="str">
        <f ca="1">IFERROR(__xludf.DUMMYFUNCTION("""COMPUTED_VALUE"""),"0312070013")</f>
        <v>0312070013</v>
      </c>
      <c r="C426" s="121">
        <f ca="1">IFERROR(__xludf.DUMMYFUNCTION("""COMPUTED_VALUE"""),450000)</f>
        <v>450000</v>
      </c>
      <c r="D426" s="21"/>
      <c r="E426" s="21"/>
      <c r="F426" s="121" t="str">
        <f ca="1">IFERROR(__xludf.DUMMYFUNCTION("""COMPUTED_VALUE"""),"No ha consignado platica")</f>
        <v>No ha consignado platica</v>
      </c>
      <c r="G426" s="21"/>
      <c r="H426" s="21"/>
    </row>
    <row r="427" spans="1:8" x14ac:dyDescent="0.2">
      <c r="A427" s="21">
        <f t="shared" si="1"/>
        <v>0</v>
      </c>
      <c r="B427" s="21" t="str">
        <f ca="1">IFERROR(__xludf.DUMMYFUNCTION("""COMPUTED_VALUE"""),"0312070014")</f>
        <v>0312070014</v>
      </c>
      <c r="C427" s="121">
        <f ca="1">IFERROR(__xludf.DUMMYFUNCTION("""COMPUTED_VALUE"""),450000)</f>
        <v>450000</v>
      </c>
      <c r="D427" s="21"/>
      <c r="E427" s="21"/>
      <c r="F427" s="121" t="str">
        <f ca="1">IFERROR(__xludf.DUMMYFUNCTION("""COMPUTED_VALUE"""),"No ha consignado platica")</f>
        <v>No ha consignado platica</v>
      </c>
      <c r="G427" s="21"/>
      <c r="H427" s="21"/>
    </row>
    <row r="428" spans="1:8" x14ac:dyDescent="0.2">
      <c r="A428" s="21">
        <f t="shared" si="1"/>
        <v>0</v>
      </c>
      <c r="B428" s="21" t="str">
        <f ca="1">IFERROR(__xludf.DUMMYFUNCTION("""COMPUTED_VALUE"""),"0312070015")</f>
        <v>0312070015</v>
      </c>
      <c r="C428" s="121">
        <f ca="1">IFERROR(__xludf.DUMMYFUNCTION("""COMPUTED_VALUE"""),450000)</f>
        <v>450000</v>
      </c>
      <c r="D428" s="21"/>
      <c r="E428" s="21"/>
      <c r="F428" s="121" t="str">
        <f ca="1">IFERROR(__xludf.DUMMYFUNCTION("""COMPUTED_VALUE"""),"No ha consignado platica")</f>
        <v>No ha consignado platica</v>
      </c>
      <c r="G428" s="21"/>
      <c r="H428" s="21"/>
    </row>
    <row r="429" spans="1:8" x14ac:dyDescent="0.2">
      <c r="A429" s="21">
        <f t="shared" si="1"/>
        <v>0</v>
      </c>
      <c r="B429" s="21" t="str">
        <f ca="1">IFERROR(__xludf.DUMMYFUNCTION("""COMPUTED_VALUE"""),"0312070016")</f>
        <v>0312070016</v>
      </c>
      <c r="C429" s="121">
        <f ca="1">IFERROR(__xludf.DUMMYFUNCTION("""COMPUTED_VALUE"""),450000)</f>
        <v>450000</v>
      </c>
      <c r="D429" s="21"/>
      <c r="E429" s="21"/>
      <c r="F429" s="121" t="str">
        <f ca="1">IFERROR(__xludf.DUMMYFUNCTION("""COMPUTED_VALUE"""),"No ha consignado platica")</f>
        <v>No ha consignado platica</v>
      </c>
      <c r="G429" s="21"/>
      <c r="H429" s="21"/>
    </row>
    <row r="430" spans="1:8" x14ac:dyDescent="0.2">
      <c r="A430" s="21">
        <f t="shared" si="1"/>
        <v>0</v>
      </c>
      <c r="B430" s="21" t="str">
        <f ca="1">IFERROR(__xludf.DUMMYFUNCTION("""COMPUTED_VALUE"""),"0312070017")</f>
        <v>0312070017</v>
      </c>
      <c r="C430" s="121">
        <f ca="1">IFERROR(__xludf.DUMMYFUNCTION("""COMPUTED_VALUE"""),450000)</f>
        <v>450000</v>
      </c>
      <c r="D430" s="21"/>
      <c r="E430" s="21"/>
      <c r="F430" s="121" t="str">
        <f ca="1">IFERROR(__xludf.DUMMYFUNCTION("""COMPUTED_VALUE"""),"No ha consignado platica")</f>
        <v>No ha consignado platica</v>
      </c>
      <c r="G430" s="21"/>
      <c r="H430" s="21"/>
    </row>
    <row r="431" spans="1:8" x14ac:dyDescent="0.2">
      <c r="A431" s="21">
        <f t="shared" si="1"/>
        <v>0</v>
      </c>
      <c r="B431" s="21" t="str">
        <f ca="1">IFERROR(__xludf.DUMMYFUNCTION("""COMPUTED_VALUE"""),"0312070018")</f>
        <v>0312070018</v>
      </c>
      <c r="C431" s="121">
        <f ca="1">IFERROR(__xludf.DUMMYFUNCTION("""COMPUTED_VALUE"""),450000)</f>
        <v>450000</v>
      </c>
      <c r="D431" s="21"/>
      <c r="E431" s="21"/>
      <c r="F431" s="121" t="str">
        <f ca="1">IFERROR(__xludf.DUMMYFUNCTION("""COMPUTED_VALUE"""),"No ha consignado platica")</f>
        <v>No ha consignado platica</v>
      </c>
      <c r="G431" s="21"/>
      <c r="H431" s="21"/>
    </row>
    <row r="432" spans="1:8" x14ac:dyDescent="0.2">
      <c r="A432" s="21">
        <f t="shared" si="1"/>
        <v>0</v>
      </c>
      <c r="B432" s="21" t="str">
        <f ca="1">IFERROR(__xludf.DUMMYFUNCTION("""COMPUTED_VALUE"""),"0312070019")</f>
        <v>0312070019</v>
      </c>
      <c r="C432" s="121">
        <f ca="1">IFERROR(__xludf.DUMMYFUNCTION("""COMPUTED_VALUE"""),450000)</f>
        <v>450000</v>
      </c>
      <c r="D432" s="21"/>
      <c r="E432" s="21"/>
      <c r="F432" s="121" t="str">
        <f ca="1">IFERROR(__xludf.DUMMYFUNCTION("""COMPUTED_VALUE"""),"No ha consignado platica")</f>
        <v>No ha consignado platica</v>
      </c>
      <c r="G432" s="21"/>
      <c r="H432" s="21"/>
    </row>
    <row r="433" spans="1:8" x14ac:dyDescent="0.2">
      <c r="A433" s="21">
        <f t="shared" si="1"/>
        <v>0</v>
      </c>
      <c r="B433" s="21" t="str">
        <f ca="1">IFERROR(__xludf.DUMMYFUNCTION("""COMPUTED_VALUE"""),"0312070020")</f>
        <v>0312070020</v>
      </c>
      <c r="C433" s="121">
        <f ca="1">IFERROR(__xludf.DUMMYFUNCTION("""COMPUTED_VALUE"""),450000)</f>
        <v>450000</v>
      </c>
      <c r="D433" s="21"/>
      <c r="E433" s="21"/>
      <c r="F433" s="121" t="str">
        <f ca="1">IFERROR(__xludf.DUMMYFUNCTION("""COMPUTED_VALUE"""),"No ha consignado platica")</f>
        <v>No ha consignado platica</v>
      </c>
      <c r="G433" s="21"/>
      <c r="H433" s="21"/>
    </row>
    <row r="434" spans="1:8" x14ac:dyDescent="0.2">
      <c r="A434" s="21">
        <f t="shared" si="1"/>
        <v>0</v>
      </c>
      <c r="B434" s="21" t="str">
        <f ca="1">IFERROR(__xludf.DUMMYFUNCTION("""COMPUTED_VALUE"""),"0312070021")</f>
        <v>0312070021</v>
      </c>
      <c r="C434" s="121">
        <f ca="1">IFERROR(__xludf.DUMMYFUNCTION("""COMPUTED_VALUE"""),450000)</f>
        <v>450000</v>
      </c>
      <c r="D434" s="21"/>
      <c r="E434" s="21"/>
      <c r="F434" s="121" t="str">
        <f ca="1">IFERROR(__xludf.DUMMYFUNCTION("""COMPUTED_VALUE"""),"No ha consignado platica")</f>
        <v>No ha consignado platica</v>
      </c>
      <c r="G434" s="21"/>
      <c r="H434" s="21"/>
    </row>
    <row r="435" spans="1:8" x14ac:dyDescent="0.2">
      <c r="A435" s="21">
        <f t="shared" si="1"/>
        <v>0</v>
      </c>
      <c r="B435" s="21" t="str">
        <f ca="1">IFERROR(__xludf.DUMMYFUNCTION("""COMPUTED_VALUE"""),"0312070022")</f>
        <v>0312070022</v>
      </c>
      <c r="C435" s="121">
        <f ca="1">IFERROR(__xludf.DUMMYFUNCTION("""COMPUTED_VALUE"""),450000)</f>
        <v>450000</v>
      </c>
      <c r="D435" s="21"/>
      <c r="E435" s="21"/>
      <c r="F435" s="121" t="str">
        <f ca="1">IFERROR(__xludf.DUMMYFUNCTION("""COMPUTED_VALUE"""),"No ha consignado platica")</f>
        <v>No ha consignado platica</v>
      </c>
      <c r="G435" s="21"/>
      <c r="H435" s="21"/>
    </row>
    <row r="436" spans="1:8" x14ac:dyDescent="0.2">
      <c r="A436" s="21">
        <f t="shared" si="1"/>
        <v>0</v>
      </c>
      <c r="B436" s="21" t="str">
        <f ca="1">IFERROR(__xludf.DUMMYFUNCTION("""COMPUTED_VALUE"""),"0312070023")</f>
        <v>0312070023</v>
      </c>
      <c r="C436" s="121">
        <f ca="1">IFERROR(__xludf.DUMMYFUNCTION("""COMPUTED_VALUE"""),450000)</f>
        <v>450000</v>
      </c>
      <c r="D436" s="21"/>
      <c r="E436" s="21"/>
      <c r="F436" s="121" t="str">
        <f ca="1">IFERROR(__xludf.DUMMYFUNCTION("""COMPUTED_VALUE"""),"No ha consignado platica")</f>
        <v>No ha consignado platica</v>
      </c>
      <c r="G436" s="21"/>
      <c r="H436" s="21"/>
    </row>
    <row r="437" spans="1:8" x14ac:dyDescent="0.2">
      <c r="A437" s="21">
        <f t="shared" si="1"/>
        <v>0</v>
      </c>
      <c r="B437" s="21" t="str">
        <f ca="1">IFERROR(__xludf.DUMMYFUNCTION("""COMPUTED_VALUE"""),"0312070024")</f>
        <v>0312070024</v>
      </c>
      <c r="C437" s="121">
        <f ca="1">IFERROR(__xludf.DUMMYFUNCTION("""COMPUTED_VALUE"""),450000)</f>
        <v>450000</v>
      </c>
      <c r="D437" s="21"/>
      <c r="E437" s="21"/>
      <c r="F437" s="121" t="str">
        <f ca="1">IFERROR(__xludf.DUMMYFUNCTION("""COMPUTED_VALUE"""),"No ha consignado platica")</f>
        <v>No ha consignado platica</v>
      </c>
      <c r="G437" s="21"/>
      <c r="H437" s="21"/>
    </row>
    <row r="438" spans="1:8" x14ac:dyDescent="0.2">
      <c r="A438" s="21">
        <f t="shared" si="1"/>
        <v>0</v>
      </c>
      <c r="B438" s="21" t="str">
        <f ca="1">IFERROR(__xludf.DUMMYFUNCTION("""COMPUTED_VALUE"""),"0312070025")</f>
        <v>0312070025</v>
      </c>
      <c r="C438" s="121">
        <f ca="1">IFERROR(__xludf.DUMMYFUNCTION("""COMPUTED_VALUE"""),450000)</f>
        <v>450000</v>
      </c>
      <c r="D438" s="21"/>
      <c r="E438" s="21"/>
      <c r="F438" s="121" t="str">
        <f ca="1">IFERROR(__xludf.DUMMYFUNCTION("""COMPUTED_VALUE"""),"No ha consignado platica")</f>
        <v>No ha consignado platica</v>
      </c>
      <c r="G438" s="21"/>
      <c r="H438" s="21"/>
    </row>
    <row r="439" spans="1:8" x14ac:dyDescent="0.2">
      <c r="A439" s="21">
        <f t="shared" si="1"/>
        <v>0</v>
      </c>
      <c r="B439" s="21" t="str">
        <f ca="1">IFERROR(__xludf.DUMMYFUNCTION("""COMPUTED_VALUE"""),"0312070026")</f>
        <v>0312070026</v>
      </c>
      <c r="C439" s="121">
        <f ca="1">IFERROR(__xludf.DUMMYFUNCTION("""COMPUTED_VALUE"""),450000)</f>
        <v>450000</v>
      </c>
      <c r="D439" s="21"/>
      <c r="E439" s="21"/>
      <c r="F439" s="121" t="str">
        <f ca="1">IFERROR(__xludf.DUMMYFUNCTION("""COMPUTED_VALUE"""),"No ha consignado platica")</f>
        <v>No ha consignado platica</v>
      </c>
      <c r="G439" s="21"/>
      <c r="H439" s="21"/>
    </row>
    <row r="440" spans="1:8" x14ac:dyDescent="0.2">
      <c r="A440" s="21">
        <f t="shared" si="1"/>
        <v>0</v>
      </c>
      <c r="B440" s="21" t="str">
        <f ca="1">IFERROR(__xludf.DUMMYFUNCTION("""COMPUTED_VALUE"""),"0312070027")</f>
        <v>0312070027</v>
      </c>
      <c r="C440" s="121">
        <f ca="1">IFERROR(__xludf.DUMMYFUNCTION("""COMPUTED_VALUE"""),450000)</f>
        <v>450000</v>
      </c>
      <c r="D440" s="21"/>
      <c r="E440" s="21"/>
      <c r="F440" s="121" t="str">
        <f ca="1">IFERROR(__xludf.DUMMYFUNCTION("""COMPUTED_VALUE"""),"No ha consignado platica")</f>
        <v>No ha consignado platica</v>
      </c>
      <c r="G440" s="21"/>
      <c r="H440" s="21"/>
    </row>
    <row r="441" spans="1:8" x14ac:dyDescent="0.2">
      <c r="A441" s="21">
        <f t="shared" si="1"/>
        <v>0</v>
      </c>
      <c r="B441" s="21" t="str">
        <f ca="1">IFERROR(__xludf.DUMMYFUNCTION("""COMPUTED_VALUE"""),"0312070028")</f>
        <v>0312070028</v>
      </c>
      <c r="C441" s="121">
        <f ca="1">IFERROR(__xludf.DUMMYFUNCTION("""COMPUTED_VALUE"""),450000)</f>
        <v>450000</v>
      </c>
      <c r="D441" s="21"/>
      <c r="E441" s="21"/>
      <c r="F441" s="121" t="str">
        <f ca="1">IFERROR(__xludf.DUMMYFUNCTION("""COMPUTED_VALUE"""),"No ha consignado platica")</f>
        <v>No ha consignado platica</v>
      </c>
      <c r="G441" s="21"/>
      <c r="H441" s="21"/>
    </row>
    <row r="442" spans="1:8" x14ac:dyDescent="0.2">
      <c r="A442" s="21">
        <f t="shared" si="1"/>
        <v>0</v>
      </c>
      <c r="B442" s="21" t="str">
        <f ca="1">IFERROR(__xludf.DUMMYFUNCTION("""COMPUTED_VALUE"""),"0312070029")</f>
        <v>0312070029</v>
      </c>
      <c r="C442" s="121">
        <f ca="1">IFERROR(__xludf.DUMMYFUNCTION("""COMPUTED_VALUE"""),450000)</f>
        <v>450000</v>
      </c>
      <c r="D442" s="21"/>
      <c r="E442" s="21"/>
      <c r="F442" s="121" t="str">
        <f ca="1">IFERROR(__xludf.DUMMYFUNCTION("""COMPUTED_VALUE"""),"No ha consignado platica")</f>
        <v>No ha consignado platica</v>
      </c>
      <c r="G442" s="21"/>
      <c r="H442" s="21"/>
    </row>
    <row r="443" spans="1:8" x14ac:dyDescent="0.2">
      <c r="A443" s="21">
        <f t="shared" si="1"/>
        <v>0</v>
      </c>
      <c r="B443" s="21" t="str">
        <f ca="1">IFERROR(__xludf.DUMMYFUNCTION("""COMPUTED_VALUE"""),"0312070030")</f>
        <v>0312070030</v>
      </c>
      <c r="C443" s="121">
        <f ca="1">IFERROR(__xludf.DUMMYFUNCTION("""COMPUTED_VALUE"""),450000)</f>
        <v>450000</v>
      </c>
      <c r="D443" s="21"/>
      <c r="E443" s="21"/>
      <c r="F443" s="121" t="str">
        <f ca="1">IFERROR(__xludf.DUMMYFUNCTION("""COMPUTED_VALUE"""),"No ha consignado platica")</f>
        <v>No ha consignado platica</v>
      </c>
      <c r="G443" s="21"/>
      <c r="H443" s="21"/>
    </row>
    <row r="444" spans="1:8" x14ac:dyDescent="0.2">
      <c r="A444" s="21">
        <f t="shared" si="1"/>
        <v>0</v>
      </c>
      <c r="B444" s="21" t="str">
        <f ca="1">IFERROR(__xludf.DUMMYFUNCTION("""COMPUTED_VALUE"""),"0312070031")</f>
        <v>0312070031</v>
      </c>
      <c r="C444" s="121">
        <f ca="1">IFERROR(__xludf.DUMMYFUNCTION("""COMPUTED_VALUE"""),450000)</f>
        <v>450000</v>
      </c>
      <c r="D444" s="21"/>
      <c r="E444" s="21"/>
      <c r="F444" s="121" t="str">
        <f ca="1">IFERROR(__xludf.DUMMYFUNCTION("""COMPUTED_VALUE"""),"No ha consignado platica")</f>
        <v>No ha consignado platica</v>
      </c>
      <c r="G444" s="21"/>
      <c r="H444" s="21"/>
    </row>
    <row r="445" spans="1:8" x14ac:dyDescent="0.2">
      <c r="A445" s="21">
        <f t="shared" si="1"/>
        <v>0</v>
      </c>
      <c r="B445" s="21" t="str">
        <f ca="1">IFERROR(__xludf.DUMMYFUNCTION("""COMPUTED_VALUE"""),"0312070032")</f>
        <v>0312070032</v>
      </c>
      <c r="C445" s="121">
        <f ca="1">IFERROR(__xludf.DUMMYFUNCTION("""COMPUTED_VALUE"""),450000)</f>
        <v>450000</v>
      </c>
      <c r="D445" s="21"/>
      <c r="E445" s="21"/>
      <c r="F445" s="121" t="str">
        <f ca="1">IFERROR(__xludf.DUMMYFUNCTION("""COMPUTED_VALUE"""),"No ha consignado platica")</f>
        <v>No ha consignado platica</v>
      </c>
      <c r="G445" s="21"/>
      <c r="H445" s="21"/>
    </row>
    <row r="446" spans="1:8" x14ac:dyDescent="0.2">
      <c r="A446" s="21">
        <f t="shared" si="1"/>
        <v>0</v>
      </c>
      <c r="B446" s="21" t="str">
        <f ca="1">IFERROR(__xludf.DUMMYFUNCTION("""COMPUTED_VALUE"""),"0312070033")</f>
        <v>0312070033</v>
      </c>
      <c r="C446" s="121">
        <f ca="1">IFERROR(__xludf.DUMMYFUNCTION("""COMPUTED_VALUE"""),450000)</f>
        <v>450000</v>
      </c>
      <c r="D446" s="21"/>
      <c r="E446" s="21"/>
      <c r="F446" s="121" t="str">
        <f ca="1">IFERROR(__xludf.DUMMYFUNCTION("""COMPUTED_VALUE"""),"No ha consignado platica")</f>
        <v>No ha consignado platica</v>
      </c>
      <c r="G446" s="21"/>
      <c r="H446" s="21"/>
    </row>
    <row r="447" spans="1:8" x14ac:dyDescent="0.2">
      <c r="A447" s="21">
        <f t="shared" si="1"/>
        <v>0</v>
      </c>
      <c r="B447" s="21" t="str">
        <f ca="1">IFERROR(__xludf.DUMMYFUNCTION("""COMPUTED_VALUE"""),"0312070034")</f>
        <v>0312070034</v>
      </c>
      <c r="C447" s="121">
        <f ca="1">IFERROR(__xludf.DUMMYFUNCTION("""COMPUTED_VALUE"""),450000)</f>
        <v>450000</v>
      </c>
      <c r="D447" s="21"/>
      <c r="E447" s="21"/>
      <c r="F447" s="121" t="str">
        <f ca="1">IFERROR(__xludf.DUMMYFUNCTION("""COMPUTED_VALUE"""),"No ha consignado platica")</f>
        <v>No ha consignado platica</v>
      </c>
      <c r="G447" s="21"/>
      <c r="H447" s="21"/>
    </row>
    <row r="448" spans="1:8" x14ac:dyDescent="0.2">
      <c r="A448" s="21">
        <f t="shared" si="1"/>
        <v>0</v>
      </c>
      <c r="B448" s="21" t="str">
        <f ca="1">IFERROR(__xludf.DUMMYFUNCTION("""COMPUTED_VALUE"""),"0312070035")</f>
        <v>0312070035</v>
      </c>
      <c r="C448" s="121">
        <f ca="1">IFERROR(__xludf.DUMMYFUNCTION("""COMPUTED_VALUE"""),450000)</f>
        <v>450000</v>
      </c>
      <c r="D448" s="21"/>
      <c r="E448" s="21"/>
      <c r="F448" s="121" t="str">
        <f ca="1">IFERROR(__xludf.DUMMYFUNCTION("""COMPUTED_VALUE"""),"No ha consignado platica")</f>
        <v>No ha consignado platica</v>
      </c>
      <c r="G448" s="21"/>
      <c r="H448" s="21"/>
    </row>
    <row r="449" spans="1:8" x14ac:dyDescent="0.2">
      <c r="A449" s="21">
        <f t="shared" si="1"/>
        <v>0</v>
      </c>
      <c r="B449" s="21" t="str">
        <f ca="1">IFERROR(__xludf.DUMMYFUNCTION("""COMPUTED_VALUE"""),"0312070036")</f>
        <v>0312070036</v>
      </c>
      <c r="C449" s="121">
        <f ca="1">IFERROR(__xludf.DUMMYFUNCTION("""COMPUTED_VALUE"""),450000)</f>
        <v>450000</v>
      </c>
      <c r="D449" s="21"/>
      <c r="E449" s="21"/>
      <c r="F449" s="121" t="str">
        <f ca="1">IFERROR(__xludf.DUMMYFUNCTION("""COMPUTED_VALUE"""),"No ha consignado platica")</f>
        <v>No ha consignado platica</v>
      </c>
      <c r="G449" s="21"/>
      <c r="H449" s="21"/>
    </row>
    <row r="450" spans="1:8" x14ac:dyDescent="0.2">
      <c r="A450" s="21">
        <f t="shared" si="1"/>
        <v>0</v>
      </c>
      <c r="B450" s="21" t="str">
        <f ca="1">IFERROR(__xludf.DUMMYFUNCTION("""COMPUTED_VALUE"""),"0312070037")</f>
        <v>0312070037</v>
      </c>
      <c r="C450" s="121">
        <f ca="1">IFERROR(__xludf.DUMMYFUNCTION("""COMPUTED_VALUE"""),450000)</f>
        <v>450000</v>
      </c>
      <c r="D450" s="21"/>
      <c r="E450" s="21"/>
      <c r="F450" s="121" t="str">
        <f ca="1">IFERROR(__xludf.DUMMYFUNCTION("""COMPUTED_VALUE"""),"No ha consignado platica")</f>
        <v>No ha consignado platica</v>
      </c>
      <c r="G450" s="21"/>
      <c r="H450" s="21"/>
    </row>
    <row r="451" spans="1:8" x14ac:dyDescent="0.2">
      <c r="A451" s="21">
        <f t="shared" si="1"/>
        <v>0</v>
      </c>
      <c r="B451" s="21" t="str">
        <f ca="1">IFERROR(__xludf.DUMMYFUNCTION("""COMPUTED_VALUE"""),"0312070038")</f>
        <v>0312070038</v>
      </c>
      <c r="C451" s="121">
        <f ca="1">IFERROR(__xludf.DUMMYFUNCTION("""COMPUTED_VALUE"""),450000)</f>
        <v>450000</v>
      </c>
      <c r="D451" s="21"/>
      <c r="E451" s="21"/>
      <c r="F451" s="121" t="str">
        <f ca="1">IFERROR(__xludf.DUMMYFUNCTION("""COMPUTED_VALUE"""),"No ha consignado platica")</f>
        <v>No ha consignado platica</v>
      </c>
      <c r="G451" s="21"/>
      <c r="H451" s="21"/>
    </row>
    <row r="452" spans="1:8" x14ac:dyDescent="0.2">
      <c r="A452" s="21">
        <f t="shared" si="1"/>
        <v>0</v>
      </c>
      <c r="B452" s="21" t="str">
        <f ca="1">IFERROR(__xludf.DUMMYFUNCTION("""COMPUTED_VALUE"""),"0312070039")</f>
        <v>0312070039</v>
      </c>
      <c r="C452" s="121">
        <f ca="1">IFERROR(__xludf.DUMMYFUNCTION("""COMPUTED_VALUE"""),450000)</f>
        <v>450000</v>
      </c>
      <c r="D452" s="21"/>
      <c r="E452" s="21"/>
      <c r="F452" s="121" t="str">
        <f ca="1">IFERROR(__xludf.DUMMYFUNCTION("""COMPUTED_VALUE"""),"No ha consignado platica")</f>
        <v>No ha consignado platica</v>
      </c>
      <c r="G452" s="21"/>
      <c r="H452" s="21"/>
    </row>
    <row r="453" spans="1:8" x14ac:dyDescent="0.2">
      <c r="A453" s="21">
        <f t="shared" si="1"/>
        <v>0</v>
      </c>
      <c r="B453" s="21" t="str">
        <f ca="1">IFERROR(__xludf.DUMMYFUNCTION("""COMPUTED_VALUE"""),"0312070040")</f>
        <v>0312070040</v>
      </c>
      <c r="C453" s="121">
        <f ca="1">IFERROR(__xludf.DUMMYFUNCTION("""COMPUTED_VALUE"""),450000)</f>
        <v>450000</v>
      </c>
      <c r="D453" s="21"/>
      <c r="E453" s="21"/>
      <c r="F453" s="121" t="str">
        <f ca="1">IFERROR(__xludf.DUMMYFUNCTION("""COMPUTED_VALUE"""),"No ha consignado platica")</f>
        <v>No ha consignado platica</v>
      </c>
      <c r="G453" s="21"/>
      <c r="H453" s="21"/>
    </row>
    <row r="454" spans="1:8" x14ac:dyDescent="0.2">
      <c r="A454" s="21">
        <f t="shared" si="1"/>
        <v>0</v>
      </c>
      <c r="B454" s="21" t="str">
        <f ca="1">IFERROR(__xludf.DUMMYFUNCTION("""COMPUTED_VALUE"""),"0312070041")</f>
        <v>0312070041</v>
      </c>
      <c r="C454" s="121">
        <f ca="1">IFERROR(__xludf.DUMMYFUNCTION("""COMPUTED_VALUE"""),450000)</f>
        <v>450000</v>
      </c>
      <c r="D454" s="21"/>
      <c r="E454" s="21"/>
      <c r="F454" s="121" t="str">
        <f ca="1">IFERROR(__xludf.DUMMYFUNCTION("""COMPUTED_VALUE"""),"No ha consignado platica")</f>
        <v>No ha consignado platica</v>
      </c>
      <c r="G454" s="21"/>
      <c r="H454" s="21"/>
    </row>
    <row r="455" spans="1:8" x14ac:dyDescent="0.2">
      <c r="A455" s="21">
        <f t="shared" si="1"/>
        <v>0</v>
      </c>
      <c r="B455" s="21" t="str">
        <f ca="1">IFERROR(__xludf.DUMMYFUNCTION("""COMPUTED_VALUE"""),"0312070042")</f>
        <v>0312070042</v>
      </c>
      <c r="C455" s="121">
        <f ca="1">IFERROR(__xludf.DUMMYFUNCTION("""COMPUTED_VALUE"""),450000)</f>
        <v>450000</v>
      </c>
      <c r="D455" s="21"/>
      <c r="E455" s="21"/>
      <c r="F455" s="121" t="str">
        <f ca="1">IFERROR(__xludf.DUMMYFUNCTION("""COMPUTED_VALUE"""),"No ha consignado platica")</f>
        <v>No ha consignado platica</v>
      </c>
      <c r="G455" s="21"/>
      <c r="H455" s="21"/>
    </row>
    <row r="456" spans="1:8" x14ac:dyDescent="0.2">
      <c r="A456" s="21">
        <f t="shared" si="1"/>
        <v>0</v>
      </c>
      <c r="B456" s="21" t="str">
        <f ca="1">IFERROR(__xludf.DUMMYFUNCTION("""COMPUTED_VALUE"""),"0312070043")</f>
        <v>0312070043</v>
      </c>
      <c r="C456" s="121">
        <f ca="1">IFERROR(__xludf.DUMMYFUNCTION("""COMPUTED_VALUE"""),450000)</f>
        <v>450000</v>
      </c>
      <c r="D456" s="21"/>
      <c r="E456" s="21"/>
      <c r="F456" s="121" t="str">
        <f ca="1">IFERROR(__xludf.DUMMYFUNCTION("""COMPUTED_VALUE"""),"No ha consignado platica")</f>
        <v>No ha consignado platica</v>
      </c>
      <c r="G456" s="21"/>
      <c r="H456" s="21"/>
    </row>
    <row r="457" spans="1:8" x14ac:dyDescent="0.2">
      <c r="A457" s="21">
        <f t="shared" si="1"/>
        <v>0</v>
      </c>
      <c r="B457" s="21" t="str">
        <f ca="1">IFERROR(__xludf.DUMMYFUNCTION("""COMPUTED_VALUE"""),"0312070044")</f>
        <v>0312070044</v>
      </c>
      <c r="C457" s="121">
        <f ca="1">IFERROR(__xludf.DUMMYFUNCTION("""COMPUTED_VALUE"""),450000)</f>
        <v>450000</v>
      </c>
      <c r="D457" s="21"/>
      <c r="E457" s="21"/>
      <c r="F457" s="121" t="str">
        <f ca="1">IFERROR(__xludf.DUMMYFUNCTION("""COMPUTED_VALUE"""),"No ha consignado platica")</f>
        <v>No ha consignado platica</v>
      </c>
      <c r="G457" s="21"/>
      <c r="H457" s="21"/>
    </row>
    <row r="458" spans="1:8" x14ac:dyDescent="0.2">
      <c r="A458" s="21">
        <f t="shared" si="1"/>
        <v>0</v>
      </c>
      <c r="B458" s="21" t="str">
        <f ca="1">IFERROR(__xludf.DUMMYFUNCTION("""COMPUTED_VALUE"""),"0312070045")</f>
        <v>0312070045</v>
      </c>
      <c r="C458" s="121">
        <f ca="1">IFERROR(__xludf.DUMMYFUNCTION("""COMPUTED_VALUE"""),450000)</f>
        <v>450000</v>
      </c>
      <c r="D458" s="21"/>
      <c r="E458" s="21"/>
      <c r="F458" s="121" t="str">
        <f ca="1">IFERROR(__xludf.DUMMYFUNCTION("""COMPUTED_VALUE"""),"No ha consignado platica")</f>
        <v>No ha consignado platica</v>
      </c>
      <c r="G458" s="21"/>
      <c r="H458" s="21"/>
    </row>
    <row r="459" spans="1:8" x14ac:dyDescent="0.2">
      <c r="A459" s="21">
        <f t="shared" si="1"/>
        <v>0</v>
      </c>
      <c r="B459" s="21" t="str">
        <f ca="1">IFERROR(__xludf.DUMMYFUNCTION("""COMPUTED_VALUE"""),"0312070046")</f>
        <v>0312070046</v>
      </c>
      <c r="C459" s="121">
        <f ca="1">IFERROR(__xludf.DUMMYFUNCTION("""COMPUTED_VALUE"""),450000)</f>
        <v>450000</v>
      </c>
      <c r="D459" s="21"/>
      <c r="E459" s="21"/>
      <c r="F459" s="121" t="str">
        <f ca="1">IFERROR(__xludf.DUMMYFUNCTION("""COMPUTED_VALUE"""),"No ha consignado platica")</f>
        <v>No ha consignado platica</v>
      </c>
      <c r="G459" s="21"/>
      <c r="H459" s="21"/>
    </row>
    <row r="460" spans="1:8" x14ac:dyDescent="0.2">
      <c r="A460" s="21">
        <f t="shared" si="1"/>
        <v>0</v>
      </c>
      <c r="B460" s="21" t="str">
        <f ca="1">IFERROR(__xludf.DUMMYFUNCTION("""COMPUTED_VALUE"""),"0312070047")</f>
        <v>0312070047</v>
      </c>
      <c r="C460" s="121">
        <f ca="1">IFERROR(__xludf.DUMMYFUNCTION("""COMPUTED_VALUE"""),450000)</f>
        <v>450000</v>
      </c>
      <c r="D460" s="21"/>
      <c r="E460" s="21"/>
      <c r="F460" s="121" t="str">
        <f ca="1">IFERROR(__xludf.DUMMYFUNCTION("""COMPUTED_VALUE"""),"No ha consignado platica")</f>
        <v>No ha consignado platica</v>
      </c>
      <c r="G460" s="21"/>
      <c r="H460" s="21"/>
    </row>
    <row r="461" spans="1:8" x14ac:dyDescent="0.2">
      <c r="A461" s="21">
        <f t="shared" si="1"/>
        <v>0</v>
      </c>
      <c r="B461" s="21" t="str">
        <f ca="1">IFERROR(__xludf.DUMMYFUNCTION("""COMPUTED_VALUE"""),"0312070048")</f>
        <v>0312070048</v>
      </c>
      <c r="C461" s="121">
        <f ca="1">IFERROR(__xludf.DUMMYFUNCTION("""COMPUTED_VALUE"""),450000)</f>
        <v>450000</v>
      </c>
      <c r="D461" s="21"/>
      <c r="E461" s="21"/>
      <c r="F461" s="121" t="str">
        <f ca="1">IFERROR(__xludf.DUMMYFUNCTION("""COMPUTED_VALUE"""),"No ha consignado platica")</f>
        <v>No ha consignado platica</v>
      </c>
      <c r="G461" s="21"/>
      <c r="H461" s="21"/>
    </row>
    <row r="462" spans="1:8" x14ac:dyDescent="0.2">
      <c r="A462" s="21">
        <f t="shared" si="1"/>
        <v>0</v>
      </c>
      <c r="B462" s="21" t="str">
        <f ca="1">IFERROR(__xludf.DUMMYFUNCTION("""COMPUTED_VALUE"""),"0312070049")</f>
        <v>0312070049</v>
      </c>
      <c r="C462" s="121">
        <f ca="1">IFERROR(__xludf.DUMMYFUNCTION("""COMPUTED_VALUE"""),450000)</f>
        <v>450000</v>
      </c>
      <c r="D462" s="21"/>
      <c r="E462" s="21"/>
      <c r="F462" s="121" t="str">
        <f ca="1">IFERROR(__xludf.DUMMYFUNCTION("""COMPUTED_VALUE"""),"No ha consignado platica")</f>
        <v>No ha consignado platica</v>
      </c>
      <c r="G462" s="21"/>
      <c r="H462" s="21"/>
    </row>
    <row r="463" spans="1:8" x14ac:dyDescent="0.2">
      <c r="A463" s="21">
        <f t="shared" si="1"/>
        <v>0</v>
      </c>
      <c r="B463" s="21" t="str">
        <f ca="1">IFERROR(__xludf.DUMMYFUNCTION("""COMPUTED_VALUE"""),"0312070050")</f>
        <v>0312070050</v>
      </c>
      <c r="C463" s="121">
        <f ca="1">IFERROR(__xludf.DUMMYFUNCTION("""COMPUTED_VALUE"""),450000)</f>
        <v>450000</v>
      </c>
      <c r="D463" s="21"/>
      <c r="E463" s="21"/>
      <c r="F463" s="121" t="str">
        <f ca="1">IFERROR(__xludf.DUMMYFUNCTION("""COMPUTED_VALUE"""),"No ha consignado platica")</f>
        <v>No ha consignado platica</v>
      </c>
      <c r="G463" s="21"/>
      <c r="H463" s="21"/>
    </row>
    <row r="464" spans="1:8" x14ac:dyDescent="0.2">
      <c r="A464" s="21">
        <f t="shared" si="1"/>
        <v>0</v>
      </c>
      <c r="B464" s="21" t="str">
        <f ca="1">IFERROR(__xludf.DUMMYFUNCTION("""COMPUTED_VALUE"""),"0312070051")</f>
        <v>0312070051</v>
      </c>
      <c r="C464" s="121">
        <f ca="1">IFERROR(__xludf.DUMMYFUNCTION("""COMPUTED_VALUE"""),450000)</f>
        <v>450000</v>
      </c>
      <c r="D464" s="21"/>
      <c r="E464" s="21"/>
      <c r="F464" s="121" t="str">
        <f ca="1">IFERROR(__xludf.DUMMYFUNCTION("""COMPUTED_VALUE"""),"No ha consignado platica")</f>
        <v>No ha consignado platica</v>
      </c>
      <c r="G464" s="21"/>
      <c r="H464" s="21"/>
    </row>
    <row r="465" spans="1:8" x14ac:dyDescent="0.2">
      <c r="A465" s="21">
        <f t="shared" si="1"/>
        <v>0</v>
      </c>
      <c r="B465" s="21" t="str">
        <f ca="1">IFERROR(__xludf.DUMMYFUNCTION("""COMPUTED_VALUE"""),"0312070052")</f>
        <v>0312070052</v>
      </c>
      <c r="C465" s="121">
        <f ca="1">IFERROR(__xludf.DUMMYFUNCTION("""COMPUTED_VALUE"""),450000)</f>
        <v>450000</v>
      </c>
      <c r="D465" s="21"/>
      <c r="E465" s="21"/>
      <c r="F465" s="121" t="str">
        <f ca="1">IFERROR(__xludf.DUMMYFUNCTION("""COMPUTED_VALUE"""),"No ha consignado platica")</f>
        <v>No ha consignado platica</v>
      </c>
      <c r="G465" s="21"/>
      <c r="H465" s="21"/>
    </row>
    <row r="466" spans="1:8" x14ac:dyDescent="0.2">
      <c r="A466" s="21">
        <f t="shared" si="1"/>
        <v>0</v>
      </c>
      <c r="B466" s="21" t="str">
        <f ca="1">IFERROR(__xludf.DUMMYFUNCTION("""COMPUTED_VALUE"""),"0312070053")</f>
        <v>0312070053</v>
      </c>
      <c r="C466" s="121">
        <f ca="1">IFERROR(__xludf.DUMMYFUNCTION("""COMPUTED_VALUE"""),450000)</f>
        <v>450000</v>
      </c>
      <c r="D466" s="21"/>
      <c r="E466" s="21"/>
      <c r="F466" s="121" t="str">
        <f ca="1">IFERROR(__xludf.DUMMYFUNCTION("""COMPUTED_VALUE"""),"No ha consignado platica")</f>
        <v>No ha consignado platica</v>
      </c>
      <c r="G466" s="21"/>
      <c r="H466" s="21"/>
    </row>
    <row r="467" spans="1:8" x14ac:dyDescent="0.2">
      <c r="A467" s="21">
        <f t="shared" si="1"/>
        <v>0</v>
      </c>
      <c r="B467" s="21" t="str">
        <f ca="1">IFERROR(__xludf.DUMMYFUNCTION("""COMPUTED_VALUE"""),"0312070054")</f>
        <v>0312070054</v>
      </c>
      <c r="C467" s="121">
        <f ca="1">IFERROR(__xludf.DUMMYFUNCTION("""COMPUTED_VALUE"""),450000)</f>
        <v>450000</v>
      </c>
      <c r="D467" s="21"/>
      <c r="E467" s="21"/>
      <c r="F467" s="121" t="str">
        <f ca="1">IFERROR(__xludf.DUMMYFUNCTION("""COMPUTED_VALUE"""),"No ha consignado platica")</f>
        <v>No ha consignado platica</v>
      </c>
      <c r="G467" s="21"/>
      <c r="H467" s="21"/>
    </row>
    <row r="468" spans="1:8" x14ac:dyDescent="0.2">
      <c r="A468" s="21">
        <f t="shared" si="1"/>
        <v>0</v>
      </c>
      <c r="B468" s="21" t="str">
        <f ca="1">IFERROR(__xludf.DUMMYFUNCTION("""COMPUTED_VALUE"""),"0312070055")</f>
        <v>0312070055</v>
      </c>
      <c r="C468" s="121">
        <f ca="1">IFERROR(__xludf.DUMMYFUNCTION("""COMPUTED_VALUE"""),450000)</f>
        <v>450000</v>
      </c>
      <c r="D468" s="21"/>
      <c r="E468" s="21"/>
      <c r="F468" s="121" t="str">
        <f ca="1">IFERROR(__xludf.DUMMYFUNCTION("""COMPUTED_VALUE"""),"No ha consignado platica")</f>
        <v>No ha consignado platica</v>
      </c>
      <c r="G468" s="21"/>
      <c r="H468" s="21"/>
    </row>
    <row r="469" spans="1:8" x14ac:dyDescent="0.2">
      <c r="A469" s="21">
        <f t="shared" si="1"/>
        <v>0</v>
      </c>
      <c r="B469" s="21" t="str">
        <f ca="1">IFERROR(__xludf.DUMMYFUNCTION("""COMPUTED_VALUE"""),"0312070056")</f>
        <v>0312070056</v>
      </c>
      <c r="C469" s="121">
        <f ca="1">IFERROR(__xludf.DUMMYFUNCTION("""COMPUTED_VALUE"""),450000)</f>
        <v>450000</v>
      </c>
      <c r="D469" s="21"/>
      <c r="E469" s="21"/>
      <c r="F469" s="121" t="str">
        <f ca="1">IFERROR(__xludf.DUMMYFUNCTION("""COMPUTED_VALUE"""),"No ha consignado platica")</f>
        <v>No ha consignado platica</v>
      </c>
      <c r="G469" s="21"/>
      <c r="H469" s="21"/>
    </row>
    <row r="470" spans="1:8" x14ac:dyDescent="0.2">
      <c r="A470" s="21">
        <f t="shared" si="1"/>
        <v>0</v>
      </c>
      <c r="B470" s="21" t="str">
        <f ca="1">IFERROR(__xludf.DUMMYFUNCTION("""COMPUTED_VALUE"""),"0312070057")</f>
        <v>0312070057</v>
      </c>
      <c r="C470" s="121">
        <f ca="1">IFERROR(__xludf.DUMMYFUNCTION("""COMPUTED_VALUE"""),450000)</f>
        <v>450000</v>
      </c>
      <c r="D470" s="21"/>
      <c r="E470" s="21"/>
      <c r="F470" s="121" t="str">
        <f ca="1">IFERROR(__xludf.DUMMYFUNCTION("""COMPUTED_VALUE"""),"No ha consignado platica")</f>
        <v>No ha consignado platica</v>
      </c>
      <c r="G470" s="21"/>
      <c r="H470" s="21"/>
    </row>
    <row r="471" spans="1:8" x14ac:dyDescent="0.2">
      <c r="A471" s="21">
        <f t="shared" si="1"/>
        <v>0</v>
      </c>
      <c r="B471" s="21" t="str">
        <f ca="1">IFERROR(__xludf.DUMMYFUNCTION("""COMPUTED_VALUE"""),"0312070058")</f>
        <v>0312070058</v>
      </c>
      <c r="C471" s="121">
        <f ca="1">IFERROR(__xludf.DUMMYFUNCTION("""COMPUTED_VALUE"""),450000)</f>
        <v>450000</v>
      </c>
      <c r="D471" s="21"/>
      <c r="E471" s="21"/>
      <c r="F471" s="121" t="str">
        <f ca="1">IFERROR(__xludf.DUMMYFUNCTION("""COMPUTED_VALUE"""),"No ha consignado platica")</f>
        <v>No ha consignado platica</v>
      </c>
      <c r="G471" s="21"/>
      <c r="H471" s="21"/>
    </row>
    <row r="472" spans="1:8" x14ac:dyDescent="0.2">
      <c r="A472" s="21">
        <f t="shared" si="1"/>
        <v>0</v>
      </c>
      <c r="B472" s="21" t="str">
        <f ca="1">IFERROR(__xludf.DUMMYFUNCTION("""COMPUTED_VALUE"""),"0312070059")</f>
        <v>0312070059</v>
      </c>
      <c r="C472" s="121">
        <f ca="1">IFERROR(__xludf.DUMMYFUNCTION("""COMPUTED_VALUE"""),450000)</f>
        <v>450000</v>
      </c>
      <c r="D472" s="21"/>
      <c r="E472" s="21"/>
      <c r="F472" s="121" t="str">
        <f ca="1">IFERROR(__xludf.DUMMYFUNCTION("""COMPUTED_VALUE"""),"No ha consignado platica")</f>
        <v>No ha consignado platica</v>
      </c>
      <c r="G472" s="21"/>
      <c r="H472" s="21"/>
    </row>
    <row r="473" spans="1:8" x14ac:dyDescent="0.2">
      <c r="A473" s="21">
        <f t="shared" si="1"/>
        <v>0</v>
      </c>
      <c r="B473" s="21" t="str">
        <f ca="1">IFERROR(__xludf.DUMMYFUNCTION("""COMPUTED_VALUE"""),"0312070060")</f>
        <v>0312070060</v>
      </c>
      <c r="C473" s="121">
        <f ca="1">IFERROR(__xludf.DUMMYFUNCTION("""COMPUTED_VALUE"""),450000)</f>
        <v>450000</v>
      </c>
      <c r="D473" s="21"/>
      <c r="E473" s="21"/>
      <c r="F473" s="121" t="str">
        <f ca="1">IFERROR(__xludf.DUMMYFUNCTION("""COMPUTED_VALUE"""),"No ha consignado platica")</f>
        <v>No ha consignado platica</v>
      </c>
      <c r="G473" s="21"/>
      <c r="H473" s="21"/>
    </row>
    <row r="474" spans="1:8" x14ac:dyDescent="0.2">
      <c r="A474" s="21">
        <f t="shared" si="1"/>
        <v>0</v>
      </c>
      <c r="B474" s="21" t="str">
        <f ca="1">IFERROR(__xludf.DUMMYFUNCTION("""COMPUTED_VALUE"""),"0312070061")</f>
        <v>0312070061</v>
      </c>
      <c r="C474" s="121">
        <f ca="1">IFERROR(__xludf.DUMMYFUNCTION("""COMPUTED_VALUE"""),450000)</f>
        <v>450000</v>
      </c>
      <c r="D474" s="21"/>
      <c r="E474" s="21"/>
      <c r="F474" s="121" t="str">
        <f ca="1">IFERROR(__xludf.DUMMYFUNCTION("""COMPUTED_VALUE"""),"No ha consignado platica")</f>
        <v>No ha consignado platica</v>
      </c>
      <c r="G474" s="21"/>
      <c r="H474" s="21"/>
    </row>
    <row r="475" spans="1:8" x14ac:dyDescent="0.2">
      <c r="A475" s="21">
        <f t="shared" si="1"/>
        <v>0</v>
      </c>
      <c r="B475" s="21" t="str">
        <f ca="1">IFERROR(__xludf.DUMMYFUNCTION("""COMPUTED_VALUE"""),"0312070062")</f>
        <v>0312070062</v>
      </c>
      <c r="C475" s="121">
        <f ca="1">IFERROR(__xludf.DUMMYFUNCTION("""COMPUTED_VALUE"""),450000)</f>
        <v>450000</v>
      </c>
      <c r="D475" s="21"/>
      <c r="E475" s="21"/>
      <c r="F475" s="121" t="str">
        <f ca="1">IFERROR(__xludf.DUMMYFUNCTION("""COMPUTED_VALUE"""),"No ha consignado platica")</f>
        <v>No ha consignado platica</v>
      </c>
      <c r="G475" s="21"/>
      <c r="H475" s="21"/>
    </row>
    <row r="476" spans="1:8" x14ac:dyDescent="0.2">
      <c r="A476" s="21">
        <f t="shared" si="1"/>
        <v>0</v>
      </c>
      <c r="B476" s="21" t="str">
        <f ca="1">IFERROR(__xludf.DUMMYFUNCTION("""COMPUTED_VALUE"""),"0312070063")</f>
        <v>0312070063</v>
      </c>
      <c r="C476" s="121">
        <f ca="1">IFERROR(__xludf.DUMMYFUNCTION("""COMPUTED_VALUE"""),450000)</f>
        <v>450000</v>
      </c>
      <c r="D476" s="21"/>
      <c r="E476" s="21"/>
      <c r="F476" s="121" t="str">
        <f ca="1">IFERROR(__xludf.DUMMYFUNCTION("""COMPUTED_VALUE"""),"No ha consignado platica")</f>
        <v>No ha consignado platica</v>
      </c>
      <c r="G476" s="21"/>
      <c r="H476" s="21"/>
    </row>
    <row r="477" spans="1:8" x14ac:dyDescent="0.2">
      <c r="A477" s="21">
        <f t="shared" si="1"/>
        <v>0</v>
      </c>
      <c r="B477" s="21" t="str">
        <f ca="1">IFERROR(__xludf.DUMMYFUNCTION("""COMPUTED_VALUE"""),"0312070064")</f>
        <v>0312070064</v>
      </c>
      <c r="C477" s="121">
        <f ca="1">IFERROR(__xludf.DUMMYFUNCTION("""COMPUTED_VALUE"""),450000)</f>
        <v>450000</v>
      </c>
      <c r="D477" s="21"/>
      <c r="E477" s="21"/>
      <c r="F477" s="121" t="str">
        <f ca="1">IFERROR(__xludf.DUMMYFUNCTION("""COMPUTED_VALUE"""),"No ha consignado platica")</f>
        <v>No ha consignado platica</v>
      </c>
      <c r="G477" s="21"/>
      <c r="H477" s="21"/>
    </row>
    <row r="478" spans="1:8" x14ac:dyDescent="0.2">
      <c r="A478" s="21">
        <f t="shared" si="1"/>
        <v>0</v>
      </c>
      <c r="B478" s="21" t="str">
        <f ca="1">IFERROR(__xludf.DUMMYFUNCTION("""COMPUTED_VALUE"""),"0312070065")</f>
        <v>0312070065</v>
      </c>
      <c r="C478" s="121">
        <f ca="1">IFERROR(__xludf.DUMMYFUNCTION("""COMPUTED_VALUE"""),450000)</f>
        <v>450000</v>
      </c>
      <c r="D478" s="21"/>
      <c r="E478" s="21"/>
      <c r="F478" s="121" t="str">
        <f ca="1">IFERROR(__xludf.DUMMYFUNCTION("""COMPUTED_VALUE"""),"No ha consignado platica")</f>
        <v>No ha consignado platica</v>
      </c>
      <c r="G478" s="21"/>
      <c r="H478" s="21"/>
    </row>
    <row r="479" spans="1:8" x14ac:dyDescent="0.2">
      <c r="A479" s="21">
        <f t="shared" si="1"/>
        <v>0</v>
      </c>
      <c r="B479" s="21" t="str">
        <f ca="1">IFERROR(__xludf.DUMMYFUNCTION("""COMPUTED_VALUE"""),"0312070066")</f>
        <v>0312070066</v>
      </c>
      <c r="C479" s="121">
        <f ca="1">IFERROR(__xludf.DUMMYFUNCTION("""COMPUTED_VALUE"""),450000)</f>
        <v>450000</v>
      </c>
      <c r="D479" s="21"/>
      <c r="E479" s="21"/>
      <c r="F479" s="121" t="str">
        <f ca="1">IFERROR(__xludf.DUMMYFUNCTION("""COMPUTED_VALUE"""),"No ha consignado platica")</f>
        <v>No ha consignado platica</v>
      </c>
      <c r="G479" s="21"/>
      <c r="H479" s="21"/>
    </row>
    <row r="480" spans="1:8" x14ac:dyDescent="0.2">
      <c r="A480" s="21">
        <f t="shared" si="1"/>
        <v>0</v>
      </c>
      <c r="B480" s="21" t="str">
        <f ca="1">IFERROR(__xludf.DUMMYFUNCTION("""COMPUTED_VALUE"""),"0312070067")</f>
        <v>0312070067</v>
      </c>
      <c r="C480" s="121">
        <f ca="1">IFERROR(__xludf.DUMMYFUNCTION("""COMPUTED_VALUE"""),450000)</f>
        <v>450000</v>
      </c>
      <c r="D480" s="21"/>
      <c r="E480" s="21"/>
      <c r="F480" s="121" t="str">
        <f ca="1">IFERROR(__xludf.DUMMYFUNCTION("""COMPUTED_VALUE"""),"No ha consignado platica")</f>
        <v>No ha consignado platica</v>
      </c>
      <c r="G480" s="21"/>
      <c r="H480" s="21"/>
    </row>
    <row r="481" spans="1:8" x14ac:dyDescent="0.2">
      <c r="A481" s="21">
        <f t="shared" si="1"/>
        <v>0</v>
      </c>
      <c r="B481" s="21" t="str">
        <f ca="1">IFERROR(__xludf.DUMMYFUNCTION("""COMPUTED_VALUE"""),"0312070068")</f>
        <v>0312070068</v>
      </c>
      <c r="C481" s="121">
        <f ca="1">IFERROR(__xludf.DUMMYFUNCTION("""COMPUTED_VALUE"""),450000)</f>
        <v>450000</v>
      </c>
      <c r="D481" s="21"/>
      <c r="E481" s="21"/>
      <c r="F481" s="121" t="str">
        <f ca="1">IFERROR(__xludf.DUMMYFUNCTION("""COMPUTED_VALUE"""),"No ha consignado platica")</f>
        <v>No ha consignado platica</v>
      </c>
      <c r="G481" s="21"/>
      <c r="H481" s="21"/>
    </row>
    <row r="482" spans="1:8" x14ac:dyDescent="0.2">
      <c r="A482" s="21">
        <f t="shared" si="1"/>
        <v>0</v>
      </c>
      <c r="B482" s="21" t="str">
        <f ca="1">IFERROR(__xludf.DUMMYFUNCTION("""COMPUTED_VALUE"""),"0312070069")</f>
        <v>0312070069</v>
      </c>
      <c r="C482" s="121">
        <f ca="1">IFERROR(__xludf.DUMMYFUNCTION("""COMPUTED_VALUE"""),450000)</f>
        <v>450000</v>
      </c>
      <c r="D482" s="21"/>
      <c r="E482" s="21"/>
      <c r="F482" s="121" t="str">
        <f ca="1">IFERROR(__xludf.DUMMYFUNCTION("""COMPUTED_VALUE"""),"No ha consignado platica")</f>
        <v>No ha consignado platica</v>
      </c>
      <c r="G482" s="21"/>
      <c r="H482" s="21"/>
    </row>
    <row r="483" spans="1:8" x14ac:dyDescent="0.2">
      <c r="A483" s="21">
        <f t="shared" si="1"/>
        <v>0</v>
      </c>
      <c r="B483" s="21" t="str">
        <f ca="1">IFERROR(__xludf.DUMMYFUNCTION("""COMPUTED_VALUE"""),"0312070070")</f>
        <v>0312070070</v>
      </c>
      <c r="C483" s="121">
        <f ca="1">IFERROR(__xludf.DUMMYFUNCTION("""COMPUTED_VALUE"""),450000)</f>
        <v>450000</v>
      </c>
      <c r="D483" s="21"/>
      <c r="E483" s="21"/>
      <c r="F483" s="121" t="str">
        <f ca="1">IFERROR(__xludf.DUMMYFUNCTION("""COMPUTED_VALUE"""),"No ha consignado platica")</f>
        <v>No ha consignado platica</v>
      </c>
      <c r="G483" s="21"/>
      <c r="H483" s="21"/>
    </row>
    <row r="484" spans="1:8" x14ac:dyDescent="0.2">
      <c r="A484" s="21">
        <f t="shared" si="1"/>
        <v>0</v>
      </c>
      <c r="B484" s="21" t="str">
        <f ca="1">IFERROR(__xludf.DUMMYFUNCTION("""COMPUTED_VALUE"""),"0312070071")</f>
        <v>0312070071</v>
      </c>
      <c r="C484" s="121">
        <f ca="1">IFERROR(__xludf.DUMMYFUNCTION("""COMPUTED_VALUE"""),450000)</f>
        <v>450000</v>
      </c>
      <c r="D484" s="21"/>
      <c r="E484" s="21"/>
      <c r="F484" s="121" t="str">
        <f ca="1">IFERROR(__xludf.DUMMYFUNCTION("""COMPUTED_VALUE"""),"No ha consignado platica")</f>
        <v>No ha consignado platica</v>
      </c>
      <c r="G484" s="21"/>
      <c r="H484" s="21"/>
    </row>
    <row r="485" spans="1:8" x14ac:dyDescent="0.2">
      <c r="A485" s="21">
        <f t="shared" si="1"/>
        <v>0</v>
      </c>
      <c r="B485" s="21" t="str">
        <f ca="1">IFERROR(__xludf.DUMMYFUNCTION("""COMPUTED_VALUE"""),"0312070072")</f>
        <v>0312070072</v>
      </c>
      <c r="C485" s="121">
        <f ca="1">IFERROR(__xludf.DUMMYFUNCTION("""COMPUTED_VALUE"""),450000)</f>
        <v>450000</v>
      </c>
      <c r="D485" s="21"/>
      <c r="E485" s="21"/>
      <c r="F485" s="121" t="str">
        <f ca="1">IFERROR(__xludf.DUMMYFUNCTION("""COMPUTED_VALUE"""),"No ha consignado platica")</f>
        <v>No ha consignado platica</v>
      </c>
      <c r="G485" s="21"/>
      <c r="H485" s="21"/>
    </row>
    <row r="486" spans="1:8" x14ac:dyDescent="0.2">
      <c r="A486" s="21">
        <f t="shared" si="1"/>
        <v>0</v>
      </c>
      <c r="B486" s="21" t="str">
        <f ca="1">IFERROR(__xludf.DUMMYFUNCTION("""COMPUTED_VALUE"""),"0312070073")</f>
        <v>0312070073</v>
      </c>
      <c r="C486" s="121">
        <f ca="1">IFERROR(__xludf.DUMMYFUNCTION("""COMPUTED_VALUE"""),450000)</f>
        <v>450000</v>
      </c>
      <c r="D486" s="21"/>
      <c r="E486" s="21"/>
      <c r="F486" s="121" t="str">
        <f ca="1">IFERROR(__xludf.DUMMYFUNCTION("""COMPUTED_VALUE"""),"No ha consignado platica")</f>
        <v>No ha consignado platica</v>
      </c>
      <c r="G486" s="21"/>
      <c r="H486" s="21"/>
    </row>
    <row r="487" spans="1:8" x14ac:dyDescent="0.2">
      <c r="A487" s="21">
        <f t="shared" si="1"/>
        <v>0</v>
      </c>
      <c r="B487" s="21" t="str">
        <f ca="1">IFERROR(__xludf.DUMMYFUNCTION("""COMPUTED_VALUE"""),"0312070074")</f>
        <v>0312070074</v>
      </c>
      <c r="C487" s="121">
        <f ca="1">IFERROR(__xludf.DUMMYFUNCTION("""COMPUTED_VALUE"""),450000)</f>
        <v>450000</v>
      </c>
      <c r="D487" s="21"/>
      <c r="E487" s="21"/>
      <c r="F487" s="121" t="str">
        <f ca="1">IFERROR(__xludf.DUMMYFUNCTION("""COMPUTED_VALUE"""),"No ha consignado platica")</f>
        <v>No ha consignado platica</v>
      </c>
      <c r="G487" s="21"/>
      <c r="H487" s="21"/>
    </row>
    <row r="488" spans="1:8" x14ac:dyDescent="0.2">
      <c r="A488" s="21">
        <f t="shared" si="1"/>
        <v>0</v>
      </c>
      <c r="B488" s="21" t="str">
        <f ca="1">IFERROR(__xludf.DUMMYFUNCTION("""COMPUTED_VALUE"""),"0312070075")</f>
        <v>0312070075</v>
      </c>
      <c r="C488" s="121">
        <f ca="1">IFERROR(__xludf.DUMMYFUNCTION("""COMPUTED_VALUE"""),450000)</f>
        <v>450000</v>
      </c>
      <c r="D488" s="21"/>
      <c r="E488" s="21"/>
      <c r="F488" s="121" t="str">
        <f ca="1">IFERROR(__xludf.DUMMYFUNCTION("""COMPUTED_VALUE"""),"No ha consignado platica")</f>
        <v>No ha consignado platica</v>
      </c>
      <c r="G488" s="21"/>
      <c r="H488" s="21"/>
    </row>
    <row r="489" spans="1:8" x14ac:dyDescent="0.2">
      <c r="A489" s="21">
        <f t="shared" si="1"/>
        <v>0</v>
      </c>
      <c r="B489" s="21" t="str">
        <f ca="1">IFERROR(__xludf.DUMMYFUNCTION("""COMPUTED_VALUE"""),"0312070076")</f>
        <v>0312070076</v>
      </c>
      <c r="C489" s="121">
        <f ca="1">IFERROR(__xludf.DUMMYFUNCTION("""COMPUTED_VALUE"""),450000)</f>
        <v>450000</v>
      </c>
      <c r="D489" s="21"/>
      <c r="E489" s="21"/>
      <c r="F489" s="121" t="str">
        <f ca="1">IFERROR(__xludf.DUMMYFUNCTION("""COMPUTED_VALUE"""),"No ha consignado platica")</f>
        <v>No ha consignado platica</v>
      </c>
      <c r="G489" s="21"/>
      <c r="H489" s="21"/>
    </row>
    <row r="490" spans="1:8" x14ac:dyDescent="0.2">
      <c r="A490" s="21">
        <f t="shared" si="1"/>
        <v>0</v>
      </c>
      <c r="B490" s="21" t="str">
        <f ca="1">IFERROR(__xludf.DUMMYFUNCTION("""COMPUTED_VALUE"""),"0312070077")</f>
        <v>0312070077</v>
      </c>
      <c r="C490" s="121">
        <f ca="1">IFERROR(__xludf.DUMMYFUNCTION("""COMPUTED_VALUE"""),450000)</f>
        <v>450000</v>
      </c>
      <c r="D490" s="21"/>
      <c r="E490" s="21"/>
      <c r="F490" s="121" t="str">
        <f ca="1">IFERROR(__xludf.DUMMYFUNCTION("""COMPUTED_VALUE"""),"No ha consignado platica")</f>
        <v>No ha consignado platica</v>
      </c>
      <c r="G490" s="21"/>
      <c r="H490" s="21"/>
    </row>
    <row r="491" spans="1:8" x14ac:dyDescent="0.2">
      <c r="A491" s="21">
        <f t="shared" si="1"/>
        <v>0</v>
      </c>
      <c r="B491" s="21" t="str">
        <f ca="1">IFERROR(__xludf.DUMMYFUNCTION("""COMPUTED_VALUE"""),"0312070078")</f>
        <v>0312070078</v>
      </c>
      <c r="C491" s="121">
        <f ca="1">IFERROR(__xludf.DUMMYFUNCTION("""COMPUTED_VALUE"""),450000)</f>
        <v>450000</v>
      </c>
      <c r="D491" s="21"/>
      <c r="E491" s="21"/>
      <c r="F491" s="121" t="str">
        <f ca="1">IFERROR(__xludf.DUMMYFUNCTION("""COMPUTED_VALUE"""),"No ha consignado platica")</f>
        <v>No ha consignado platica</v>
      </c>
      <c r="G491" s="21"/>
      <c r="H491" s="21"/>
    </row>
    <row r="492" spans="1:8" x14ac:dyDescent="0.2">
      <c r="A492" s="21">
        <f t="shared" si="1"/>
        <v>0</v>
      </c>
      <c r="B492" s="21" t="str">
        <f ca="1">IFERROR(__xludf.DUMMYFUNCTION("""COMPUTED_VALUE"""),"0312070079")</f>
        <v>0312070079</v>
      </c>
      <c r="C492" s="121">
        <f ca="1">IFERROR(__xludf.DUMMYFUNCTION("""COMPUTED_VALUE"""),450000)</f>
        <v>450000</v>
      </c>
      <c r="D492" s="21"/>
      <c r="E492" s="21"/>
      <c r="F492" s="121" t="str">
        <f ca="1">IFERROR(__xludf.DUMMYFUNCTION("""COMPUTED_VALUE"""),"No ha consignado platica")</f>
        <v>No ha consignado platica</v>
      </c>
      <c r="G492" s="21"/>
      <c r="H492" s="21"/>
    </row>
    <row r="493" spans="1:8" x14ac:dyDescent="0.2">
      <c r="A493" s="21">
        <f t="shared" si="1"/>
        <v>0</v>
      </c>
      <c r="B493" s="21" t="str">
        <f ca="1">IFERROR(__xludf.DUMMYFUNCTION("""COMPUTED_VALUE"""),"0312070080")</f>
        <v>0312070080</v>
      </c>
      <c r="C493" s="121">
        <f ca="1">IFERROR(__xludf.DUMMYFUNCTION("""COMPUTED_VALUE"""),450000)</f>
        <v>450000</v>
      </c>
      <c r="D493" s="21"/>
      <c r="E493" s="21"/>
      <c r="F493" s="121" t="str">
        <f ca="1">IFERROR(__xludf.DUMMYFUNCTION("""COMPUTED_VALUE"""),"No ha consignado platica")</f>
        <v>No ha consignado platica</v>
      </c>
      <c r="G493" s="21"/>
      <c r="H493" s="21"/>
    </row>
    <row r="494" spans="1:8" x14ac:dyDescent="0.2">
      <c r="A494" s="21">
        <f t="shared" si="1"/>
        <v>0</v>
      </c>
      <c r="B494" s="21" t="str">
        <f ca="1">IFERROR(__xludf.DUMMYFUNCTION("""COMPUTED_VALUE"""),"0312070081")</f>
        <v>0312070081</v>
      </c>
      <c r="C494" s="121">
        <f ca="1">IFERROR(__xludf.DUMMYFUNCTION("""COMPUTED_VALUE"""),450000)</f>
        <v>450000</v>
      </c>
      <c r="D494" s="21"/>
      <c r="E494" s="21"/>
      <c r="F494" s="121" t="str">
        <f ca="1">IFERROR(__xludf.DUMMYFUNCTION("""COMPUTED_VALUE"""),"No ha consignado platica")</f>
        <v>No ha consignado platica</v>
      </c>
      <c r="G494" s="21"/>
      <c r="H494" s="21"/>
    </row>
    <row r="495" spans="1:8" x14ac:dyDescent="0.2">
      <c r="A495" s="21">
        <f t="shared" si="1"/>
        <v>0</v>
      </c>
      <c r="B495" s="21" t="str">
        <f ca="1">IFERROR(__xludf.DUMMYFUNCTION("""COMPUTED_VALUE"""),"0312070082")</f>
        <v>0312070082</v>
      </c>
      <c r="C495" s="121">
        <f ca="1">IFERROR(__xludf.DUMMYFUNCTION("""COMPUTED_VALUE"""),450000)</f>
        <v>450000</v>
      </c>
      <c r="D495" s="21"/>
      <c r="E495" s="21"/>
      <c r="F495" s="121" t="str">
        <f ca="1">IFERROR(__xludf.DUMMYFUNCTION("""COMPUTED_VALUE"""),"No ha consignado platica")</f>
        <v>No ha consignado platica</v>
      </c>
      <c r="G495" s="21"/>
      <c r="H495" s="21"/>
    </row>
    <row r="496" spans="1:8" x14ac:dyDescent="0.2">
      <c r="A496" s="21">
        <f t="shared" si="1"/>
        <v>0</v>
      </c>
      <c r="B496" s="21" t="str">
        <f ca="1">IFERROR(__xludf.DUMMYFUNCTION("""COMPUTED_VALUE"""),"0312070083")</f>
        <v>0312070083</v>
      </c>
      <c r="C496" s="121">
        <f ca="1">IFERROR(__xludf.DUMMYFUNCTION("""COMPUTED_VALUE"""),450000)</f>
        <v>450000</v>
      </c>
      <c r="D496" s="21"/>
      <c r="E496" s="21"/>
      <c r="F496" s="121" t="str">
        <f ca="1">IFERROR(__xludf.DUMMYFUNCTION("""COMPUTED_VALUE"""),"No ha consignado platica")</f>
        <v>No ha consignado platica</v>
      </c>
      <c r="G496" s="21"/>
      <c r="H496" s="21"/>
    </row>
    <row r="497" spans="1:8" x14ac:dyDescent="0.2">
      <c r="A497" s="21">
        <f t="shared" si="1"/>
        <v>0</v>
      </c>
      <c r="B497" s="21" t="str">
        <f ca="1">IFERROR(__xludf.DUMMYFUNCTION("""COMPUTED_VALUE"""),"0312070084")</f>
        <v>0312070084</v>
      </c>
      <c r="C497" s="121">
        <f ca="1">IFERROR(__xludf.DUMMYFUNCTION("""COMPUTED_VALUE"""),450000)</f>
        <v>450000</v>
      </c>
      <c r="D497" s="21"/>
      <c r="E497" s="21"/>
      <c r="F497" s="121" t="str">
        <f ca="1">IFERROR(__xludf.DUMMYFUNCTION("""COMPUTED_VALUE"""),"No ha consignado platica")</f>
        <v>No ha consignado platica</v>
      </c>
      <c r="G497" s="21"/>
      <c r="H497" s="21"/>
    </row>
    <row r="498" spans="1:8" x14ac:dyDescent="0.2">
      <c r="A498" s="21">
        <f t="shared" si="1"/>
        <v>0</v>
      </c>
      <c r="B498" s="21" t="str">
        <f ca="1">IFERROR(__xludf.DUMMYFUNCTION("""COMPUTED_VALUE"""),"0312070085")</f>
        <v>0312070085</v>
      </c>
      <c r="C498" s="121">
        <f ca="1">IFERROR(__xludf.DUMMYFUNCTION("""COMPUTED_VALUE"""),450000)</f>
        <v>450000</v>
      </c>
      <c r="D498" s="21"/>
      <c r="E498" s="21"/>
      <c r="F498" s="121" t="str">
        <f ca="1">IFERROR(__xludf.DUMMYFUNCTION("""COMPUTED_VALUE"""),"No ha consignado platica")</f>
        <v>No ha consignado platica</v>
      </c>
      <c r="G498" s="21"/>
      <c r="H498" s="21"/>
    </row>
    <row r="499" spans="1:8" x14ac:dyDescent="0.2">
      <c r="A499" s="21">
        <f t="shared" si="1"/>
        <v>0</v>
      </c>
      <c r="B499" s="21" t="str">
        <f ca="1">IFERROR(__xludf.DUMMYFUNCTION("""COMPUTED_VALUE"""),"0312070086")</f>
        <v>0312070086</v>
      </c>
      <c r="C499" s="121">
        <f ca="1">IFERROR(__xludf.DUMMYFUNCTION("""COMPUTED_VALUE"""),450000)</f>
        <v>450000</v>
      </c>
      <c r="D499" s="21"/>
      <c r="E499" s="21"/>
      <c r="F499" s="121" t="str">
        <f ca="1">IFERROR(__xludf.DUMMYFUNCTION("""COMPUTED_VALUE"""),"No ha consignado platica")</f>
        <v>No ha consignado platica</v>
      </c>
      <c r="G499" s="21"/>
      <c r="H499" s="21"/>
    </row>
    <row r="500" spans="1:8" x14ac:dyDescent="0.2">
      <c r="A500" s="21">
        <f t="shared" si="1"/>
        <v>0</v>
      </c>
      <c r="B500" s="21" t="str">
        <f ca="1">IFERROR(__xludf.DUMMYFUNCTION("""COMPUTED_VALUE"""),"0312070087")</f>
        <v>0312070087</v>
      </c>
      <c r="C500" s="121">
        <f ca="1">IFERROR(__xludf.DUMMYFUNCTION("""COMPUTED_VALUE"""),450000)</f>
        <v>450000</v>
      </c>
      <c r="D500" s="21"/>
      <c r="E500" s="21"/>
      <c r="F500" s="121" t="str">
        <f ca="1">IFERROR(__xludf.DUMMYFUNCTION("""COMPUTED_VALUE"""),"No ha consignado platica")</f>
        <v>No ha consignado platica</v>
      </c>
      <c r="G500" s="21"/>
      <c r="H500" s="21"/>
    </row>
    <row r="501" spans="1:8" x14ac:dyDescent="0.2">
      <c r="A501" s="21">
        <f t="shared" si="1"/>
        <v>0</v>
      </c>
      <c r="B501" s="21" t="str">
        <f ca="1">IFERROR(__xludf.DUMMYFUNCTION("""COMPUTED_VALUE"""),"0312070088")</f>
        <v>0312070088</v>
      </c>
      <c r="C501" s="121">
        <f ca="1">IFERROR(__xludf.DUMMYFUNCTION("""COMPUTED_VALUE"""),450000)</f>
        <v>450000</v>
      </c>
      <c r="D501" s="21"/>
      <c r="E501" s="21"/>
      <c r="F501" s="121" t="str">
        <f ca="1">IFERROR(__xludf.DUMMYFUNCTION("""COMPUTED_VALUE"""),"No ha consignado platica")</f>
        <v>No ha consignado platica</v>
      </c>
      <c r="G501" s="21"/>
      <c r="H501" s="21"/>
    </row>
    <row r="502" spans="1:8" x14ac:dyDescent="0.2">
      <c r="A502" s="21">
        <f t="shared" si="1"/>
        <v>0</v>
      </c>
      <c r="B502" s="21" t="str">
        <f ca="1">IFERROR(__xludf.DUMMYFUNCTION("""COMPUTED_VALUE"""),"0312070089")</f>
        <v>0312070089</v>
      </c>
      <c r="C502" s="121">
        <f ca="1">IFERROR(__xludf.DUMMYFUNCTION("""COMPUTED_VALUE"""),450000)</f>
        <v>450000</v>
      </c>
      <c r="D502" s="21"/>
      <c r="E502" s="21"/>
      <c r="F502" s="121" t="str">
        <f ca="1">IFERROR(__xludf.DUMMYFUNCTION("""COMPUTED_VALUE"""),"No ha consignado platica")</f>
        <v>No ha consignado platica</v>
      </c>
      <c r="G502" s="21"/>
      <c r="H502" s="21"/>
    </row>
    <row r="503" spans="1:8" x14ac:dyDescent="0.2">
      <c r="A503" s="21">
        <f t="shared" si="1"/>
        <v>0</v>
      </c>
      <c r="B503" s="21" t="str">
        <f ca="1">IFERROR(__xludf.DUMMYFUNCTION("""COMPUTED_VALUE"""),"0312070090")</f>
        <v>0312070090</v>
      </c>
      <c r="C503" s="121">
        <f ca="1">IFERROR(__xludf.DUMMYFUNCTION("""COMPUTED_VALUE"""),450000)</f>
        <v>450000</v>
      </c>
      <c r="D503" s="21"/>
      <c r="E503" s="21"/>
      <c r="F503" s="121" t="str">
        <f ca="1">IFERROR(__xludf.DUMMYFUNCTION("""COMPUTED_VALUE"""),"No ha consignado platica")</f>
        <v>No ha consignado platica</v>
      </c>
      <c r="G503" s="21"/>
      <c r="H503" s="21"/>
    </row>
    <row r="504" spans="1:8" x14ac:dyDescent="0.2">
      <c r="A504" s="21">
        <f t="shared" si="1"/>
        <v>0</v>
      </c>
      <c r="B504" s="21" t="str">
        <f ca="1">IFERROR(__xludf.DUMMYFUNCTION("""COMPUTED_VALUE"""),"0312070091")</f>
        <v>0312070091</v>
      </c>
      <c r="C504" s="121">
        <f ca="1">IFERROR(__xludf.DUMMYFUNCTION("""COMPUTED_VALUE"""),450000)</f>
        <v>450000</v>
      </c>
      <c r="D504" s="21"/>
      <c r="E504" s="21"/>
      <c r="F504" s="121" t="str">
        <f ca="1">IFERROR(__xludf.DUMMYFUNCTION("""COMPUTED_VALUE"""),"No ha consignado platica")</f>
        <v>No ha consignado platica</v>
      </c>
      <c r="G504" s="21"/>
      <c r="H504" s="21"/>
    </row>
    <row r="505" spans="1:8" x14ac:dyDescent="0.2">
      <c r="A505" s="21">
        <f t="shared" si="1"/>
        <v>0</v>
      </c>
      <c r="B505" s="21" t="str">
        <f ca="1">IFERROR(__xludf.DUMMYFUNCTION("""COMPUTED_VALUE"""),"0312070092")</f>
        <v>0312070092</v>
      </c>
      <c r="C505" s="121">
        <f ca="1">IFERROR(__xludf.DUMMYFUNCTION("""COMPUTED_VALUE"""),450000)</f>
        <v>450000</v>
      </c>
      <c r="D505" s="21"/>
      <c r="E505" s="21"/>
      <c r="F505" s="121" t="str">
        <f ca="1">IFERROR(__xludf.DUMMYFUNCTION("""COMPUTED_VALUE"""),"No ha consignado platica")</f>
        <v>No ha consignado platica</v>
      </c>
      <c r="G505" s="21"/>
      <c r="H505" s="21"/>
    </row>
    <row r="506" spans="1:8" x14ac:dyDescent="0.2">
      <c r="A506" s="21">
        <f t="shared" si="1"/>
        <v>0</v>
      </c>
      <c r="B506" s="122" t="str">
        <f ca="1">IFERROR(__xludf.DUMMYFUNCTION("""COMPUTED_VALUE"""),"031204133")</f>
        <v>031204133</v>
      </c>
      <c r="C506" s="121">
        <f ca="1">IFERROR(__xludf.DUMMYFUNCTION("""COMPUTED_VALUE"""),450000)</f>
        <v>450000</v>
      </c>
      <c r="D506" s="21" t="str">
        <f ca="1">IFERROR(__xludf.DUMMYFUNCTION("""COMPUTED_VALUE"""),"Yesica Mazo")</f>
        <v>Yesica Mazo</v>
      </c>
      <c r="E506" s="125">
        <f ca="1">IFERROR(__xludf.DUMMYFUNCTION("""COMPUTED_VALUE"""),45241)</f>
        <v>45241</v>
      </c>
      <c r="F506" s="121" t="str">
        <f ca="1">IFERROR(__xludf.DUMMYFUNCTION("""COMPUTED_VALUE"""),"No ha consignado platica")</f>
        <v>No ha consignado platica</v>
      </c>
      <c r="G506" s="124" t="str">
        <f ca="1">IFERROR(__xludf.DUMMYFUNCTION("""COMPUTED_VALUE"""),"N/A")</f>
        <v>N/A</v>
      </c>
      <c r="H506" s="21"/>
    </row>
    <row r="507" spans="1:8" x14ac:dyDescent="0.2">
      <c r="A507" s="21">
        <f t="shared" si="1"/>
        <v>0</v>
      </c>
      <c r="B507" s="122" t="str">
        <f ca="1">IFERROR(__xludf.DUMMYFUNCTION("""COMPUTED_VALUE"""),"011204003")</f>
        <v>011204003</v>
      </c>
      <c r="C507" s="121">
        <f ca="1">IFERROR(__xludf.DUMMYFUNCTION("""COMPUTED_VALUE"""),330000)</f>
        <v>330000</v>
      </c>
      <c r="D507" s="21" t="str">
        <f ca="1">IFERROR(__xludf.DUMMYFUNCTION("""COMPUTED_VALUE"""),"Yesica Mazo")</f>
        <v>Yesica Mazo</v>
      </c>
      <c r="E507" s="125">
        <f ca="1">IFERROR(__xludf.DUMMYFUNCTION("""COMPUTED_VALUE"""),45240)</f>
        <v>45240</v>
      </c>
      <c r="F507" s="121" t="str">
        <f ca="1">IFERROR(__xludf.DUMMYFUNCTION("""COMPUTED_VALUE"""),"No ha consignado platica")</f>
        <v>No ha consignado platica</v>
      </c>
      <c r="G507" s="124" t="str">
        <f ca="1">IFERROR(__xludf.DUMMYFUNCTION("""COMPUTED_VALUE"""),"N/A")</f>
        <v>N/A</v>
      </c>
      <c r="H507" s="21"/>
    </row>
    <row r="508" spans="1:8" x14ac:dyDescent="0.2">
      <c r="A508" s="21">
        <f t="shared" si="1"/>
        <v>0</v>
      </c>
      <c r="B508" s="122" t="str">
        <f ca="1">IFERROR(__xludf.DUMMYFUNCTION("""COMPUTED_VALUE"""),"021204004")</f>
        <v>021204004</v>
      </c>
      <c r="C508" s="121">
        <f ca="1">IFERROR(__xludf.DUMMYFUNCTION("""COMPUTED_VALUE"""),240000)</f>
        <v>240000</v>
      </c>
      <c r="D508" s="21" t="str">
        <f ca="1">IFERROR(__xludf.DUMMYFUNCTION("""COMPUTED_VALUE"""),"Yesica Mazo")</f>
        <v>Yesica Mazo</v>
      </c>
      <c r="E508" s="125">
        <f ca="1">IFERROR(__xludf.DUMMYFUNCTION("""COMPUTED_VALUE"""),45241)</f>
        <v>45241</v>
      </c>
      <c r="F508" s="121" t="str">
        <f ca="1">IFERROR(__xludf.DUMMYFUNCTION("""COMPUTED_VALUE"""),"No ha consignado platica")</f>
        <v>No ha consignado platica</v>
      </c>
      <c r="G508" s="124" t="str">
        <f ca="1">IFERROR(__xludf.DUMMYFUNCTION("""COMPUTED_VALUE"""),"N/A")</f>
        <v>N/A</v>
      </c>
      <c r="H508" s="21"/>
    </row>
    <row r="509" spans="1:8" x14ac:dyDescent="0.2">
      <c r="A509" s="21">
        <f t="shared" si="1"/>
        <v>0</v>
      </c>
      <c r="B509" s="122" t="str">
        <f ca="1">IFERROR(__xludf.DUMMYFUNCTION("""COMPUTED_VALUE"""),"031201092")</f>
        <v>031201092</v>
      </c>
      <c r="C509" s="121">
        <f ca="1">IFERROR(__xludf.DUMMYFUNCTION("""COMPUTED_VALUE"""),450000)</f>
        <v>450000</v>
      </c>
      <c r="D509" s="21" t="str">
        <f ca="1">IFERROR(__xludf.DUMMYFUNCTION("""COMPUTED_VALUE"""),"Yesica Mazo")</f>
        <v>Yesica Mazo</v>
      </c>
      <c r="E509" s="125">
        <f ca="1">IFERROR(__xludf.DUMMYFUNCTION("""COMPUTED_VALUE"""),45276)</f>
        <v>45276</v>
      </c>
      <c r="F509" s="121">
        <f ca="1">IFERROR(__xludf.DUMMYFUNCTION("""COMPUTED_VALUE"""),100000)</f>
        <v>100000</v>
      </c>
      <c r="G509" s="124">
        <f ca="1">IFERROR(__xludf.DUMMYFUNCTION("""COMPUTED_VALUE"""),0.222222222222222)</f>
        <v>0.22222222222222199</v>
      </c>
      <c r="H509" s="21"/>
    </row>
    <row r="510" spans="1:8" x14ac:dyDescent="0.2">
      <c r="A510" s="21">
        <f t="shared" si="1"/>
        <v>0</v>
      </c>
      <c r="B510" s="122" t="str">
        <f ca="1">IFERROR(__xludf.DUMMYFUNCTION("""COMPUTED_VALUE"""),"031204134")</f>
        <v>031204134</v>
      </c>
      <c r="C510" s="121">
        <f ca="1">IFERROR(__xludf.DUMMYFUNCTION("""COMPUTED_VALUE"""),450000)</f>
        <v>450000</v>
      </c>
      <c r="D510" s="21" t="str">
        <f ca="1">IFERROR(__xludf.DUMMYFUNCTION("""COMPUTED_VALUE"""),"Yesica Mazo")</f>
        <v>Yesica Mazo</v>
      </c>
      <c r="E510" s="123">
        <f ca="1">IFERROR(__xludf.DUMMYFUNCTION("""COMPUTED_VALUE"""),45367)</f>
        <v>45367</v>
      </c>
      <c r="F510" s="121" t="str">
        <f ca="1">IFERROR(__xludf.DUMMYFUNCTION("""COMPUTED_VALUE"""),"No ha consignado platica")</f>
        <v>No ha consignado platica</v>
      </c>
      <c r="G510" s="124" t="str">
        <f ca="1">IFERROR(__xludf.DUMMYFUNCTION("""COMPUTED_VALUE"""),"N/A")</f>
        <v>N/A</v>
      </c>
      <c r="H510" s="21"/>
    </row>
    <row r="511" spans="1:8" x14ac:dyDescent="0.2">
      <c r="A511" s="21">
        <f t="shared" ref="A511:A703" si="2">H511</f>
        <v>0</v>
      </c>
      <c r="B511" s="122" t="str">
        <f ca="1">IFERROR(__xludf.DUMMYFUNCTION("""COMPUTED_VALUE"""),"031204135")</f>
        <v>031204135</v>
      </c>
      <c r="C511" s="121">
        <f ca="1">IFERROR(__xludf.DUMMYFUNCTION("""COMPUTED_VALUE"""),450000)</f>
        <v>450000</v>
      </c>
      <c r="D511" s="21" t="str">
        <f ca="1">IFERROR(__xludf.DUMMYFUNCTION("""COMPUTED_VALUE"""),"Yesica Mazo")</f>
        <v>Yesica Mazo</v>
      </c>
      <c r="E511" s="125">
        <f ca="1">IFERROR(__xludf.DUMMYFUNCTION("""COMPUTED_VALUE"""),45367)</f>
        <v>45367</v>
      </c>
      <c r="F511" s="121" t="str">
        <f ca="1">IFERROR(__xludf.DUMMYFUNCTION("""COMPUTED_VALUE"""),"No ha consignado platica")</f>
        <v>No ha consignado platica</v>
      </c>
      <c r="G511" s="124" t="str">
        <f ca="1">IFERROR(__xludf.DUMMYFUNCTION("""COMPUTED_VALUE"""),"N/A")</f>
        <v>N/A</v>
      </c>
      <c r="H511" s="21"/>
    </row>
    <row r="512" spans="1:8" x14ac:dyDescent="0.2">
      <c r="A512" s="21">
        <f t="shared" si="2"/>
        <v>0</v>
      </c>
      <c r="B512" s="21" t="str">
        <f ca="1">IFERROR(__xludf.DUMMYFUNCTION("""COMPUTED_VALUE"""),"021204005")</f>
        <v>021204005</v>
      </c>
      <c r="C512" s="121">
        <f ca="1">IFERROR(__xludf.DUMMYFUNCTION("""COMPUTED_VALUE"""),240000)</f>
        <v>240000</v>
      </c>
      <c r="D512" s="21" t="str">
        <f ca="1">IFERROR(__xludf.DUMMYFUNCTION("""COMPUTED_VALUE"""),"Yesica Mazo")</f>
        <v>Yesica Mazo</v>
      </c>
      <c r="E512" s="123">
        <f ca="1">IFERROR(__xludf.DUMMYFUNCTION("""COMPUTED_VALUE"""),45367)</f>
        <v>45367</v>
      </c>
      <c r="F512" s="121" t="str">
        <f ca="1">IFERROR(__xludf.DUMMYFUNCTION("""COMPUTED_VALUE"""),"No ha consignado platica")</f>
        <v>No ha consignado platica</v>
      </c>
      <c r="G512" s="124" t="str">
        <f ca="1">IFERROR(__xludf.DUMMYFUNCTION("""COMPUTED_VALUE"""),"N/A")</f>
        <v>N/A</v>
      </c>
      <c r="H512" s="21"/>
    </row>
    <row r="513" spans="1:8" x14ac:dyDescent="0.2">
      <c r="A513" s="21">
        <f t="shared" si="2"/>
        <v>0</v>
      </c>
      <c r="B513" s="122" t="str">
        <f ca="1">IFERROR(__xludf.DUMMYFUNCTION("""COMPUTED_VALUE"""),"031207093")</f>
        <v>031207093</v>
      </c>
      <c r="C513" s="121">
        <f ca="1">IFERROR(__xludf.DUMMYFUNCTION("""COMPUTED_VALUE"""),450000)</f>
        <v>450000</v>
      </c>
      <c r="D513" s="21" t="str">
        <f ca="1">IFERROR(__xludf.DUMMYFUNCTION("""COMPUTED_VALUE"""),"Yesica Mazo")</f>
        <v>Yesica Mazo</v>
      </c>
      <c r="E513" s="123">
        <f ca="1">IFERROR(__xludf.DUMMYFUNCTION("""COMPUTED_VALUE"""),45430)</f>
        <v>45430</v>
      </c>
      <c r="F513" s="121">
        <f ca="1">IFERROR(__xludf.DUMMYFUNCTION("""COMPUTED_VALUE"""),450000)</f>
        <v>450000</v>
      </c>
      <c r="G513" s="124">
        <f ca="1">IFERROR(__xludf.DUMMYFUNCTION("""COMPUTED_VALUE"""),1)</f>
        <v>1</v>
      </c>
      <c r="H513" s="21"/>
    </row>
    <row r="514" spans="1:8" x14ac:dyDescent="0.2">
      <c r="A514" s="21">
        <f t="shared" si="2"/>
        <v>0</v>
      </c>
      <c r="B514" s="21" t="str">
        <f ca="1">IFERROR(__xludf.DUMMYFUNCTION("""COMPUTED_VALUE"""),"011105001")</f>
        <v>011105001</v>
      </c>
      <c r="C514" s="121">
        <f ca="1">IFERROR(__xludf.DUMMYFUNCTION("""COMPUTED_VALUE"""),330000)</f>
        <v>330000</v>
      </c>
      <c r="D514" s="21" t="str">
        <f ca="1">IFERROR(__xludf.DUMMYFUNCTION("""COMPUTED_VALUE"""),"Yesica Mazo")</f>
        <v>Yesica Mazo</v>
      </c>
      <c r="E514" s="123">
        <f ca="1">IFERROR(__xludf.DUMMYFUNCTION("""COMPUTED_VALUE"""),45486)</f>
        <v>45486</v>
      </c>
      <c r="F514" s="121" t="str">
        <f ca="1">IFERROR(__xludf.DUMMYFUNCTION("""COMPUTED_VALUE"""),"No ha consignado platica")</f>
        <v>No ha consignado platica</v>
      </c>
      <c r="G514" s="124" t="str">
        <f ca="1">IFERROR(__xludf.DUMMYFUNCTION("""COMPUTED_VALUE"""),"N/A")</f>
        <v>N/A</v>
      </c>
      <c r="H514" s="21"/>
    </row>
    <row r="515" spans="1:8" x14ac:dyDescent="0.2">
      <c r="A515" s="21">
        <f t="shared" si="2"/>
        <v>0</v>
      </c>
      <c r="B515" s="122" t="str">
        <f ca="1">IFERROR(__xludf.DUMMYFUNCTION("""COMPUTED_VALUE"""),"031204136")</f>
        <v>031204136</v>
      </c>
      <c r="C515" s="121">
        <f ca="1">IFERROR(__xludf.DUMMYFUNCTION("""COMPUTED_VALUE"""),450000)</f>
        <v>450000</v>
      </c>
      <c r="D515" s="21" t="str">
        <f ca="1">IFERROR(__xludf.DUMMYFUNCTION("""COMPUTED_VALUE"""),"Yesica Mazo")</f>
        <v>Yesica Mazo</v>
      </c>
      <c r="E515" s="123">
        <f ca="1">IFERROR(__xludf.DUMMYFUNCTION("""COMPUTED_VALUE"""),45486)</f>
        <v>45486</v>
      </c>
      <c r="F515" s="121" t="str">
        <f ca="1">IFERROR(__xludf.DUMMYFUNCTION("""COMPUTED_VALUE"""),"No ha consignado platica")</f>
        <v>No ha consignado platica</v>
      </c>
      <c r="G515" s="124" t="str">
        <f ca="1">IFERROR(__xludf.DUMMYFUNCTION("""COMPUTED_VALUE"""),"N/A")</f>
        <v>N/A</v>
      </c>
      <c r="H515" s="21"/>
    </row>
    <row r="516" spans="1:8" x14ac:dyDescent="0.2">
      <c r="A516" s="21">
        <f t="shared" si="2"/>
        <v>0</v>
      </c>
      <c r="B516" s="122" t="str">
        <f ca="1">IFERROR(__xludf.DUMMYFUNCTION("""COMPUTED_VALUE"""),"031204137")</f>
        <v>031204137</v>
      </c>
      <c r="C516" s="121">
        <f ca="1">IFERROR(__xludf.DUMMYFUNCTION("""COMPUTED_VALUE"""),450000)</f>
        <v>450000</v>
      </c>
      <c r="D516" s="21" t="str">
        <f ca="1">IFERROR(__xludf.DUMMYFUNCTION("""COMPUTED_VALUE"""),"Yesica Mazo")</f>
        <v>Yesica Mazo</v>
      </c>
      <c r="E516" s="123">
        <f ca="1">IFERROR(__xludf.DUMMYFUNCTION("""COMPUTED_VALUE"""),45514)</f>
        <v>45514</v>
      </c>
      <c r="F516" s="121" t="str">
        <f ca="1">IFERROR(__xludf.DUMMYFUNCTION("""COMPUTED_VALUE"""),"No ha consignado platica")</f>
        <v>No ha consignado platica</v>
      </c>
      <c r="G516" s="124" t="str">
        <f ca="1">IFERROR(__xludf.DUMMYFUNCTION("""COMPUTED_VALUE"""),"N/A")</f>
        <v>N/A</v>
      </c>
      <c r="H516" s="21"/>
    </row>
    <row r="517" spans="1:8" x14ac:dyDescent="0.2">
      <c r="A517" s="21">
        <f t="shared" si="2"/>
        <v>0</v>
      </c>
      <c r="B517" s="21" t="str">
        <f ca="1">IFERROR(__xludf.DUMMYFUNCTION("""COMPUTED_VALUE"""),"041204001")</f>
        <v>041204001</v>
      </c>
      <c r="C517" s="121">
        <f ca="1">IFERROR(__xludf.DUMMYFUNCTION("""COMPUTED_VALUE"""),705000)</f>
        <v>705000</v>
      </c>
      <c r="D517" s="21" t="str">
        <f ca="1">IFERROR(__xludf.DUMMYFUNCTION("""COMPUTED_VALUE"""),"Yesica Mazo")</f>
        <v>Yesica Mazo</v>
      </c>
      <c r="E517" s="123">
        <f ca="1">IFERROR(__xludf.DUMMYFUNCTION("""COMPUTED_VALUE"""),45514)</f>
        <v>45514</v>
      </c>
      <c r="F517" s="121" t="str">
        <f ca="1">IFERROR(__xludf.DUMMYFUNCTION("""COMPUTED_VALUE"""),"No ha consignado platica")</f>
        <v>No ha consignado platica</v>
      </c>
      <c r="G517" s="124" t="str">
        <f ca="1">IFERROR(__xludf.DUMMYFUNCTION("""COMPUTED_VALUE"""),"N/A")</f>
        <v>N/A</v>
      </c>
      <c r="H517" s="21"/>
    </row>
    <row r="518" spans="1:8" x14ac:dyDescent="0.2">
      <c r="A518" s="21">
        <f t="shared" si="2"/>
        <v>0</v>
      </c>
      <c r="B518" s="21" t="str">
        <f ca="1">IFERROR(__xludf.DUMMYFUNCTION("""COMPUTED_VALUE"""),"036133001")</f>
        <v>036133001</v>
      </c>
      <c r="C518" s="121">
        <f ca="1">IFERROR(__xludf.DUMMYFUNCTION("""COMPUTED_VALUE"""),150000)</f>
        <v>150000</v>
      </c>
      <c r="D518" s="21" t="str">
        <f ca="1">IFERROR(__xludf.DUMMYFUNCTION("""COMPUTED_VALUE"""),"Nasser Eslaquit")</f>
        <v>Nasser Eslaquit</v>
      </c>
      <c r="E518" s="123">
        <f ca="1">IFERROR(__xludf.DUMMYFUNCTION("""COMPUTED_VALUE"""),45499)</f>
        <v>45499</v>
      </c>
      <c r="F518" s="121" t="str">
        <f ca="1">IFERROR(__xludf.DUMMYFUNCTION("""COMPUTED_VALUE"""),"No ha consignado platica")</f>
        <v>No ha consignado platica</v>
      </c>
      <c r="G518" s="124" t="str">
        <f ca="1">IFERROR(__xludf.DUMMYFUNCTION("""COMPUTED_VALUE"""),"N/A")</f>
        <v>N/A</v>
      </c>
      <c r="H518" s="21"/>
    </row>
    <row r="519" spans="1:8" x14ac:dyDescent="0.2">
      <c r="A519" s="21">
        <f t="shared" si="2"/>
        <v>0</v>
      </c>
      <c r="B519" s="21" t="str">
        <f ca="1">IFERROR(__xludf.DUMMYFUNCTION("""COMPUTED_VALUE"""),"036133002")</f>
        <v>036133002</v>
      </c>
      <c r="C519" s="121">
        <f ca="1">IFERROR(__xludf.DUMMYFUNCTION("""COMPUTED_VALUE"""),150000)</f>
        <v>150000</v>
      </c>
      <c r="D519" s="21" t="str">
        <f ca="1">IFERROR(__xludf.DUMMYFUNCTION("""COMPUTED_VALUE"""),"Nasser Eslaquit")</f>
        <v>Nasser Eslaquit</v>
      </c>
      <c r="E519" s="123">
        <f ca="1">IFERROR(__xludf.DUMMYFUNCTION("""COMPUTED_VALUE"""),45499)</f>
        <v>45499</v>
      </c>
      <c r="F519" s="121" t="str">
        <f ca="1">IFERROR(__xludf.DUMMYFUNCTION("""COMPUTED_VALUE"""),"No ha consignado platica")</f>
        <v>No ha consignado platica</v>
      </c>
      <c r="G519" s="124" t="str">
        <f ca="1">IFERROR(__xludf.DUMMYFUNCTION("""COMPUTED_VALUE"""),"N/A")</f>
        <v>N/A</v>
      </c>
      <c r="H519" s="21"/>
    </row>
    <row r="520" spans="1:8" x14ac:dyDescent="0.2">
      <c r="A520" s="21">
        <f t="shared" si="2"/>
        <v>0</v>
      </c>
      <c r="B520" s="21" t="str">
        <f ca="1">IFERROR(__xludf.DUMMYFUNCTION("""COMPUTED_VALUE"""),"036133003")</f>
        <v>036133003</v>
      </c>
      <c r="C520" s="121">
        <f ca="1">IFERROR(__xludf.DUMMYFUNCTION("""COMPUTED_VALUE"""),150000)</f>
        <v>150000</v>
      </c>
      <c r="D520" s="21" t="str">
        <f ca="1">IFERROR(__xludf.DUMMYFUNCTION("""COMPUTED_VALUE"""),"Nasser Eslaquit")</f>
        <v>Nasser Eslaquit</v>
      </c>
      <c r="E520" s="123">
        <f ca="1">IFERROR(__xludf.DUMMYFUNCTION("""COMPUTED_VALUE"""),45499)</f>
        <v>45499</v>
      </c>
      <c r="F520" s="121" t="str">
        <f ca="1">IFERROR(__xludf.DUMMYFUNCTION("""COMPUTED_VALUE"""),"No ha consignado platica")</f>
        <v>No ha consignado platica</v>
      </c>
      <c r="G520" s="124" t="str">
        <f ca="1">IFERROR(__xludf.DUMMYFUNCTION("""COMPUTED_VALUE"""),"N/A")</f>
        <v>N/A</v>
      </c>
      <c r="H520" s="21"/>
    </row>
    <row r="521" spans="1:8" x14ac:dyDescent="0.2">
      <c r="A521" s="21">
        <f t="shared" si="2"/>
        <v>0</v>
      </c>
      <c r="B521" s="21" t="str">
        <f ca="1">IFERROR(__xludf.DUMMYFUNCTION("""COMPUTED_VALUE"""),"034101003")</f>
        <v>034101003</v>
      </c>
      <c r="C521" s="121">
        <f ca="1">IFERROR(__xludf.DUMMYFUNCTION("""COMPUTED_VALUE"""),450000)</f>
        <v>450000</v>
      </c>
      <c r="D521" s="21" t="str">
        <f ca="1">IFERROR(__xludf.DUMMYFUNCTION("""COMPUTED_VALUE"""),"Emel Rodríguez")</f>
        <v>Emel Rodríguez</v>
      </c>
      <c r="E521" s="123">
        <f ca="1">IFERROR(__xludf.DUMMYFUNCTION("""COMPUTED_VALUE"""),45500)</f>
        <v>45500</v>
      </c>
      <c r="F521" s="121" t="str">
        <f ca="1">IFERROR(__xludf.DUMMYFUNCTION("""COMPUTED_VALUE"""),"No ha consignado platica")</f>
        <v>No ha consignado platica</v>
      </c>
      <c r="G521" s="124" t="str">
        <f ca="1">IFERROR(__xludf.DUMMYFUNCTION("""COMPUTED_VALUE"""),"N/A")</f>
        <v>N/A</v>
      </c>
      <c r="H521" s="21"/>
    </row>
    <row r="522" spans="1:8" x14ac:dyDescent="0.2">
      <c r="A522" s="21">
        <f t="shared" si="2"/>
        <v>0</v>
      </c>
      <c r="B522" s="21" t="str">
        <f ca="1">IFERROR(__xludf.DUMMYFUNCTION("""COMPUTED_VALUE"""),"039144005")</f>
        <v>039144005</v>
      </c>
      <c r="C522" s="121">
        <f ca="1">IFERROR(__xludf.DUMMYFUNCTION("""COMPUTED_VALUE"""),450000)</f>
        <v>450000</v>
      </c>
      <c r="D522" s="21" t="str">
        <f ca="1">IFERROR(__xludf.DUMMYFUNCTION("""COMPUTED_VALUE"""),"Nasser Eslaquit")</f>
        <v>Nasser Eslaquit</v>
      </c>
      <c r="E522" s="123">
        <f ca="1">IFERROR(__xludf.DUMMYFUNCTION("""COMPUTED_VALUE"""),45528)</f>
        <v>45528</v>
      </c>
      <c r="F522" s="121" t="str">
        <f ca="1">IFERROR(__xludf.DUMMYFUNCTION("""COMPUTED_VALUE"""),"No ha consignado platica")</f>
        <v>No ha consignado platica</v>
      </c>
      <c r="G522" s="124" t="str">
        <f ca="1">IFERROR(__xludf.DUMMYFUNCTION("""COMPUTED_VALUE"""),"N/A")</f>
        <v>N/A</v>
      </c>
      <c r="H522" s="21"/>
    </row>
    <row r="523" spans="1:8" x14ac:dyDescent="0.2">
      <c r="A523" s="21">
        <f t="shared" si="2"/>
        <v>0</v>
      </c>
      <c r="B523" s="21" t="str">
        <f ca="1">IFERROR(__xludf.DUMMYFUNCTION("""COMPUTED_VALUE"""),"049144004")</f>
        <v>049144004</v>
      </c>
      <c r="C523" s="121">
        <f ca="1">IFERROR(__xludf.DUMMYFUNCTION("""COMPUTED_VALUE"""),705000)</f>
        <v>705000</v>
      </c>
      <c r="D523" s="21" t="str">
        <f ca="1">IFERROR(__xludf.DUMMYFUNCTION("""COMPUTED_VALUE"""),"Nasser Eslaquit")</f>
        <v>Nasser Eslaquit</v>
      </c>
      <c r="E523" s="123">
        <f ca="1">IFERROR(__xludf.DUMMYFUNCTION("""COMPUTED_VALUE"""),45528)</f>
        <v>45528</v>
      </c>
      <c r="F523" s="121" t="str">
        <f ca="1">IFERROR(__xludf.DUMMYFUNCTION("""COMPUTED_VALUE"""),"No ha consignado platica")</f>
        <v>No ha consignado platica</v>
      </c>
      <c r="G523" s="124" t="str">
        <f ca="1">IFERROR(__xludf.DUMMYFUNCTION("""COMPUTED_VALUE"""),"N/A")</f>
        <v>N/A</v>
      </c>
      <c r="H523" s="21"/>
    </row>
    <row r="524" spans="1:8" x14ac:dyDescent="0.2">
      <c r="A524" s="21">
        <f t="shared" si="2"/>
        <v>0</v>
      </c>
      <c r="B524" s="21" t="str">
        <f ca="1">IFERROR(__xludf.DUMMYFUNCTION("""COMPUTED_VALUE"""),"029144003")</f>
        <v>029144003</v>
      </c>
      <c r="C524" s="121">
        <f ca="1">IFERROR(__xludf.DUMMYFUNCTION("""COMPUTED_VALUE"""),240000)</f>
        <v>240000</v>
      </c>
      <c r="D524" s="21" t="str">
        <f ca="1">IFERROR(__xludf.DUMMYFUNCTION("""COMPUTED_VALUE"""),"Nasser Eslaquit")</f>
        <v>Nasser Eslaquit</v>
      </c>
      <c r="E524" s="123">
        <f ca="1">IFERROR(__xludf.DUMMYFUNCTION("""COMPUTED_VALUE"""),45528)</f>
        <v>45528</v>
      </c>
      <c r="F524" s="121" t="str">
        <f ca="1">IFERROR(__xludf.DUMMYFUNCTION("""COMPUTED_VALUE"""),"No ha consignado platica")</f>
        <v>No ha consignado platica</v>
      </c>
      <c r="G524" s="124" t="str">
        <f ca="1">IFERROR(__xludf.DUMMYFUNCTION("""COMPUTED_VALUE"""),"N/A")</f>
        <v>N/A</v>
      </c>
      <c r="H524" s="21"/>
    </row>
    <row r="525" spans="1:8" x14ac:dyDescent="0.2">
      <c r="A525" s="21">
        <f t="shared" si="2"/>
        <v>0</v>
      </c>
      <c r="B525" s="21" t="str">
        <f ca="1">IFERROR(__xludf.DUMMYFUNCTION("""COMPUTED_VALUE"""),"029144004")</f>
        <v>029144004</v>
      </c>
      <c r="C525" s="121">
        <f ca="1">IFERROR(__xludf.DUMMYFUNCTION("""COMPUTED_VALUE"""),240000)</f>
        <v>240000</v>
      </c>
      <c r="D525" s="21" t="str">
        <f ca="1">IFERROR(__xludf.DUMMYFUNCTION("""COMPUTED_VALUE"""),"Nasser Eslaquit")</f>
        <v>Nasser Eslaquit</v>
      </c>
      <c r="E525" s="123">
        <f ca="1">IFERROR(__xludf.DUMMYFUNCTION("""COMPUTED_VALUE"""),45528)</f>
        <v>45528</v>
      </c>
      <c r="F525" s="121" t="str">
        <f ca="1">IFERROR(__xludf.DUMMYFUNCTION("""COMPUTED_VALUE"""),"No ha consignado platica")</f>
        <v>No ha consignado platica</v>
      </c>
      <c r="G525" s="124" t="str">
        <f ca="1">IFERROR(__xludf.DUMMYFUNCTION("""COMPUTED_VALUE"""),"N/A")</f>
        <v>N/A</v>
      </c>
      <c r="H525" s="21"/>
    </row>
    <row r="526" spans="1:8" x14ac:dyDescent="0.2">
      <c r="A526" s="21">
        <f t="shared" si="2"/>
        <v>0</v>
      </c>
      <c r="B526" s="21" t="str">
        <f ca="1">IFERROR(__xludf.DUMMYFUNCTION("""COMPUTED_VALUE"""),"019144001")</f>
        <v>019144001</v>
      </c>
      <c r="C526" s="121">
        <f ca="1">IFERROR(__xludf.DUMMYFUNCTION("""COMPUTED_VALUE"""),330000)</f>
        <v>330000</v>
      </c>
      <c r="D526" s="21" t="str">
        <f ca="1">IFERROR(__xludf.DUMMYFUNCTION("""COMPUTED_VALUE"""),"Nasser Eslaquit")</f>
        <v>Nasser Eslaquit</v>
      </c>
      <c r="E526" s="123">
        <f ca="1">IFERROR(__xludf.DUMMYFUNCTION("""COMPUTED_VALUE"""),45528)</f>
        <v>45528</v>
      </c>
      <c r="F526" s="121" t="str">
        <f ca="1">IFERROR(__xludf.DUMMYFUNCTION("""COMPUTED_VALUE"""),"No ha consignado platica")</f>
        <v>No ha consignado platica</v>
      </c>
      <c r="G526" s="124" t="str">
        <f ca="1">IFERROR(__xludf.DUMMYFUNCTION("""COMPUTED_VALUE"""),"N/A")</f>
        <v>N/A</v>
      </c>
      <c r="H526" s="21"/>
    </row>
    <row r="527" spans="1:8" x14ac:dyDescent="0.2">
      <c r="A527" s="21">
        <f t="shared" si="2"/>
        <v>0</v>
      </c>
      <c r="B527" s="21" t="str">
        <f ca="1">IFERROR(__xludf.DUMMYFUNCTION("""COMPUTED_VALUE"""),"0293010011")</f>
        <v>0293010011</v>
      </c>
      <c r="C527" s="121">
        <f ca="1">IFERROR(__xludf.DUMMYFUNCTION("""COMPUTED_VALUE"""),240000)</f>
        <v>240000</v>
      </c>
      <c r="D527" s="21" t="str">
        <f ca="1">IFERROR(__xludf.DUMMYFUNCTION("""COMPUTED_VALUE"""),"Nasser Eslaquit")</f>
        <v>Nasser Eslaquit</v>
      </c>
      <c r="E527" s="123">
        <f ca="1">IFERROR(__xludf.DUMMYFUNCTION("""COMPUTED_VALUE"""),45562)</f>
        <v>45562</v>
      </c>
      <c r="F527" s="121" t="str">
        <f ca="1">IFERROR(__xludf.DUMMYFUNCTION("""COMPUTED_VALUE"""),"No ha consignado platica")</f>
        <v>No ha consignado platica</v>
      </c>
      <c r="G527" s="124" t="str">
        <f ca="1">IFERROR(__xludf.DUMMYFUNCTION("""COMPUTED_VALUE"""),"N/A")</f>
        <v>N/A</v>
      </c>
      <c r="H527" s="21"/>
    </row>
    <row r="528" spans="1:8" x14ac:dyDescent="0.2">
      <c r="A528" s="21">
        <f t="shared" si="2"/>
        <v>0</v>
      </c>
      <c r="B528" s="21" t="str">
        <f ca="1">IFERROR(__xludf.DUMMYFUNCTION("""COMPUTED_VALUE"""),"0293010012")</f>
        <v>0293010012</v>
      </c>
      <c r="C528" s="121">
        <f ca="1">IFERROR(__xludf.DUMMYFUNCTION("""COMPUTED_VALUE"""),240000)</f>
        <v>240000</v>
      </c>
      <c r="D528" s="21" t="str">
        <f ca="1">IFERROR(__xludf.DUMMYFUNCTION("""COMPUTED_VALUE"""),"Nasser Eslaquit")</f>
        <v>Nasser Eslaquit</v>
      </c>
      <c r="E528" s="123">
        <f ca="1">IFERROR(__xludf.DUMMYFUNCTION("""COMPUTED_VALUE"""),45562)</f>
        <v>45562</v>
      </c>
      <c r="F528" s="121" t="str">
        <f ca="1">IFERROR(__xludf.DUMMYFUNCTION("""COMPUTED_VALUE"""),"No ha consignado platica")</f>
        <v>No ha consignado platica</v>
      </c>
      <c r="G528" s="124" t="str">
        <f ca="1">IFERROR(__xludf.DUMMYFUNCTION("""COMPUTED_VALUE"""),"N/A")</f>
        <v>N/A</v>
      </c>
      <c r="H528" s="21"/>
    </row>
    <row r="529" spans="1:8" x14ac:dyDescent="0.2">
      <c r="A529" s="21">
        <f t="shared" si="2"/>
        <v>0</v>
      </c>
      <c r="B529" s="21" t="str">
        <f ca="1">IFERROR(__xludf.DUMMYFUNCTION("""COMPUTED_VALUE"""),"0293010013")</f>
        <v>0293010013</v>
      </c>
      <c r="C529" s="121">
        <f ca="1">IFERROR(__xludf.DUMMYFUNCTION("""COMPUTED_VALUE"""),240000)</f>
        <v>240000</v>
      </c>
      <c r="D529" s="21" t="str">
        <f ca="1">IFERROR(__xludf.DUMMYFUNCTION("""COMPUTED_VALUE"""),"Nasser Eslaquit")</f>
        <v>Nasser Eslaquit</v>
      </c>
      <c r="E529" s="123">
        <f ca="1">IFERROR(__xludf.DUMMYFUNCTION("""COMPUTED_VALUE"""),45562)</f>
        <v>45562</v>
      </c>
      <c r="F529" s="121" t="str">
        <f ca="1">IFERROR(__xludf.DUMMYFUNCTION("""COMPUTED_VALUE"""),"No ha consignado platica")</f>
        <v>No ha consignado platica</v>
      </c>
      <c r="G529" s="124" t="str">
        <f ca="1">IFERROR(__xludf.DUMMYFUNCTION("""COMPUTED_VALUE"""),"N/A")</f>
        <v>N/A</v>
      </c>
      <c r="H529" s="21"/>
    </row>
    <row r="530" spans="1:8" x14ac:dyDescent="0.2">
      <c r="A530" s="21">
        <f t="shared" si="2"/>
        <v>0</v>
      </c>
      <c r="B530" s="21" t="str">
        <f ca="1">IFERROR(__xludf.DUMMYFUNCTION("""COMPUTED_VALUE"""),"0293010014")</f>
        <v>0293010014</v>
      </c>
      <c r="C530" s="121">
        <f ca="1">IFERROR(__xludf.DUMMYFUNCTION("""COMPUTED_VALUE"""),240000)</f>
        <v>240000</v>
      </c>
      <c r="D530" s="21" t="str">
        <f ca="1">IFERROR(__xludf.DUMMYFUNCTION("""COMPUTED_VALUE"""),"Nasser Eslaquit")</f>
        <v>Nasser Eslaquit</v>
      </c>
      <c r="E530" s="123">
        <f ca="1">IFERROR(__xludf.DUMMYFUNCTION("""COMPUTED_VALUE"""),45562)</f>
        <v>45562</v>
      </c>
      <c r="F530" s="121" t="str">
        <f ca="1">IFERROR(__xludf.DUMMYFUNCTION("""COMPUTED_VALUE"""),"No ha consignado platica")</f>
        <v>No ha consignado platica</v>
      </c>
      <c r="G530" s="124" t="str">
        <f ca="1">IFERROR(__xludf.DUMMYFUNCTION("""COMPUTED_VALUE"""),"N/A")</f>
        <v>N/A</v>
      </c>
      <c r="H530" s="21"/>
    </row>
    <row r="531" spans="1:8" x14ac:dyDescent="0.2">
      <c r="A531" s="21">
        <f t="shared" si="2"/>
        <v>0</v>
      </c>
      <c r="B531" s="21" t="str">
        <f ca="1">IFERROR(__xludf.DUMMYFUNCTION("""COMPUTED_VALUE"""),"0293010015")</f>
        <v>0293010015</v>
      </c>
      <c r="C531" s="121">
        <f ca="1">IFERROR(__xludf.DUMMYFUNCTION("""COMPUTED_VALUE"""),240000)</f>
        <v>240000</v>
      </c>
      <c r="D531" s="21" t="str">
        <f ca="1">IFERROR(__xludf.DUMMYFUNCTION("""COMPUTED_VALUE"""),"Nasser Eslaquit")</f>
        <v>Nasser Eslaquit</v>
      </c>
      <c r="E531" s="123">
        <f ca="1">IFERROR(__xludf.DUMMYFUNCTION("""COMPUTED_VALUE"""),45562)</f>
        <v>45562</v>
      </c>
      <c r="F531" s="121" t="str">
        <f ca="1">IFERROR(__xludf.DUMMYFUNCTION("""COMPUTED_VALUE"""),"No ha consignado platica")</f>
        <v>No ha consignado platica</v>
      </c>
      <c r="G531" s="124" t="str">
        <f ca="1">IFERROR(__xludf.DUMMYFUNCTION("""COMPUTED_VALUE"""),"N/A")</f>
        <v>N/A</v>
      </c>
      <c r="H531" s="21"/>
    </row>
    <row r="532" spans="1:8" x14ac:dyDescent="0.2">
      <c r="A532" s="21">
        <f t="shared" si="2"/>
        <v>0</v>
      </c>
      <c r="B532" s="21" t="str">
        <f ca="1">IFERROR(__xludf.DUMMYFUNCTION("""COMPUTED_VALUE"""),"0293010016")</f>
        <v>0293010016</v>
      </c>
      <c r="C532" s="121">
        <f ca="1">IFERROR(__xludf.DUMMYFUNCTION("""COMPUTED_VALUE"""),240000)</f>
        <v>240000</v>
      </c>
      <c r="D532" s="21" t="str">
        <f ca="1">IFERROR(__xludf.DUMMYFUNCTION("""COMPUTED_VALUE"""),"Nasser Eslaquit")</f>
        <v>Nasser Eslaquit</v>
      </c>
      <c r="E532" s="123">
        <f ca="1">IFERROR(__xludf.DUMMYFUNCTION("""COMPUTED_VALUE"""),45562)</f>
        <v>45562</v>
      </c>
      <c r="F532" s="121" t="str">
        <f ca="1">IFERROR(__xludf.DUMMYFUNCTION("""COMPUTED_VALUE"""),"No ha consignado platica")</f>
        <v>No ha consignado platica</v>
      </c>
      <c r="G532" s="124" t="str">
        <f ca="1">IFERROR(__xludf.DUMMYFUNCTION("""COMPUTED_VALUE"""),"N/A")</f>
        <v>N/A</v>
      </c>
      <c r="H532" s="21"/>
    </row>
    <row r="533" spans="1:8" x14ac:dyDescent="0.2">
      <c r="A533" s="21">
        <f t="shared" si="2"/>
        <v>0</v>
      </c>
      <c r="B533" s="21" t="str">
        <f ca="1">IFERROR(__xludf.DUMMYFUNCTION("""COMPUTED_VALUE"""),"0293010017")</f>
        <v>0293010017</v>
      </c>
      <c r="C533" s="121">
        <f ca="1">IFERROR(__xludf.DUMMYFUNCTION("""COMPUTED_VALUE"""),240000)</f>
        <v>240000</v>
      </c>
      <c r="D533" s="21" t="str">
        <f ca="1">IFERROR(__xludf.DUMMYFUNCTION("""COMPUTED_VALUE"""),"Nasser Eslaquit")</f>
        <v>Nasser Eslaquit</v>
      </c>
      <c r="E533" s="123">
        <f ca="1">IFERROR(__xludf.DUMMYFUNCTION("""COMPUTED_VALUE"""),45562)</f>
        <v>45562</v>
      </c>
      <c r="F533" s="121" t="str">
        <f ca="1">IFERROR(__xludf.DUMMYFUNCTION("""COMPUTED_VALUE"""),"No ha consignado platica")</f>
        <v>No ha consignado platica</v>
      </c>
      <c r="G533" s="124" t="str">
        <f ca="1">IFERROR(__xludf.DUMMYFUNCTION("""COMPUTED_VALUE"""),"N/A")</f>
        <v>N/A</v>
      </c>
      <c r="H533" s="21"/>
    </row>
    <row r="534" spans="1:8" x14ac:dyDescent="0.2">
      <c r="A534" s="21">
        <f t="shared" si="2"/>
        <v>0</v>
      </c>
      <c r="B534" s="21" t="str">
        <f ca="1">IFERROR(__xludf.DUMMYFUNCTION("""COMPUTED_VALUE"""),"049301001")</f>
        <v>049301001</v>
      </c>
      <c r="C534" s="121">
        <f ca="1">IFERROR(__xludf.DUMMYFUNCTION("""COMPUTED_VALUE"""),705000)</f>
        <v>705000</v>
      </c>
      <c r="D534" s="21" t="str">
        <f ca="1">IFERROR(__xludf.DUMMYFUNCTION("""COMPUTED_VALUE"""),"Nasser Eslaquit")</f>
        <v>Nasser Eslaquit</v>
      </c>
      <c r="E534" s="123">
        <f ca="1">IFERROR(__xludf.DUMMYFUNCTION("""COMPUTED_VALUE"""),45562)</f>
        <v>45562</v>
      </c>
      <c r="F534" s="121">
        <f ca="1">IFERROR(__xludf.DUMMYFUNCTION("""COMPUTED_VALUE"""),670000)</f>
        <v>670000</v>
      </c>
      <c r="G534" s="124">
        <f ca="1">IFERROR(__xludf.DUMMYFUNCTION("""COMPUTED_VALUE"""),0.950354609929078)</f>
        <v>0.95035460992907805</v>
      </c>
      <c r="H534" s="21"/>
    </row>
    <row r="535" spans="1:8" x14ac:dyDescent="0.2">
      <c r="A535" s="21">
        <f t="shared" si="2"/>
        <v>0</v>
      </c>
      <c r="B535" s="21" t="str">
        <f ca="1">IFERROR(__xludf.DUMMYFUNCTION("""COMPUTED_VALUE"""),"0393010011")</f>
        <v>0393010011</v>
      </c>
      <c r="C535" s="121">
        <f ca="1">IFERROR(__xludf.DUMMYFUNCTION("""COMPUTED_VALUE"""),450000)</f>
        <v>450000</v>
      </c>
      <c r="D535" s="21" t="str">
        <f ca="1">IFERROR(__xludf.DUMMYFUNCTION("""COMPUTED_VALUE"""),"Nasser Eslaquit")</f>
        <v>Nasser Eslaquit</v>
      </c>
      <c r="E535" s="123">
        <f ca="1">IFERROR(__xludf.DUMMYFUNCTION("""COMPUTED_VALUE"""),45562)</f>
        <v>45562</v>
      </c>
      <c r="F535" s="121">
        <f ca="1">IFERROR(__xludf.DUMMYFUNCTION("""COMPUTED_VALUE"""),450000)</f>
        <v>450000</v>
      </c>
      <c r="G535" s="124">
        <f ca="1">IFERROR(__xludf.DUMMYFUNCTION("""COMPUTED_VALUE"""),1)</f>
        <v>1</v>
      </c>
      <c r="H535" s="21"/>
    </row>
    <row r="536" spans="1:8" x14ac:dyDescent="0.2">
      <c r="A536" s="21">
        <f t="shared" si="2"/>
        <v>0</v>
      </c>
      <c r="B536" s="21" t="str">
        <f ca="1">IFERROR(__xludf.DUMMYFUNCTION("""COMPUTED_VALUE"""),"0393010012")</f>
        <v>0393010012</v>
      </c>
      <c r="C536" s="121">
        <f ca="1">IFERROR(__xludf.DUMMYFUNCTION("""COMPUTED_VALUE"""),450000)</f>
        <v>450000</v>
      </c>
      <c r="D536" s="21" t="str">
        <f ca="1">IFERROR(__xludf.DUMMYFUNCTION("""COMPUTED_VALUE"""),"Nasser Eslaquit")</f>
        <v>Nasser Eslaquit</v>
      </c>
      <c r="E536" s="123">
        <f ca="1">IFERROR(__xludf.DUMMYFUNCTION("""COMPUTED_VALUE"""),45562)</f>
        <v>45562</v>
      </c>
      <c r="F536" s="121" t="str">
        <f ca="1">IFERROR(__xludf.DUMMYFUNCTION("""COMPUTED_VALUE"""),"No ha consignado platica")</f>
        <v>No ha consignado platica</v>
      </c>
      <c r="G536" s="124" t="str">
        <f ca="1">IFERROR(__xludf.DUMMYFUNCTION("""COMPUTED_VALUE"""),"N/A")</f>
        <v>N/A</v>
      </c>
      <c r="H536" s="21"/>
    </row>
    <row r="537" spans="1:8" x14ac:dyDescent="0.2">
      <c r="A537" s="21">
        <f t="shared" si="2"/>
        <v>0</v>
      </c>
      <c r="B537" s="21" t="str">
        <f ca="1">IFERROR(__xludf.DUMMYFUNCTION("""COMPUTED_VALUE"""),"0393010013")</f>
        <v>0393010013</v>
      </c>
      <c r="C537" s="121">
        <f ca="1">IFERROR(__xludf.DUMMYFUNCTION("""COMPUTED_VALUE"""),450000)</f>
        <v>450000</v>
      </c>
      <c r="D537" s="21" t="str">
        <f ca="1">IFERROR(__xludf.DUMMYFUNCTION("""COMPUTED_VALUE"""),"Nasser Eslaquit")</f>
        <v>Nasser Eslaquit</v>
      </c>
      <c r="E537" s="123">
        <f ca="1">IFERROR(__xludf.DUMMYFUNCTION("""COMPUTED_VALUE"""),45562)</f>
        <v>45562</v>
      </c>
      <c r="F537" s="121" t="str">
        <f ca="1">IFERROR(__xludf.DUMMYFUNCTION("""COMPUTED_VALUE"""),"No ha consignado platica")</f>
        <v>No ha consignado platica</v>
      </c>
      <c r="G537" s="124" t="str">
        <f ca="1">IFERROR(__xludf.DUMMYFUNCTION("""COMPUTED_VALUE"""),"N/A")</f>
        <v>N/A</v>
      </c>
      <c r="H537" s="21"/>
    </row>
    <row r="538" spans="1:8" x14ac:dyDescent="0.2">
      <c r="A538" s="21">
        <f t="shared" si="2"/>
        <v>0</v>
      </c>
      <c r="B538" s="21" t="str">
        <f ca="1">IFERROR(__xludf.DUMMYFUNCTION("""COMPUTED_VALUE"""),"0393010014")</f>
        <v>0393010014</v>
      </c>
      <c r="C538" s="121">
        <f ca="1">IFERROR(__xludf.DUMMYFUNCTION("""COMPUTED_VALUE"""),450000)</f>
        <v>450000</v>
      </c>
      <c r="D538" s="21" t="str">
        <f ca="1">IFERROR(__xludf.DUMMYFUNCTION("""COMPUTED_VALUE"""),"Nasser Eslaquit")</f>
        <v>Nasser Eslaquit</v>
      </c>
      <c r="E538" s="123">
        <f ca="1">IFERROR(__xludf.DUMMYFUNCTION("""COMPUTED_VALUE"""),45562)</f>
        <v>45562</v>
      </c>
      <c r="F538" s="121" t="str">
        <f ca="1">IFERROR(__xludf.DUMMYFUNCTION("""COMPUTED_VALUE"""),"No ha consignado platica")</f>
        <v>No ha consignado platica</v>
      </c>
      <c r="G538" s="124" t="str">
        <f ca="1">IFERROR(__xludf.DUMMYFUNCTION("""COMPUTED_VALUE"""),"N/A")</f>
        <v>N/A</v>
      </c>
      <c r="H538" s="21"/>
    </row>
    <row r="539" spans="1:8" x14ac:dyDescent="0.2">
      <c r="A539" s="21">
        <f t="shared" si="2"/>
        <v>0</v>
      </c>
      <c r="B539" s="21" t="str">
        <f ca="1">IFERROR(__xludf.DUMMYFUNCTION("""COMPUTED_VALUE"""),"0393010015")</f>
        <v>0393010015</v>
      </c>
      <c r="C539" s="121">
        <f ca="1">IFERROR(__xludf.DUMMYFUNCTION("""COMPUTED_VALUE"""),450000)</f>
        <v>450000</v>
      </c>
      <c r="D539" s="21" t="str">
        <f ca="1">IFERROR(__xludf.DUMMYFUNCTION("""COMPUTED_VALUE"""),"Nasser Eslaquit")</f>
        <v>Nasser Eslaquit</v>
      </c>
      <c r="E539" s="123">
        <f ca="1">IFERROR(__xludf.DUMMYFUNCTION("""COMPUTED_VALUE"""),45562)</f>
        <v>45562</v>
      </c>
      <c r="F539" s="121" t="str">
        <f ca="1">IFERROR(__xludf.DUMMYFUNCTION("""COMPUTED_VALUE"""),"No ha consignado platica")</f>
        <v>No ha consignado platica</v>
      </c>
      <c r="G539" s="124" t="str">
        <f ca="1">IFERROR(__xludf.DUMMYFUNCTION("""COMPUTED_VALUE"""),"N/A")</f>
        <v>N/A</v>
      </c>
      <c r="H539" s="21"/>
    </row>
    <row r="540" spans="1:8" x14ac:dyDescent="0.2">
      <c r="A540" s="21">
        <f t="shared" si="2"/>
        <v>0</v>
      </c>
      <c r="B540" s="21" t="str">
        <f ca="1">IFERROR(__xludf.DUMMYFUNCTION("""COMPUTED_VALUE"""),"0393010016")</f>
        <v>0393010016</v>
      </c>
      <c r="C540" s="121">
        <f ca="1">IFERROR(__xludf.DUMMYFUNCTION("""COMPUTED_VALUE"""),450000)</f>
        <v>450000</v>
      </c>
      <c r="D540" s="21" t="str">
        <f ca="1">IFERROR(__xludf.DUMMYFUNCTION("""COMPUTED_VALUE"""),"Nasser Eslaquit")</f>
        <v>Nasser Eslaquit</v>
      </c>
      <c r="E540" s="123">
        <f ca="1">IFERROR(__xludf.DUMMYFUNCTION("""COMPUTED_VALUE"""),45562)</f>
        <v>45562</v>
      </c>
      <c r="F540" s="121" t="str">
        <f ca="1">IFERROR(__xludf.DUMMYFUNCTION("""COMPUTED_VALUE"""),"No ha consignado platica")</f>
        <v>No ha consignado platica</v>
      </c>
      <c r="G540" s="124" t="str">
        <f ca="1">IFERROR(__xludf.DUMMYFUNCTION("""COMPUTED_VALUE"""),"N/A")</f>
        <v>N/A</v>
      </c>
      <c r="H540" s="21"/>
    </row>
    <row r="541" spans="1:8" x14ac:dyDescent="0.2">
      <c r="A541" s="21">
        <f t="shared" si="2"/>
        <v>0</v>
      </c>
      <c r="B541" s="21" t="str">
        <f ca="1">IFERROR(__xludf.DUMMYFUNCTION("""COMPUTED_VALUE"""),"021204006")</f>
        <v>021204006</v>
      </c>
      <c r="C541" s="121">
        <f ca="1">IFERROR(__xludf.DUMMYFUNCTION("""COMPUTED_VALUE"""),240000)</f>
        <v>240000</v>
      </c>
      <c r="D541" s="21" t="str">
        <f ca="1">IFERROR(__xludf.DUMMYFUNCTION("""COMPUTED_VALUE"""),"Yesica Mazo")</f>
        <v>Yesica Mazo</v>
      </c>
      <c r="E541" s="123">
        <f ca="1">IFERROR(__xludf.DUMMYFUNCTION("""COMPUTED_VALUE"""),45487)</f>
        <v>45487</v>
      </c>
      <c r="F541" s="121" t="str">
        <f ca="1">IFERROR(__xludf.DUMMYFUNCTION("""COMPUTED_VALUE"""),"No ha consignado platica")</f>
        <v>No ha consignado platica</v>
      </c>
      <c r="G541" s="124" t="str">
        <f ca="1">IFERROR(__xludf.DUMMYFUNCTION("""COMPUTED_VALUE"""),"N/A")</f>
        <v>N/A</v>
      </c>
      <c r="H541" s="21"/>
    </row>
    <row r="542" spans="1:8" x14ac:dyDescent="0.2">
      <c r="A542" s="21">
        <f t="shared" si="2"/>
        <v>0</v>
      </c>
      <c r="B542" s="21" t="str">
        <f ca="1">IFERROR(__xludf.DUMMYFUNCTION("""COMPUTED_VALUE"""),"011204004")</f>
        <v>011204004</v>
      </c>
      <c r="C542" s="121">
        <f ca="1">IFERROR(__xludf.DUMMYFUNCTION("""COMPUTED_VALUE"""),330000)</f>
        <v>330000</v>
      </c>
      <c r="D542" s="21" t="str">
        <f ca="1">IFERROR(__xludf.DUMMYFUNCTION("""COMPUTED_VALUE"""),"Yesica Mazo")</f>
        <v>Yesica Mazo</v>
      </c>
      <c r="E542" s="123">
        <f ca="1">IFERROR(__xludf.DUMMYFUNCTION("""COMPUTED_VALUE"""),45487)</f>
        <v>45487</v>
      </c>
      <c r="F542" s="121">
        <f ca="1">IFERROR(__xludf.DUMMYFUNCTION("""COMPUTED_VALUE"""),220000)</f>
        <v>220000</v>
      </c>
      <c r="G542" s="124">
        <f ca="1">IFERROR(__xludf.DUMMYFUNCTION("""COMPUTED_VALUE"""),0.666666666666666)</f>
        <v>0.66666666666666596</v>
      </c>
      <c r="H542" s="21"/>
    </row>
    <row r="543" spans="1:8" x14ac:dyDescent="0.2">
      <c r="A543" s="21">
        <f t="shared" si="2"/>
        <v>0</v>
      </c>
      <c r="B543" s="21" t="str">
        <f ca="1">IFERROR(__xludf.DUMMYFUNCTION("""COMPUTED_VALUE"""),"039325001")</f>
        <v>039325001</v>
      </c>
      <c r="C543" s="121">
        <f ca="1">IFERROR(__xludf.DUMMYFUNCTION("""COMPUTED_VALUE"""),450000)</f>
        <v>450000</v>
      </c>
      <c r="D543" s="21" t="str">
        <f ca="1">IFERROR(__xludf.DUMMYFUNCTION("""COMPUTED_VALUE"""),"Nasser Eslaquit")</f>
        <v>Nasser Eslaquit</v>
      </c>
      <c r="E543" s="123">
        <f ca="1">IFERROR(__xludf.DUMMYFUNCTION("""COMPUTED_VALUE"""),45562)</f>
        <v>45562</v>
      </c>
      <c r="F543" s="121">
        <f ca="1">IFERROR(__xludf.DUMMYFUNCTION("""COMPUTED_VALUE"""),450000)</f>
        <v>450000</v>
      </c>
      <c r="G543" s="124">
        <f ca="1">IFERROR(__xludf.DUMMYFUNCTION("""COMPUTED_VALUE"""),1)</f>
        <v>1</v>
      </c>
      <c r="H543" s="21"/>
    </row>
    <row r="544" spans="1:8" x14ac:dyDescent="0.2">
      <c r="A544" s="21">
        <f t="shared" si="2"/>
        <v>0</v>
      </c>
      <c r="B544" s="21" t="str">
        <f ca="1">IFERROR(__xludf.DUMMYFUNCTION("""COMPUTED_VALUE"""),"039325002")</f>
        <v>039325002</v>
      </c>
      <c r="C544" s="121">
        <f ca="1">IFERROR(__xludf.DUMMYFUNCTION("""COMPUTED_VALUE"""),450000)</f>
        <v>450000</v>
      </c>
      <c r="D544" s="21" t="str">
        <f ca="1">IFERROR(__xludf.DUMMYFUNCTION("""COMPUTED_VALUE"""),"Nasser Eslaquit")</f>
        <v>Nasser Eslaquit</v>
      </c>
      <c r="E544" s="123">
        <f ca="1">IFERROR(__xludf.DUMMYFUNCTION("""COMPUTED_VALUE"""),45562)</f>
        <v>45562</v>
      </c>
      <c r="F544" s="121">
        <f ca="1">IFERROR(__xludf.DUMMYFUNCTION("""COMPUTED_VALUE"""),450000)</f>
        <v>450000</v>
      </c>
      <c r="G544" s="124">
        <f ca="1">IFERROR(__xludf.DUMMYFUNCTION("""COMPUTED_VALUE"""),1)</f>
        <v>1</v>
      </c>
      <c r="H544" s="21"/>
    </row>
    <row r="545" spans="1:8" x14ac:dyDescent="0.2">
      <c r="A545" s="21">
        <f t="shared" si="2"/>
        <v>0</v>
      </c>
      <c r="B545" s="21" t="str">
        <f ca="1">IFERROR(__xludf.DUMMYFUNCTION("""COMPUTED_VALUE"""),"039325003")</f>
        <v>039325003</v>
      </c>
      <c r="C545" s="121">
        <f ca="1">IFERROR(__xludf.DUMMYFUNCTION("""COMPUTED_VALUE"""),450000)</f>
        <v>450000</v>
      </c>
      <c r="D545" s="21" t="str">
        <f ca="1">IFERROR(__xludf.DUMMYFUNCTION("""COMPUTED_VALUE"""),"Nasser Eslaquit")</f>
        <v>Nasser Eslaquit</v>
      </c>
      <c r="E545" s="123">
        <f ca="1">IFERROR(__xludf.DUMMYFUNCTION("""COMPUTED_VALUE"""),45562)</f>
        <v>45562</v>
      </c>
      <c r="F545" s="121">
        <f ca="1">IFERROR(__xludf.DUMMYFUNCTION("""COMPUTED_VALUE"""),450000)</f>
        <v>450000</v>
      </c>
      <c r="G545" s="124">
        <f ca="1">IFERROR(__xludf.DUMMYFUNCTION("""COMPUTED_VALUE"""),1)</f>
        <v>1</v>
      </c>
      <c r="H545" s="21"/>
    </row>
    <row r="546" spans="1:8" x14ac:dyDescent="0.2">
      <c r="A546" s="21">
        <f t="shared" si="2"/>
        <v>0</v>
      </c>
      <c r="B546" s="21" t="str">
        <f ca="1">IFERROR(__xludf.DUMMYFUNCTION("""COMPUTED_VALUE"""),"039146001")</f>
        <v>039146001</v>
      </c>
      <c r="C546" s="121">
        <f ca="1">IFERROR(__xludf.DUMMYFUNCTION("""COMPUTED_VALUE"""),450000)</f>
        <v>450000</v>
      </c>
      <c r="D546" s="21"/>
      <c r="E546" s="21"/>
      <c r="F546" s="121" t="str">
        <f ca="1">IFERROR(__xludf.DUMMYFUNCTION("""COMPUTED_VALUE"""),"No ha consignado platica")</f>
        <v>No ha consignado platica</v>
      </c>
      <c r="G546" s="124" t="str">
        <f ca="1">IFERROR(__xludf.DUMMYFUNCTION("""COMPUTED_VALUE"""),"N/A")</f>
        <v>N/A</v>
      </c>
      <c r="H546" s="21"/>
    </row>
    <row r="547" spans="1:8" x14ac:dyDescent="0.2">
      <c r="A547" s="21">
        <f t="shared" si="2"/>
        <v>0</v>
      </c>
      <c r="B547" s="21" t="str">
        <f ca="1">IFERROR(__xludf.DUMMYFUNCTION("""COMPUTED_VALUE"""),"03120400138")</f>
        <v>03120400138</v>
      </c>
      <c r="C547" s="121">
        <f ca="1">IFERROR(__xludf.DUMMYFUNCTION("""COMPUTED_VALUE"""),450000)</f>
        <v>450000</v>
      </c>
      <c r="D547" s="21" t="str">
        <f ca="1">IFERROR(__xludf.DUMMYFUNCTION("""COMPUTED_VALUE"""),"Yesica Mazo")</f>
        <v>Yesica Mazo</v>
      </c>
      <c r="E547" s="125">
        <f ca="1">IFERROR(__xludf.DUMMYFUNCTION("""COMPUTED_VALUE"""),45584)</f>
        <v>45584</v>
      </c>
      <c r="F547" s="121" t="str">
        <f ca="1">IFERROR(__xludf.DUMMYFUNCTION("""COMPUTED_VALUE"""),"No ha consignado platica")</f>
        <v>No ha consignado platica</v>
      </c>
      <c r="G547" s="124" t="str">
        <f ca="1">IFERROR(__xludf.DUMMYFUNCTION("""COMPUTED_VALUE"""),"N/A")</f>
        <v>N/A</v>
      </c>
      <c r="H547" s="21"/>
    </row>
    <row r="548" spans="1:8" x14ac:dyDescent="0.2">
      <c r="A548" s="21">
        <f t="shared" si="2"/>
        <v>0</v>
      </c>
      <c r="B548" s="21" t="str">
        <f ca="1">IFERROR(__xludf.DUMMYFUNCTION("""COMPUTED_VALUE"""),"03120400139")</f>
        <v>03120400139</v>
      </c>
      <c r="C548" s="121">
        <f ca="1">IFERROR(__xludf.DUMMYFUNCTION("""COMPUTED_VALUE"""),450000)</f>
        <v>450000</v>
      </c>
      <c r="D548" s="21" t="str">
        <f ca="1">IFERROR(__xludf.DUMMYFUNCTION("""COMPUTED_VALUE"""),"Yesica Mazo")</f>
        <v>Yesica Mazo</v>
      </c>
      <c r="E548" s="125">
        <f ca="1">IFERROR(__xludf.DUMMYFUNCTION("""COMPUTED_VALUE"""),45584)</f>
        <v>45584</v>
      </c>
      <c r="F548" s="121" t="str">
        <f ca="1">IFERROR(__xludf.DUMMYFUNCTION("""COMPUTED_VALUE"""),"No ha consignado platica")</f>
        <v>No ha consignado platica</v>
      </c>
      <c r="G548" s="124" t="str">
        <f ca="1">IFERROR(__xludf.DUMMYFUNCTION("""COMPUTED_VALUE"""),"N/A")</f>
        <v>N/A</v>
      </c>
      <c r="H548" s="21"/>
    </row>
    <row r="549" spans="1:8" x14ac:dyDescent="0.2">
      <c r="A549" s="21">
        <f t="shared" si="2"/>
        <v>0</v>
      </c>
      <c r="B549" s="21" t="str">
        <f ca="1">IFERROR(__xludf.DUMMYFUNCTION("""COMPUTED_VALUE"""),"019144002")</f>
        <v>019144002</v>
      </c>
      <c r="C549" s="121">
        <f ca="1">IFERROR(__xludf.DUMMYFUNCTION("""COMPUTED_VALUE"""),330000)</f>
        <v>330000</v>
      </c>
      <c r="D549" s="21" t="str">
        <f ca="1">IFERROR(__xludf.DUMMYFUNCTION("""COMPUTED_VALUE"""),"Nasser Eslaquit")</f>
        <v>Nasser Eslaquit</v>
      </c>
      <c r="E549" s="123">
        <f ca="1">IFERROR(__xludf.DUMMYFUNCTION("""COMPUTED_VALUE"""),45569)</f>
        <v>45569</v>
      </c>
      <c r="F549" s="121">
        <f ca="1">IFERROR(__xludf.DUMMYFUNCTION("""COMPUTED_VALUE"""),220000)</f>
        <v>220000</v>
      </c>
      <c r="G549" s="124">
        <f ca="1">IFERROR(__xludf.DUMMYFUNCTION("""COMPUTED_VALUE"""),0.666666666666666)</f>
        <v>0.66666666666666596</v>
      </c>
      <c r="H549" s="21"/>
    </row>
    <row r="550" spans="1:8" x14ac:dyDescent="0.2">
      <c r="A550" s="21">
        <f t="shared" si="2"/>
        <v>0</v>
      </c>
      <c r="B550" s="21" t="str">
        <f ca="1">IFERROR(__xludf.DUMMYFUNCTION("""COMPUTED_VALUE"""),"049144005")</f>
        <v>049144005</v>
      </c>
      <c r="C550" s="121">
        <f ca="1">IFERROR(__xludf.DUMMYFUNCTION("""COMPUTED_VALUE"""),705000)</f>
        <v>705000</v>
      </c>
      <c r="D550" s="21" t="str">
        <f ca="1">IFERROR(__xludf.DUMMYFUNCTION("""COMPUTED_VALUE"""),"Nasser Eslaquit")</f>
        <v>Nasser Eslaquit</v>
      </c>
      <c r="E550" s="123">
        <f ca="1">IFERROR(__xludf.DUMMYFUNCTION("""COMPUTED_VALUE"""),45569)</f>
        <v>45569</v>
      </c>
      <c r="F550" s="121">
        <f ca="1">IFERROR(__xludf.DUMMYFUNCTION("""COMPUTED_VALUE"""),670000)</f>
        <v>670000</v>
      </c>
      <c r="G550" s="124">
        <f ca="1">IFERROR(__xludf.DUMMYFUNCTION("""COMPUTED_VALUE"""),0.950354609929078)</f>
        <v>0.95035460992907805</v>
      </c>
      <c r="H550" s="21"/>
    </row>
    <row r="551" spans="1:8" x14ac:dyDescent="0.2">
      <c r="A551" s="21">
        <f t="shared" si="2"/>
        <v>0</v>
      </c>
      <c r="B551" s="21" t="str">
        <f ca="1">IFERROR(__xludf.DUMMYFUNCTION("""COMPUTED_VALUE"""),"011210001")</f>
        <v>011210001</v>
      </c>
      <c r="C551" s="121">
        <f ca="1">IFERROR(__xludf.DUMMYFUNCTION("""COMPUTED_VALUE"""),330000)</f>
        <v>330000</v>
      </c>
      <c r="D551" s="21" t="str">
        <f ca="1">IFERROR(__xludf.DUMMYFUNCTION("""COMPUTED_VALUE"""),"Yesica Mazo")</f>
        <v>Yesica Mazo</v>
      </c>
      <c r="E551" s="125">
        <f ca="1">IFERROR(__xludf.DUMMYFUNCTION("""COMPUTED_VALUE"""),45584)</f>
        <v>45584</v>
      </c>
      <c r="F551" s="121" t="str">
        <f ca="1">IFERROR(__xludf.DUMMYFUNCTION("""COMPUTED_VALUE"""),"No ha consignado platica")</f>
        <v>No ha consignado platica</v>
      </c>
      <c r="G551" s="124" t="str">
        <f ca="1">IFERROR(__xludf.DUMMYFUNCTION("""COMPUTED_VALUE"""),"N/A")</f>
        <v>N/A</v>
      </c>
      <c r="H551" s="21"/>
    </row>
    <row r="552" spans="1:8" x14ac:dyDescent="0.2">
      <c r="A552" s="21">
        <f t="shared" si="2"/>
        <v>0</v>
      </c>
      <c r="B552" s="21" t="str">
        <f ca="1">IFERROR(__xludf.DUMMYFUNCTION("""COMPUTED_VALUE"""),"021210001")</f>
        <v>021210001</v>
      </c>
      <c r="C552" s="121">
        <f ca="1">IFERROR(__xludf.DUMMYFUNCTION("""COMPUTED_VALUE"""),240000)</f>
        <v>240000</v>
      </c>
      <c r="D552" s="21" t="str">
        <f ca="1">IFERROR(__xludf.DUMMYFUNCTION("""COMPUTED_VALUE"""),"Yesica Mazo")</f>
        <v>Yesica Mazo</v>
      </c>
      <c r="E552" s="125">
        <f ca="1">IFERROR(__xludf.DUMMYFUNCTION("""COMPUTED_VALUE"""),45584)</f>
        <v>45584</v>
      </c>
      <c r="F552" s="121" t="str">
        <f ca="1">IFERROR(__xludf.DUMMYFUNCTION("""COMPUTED_VALUE"""),"No ha consignado platica")</f>
        <v>No ha consignado platica</v>
      </c>
      <c r="G552" s="124" t="str">
        <f ca="1">IFERROR(__xludf.DUMMYFUNCTION("""COMPUTED_VALUE"""),"N/A")</f>
        <v>N/A</v>
      </c>
      <c r="H552" s="21"/>
    </row>
    <row r="553" spans="1:8" x14ac:dyDescent="0.2">
      <c r="A553" s="21">
        <f t="shared" si="2"/>
        <v>0</v>
      </c>
      <c r="B553" s="21" t="str">
        <f ca="1">IFERROR(__xludf.DUMMYFUNCTION("""COMPUTED_VALUE"""),"03120400140")</f>
        <v>03120400140</v>
      </c>
      <c r="C553" s="121">
        <f ca="1">IFERROR(__xludf.DUMMYFUNCTION("""COMPUTED_VALUE"""),450000)</f>
        <v>450000</v>
      </c>
      <c r="D553" s="21" t="str">
        <f ca="1">IFERROR(__xludf.DUMMYFUNCTION("""COMPUTED_VALUE"""),"Yesica Mazo")</f>
        <v>Yesica Mazo</v>
      </c>
      <c r="E553" s="21"/>
      <c r="F553" s="121" t="str">
        <f ca="1">IFERROR(__xludf.DUMMYFUNCTION("""COMPUTED_VALUE"""),"No ha consignado platica")</f>
        <v>No ha consignado platica</v>
      </c>
      <c r="G553" s="124" t="str">
        <f ca="1">IFERROR(__xludf.DUMMYFUNCTION("""COMPUTED_VALUE"""),"N/A")</f>
        <v>N/A</v>
      </c>
      <c r="H553" s="21"/>
    </row>
    <row r="554" spans="1:8" x14ac:dyDescent="0.2">
      <c r="A554" s="21">
        <f t="shared" si="2"/>
        <v>0</v>
      </c>
      <c r="B554" s="21" t="str">
        <f ca="1">IFERROR(__xludf.DUMMYFUNCTION("""COMPUTED_VALUE"""),"039140008")</f>
        <v>039140008</v>
      </c>
      <c r="C554" s="121">
        <f ca="1">IFERROR(__xludf.DUMMYFUNCTION("""COMPUTED_VALUE"""),450000)</f>
        <v>450000</v>
      </c>
      <c r="D554" s="21" t="str">
        <f ca="1">IFERROR(__xludf.DUMMYFUNCTION("""COMPUTED_VALUE"""),"Nasser Eslaquit")</f>
        <v>Nasser Eslaquit</v>
      </c>
      <c r="E554" s="125">
        <f ca="1">IFERROR(__xludf.DUMMYFUNCTION("""COMPUTED_VALUE"""),45590)</f>
        <v>45590</v>
      </c>
      <c r="F554" s="121">
        <f ca="1">IFERROR(__xludf.DUMMYFUNCTION("""COMPUTED_VALUE"""),450000)</f>
        <v>450000</v>
      </c>
      <c r="G554" s="124">
        <f ca="1">IFERROR(__xludf.DUMMYFUNCTION("""COMPUTED_VALUE"""),1)</f>
        <v>1</v>
      </c>
      <c r="H554" s="21"/>
    </row>
    <row r="555" spans="1:8" x14ac:dyDescent="0.2">
      <c r="A555" s="21">
        <f t="shared" si="2"/>
        <v>0</v>
      </c>
      <c r="B555" s="21" t="str">
        <f ca="1">IFERROR(__xludf.DUMMYFUNCTION("""COMPUTED_VALUE"""),"039140009")</f>
        <v>039140009</v>
      </c>
      <c r="C555" s="121">
        <f ca="1">IFERROR(__xludf.DUMMYFUNCTION("""COMPUTED_VALUE"""),450000)</f>
        <v>450000</v>
      </c>
      <c r="D555" s="21" t="str">
        <f ca="1">IFERROR(__xludf.DUMMYFUNCTION("""COMPUTED_VALUE"""),"Nasser Eslaquit")</f>
        <v>Nasser Eslaquit</v>
      </c>
      <c r="E555" s="125">
        <f ca="1">IFERROR(__xludf.DUMMYFUNCTION("""COMPUTED_VALUE"""),45590)</f>
        <v>45590</v>
      </c>
      <c r="F555" s="121">
        <f ca="1">IFERROR(__xludf.DUMMYFUNCTION("""COMPUTED_VALUE"""),450000)</f>
        <v>450000</v>
      </c>
      <c r="G555" s="124">
        <f ca="1">IFERROR(__xludf.DUMMYFUNCTION("""COMPUTED_VALUE"""),1)</f>
        <v>1</v>
      </c>
      <c r="H555" s="21"/>
    </row>
    <row r="556" spans="1:8" x14ac:dyDescent="0.2">
      <c r="A556" s="21">
        <f t="shared" si="2"/>
        <v>0</v>
      </c>
      <c r="B556" s="21" t="str">
        <f ca="1">IFERROR(__xludf.DUMMYFUNCTION("""COMPUTED_VALUE"""),"0391400010")</f>
        <v>0391400010</v>
      </c>
      <c r="C556" s="121">
        <f ca="1">IFERROR(__xludf.DUMMYFUNCTION("""COMPUTED_VALUE"""),450000)</f>
        <v>450000</v>
      </c>
      <c r="D556" s="21" t="str">
        <f ca="1">IFERROR(__xludf.DUMMYFUNCTION("""COMPUTED_VALUE"""),"Nasser Eslaquit")</f>
        <v>Nasser Eslaquit</v>
      </c>
      <c r="E556" s="125">
        <f ca="1">IFERROR(__xludf.DUMMYFUNCTION("""COMPUTED_VALUE"""),45590)</f>
        <v>45590</v>
      </c>
      <c r="F556" s="121" t="str">
        <f ca="1">IFERROR(__xludf.DUMMYFUNCTION("""COMPUTED_VALUE"""),"No ha consignado platica")</f>
        <v>No ha consignado platica</v>
      </c>
      <c r="G556" s="124" t="str">
        <f ca="1">IFERROR(__xludf.DUMMYFUNCTION("""COMPUTED_VALUE"""),"N/A")</f>
        <v>N/A</v>
      </c>
      <c r="H556" s="21"/>
    </row>
    <row r="557" spans="1:8" x14ac:dyDescent="0.2">
      <c r="A557" s="21">
        <f t="shared" si="2"/>
        <v>0</v>
      </c>
      <c r="B557" s="21" t="str">
        <f ca="1">IFERROR(__xludf.DUMMYFUNCTION("""COMPUTED_VALUE"""),"0391400011")</f>
        <v>0391400011</v>
      </c>
      <c r="C557" s="121">
        <f ca="1">IFERROR(__xludf.DUMMYFUNCTION("""COMPUTED_VALUE"""),450000)</f>
        <v>450000</v>
      </c>
      <c r="D557" s="21" t="str">
        <f ca="1">IFERROR(__xludf.DUMMYFUNCTION("""COMPUTED_VALUE"""),"Nasser Eslaquit")</f>
        <v>Nasser Eslaquit</v>
      </c>
      <c r="E557" s="125">
        <f ca="1">IFERROR(__xludf.DUMMYFUNCTION("""COMPUTED_VALUE"""),45590)</f>
        <v>45590</v>
      </c>
      <c r="F557" s="121" t="str">
        <f ca="1">IFERROR(__xludf.DUMMYFUNCTION("""COMPUTED_VALUE"""),"No ha consignado platica")</f>
        <v>No ha consignado platica</v>
      </c>
      <c r="G557" s="124" t="str">
        <f ca="1">IFERROR(__xludf.DUMMYFUNCTION("""COMPUTED_VALUE"""),"N/A")</f>
        <v>N/A</v>
      </c>
      <c r="H557" s="21"/>
    </row>
    <row r="558" spans="1:8" x14ac:dyDescent="0.2">
      <c r="A558" s="21">
        <f t="shared" si="2"/>
        <v>0</v>
      </c>
      <c r="B558" s="21" t="str">
        <f ca="1">IFERROR(__xludf.DUMMYFUNCTION("""COMPUTED_VALUE"""),"039310009")</f>
        <v>039310009</v>
      </c>
      <c r="C558" s="121">
        <f ca="1">IFERROR(__xludf.DUMMYFUNCTION("""COMPUTED_VALUE"""),450000)</f>
        <v>450000</v>
      </c>
      <c r="D558" s="21" t="str">
        <f ca="1">IFERROR(__xludf.DUMMYFUNCTION("""COMPUTED_VALUE"""),"Nasser Eslaquit")</f>
        <v>Nasser Eslaquit</v>
      </c>
      <c r="E558" s="125">
        <f ca="1">IFERROR(__xludf.DUMMYFUNCTION("""COMPUTED_VALUE"""),45590)</f>
        <v>45590</v>
      </c>
      <c r="F558" s="121" t="str">
        <f ca="1">IFERROR(__xludf.DUMMYFUNCTION("""COMPUTED_VALUE"""),"No ha consignado platica")</f>
        <v>No ha consignado platica</v>
      </c>
      <c r="G558" s="124" t="str">
        <f ca="1">IFERROR(__xludf.DUMMYFUNCTION("""COMPUTED_VALUE"""),"N/A")</f>
        <v>N/A</v>
      </c>
      <c r="H558" s="21"/>
    </row>
    <row r="559" spans="1:8" x14ac:dyDescent="0.2">
      <c r="A559" s="21">
        <f t="shared" si="2"/>
        <v>0</v>
      </c>
      <c r="B559" s="21" t="str">
        <f ca="1">IFERROR(__xludf.DUMMYFUNCTION("""COMPUTED_VALUE"""),"0393100010")</f>
        <v>0393100010</v>
      </c>
      <c r="C559" s="121">
        <f ca="1">IFERROR(__xludf.DUMMYFUNCTION("""COMPUTED_VALUE"""),450000)</f>
        <v>450000</v>
      </c>
      <c r="D559" s="21" t="str">
        <f ca="1">IFERROR(__xludf.DUMMYFUNCTION("""COMPUTED_VALUE"""),"Nasser Eslaquit")</f>
        <v>Nasser Eslaquit</v>
      </c>
      <c r="E559" s="125">
        <f ca="1">IFERROR(__xludf.DUMMYFUNCTION("""COMPUTED_VALUE"""),45590)</f>
        <v>45590</v>
      </c>
      <c r="F559" s="121" t="str">
        <f ca="1">IFERROR(__xludf.DUMMYFUNCTION("""COMPUTED_VALUE"""),"No ha consignado platica")</f>
        <v>No ha consignado platica</v>
      </c>
      <c r="G559" s="124" t="str">
        <f ca="1">IFERROR(__xludf.DUMMYFUNCTION("""COMPUTED_VALUE"""),"N/A")</f>
        <v>N/A</v>
      </c>
      <c r="H559" s="21"/>
    </row>
    <row r="560" spans="1:8" x14ac:dyDescent="0.2">
      <c r="A560" s="21">
        <f t="shared" si="2"/>
        <v>0</v>
      </c>
      <c r="B560" s="21" t="str">
        <f ca="1">IFERROR(__xludf.DUMMYFUNCTION("""COMPUTED_VALUE"""),"049310005")</f>
        <v>049310005</v>
      </c>
      <c r="C560" s="121">
        <f ca="1">IFERROR(__xludf.DUMMYFUNCTION("""COMPUTED_VALUE"""),705000)</f>
        <v>705000</v>
      </c>
      <c r="D560" s="21" t="str">
        <f ca="1">IFERROR(__xludf.DUMMYFUNCTION("""COMPUTED_VALUE"""),"Nasser Eslaquit")</f>
        <v>Nasser Eslaquit</v>
      </c>
      <c r="E560" s="125">
        <f ca="1">IFERROR(__xludf.DUMMYFUNCTION("""COMPUTED_VALUE"""),45590)</f>
        <v>45590</v>
      </c>
      <c r="F560" s="121">
        <f ca="1">IFERROR(__xludf.DUMMYFUNCTION("""COMPUTED_VALUE"""),670000)</f>
        <v>670000</v>
      </c>
      <c r="G560" s="124">
        <f ca="1">IFERROR(__xludf.DUMMYFUNCTION("""COMPUTED_VALUE"""),0.950354609929078)</f>
        <v>0.95035460992907805</v>
      </c>
      <c r="H560" s="21"/>
    </row>
    <row r="561" spans="1:8" x14ac:dyDescent="0.2">
      <c r="A561" s="21">
        <f t="shared" si="2"/>
        <v>0</v>
      </c>
      <c r="B561" s="21" t="str">
        <f ca="1">IFERROR(__xludf.DUMMYFUNCTION("""COMPUTED_VALUE"""),"049310006")</f>
        <v>049310006</v>
      </c>
      <c r="C561" s="121">
        <f ca="1">IFERROR(__xludf.DUMMYFUNCTION("""COMPUTED_VALUE"""),705000)</f>
        <v>705000</v>
      </c>
      <c r="D561" s="21" t="str">
        <f ca="1">IFERROR(__xludf.DUMMYFUNCTION("""COMPUTED_VALUE"""),"Nasser Eslaquit")</f>
        <v>Nasser Eslaquit</v>
      </c>
      <c r="E561" s="125">
        <f ca="1">IFERROR(__xludf.DUMMYFUNCTION("""COMPUTED_VALUE"""),45590)</f>
        <v>45590</v>
      </c>
      <c r="F561" s="121">
        <f ca="1">IFERROR(__xludf.DUMMYFUNCTION("""COMPUTED_VALUE"""),670000)</f>
        <v>670000</v>
      </c>
      <c r="G561" s="124">
        <f ca="1">IFERROR(__xludf.DUMMYFUNCTION("""COMPUTED_VALUE"""),0.950354609929078)</f>
        <v>0.95035460992907805</v>
      </c>
      <c r="H561" s="21"/>
    </row>
    <row r="562" spans="1:8" x14ac:dyDescent="0.2">
      <c r="A562" s="21">
        <f t="shared" si="2"/>
        <v>0</v>
      </c>
      <c r="B562" s="21" t="str">
        <f ca="1">IFERROR(__xludf.DUMMYFUNCTION("""COMPUTED_VALUE"""),"029310009")</f>
        <v>029310009</v>
      </c>
      <c r="C562" s="121">
        <f ca="1">IFERROR(__xludf.DUMMYFUNCTION("""COMPUTED_VALUE"""),240000)</f>
        <v>240000</v>
      </c>
      <c r="D562" s="21" t="str">
        <f ca="1">IFERROR(__xludf.DUMMYFUNCTION("""COMPUTED_VALUE"""),"Nasser Eslaquit")</f>
        <v>Nasser Eslaquit</v>
      </c>
      <c r="E562" s="125">
        <f ca="1">IFERROR(__xludf.DUMMYFUNCTION("""COMPUTED_VALUE"""),45590)</f>
        <v>45590</v>
      </c>
      <c r="F562" s="121">
        <f ca="1">IFERROR(__xludf.DUMMYFUNCTION("""COMPUTED_VALUE"""),105000)</f>
        <v>105000</v>
      </c>
      <c r="G562" s="124">
        <f ca="1">IFERROR(__xludf.DUMMYFUNCTION("""COMPUTED_VALUE"""),0.4375)</f>
        <v>0.4375</v>
      </c>
      <c r="H562" s="21"/>
    </row>
    <row r="563" spans="1:8" x14ac:dyDescent="0.2">
      <c r="A563" s="21">
        <f t="shared" si="2"/>
        <v>0</v>
      </c>
      <c r="B563" s="21" t="str">
        <f ca="1">IFERROR(__xludf.DUMMYFUNCTION("""COMPUTED_VALUE"""),"041102001")</f>
        <v>041102001</v>
      </c>
      <c r="C563" s="121">
        <f ca="1">IFERROR(__xludf.DUMMYFUNCTION("""COMPUTED_VALUE"""),705000)</f>
        <v>705000</v>
      </c>
      <c r="D563" s="21" t="str">
        <f ca="1">IFERROR(__xludf.DUMMYFUNCTION("""COMPUTED_VALUE"""),"David Wilcken")</f>
        <v>David Wilcken</v>
      </c>
      <c r="E563" s="125">
        <f ca="1">IFERROR(__xludf.DUMMYFUNCTION("""COMPUTED_VALUE"""),45576)</f>
        <v>45576</v>
      </c>
      <c r="F563" s="121" t="str">
        <f ca="1">IFERROR(__xludf.DUMMYFUNCTION("""COMPUTED_VALUE"""),"No ha consignado platica")</f>
        <v>No ha consignado platica</v>
      </c>
      <c r="G563" s="124" t="str">
        <f ca="1">IFERROR(__xludf.DUMMYFUNCTION("""COMPUTED_VALUE"""),"N/A")</f>
        <v>N/A</v>
      </c>
      <c r="H563" s="21"/>
    </row>
    <row r="564" spans="1:8" x14ac:dyDescent="0.2">
      <c r="A564" s="21">
        <f t="shared" si="2"/>
        <v>0</v>
      </c>
      <c r="B564" s="21" t="str">
        <f ca="1">IFERROR(__xludf.DUMMYFUNCTION("""COMPUTED_VALUE"""),"041102002")</f>
        <v>041102002</v>
      </c>
      <c r="C564" s="121">
        <f ca="1">IFERROR(__xludf.DUMMYFUNCTION("""COMPUTED_VALUE"""),705000)</f>
        <v>705000</v>
      </c>
      <c r="D564" s="21" t="str">
        <f ca="1">IFERROR(__xludf.DUMMYFUNCTION("""COMPUTED_VALUE"""),"David Wilcken")</f>
        <v>David Wilcken</v>
      </c>
      <c r="E564" s="125">
        <f ca="1">IFERROR(__xludf.DUMMYFUNCTION("""COMPUTED_VALUE"""),45576)</f>
        <v>45576</v>
      </c>
      <c r="F564" s="121">
        <f ca="1">IFERROR(__xludf.DUMMYFUNCTION("""COMPUTED_VALUE"""),550000)</f>
        <v>550000</v>
      </c>
      <c r="G564" s="124">
        <f ca="1">IFERROR(__xludf.DUMMYFUNCTION("""COMPUTED_VALUE"""),0.780141843971631)</f>
        <v>0.780141843971631</v>
      </c>
      <c r="H564" s="21"/>
    </row>
    <row r="565" spans="1:8" x14ac:dyDescent="0.2">
      <c r="A565" s="21">
        <f t="shared" si="2"/>
        <v>0</v>
      </c>
      <c r="B565" s="21" t="str">
        <f ca="1">IFERROR(__xludf.DUMMYFUNCTION("""COMPUTED_VALUE"""),"0391400012")</f>
        <v>0391400012</v>
      </c>
      <c r="C565" s="121">
        <f ca="1">IFERROR(__xludf.DUMMYFUNCTION("""COMPUTED_VALUE"""),450000)</f>
        <v>450000</v>
      </c>
      <c r="D565" s="21" t="str">
        <f ca="1">IFERROR(__xludf.DUMMYFUNCTION("""COMPUTED_VALUE"""),"Nasser Eslaquit")</f>
        <v>Nasser Eslaquit</v>
      </c>
      <c r="E565" s="125">
        <f ca="1">IFERROR(__xludf.DUMMYFUNCTION("""COMPUTED_VALUE"""),45590)</f>
        <v>45590</v>
      </c>
      <c r="F565" s="121" t="str">
        <f ca="1">IFERROR(__xludf.DUMMYFUNCTION("""COMPUTED_VALUE"""),"No ha consignado platica")</f>
        <v>No ha consignado platica</v>
      </c>
      <c r="G565" s="124" t="str">
        <f ca="1">IFERROR(__xludf.DUMMYFUNCTION("""COMPUTED_VALUE"""),"N/A")</f>
        <v>N/A</v>
      </c>
      <c r="H565" s="21"/>
    </row>
    <row r="566" spans="1:8" x14ac:dyDescent="0.2">
      <c r="A566" s="21">
        <f t="shared" si="2"/>
        <v>0</v>
      </c>
      <c r="B566" s="21" t="str">
        <f ca="1">IFERROR(__xludf.DUMMYFUNCTION("""COMPUTED_VALUE"""),"039101001")</f>
        <v>039101001</v>
      </c>
      <c r="C566" s="121">
        <f ca="1">IFERROR(__xludf.DUMMYFUNCTION("""COMPUTED_VALUE"""),450000)</f>
        <v>450000</v>
      </c>
      <c r="D566" s="21" t="str">
        <f ca="1">IFERROR(__xludf.DUMMYFUNCTION("""COMPUTED_VALUE"""),"Nasser Eslaquit")</f>
        <v>Nasser Eslaquit</v>
      </c>
      <c r="E566" s="125">
        <f ca="1">IFERROR(__xludf.DUMMYFUNCTION("""COMPUTED_VALUE"""),45619)</f>
        <v>45619</v>
      </c>
      <c r="F566" s="121">
        <f ca="1">IFERROR(__xludf.DUMMYFUNCTION("""COMPUTED_VALUE"""),450000)</f>
        <v>450000</v>
      </c>
      <c r="G566" s="124">
        <f ca="1">IFERROR(__xludf.DUMMYFUNCTION("""COMPUTED_VALUE"""),1)</f>
        <v>1</v>
      </c>
      <c r="H566" s="21"/>
    </row>
    <row r="567" spans="1:8" x14ac:dyDescent="0.2">
      <c r="A567" s="21">
        <f t="shared" si="2"/>
        <v>0</v>
      </c>
      <c r="B567" s="21" t="str">
        <f ca="1">IFERROR(__xludf.DUMMYFUNCTION("""COMPUTED_VALUE"""),"039101002")</f>
        <v>039101002</v>
      </c>
      <c r="C567" s="121">
        <f ca="1">IFERROR(__xludf.DUMMYFUNCTION("""COMPUTED_VALUE"""),450000)</f>
        <v>450000</v>
      </c>
      <c r="D567" s="21" t="str">
        <f ca="1">IFERROR(__xludf.DUMMYFUNCTION("""COMPUTED_VALUE"""),"Nasser Eslaquit")</f>
        <v>Nasser Eslaquit</v>
      </c>
      <c r="E567" s="125">
        <f ca="1">IFERROR(__xludf.DUMMYFUNCTION("""COMPUTED_VALUE"""),45619)</f>
        <v>45619</v>
      </c>
      <c r="F567" s="121">
        <f ca="1">IFERROR(__xludf.DUMMYFUNCTION("""COMPUTED_VALUE"""),450000)</f>
        <v>450000</v>
      </c>
      <c r="G567" s="124">
        <f ca="1">IFERROR(__xludf.DUMMYFUNCTION("""COMPUTED_VALUE"""),1)</f>
        <v>1</v>
      </c>
      <c r="H567" s="21"/>
    </row>
    <row r="568" spans="1:8" x14ac:dyDescent="0.2">
      <c r="A568" s="21">
        <f t="shared" si="2"/>
        <v>0</v>
      </c>
      <c r="B568" s="21" t="str">
        <f ca="1">IFERROR(__xludf.DUMMYFUNCTION("""COMPUTED_VALUE"""),"039101003")</f>
        <v>039101003</v>
      </c>
      <c r="C568" s="121">
        <f ca="1">IFERROR(__xludf.DUMMYFUNCTION("""COMPUTED_VALUE"""),450000)</f>
        <v>450000</v>
      </c>
      <c r="D568" s="21" t="str">
        <f ca="1">IFERROR(__xludf.DUMMYFUNCTION("""COMPUTED_VALUE"""),"Nasser Eslaquit")</f>
        <v>Nasser Eslaquit</v>
      </c>
      <c r="E568" s="125">
        <f ca="1">IFERROR(__xludf.DUMMYFUNCTION("""COMPUTED_VALUE"""),45619)</f>
        <v>45619</v>
      </c>
      <c r="F568" s="121">
        <f ca="1">IFERROR(__xludf.DUMMYFUNCTION("""COMPUTED_VALUE"""),450000)</f>
        <v>450000</v>
      </c>
      <c r="G568" s="124">
        <f ca="1">IFERROR(__xludf.DUMMYFUNCTION("""COMPUTED_VALUE"""),1)</f>
        <v>1</v>
      </c>
      <c r="H568" s="21"/>
    </row>
    <row r="569" spans="1:8" x14ac:dyDescent="0.2">
      <c r="A569" s="21">
        <f t="shared" si="2"/>
        <v>0</v>
      </c>
      <c r="B569" s="21" t="str">
        <f ca="1">IFERROR(__xludf.DUMMYFUNCTION("""COMPUTED_VALUE"""),"039101004")</f>
        <v>039101004</v>
      </c>
      <c r="C569" s="121">
        <f ca="1">IFERROR(__xludf.DUMMYFUNCTION("""COMPUTED_VALUE"""),450000)</f>
        <v>450000</v>
      </c>
      <c r="D569" s="21" t="str">
        <f ca="1">IFERROR(__xludf.DUMMYFUNCTION("""COMPUTED_VALUE"""),"Nasser Eslaquit")</f>
        <v>Nasser Eslaquit</v>
      </c>
      <c r="E569" s="125">
        <f ca="1">IFERROR(__xludf.DUMMYFUNCTION("""COMPUTED_VALUE"""),45619)</f>
        <v>45619</v>
      </c>
      <c r="F569" s="121">
        <f ca="1">IFERROR(__xludf.DUMMYFUNCTION("""COMPUTED_VALUE"""),450000)</f>
        <v>450000</v>
      </c>
      <c r="G569" s="124">
        <f ca="1">IFERROR(__xludf.DUMMYFUNCTION("""COMPUTED_VALUE"""),1)</f>
        <v>1</v>
      </c>
      <c r="H569" s="21"/>
    </row>
    <row r="570" spans="1:8" x14ac:dyDescent="0.2">
      <c r="A570" s="21">
        <f t="shared" si="2"/>
        <v>0</v>
      </c>
      <c r="B570" s="21" t="str">
        <f ca="1">IFERROR(__xludf.DUMMYFUNCTION("""COMPUTED_VALUE"""),"039101005")</f>
        <v>039101005</v>
      </c>
      <c r="C570" s="121">
        <f ca="1">IFERROR(__xludf.DUMMYFUNCTION("""COMPUTED_VALUE"""),450000)</f>
        <v>450000</v>
      </c>
      <c r="D570" s="21" t="str">
        <f ca="1">IFERROR(__xludf.DUMMYFUNCTION("""COMPUTED_VALUE"""),"Nasser Eslaquit")</f>
        <v>Nasser Eslaquit</v>
      </c>
      <c r="E570" s="125">
        <f ca="1">IFERROR(__xludf.DUMMYFUNCTION("""COMPUTED_VALUE"""),45619)</f>
        <v>45619</v>
      </c>
      <c r="F570" s="121">
        <f ca="1">IFERROR(__xludf.DUMMYFUNCTION("""COMPUTED_VALUE"""),450000)</f>
        <v>450000</v>
      </c>
      <c r="G570" s="124">
        <f ca="1">IFERROR(__xludf.DUMMYFUNCTION("""COMPUTED_VALUE"""),1)</f>
        <v>1</v>
      </c>
      <c r="H570" s="21"/>
    </row>
    <row r="571" spans="1:8" x14ac:dyDescent="0.2">
      <c r="A571" s="21">
        <f t="shared" si="2"/>
        <v>0</v>
      </c>
      <c r="B571" s="21" t="str">
        <f ca="1">IFERROR(__xludf.DUMMYFUNCTION("""COMPUTED_VALUE"""),"039101006")</f>
        <v>039101006</v>
      </c>
      <c r="C571" s="121">
        <f ca="1">IFERROR(__xludf.DUMMYFUNCTION("""COMPUTED_VALUE"""),450000)</f>
        <v>450000</v>
      </c>
      <c r="D571" s="21" t="str">
        <f ca="1">IFERROR(__xludf.DUMMYFUNCTION("""COMPUTED_VALUE"""),"Nasser Eslaquit")</f>
        <v>Nasser Eslaquit</v>
      </c>
      <c r="E571" s="125">
        <f ca="1">IFERROR(__xludf.DUMMYFUNCTION("""COMPUTED_VALUE"""),45619)</f>
        <v>45619</v>
      </c>
      <c r="F571" s="121">
        <f ca="1">IFERROR(__xludf.DUMMYFUNCTION("""COMPUTED_VALUE"""),450000)</f>
        <v>450000</v>
      </c>
      <c r="G571" s="124">
        <f ca="1">IFERROR(__xludf.DUMMYFUNCTION("""COMPUTED_VALUE"""),1)</f>
        <v>1</v>
      </c>
      <c r="H571" s="21"/>
    </row>
    <row r="572" spans="1:8" x14ac:dyDescent="0.2">
      <c r="A572" s="21">
        <f t="shared" si="2"/>
        <v>0</v>
      </c>
      <c r="B572" s="21" t="str">
        <f ca="1">IFERROR(__xludf.DUMMYFUNCTION("""COMPUTED_VALUE"""),"039101007")</f>
        <v>039101007</v>
      </c>
      <c r="C572" s="121">
        <f ca="1">IFERROR(__xludf.DUMMYFUNCTION("""COMPUTED_VALUE"""),450000)</f>
        <v>450000</v>
      </c>
      <c r="D572" s="21" t="str">
        <f ca="1">IFERROR(__xludf.DUMMYFUNCTION("""COMPUTED_VALUE"""),"Nasser Eslaquit")</f>
        <v>Nasser Eslaquit</v>
      </c>
      <c r="E572" s="125">
        <f ca="1">IFERROR(__xludf.DUMMYFUNCTION("""COMPUTED_VALUE"""),45619)</f>
        <v>45619</v>
      </c>
      <c r="F572" s="121" t="str">
        <f ca="1">IFERROR(__xludf.DUMMYFUNCTION("""COMPUTED_VALUE"""),"No ha consignado platica")</f>
        <v>No ha consignado platica</v>
      </c>
      <c r="G572" s="124" t="str">
        <f ca="1">IFERROR(__xludf.DUMMYFUNCTION("""COMPUTED_VALUE"""),"N/A")</f>
        <v>N/A</v>
      </c>
      <c r="H572" s="21"/>
    </row>
    <row r="573" spans="1:8" x14ac:dyDescent="0.2">
      <c r="A573" s="21">
        <f t="shared" si="2"/>
        <v>0</v>
      </c>
      <c r="B573" s="21" t="str">
        <f ca="1">IFERROR(__xludf.DUMMYFUNCTION("""COMPUTED_VALUE"""),"0391400013")</f>
        <v>0391400013</v>
      </c>
      <c r="C573" s="121">
        <f ca="1">IFERROR(__xludf.DUMMYFUNCTION("""COMPUTED_VALUE"""),450000)</f>
        <v>450000</v>
      </c>
      <c r="D573" s="21" t="str">
        <f ca="1">IFERROR(__xludf.DUMMYFUNCTION("""COMPUTED_VALUE"""),"Nasser Eslaquit")</f>
        <v>Nasser Eslaquit</v>
      </c>
      <c r="E573" s="125">
        <f ca="1">IFERROR(__xludf.DUMMYFUNCTION("""COMPUTED_VALUE"""),45619)</f>
        <v>45619</v>
      </c>
      <c r="F573" s="121" t="str">
        <f ca="1">IFERROR(__xludf.DUMMYFUNCTION("""COMPUTED_VALUE"""),"No ha consignado platica")</f>
        <v>No ha consignado platica</v>
      </c>
      <c r="G573" s="124" t="str">
        <f ca="1">IFERROR(__xludf.DUMMYFUNCTION("""COMPUTED_VALUE"""),"N/A")</f>
        <v>N/A</v>
      </c>
      <c r="H573" s="21"/>
    </row>
    <row r="574" spans="1:8" x14ac:dyDescent="0.2">
      <c r="A574" s="21">
        <f t="shared" si="2"/>
        <v>0</v>
      </c>
      <c r="B574" s="21" t="str">
        <f ca="1">IFERROR(__xludf.DUMMYFUNCTION("""COMPUTED_VALUE"""),"0391400014")</f>
        <v>0391400014</v>
      </c>
      <c r="C574" s="121">
        <f ca="1">IFERROR(__xludf.DUMMYFUNCTION("""COMPUTED_VALUE"""),450000)</f>
        <v>450000</v>
      </c>
      <c r="D574" s="21" t="str">
        <f ca="1">IFERROR(__xludf.DUMMYFUNCTION("""COMPUTED_VALUE"""),"Nasser Eslaquit")</f>
        <v>Nasser Eslaquit</v>
      </c>
      <c r="E574" s="125">
        <f ca="1">IFERROR(__xludf.DUMMYFUNCTION("""COMPUTED_VALUE"""),45619)</f>
        <v>45619</v>
      </c>
      <c r="F574" s="121" t="str">
        <f ca="1">IFERROR(__xludf.DUMMYFUNCTION("""COMPUTED_VALUE"""),"No ha consignado platica")</f>
        <v>No ha consignado platica</v>
      </c>
      <c r="G574" s="124" t="str">
        <f ca="1">IFERROR(__xludf.DUMMYFUNCTION("""COMPUTED_VALUE"""),"N/A")</f>
        <v>N/A</v>
      </c>
      <c r="H574" s="21"/>
    </row>
    <row r="575" spans="1:8" x14ac:dyDescent="0.2">
      <c r="A575" s="21">
        <f t="shared" si="2"/>
        <v>0</v>
      </c>
      <c r="B575" s="21" t="str">
        <f ca="1">IFERROR(__xludf.DUMMYFUNCTION("""COMPUTED_VALUE"""),"049140001")</f>
        <v>049140001</v>
      </c>
      <c r="C575" s="121">
        <f ca="1">IFERROR(__xludf.DUMMYFUNCTION("""COMPUTED_VALUE"""),705000)</f>
        <v>705000</v>
      </c>
      <c r="D575" s="21" t="str">
        <f ca="1">IFERROR(__xludf.DUMMYFUNCTION("""COMPUTED_VALUE"""),"Nasser Eslaquit")</f>
        <v>Nasser Eslaquit</v>
      </c>
      <c r="E575" s="125">
        <f ca="1">IFERROR(__xludf.DUMMYFUNCTION("""COMPUTED_VALUE"""),45619)</f>
        <v>45619</v>
      </c>
      <c r="F575" s="121">
        <f ca="1">IFERROR(__xludf.DUMMYFUNCTION("""COMPUTED_VALUE"""),670000)</f>
        <v>670000</v>
      </c>
      <c r="G575" s="124">
        <f ca="1">IFERROR(__xludf.DUMMYFUNCTION("""COMPUTED_VALUE"""),0.950354609929078)</f>
        <v>0.95035460992907805</v>
      </c>
      <c r="H575" s="21"/>
    </row>
    <row r="576" spans="1:8" x14ac:dyDescent="0.2">
      <c r="A576" s="21">
        <f t="shared" si="2"/>
        <v>0</v>
      </c>
      <c r="B576" s="21" t="str">
        <f ca="1">IFERROR(__xludf.DUMMYFUNCTION("""COMPUTED_VALUE"""),"049140002")</f>
        <v>049140002</v>
      </c>
      <c r="C576" s="121">
        <f ca="1">IFERROR(__xludf.DUMMYFUNCTION("""COMPUTED_VALUE"""),705000)</f>
        <v>705000</v>
      </c>
      <c r="D576" s="21" t="str">
        <f ca="1">IFERROR(__xludf.DUMMYFUNCTION("""COMPUTED_VALUE"""),"Nasser Eslaquit")</f>
        <v>Nasser Eslaquit</v>
      </c>
      <c r="E576" s="125">
        <f ca="1">IFERROR(__xludf.DUMMYFUNCTION("""COMPUTED_VALUE"""),45619)</f>
        <v>45619</v>
      </c>
      <c r="F576" s="121">
        <f ca="1">IFERROR(__xludf.DUMMYFUNCTION("""COMPUTED_VALUE"""),670000)</f>
        <v>670000</v>
      </c>
      <c r="G576" s="124">
        <f ca="1">IFERROR(__xludf.DUMMYFUNCTION("""COMPUTED_VALUE"""),0.950354609929078)</f>
        <v>0.95035460992907805</v>
      </c>
      <c r="H576" s="21"/>
    </row>
    <row r="577" spans="1:8" x14ac:dyDescent="0.2">
      <c r="A577" s="21">
        <f t="shared" si="2"/>
        <v>0</v>
      </c>
      <c r="B577" s="21" t="str">
        <f ca="1">IFERROR(__xludf.DUMMYFUNCTION("""COMPUTED_VALUE"""),"069140001")</f>
        <v>069140001</v>
      </c>
      <c r="C577" s="121">
        <f ca="1">IFERROR(__xludf.DUMMYFUNCTION("""COMPUTED_VALUE"""),240000)</f>
        <v>240000</v>
      </c>
      <c r="D577" s="21" t="str">
        <f ca="1">IFERROR(__xludf.DUMMYFUNCTION("""COMPUTED_VALUE"""),"Nasser Eslaquit")</f>
        <v>Nasser Eslaquit</v>
      </c>
      <c r="E577" s="125">
        <f ca="1">IFERROR(__xludf.DUMMYFUNCTION("""COMPUTED_VALUE"""),45619)</f>
        <v>45619</v>
      </c>
      <c r="F577" s="121">
        <f ca="1">IFERROR(__xludf.DUMMYFUNCTION("""COMPUTED_VALUE"""),105000)</f>
        <v>105000</v>
      </c>
      <c r="G577" s="124">
        <f ca="1">IFERROR(__xludf.DUMMYFUNCTION("""COMPUTED_VALUE"""),0.4375)</f>
        <v>0.4375</v>
      </c>
      <c r="H577" s="21"/>
    </row>
    <row r="578" spans="1:8" x14ac:dyDescent="0.2">
      <c r="A578" s="21">
        <f t="shared" si="2"/>
        <v>0</v>
      </c>
      <c r="B578" s="21" t="str">
        <f ca="1">IFERROR(__xludf.DUMMYFUNCTION("""COMPUTED_VALUE"""),"029140002")</f>
        <v>029140002</v>
      </c>
      <c r="C578" s="121">
        <f ca="1">IFERROR(__xludf.DUMMYFUNCTION("""COMPUTED_VALUE"""),240000)</f>
        <v>240000</v>
      </c>
      <c r="D578" s="21" t="str">
        <f ca="1">IFERROR(__xludf.DUMMYFUNCTION("""COMPUTED_VALUE"""),"Nasser Eslaquit")</f>
        <v>Nasser Eslaquit</v>
      </c>
      <c r="E578" s="125">
        <f ca="1">IFERROR(__xludf.DUMMYFUNCTION("""COMPUTED_VALUE"""),45619)</f>
        <v>45619</v>
      </c>
      <c r="F578" s="121">
        <f ca="1">IFERROR(__xludf.DUMMYFUNCTION("""COMPUTED_VALUE"""),105000)</f>
        <v>105000</v>
      </c>
      <c r="G578" s="124">
        <f ca="1">IFERROR(__xludf.DUMMYFUNCTION("""COMPUTED_VALUE"""),0.4375)</f>
        <v>0.4375</v>
      </c>
      <c r="H578" s="21"/>
    </row>
    <row r="579" spans="1:8" x14ac:dyDescent="0.2">
      <c r="A579" s="21">
        <f t="shared" si="2"/>
        <v>0</v>
      </c>
      <c r="B579" s="21" t="str">
        <f ca="1">IFERROR(__xludf.DUMMYFUNCTION("""COMPUTED_VALUE"""),"039325004")</f>
        <v>039325004</v>
      </c>
      <c r="C579" s="121">
        <f ca="1">IFERROR(__xludf.DUMMYFUNCTION("""COMPUTED_VALUE"""),450000)</f>
        <v>450000</v>
      </c>
      <c r="D579" s="21" t="str">
        <f ca="1">IFERROR(__xludf.DUMMYFUNCTION("""COMPUTED_VALUE"""),"Nasser Eslaquit")</f>
        <v>Nasser Eslaquit</v>
      </c>
      <c r="E579" s="123">
        <f ca="1">IFERROR(__xludf.DUMMYFUNCTION("""COMPUTED_VALUE"""),45625)</f>
        <v>45625</v>
      </c>
      <c r="F579" s="121">
        <f ca="1">IFERROR(__xludf.DUMMYFUNCTION("""COMPUTED_VALUE"""),450000)</f>
        <v>450000</v>
      </c>
      <c r="G579" s="124">
        <f ca="1">IFERROR(__xludf.DUMMYFUNCTION("""COMPUTED_VALUE"""),1)</f>
        <v>1</v>
      </c>
      <c r="H579" s="21"/>
    </row>
    <row r="580" spans="1:8" x14ac:dyDescent="0.2">
      <c r="A580" s="21">
        <f t="shared" si="2"/>
        <v>0</v>
      </c>
      <c r="B580" s="21" t="str">
        <f ca="1">IFERROR(__xludf.DUMMYFUNCTION("""COMPUTED_VALUE"""),"034101003")</f>
        <v>034101003</v>
      </c>
      <c r="C580" s="121">
        <f ca="1">IFERROR(__xludf.DUMMYFUNCTION("""COMPUTED_VALUE"""),450000)</f>
        <v>450000</v>
      </c>
      <c r="D580" s="21" t="str">
        <f ca="1">IFERROR(__xludf.DUMMYFUNCTION("""COMPUTED_VALUE"""),"Emel Rodríguez")</f>
        <v>Emel Rodríguez</v>
      </c>
      <c r="E580" s="123">
        <f ca="1">IFERROR(__xludf.DUMMYFUNCTION("""COMPUTED_VALUE"""),45611)</f>
        <v>45611</v>
      </c>
      <c r="F580" s="121" t="str">
        <f ca="1">IFERROR(__xludf.DUMMYFUNCTION("""COMPUTED_VALUE"""),"No ha consignado platica")</f>
        <v>No ha consignado platica</v>
      </c>
      <c r="G580" s="124" t="str">
        <f ca="1">IFERROR(__xludf.DUMMYFUNCTION("""COMPUTED_VALUE"""),"N/A")</f>
        <v>N/A</v>
      </c>
      <c r="H580" s="21"/>
    </row>
    <row r="581" spans="1:8" x14ac:dyDescent="0.2">
      <c r="A581" s="21">
        <f t="shared" si="2"/>
        <v>0</v>
      </c>
      <c r="B581" s="21" t="str">
        <f ca="1">IFERROR(__xludf.DUMMYFUNCTION("""COMPUTED_VALUE"""),"03120400141")</f>
        <v>03120400141</v>
      </c>
      <c r="C581" s="121">
        <f ca="1">IFERROR(__xludf.DUMMYFUNCTION("""COMPUTED_VALUE"""),450000)</f>
        <v>450000</v>
      </c>
      <c r="D581" s="21"/>
      <c r="E581" s="21"/>
      <c r="F581" s="121" t="str">
        <f ca="1">IFERROR(__xludf.DUMMYFUNCTION("""COMPUTED_VALUE"""),"No ha consignado platica")</f>
        <v>No ha consignado platica</v>
      </c>
      <c r="G581" s="124" t="str">
        <f ca="1">IFERROR(__xludf.DUMMYFUNCTION("""COMPUTED_VALUE"""),"N/A")</f>
        <v>N/A</v>
      </c>
      <c r="H581" s="21"/>
    </row>
    <row r="582" spans="1:8" x14ac:dyDescent="0.2">
      <c r="A582" s="21">
        <f t="shared" si="2"/>
        <v>0</v>
      </c>
      <c r="B582" s="21" t="str">
        <f ca="1">IFERROR(__xludf.DUMMYFUNCTION("""COMPUTED_VALUE"""),"021210002")</f>
        <v>021210002</v>
      </c>
      <c r="C582" s="121">
        <f ca="1">IFERROR(__xludf.DUMMYFUNCTION("""COMPUTED_VALUE"""),240000)</f>
        <v>240000</v>
      </c>
      <c r="D582" s="21"/>
      <c r="E582" s="21"/>
      <c r="F582" s="121" t="str">
        <f ca="1">IFERROR(__xludf.DUMMYFUNCTION("""COMPUTED_VALUE"""),"No ha consignado platica")</f>
        <v>No ha consignado platica</v>
      </c>
      <c r="G582" s="124" t="str">
        <f ca="1">IFERROR(__xludf.DUMMYFUNCTION("""COMPUTED_VALUE"""),"N/A")</f>
        <v>N/A</v>
      </c>
      <c r="H582" s="21"/>
    </row>
    <row r="583" spans="1:8" x14ac:dyDescent="0.2">
      <c r="A583" s="21">
        <f t="shared" si="2"/>
        <v>0</v>
      </c>
      <c r="B583" s="21" t="str">
        <f ca="1">IFERROR(__xludf.DUMMYFUNCTION("""COMPUTED_VALUE"""),"021210003")</f>
        <v>021210003</v>
      </c>
      <c r="C583" s="121">
        <f ca="1">IFERROR(__xludf.DUMMYFUNCTION("""COMPUTED_VALUE"""),240000)</f>
        <v>240000</v>
      </c>
      <c r="D583" s="21"/>
      <c r="E583" s="21"/>
      <c r="F583" s="121">
        <f ca="1">IFERROR(__xludf.DUMMYFUNCTION("""COMPUTED_VALUE"""),50000)</f>
        <v>50000</v>
      </c>
      <c r="G583" s="124">
        <f ca="1">IFERROR(__xludf.DUMMYFUNCTION("""COMPUTED_VALUE"""),0.208333333333333)</f>
        <v>0.20833333333333301</v>
      </c>
      <c r="H583" s="21"/>
    </row>
    <row r="584" spans="1:8" x14ac:dyDescent="0.2">
      <c r="A584" s="21">
        <f t="shared" si="2"/>
        <v>0</v>
      </c>
      <c r="B584" s="21" t="str">
        <f ca="1">IFERROR(__xludf.DUMMYFUNCTION("""COMPUTED_VALUE"""),"011204005")</f>
        <v>011204005</v>
      </c>
      <c r="C584" s="121">
        <f ca="1">IFERROR(__xludf.DUMMYFUNCTION("""COMPUTED_VALUE"""),330000)</f>
        <v>330000</v>
      </c>
      <c r="D584" s="21"/>
      <c r="E584" s="21"/>
      <c r="F584" s="121">
        <f ca="1">IFERROR(__xludf.DUMMYFUNCTION("""COMPUTED_VALUE"""),220000)</f>
        <v>220000</v>
      </c>
      <c r="G584" s="124">
        <f ca="1">IFERROR(__xludf.DUMMYFUNCTION("""COMPUTED_VALUE"""),0.666666666666666)</f>
        <v>0.66666666666666596</v>
      </c>
      <c r="H584" s="21"/>
    </row>
    <row r="585" spans="1:8" x14ac:dyDescent="0.2">
      <c r="A585" s="21">
        <f t="shared" si="2"/>
        <v>0</v>
      </c>
      <c r="B585" s="21" t="str">
        <f ca="1">IFERROR(__xludf.DUMMYFUNCTION("""COMPUTED_VALUE"""),"011204006")</f>
        <v>011204006</v>
      </c>
      <c r="C585" s="121">
        <f ca="1">IFERROR(__xludf.DUMMYFUNCTION("""COMPUTED_VALUE"""),330000)</f>
        <v>330000</v>
      </c>
      <c r="D585" s="21"/>
      <c r="E585" s="21"/>
      <c r="F585" s="121">
        <f ca="1">IFERROR(__xludf.DUMMYFUNCTION("""COMPUTED_VALUE"""),220000)</f>
        <v>220000</v>
      </c>
      <c r="G585" s="124">
        <f ca="1">IFERROR(__xludf.DUMMYFUNCTION("""COMPUTED_VALUE"""),0.666666666666666)</f>
        <v>0.66666666666666596</v>
      </c>
      <c r="H585" s="21"/>
    </row>
    <row r="586" spans="1:8" x14ac:dyDescent="0.2">
      <c r="A586" s="21">
        <f t="shared" si="2"/>
        <v>0</v>
      </c>
      <c r="B586" s="21" t="str">
        <f ca="1">IFERROR(__xludf.DUMMYFUNCTION("""COMPUTED_VALUE"""),"061204001")</f>
        <v>061204001</v>
      </c>
      <c r="C586" s="121">
        <f ca="1">IFERROR(__xludf.DUMMYFUNCTION("""COMPUTED_VALUE"""),240000)</f>
        <v>240000</v>
      </c>
      <c r="D586" s="21"/>
      <c r="E586" s="21"/>
      <c r="F586" s="121" t="str">
        <f ca="1">IFERROR(__xludf.DUMMYFUNCTION("""COMPUTED_VALUE"""),"No ha consignado platica")</f>
        <v>No ha consignado platica</v>
      </c>
      <c r="G586" s="124" t="str">
        <f ca="1">IFERROR(__xludf.DUMMYFUNCTION("""COMPUTED_VALUE"""),"N/A")</f>
        <v>N/A</v>
      </c>
      <c r="H586" s="21"/>
    </row>
    <row r="587" spans="1:8" x14ac:dyDescent="0.2">
      <c r="A587" s="21">
        <f t="shared" si="2"/>
        <v>0</v>
      </c>
      <c r="B587" s="21" t="str">
        <f ca="1">IFERROR(__xludf.DUMMYFUNCTION("""COMPUTED_VALUE"""),"039144006")</f>
        <v>039144006</v>
      </c>
      <c r="C587" s="121">
        <f ca="1">IFERROR(__xludf.DUMMYFUNCTION("""COMPUTED_VALUE"""),450000)</f>
        <v>450000</v>
      </c>
      <c r="D587" s="21" t="str">
        <f ca="1">IFERROR(__xludf.DUMMYFUNCTION("""COMPUTED_VALUE"""),"Nasser Eslaquit")</f>
        <v>Nasser Eslaquit</v>
      </c>
      <c r="E587" s="125">
        <f ca="1">IFERROR(__xludf.DUMMYFUNCTION("""COMPUTED_VALUE"""),45639)</f>
        <v>45639</v>
      </c>
      <c r="F587" s="121">
        <f ca="1">IFERROR(__xludf.DUMMYFUNCTION("""COMPUTED_VALUE"""),450000)</f>
        <v>450000</v>
      </c>
      <c r="G587" s="124">
        <f ca="1">IFERROR(__xludf.DUMMYFUNCTION("""COMPUTED_VALUE"""),1)</f>
        <v>1</v>
      </c>
      <c r="H587" s="21"/>
    </row>
    <row r="588" spans="1:8" x14ac:dyDescent="0.2">
      <c r="A588" s="21">
        <f t="shared" si="2"/>
        <v>0</v>
      </c>
      <c r="B588" s="21" t="str">
        <f ca="1">IFERROR(__xludf.DUMMYFUNCTION("""COMPUTED_VALUE"""),"032111001")</f>
        <v>032111001</v>
      </c>
      <c r="C588" s="121">
        <f ca="1">IFERROR(__xludf.DUMMYFUNCTION("""COMPUTED_VALUE"""),450000)</f>
        <v>450000</v>
      </c>
      <c r="D588" s="21" t="str">
        <f ca="1">IFERROR(__xludf.DUMMYFUNCTION("""COMPUTED_VALUE"""),"Laura Arbelaez")</f>
        <v>Laura Arbelaez</v>
      </c>
      <c r="E588" s="21"/>
      <c r="F588" s="121" t="str">
        <f ca="1">IFERROR(__xludf.DUMMYFUNCTION("""COMPUTED_VALUE"""),"No ha consignado platica")</f>
        <v>No ha consignado platica</v>
      </c>
      <c r="G588" s="124" t="str">
        <f ca="1">IFERROR(__xludf.DUMMYFUNCTION("""COMPUTED_VALUE"""),"N/A")</f>
        <v>N/A</v>
      </c>
      <c r="H588" s="21"/>
    </row>
    <row r="589" spans="1:8" x14ac:dyDescent="0.2">
      <c r="A589" s="21">
        <f t="shared" si="2"/>
        <v>0</v>
      </c>
      <c r="B589" s="21" t="str">
        <f ca="1">IFERROR(__xludf.DUMMYFUNCTION("""COMPUTED_VALUE"""),"039101008")</f>
        <v>039101008</v>
      </c>
      <c r="C589" s="121">
        <f ca="1">IFERROR(__xludf.DUMMYFUNCTION("""COMPUTED_VALUE"""),450000)</f>
        <v>450000</v>
      </c>
      <c r="D589" s="21" t="str">
        <f ca="1">IFERROR(__xludf.DUMMYFUNCTION("""COMPUTED_VALUE"""),"Nathalia Nieto")</f>
        <v>Nathalia Nieto</v>
      </c>
      <c r="E589" s="125">
        <f ca="1">IFERROR(__xludf.DUMMYFUNCTION("""COMPUTED_VALUE"""),45619)</f>
        <v>45619</v>
      </c>
      <c r="F589" s="121">
        <f ca="1">IFERROR(__xludf.DUMMYFUNCTION("""COMPUTED_VALUE"""),450000)</f>
        <v>450000</v>
      </c>
      <c r="G589" s="124">
        <f ca="1">IFERROR(__xludf.DUMMYFUNCTION("""COMPUTED_VALUE"""),1)</f>
        <v>1</v>
      </c>
      <c r="H589" s="21"/>
    </row>
    <row r="590" spans="1:8" x14ac:dyDescent="0.2">
      <c r="A590" s="21">
        <f t="shared" si="2"/>
        <v>0</v>
      </c>
      <c r="B590" s="21"/>
      <c r="C590" s="21"/>
      <c r="D590" s="21"/>
      <c r="E590" s="21"/>
      <c r="F590" s="21"/>
      <c r="G590" s="21"/>
      <c r="H590" s="21"/>
    </row>
    <row r="591" spans="1:8" x14ac:dyDescent="0.2">
      <c r="A591" s="21">
        <f t="shared" si="2"/>
        <v>0</v>
      </c>
      <c r="B591" s="21" t="str">
        <f ca="1">IFERROR(__xludf.DUMMYFUNCTION("""COMPUTED_VALUE"""),"039325005")</f>
        <v>039325005</v>
      </c>
      <c r="C591" s="121">
        <f ca="1">IFERROR(__xludf.DUMMYFUNCTION("""COMPUTED_VALUE"""),450000)</f>
        <v>450000</v>
      </c>
      <c r="D591" s="21" t="str">
        <f ca="1">IFERROR(__xludf.DUMMYFUNCTION("""COMPUTED_VALUE"""),"Nasser Eslaquit")</f>
        <v>Nasser Eslaquit</v>
      </c>
      <c r="E591" s="123">
        <f ca="1">IFERROR(__xludf.DUMMYFUNCTION("""COMPUTED_VALUE"""),45668)</f>
        <v>45668</v>
      </c>
      <c r="F591" s="121" t="str">
        <f ca="1">IFERROR(__xludf.DUMMYFUNCTION("""COMPUTED_VALUE"""),"No ha consignado platica")</f>
        <v>No ha consignado platica</v>
      </c>
      <c r="G591" s="124" t="str">
        <f ca="1">IFERROR(__xludf.DUMMYFUNCTION("""COMPUTED_VALUE"""),"N/A")</f>
        <v>N/A</v>
      </c>
      <c r="H591" s="21"/>
    </row>
    <row r="592" spans="1:8" x14ac:dyDescent="0.2">
      <c r="A592" s="21">
        <f t="shared" si="2"/>
        <v>0</v>
      </c>
      <c r="B592" s="21" t="str">
        <f ca="1">IFERROR(__xludf.DUMMYFUNCTION("""COMPUTED_VALUE"""),"039325006")</f>
        <v>039325006</v>
      </c>
      <c r="C592" s="121">
        <f ca="1">IFERROR(__xludf.DUMMYFUNCTION("""COMPUTED_VALUE"""),450000)</f>
        <v>450000</v>
      </c>
      <c r="D592" s="21" t="str">
        <f ca="1">IFERROR(__xludf.DUMMYFUNCTION("""COMPUTED_VALUE"""),"Nasser Eslaquit")</f>
        <v>Nasser Eslaquit</v>
      </c>
      <c r="E592" s="123">
        <f ca="1">IFERROR(__xludf.DUMMYFUNCTION("""COMPUTED_VALUE"""),45668)</f>
        <v>45668</v>
      </c>
      <c r="F592" s="121">
        <f ca="1">IFERROR(__xludf.DUMMYFUNCTION("""COMPUTED_VALUE"""),450000)</f>
        <v>450000</v>
      </c>
      <c r="G592" s="124">
        <f ca="1">IFERROR(__xludf.DUMMYFUNCTION("""COMPUTED_VALUE"""),1)</f>
        <v>1</v>
      </c>
      <c r="H592" s="21"/>
    </row>
    <row r="593" spans="1:8" x14ac:dyDescent="0.2">
      <c r="A593" s="21">
        <f t="shared" si="2"/>
        <v>0</v>
      </c>
      <c r="B593" s="21" t="str">
        <f ca="1">IFERROR(__xludf.DUMMYFUNCTION("""COMPUTED_VALUE"""),"0393010017")</f>
        <v>0393010017</v>
      </c>
      <c r="C593" s="121">
        <f ca="1">IFERROR(__xludf.DUMMYFUNCTION("""COMPUTED_VALUE"""),450000)</f>
        <v>450000</v>
      </c>
      <c r="D593" s="21" t="str">
        <f ca="1">IFERROR(__xludf.DUMMYFUNCTION("""COMPUTED_VALUE"""),"Nasser Eslaquit")</f>
        <v>Nasser Eslaquit</v>
      </c>
      <c r="E593" s="123">
        <f ca="1">IFERROR(__xludf.DUMMYFUNCTION("""COMPUTED_VALUE"""),45668)</f>
        <v>45668</v>
      </c>
      <c r="F593" s="121" t="str">
        <f ca="1">IFERROR(__xludf.DUMMYFUNCTION("""COMPUTED_VALUE"""),"No ha consignado platica")</f>
        <v>No ha consignado platica</v>
      </c>
      <c r="G593" s="124" t="str">
        <f ca="1">IFERROR(__xludf.DUMMYFUNCTION("""COMPUTED_VALUE"""),"N/A")</f>
        <v>N/A</v>
      </c>
      <c r="H593" s="21"/>
    </row>
    <row r="594" spans="1:8" x14ac:dyDescent="0.2">
      <c r="A594" s="21">
        <f t="shared" si="2"/>
        <v>0</v>
      </c>
      <c r="B594" s="21" t="str">
        <f ca="1">IFERROR(__xludf.DUMMYFUNCTION("""COMPUTED_VALUE"""),"0393010018")</f>
        <v>0393010018</v>
      </c>
      <c r="C594" s="121">
        <f ca="1">IFERROR(__xludf.DUMMYFUNCTION("""COMPUTED_VALUE"""),450000)</f>
        <v>450000</v>
      </c>
      <c r="D594" s="21" t="str">
        <f ca="1">IFERROR(__xludf.DUMMYFUNCTION("""COMPUTED_VALUE"""),"Nasser Eslaquit")</f>
        <v>Nasser Eslaquit</v>
      </c>
      <c r="E594" s="123">
        <f ca="1">IFERROR(__xludf.DUMMYFUNCTION("""COMPUTED_VALUE"""),45668)</f>
        <v>45668</v>
      </c>
      <c r="F594" s="121">
        <f ca="1">IFERROR(__xludf.DUMMYFUNCTION("""COMPUTED_VALUE"""),450000)</f>
        <v>450000</v>
      </c>
      <c r="G594" s="124">
        <f ca="1">IFERROR(__xludf.DUMMYFUNCTION("""COMPUTED_VALUE"""),1)</f>
        <v>1</v>
      </c>
      <c r="H594" s="21"/>
    </row>
    <row r="595" spans="1:8" x14ac:dyDescent="0.2">
      <c r="A595" s="126" t="str">
        <f t="shared" ca="1" si="2"/>
        <v>Verónica Durango</v>
      </c>
      <c r="B595" s="21" t="str">
        <f ca="1">IFERROR(__xludf.DUMMYFUNCTION("""COMPUTED_VALUE"""),"031210001")</f>
        <v>031210001</v>
      </c>
      <c r="C595" s="121">
        <f ca="1">IFERROR(__xludf.DUMMYFUNCTION("""COMPUTED_VALUE"""),450000)</f>
        <v>450000</v>
      </c>
      <c r="D595" s="21" t="str">
        <f ca="1">IFERROR(__xludf.DUMMYFUNCTION("""COMPUTED_VALUE"""),"Yesica Mazo")</f>
        <v>Yesica Mazo</v>
      </c>
      <c r="E595" s="123">
        <f ca="1">IFERROR(__xludf.DUMMYFUNCTION("""COMPUTED_VALUE"""),45689)</f>
        <v>45689</v>
      </c>
      <c r="F595" s="121">
        <f ca="1">IFERROR(__xludf.DUMMYFUNCTION("""COMPUTED_VALUE"""),250000)</f>
        <v>250000</v>
      </c>
      <c r="G595" s="124">
        <f ca="1">IFERROR(__xludf.DUMMYFUNCTION("""COMPUTED_VALUE"""),0.555555555555555)</f>
        <v>0.55555555555555503</v>
      </c>
      <c r="H595" s="126" t="str">
        <f ca="1">IFERROR(__xludf.DUMMYFUNCTION("""COMPUTED_VALUE"""),"Verónica Durango")</f>
        <v>Verónica Durango</v>
      </c>
    </row>
    <row r="596" spans="1:8" x14ac:dyDescent="0.2">
      <c r="A596" s="126" t="str">
        <f t="shared" ca="1" si="2"/>
        <v>Paola Agudelo</v>
      </c>
      <c r="B596" s="21" t="str">
        <f ca="1">IFERROR(__xludf.DUMMYFUNCTION("""COMPUTED_VALUE"""),"031210002")</f>
        <v>031210002</v>
      </c>
      <c r="C596" s="121">
        <f ca="1">IFERROR(__xludf.DUMMYFUNCTION("""COMPUTED_VALUE"""),450000)</f>
        <v>450000</v>
      </c>
      <c r="D596" s="21" t="str">
        <f ca="1">IFERROR(__xludf.DUMMYFUNCTION("""COMPUTED_VALUE"""),"Yesica Mazo")</f>
        <v>Yesica Mazo</v>
      </c>
      <c r="E596" s="123">
        <f ca="1">IFERROR(__xludf.DUMMYFUNCTION("""COMPUTED_VALUE"""),45696)</f>
        <v>45696</v>
      </c>
      <c r="F596" s="121">
        <f ca="1">IFERROR(__xludf.DUMMYFUNCTION("""COMPUTED_VALUE"""),225000)</f>
        <v>225000</v>
      </c>
      <c r="G596" s="124">
        <f ca="1">IFERROR(__xludf.DUMMYFUNCTION("""COMPUTED_VALUE"""),0.5)</f>
        <v>0.5</v>
      </c>
      <c r="H596" s="126" t="str">
        <f ca="1">IFERROR(__xludf.DUMMYFUNCTION("""COMPUTED_VALUE"""),"Paola Agudelo")</f>
        <v>Paola Agudelo</v>
      </c>
    </row>
    <row r="597" spans="1:8" x14ac:dyDescent="0.2">
      <c r="A597" s="126" t="str">
        <f t="shared" ca="1" si="2"/>
        <v>Ruth Ramirez</v>
      </c>
      <c r="B597" s="21" t="str">
        <f ca="1">IFERROR(__xludf.DUMMYFUNCTION("""COMPUTED_VALUE"""),"031210003")</f>
        <v>031210003</v>
      </c>
      <c r="C597" s="121">
        <f ca="1">IFERROR(__xludf.DUMMYFUNCTION("""COMPUTED_VALUE"""),450000)</f>
        <v>450000</v>
      </c>
      <c r="D597" s="21" t="str">
        <f ca="1">IFERROR(__xludf.DUMMYFUNCTION("""COMPUTED_VALUE"""),"Yesica Mazo")</f>
        <v>Yesica Mazo</v>
      </c>
      <c r="E597" s="123">
        <f ca="1">IFERROR(__xludf.DUMMYFUNCTION("""COMPUTED_VALUE"""),45696)</f>
        <v>45696</v>
      </c>
      <c r="F597" s="121">
        <f ca="1">IFERROR(__xludf.DUMMYFUNCTION("""COMPUTED_VALUE"""),450000)</f>
        <v>450000</v>
      </c>
      <c r="G597" s="124">
        <f ca="1">IFERROR(__xludf.DUMMYFUNCTION("""COMPUTED_VALUE"""),1)</f>
        <v>1</v>
      </c>
      <c r="H597" s="126" t="str">
        <f ca="1">IFERROR(__xludf.DUMMYFUNCTION("""COMPUTED_VALUE"""),"Ruth Ramirez")</f>
        <v>Ruth Ramirez</v>
      </c>
    </row>
    <row r="598" spans="1:8" x14ac:dyDescent="0.2">
      <c r="A598" s="126" t="str">
        <f t="shared" ca="1" si="2"/>
        <v>Sandra Castrillón</v>
      </c>
      <c r="B598" s="21" t="str">
        <f ca="1">IFERROR(__xludf.DUMMYFUNCTION("""COMPUTED_VALUE"""),"031210004")</f>
        <v>031210004</v>
      </c>
      <c r="C598" s="121">
        <f ca="1">IFERROR(__xludf.DUMMYFUNCTION("""COMPUTED_VALUE"""),450000)</f>
        <v>450000</v>
      </c>
      <c r="D598" s="21" t="str">
        <f ca="1">IFERROR(__xludf.DUMMYFUNCTION("""COMPUTED_VALUE"""),"Yesica Mazo")</f>
        <v>Yesica Mazo</v>
      </c>
      <c r="E598" s="123">
        <f ca="1">IFERROR(__xludf.DUMMYFUNCTION("""COMPUTED_VALUE"""),45696)</f>
        <v>45696</v>
      </c>
      <c r="F598" s="121">
        <f ca="1">IFERROR(__xludf.DUMMYFUNCTION("""COMPUTED_VALUE"""),250000)</f>
        <v>250000</v>
      </c>
      <c r="G598" s="124">
        <f ca="1">IFERROR(__xludf.DUMMYFUNCTION("""COMPUTED_VALUE"""),0.555555555555555)</f>
        <v>0.55555555555555503</v>
      </c>
      <c r="H598" s="126" t="str">
        <f ca="1">IFERROR(__xludf.DUMMYFUNCTION("""COMPUTED_VALUE"""),"Sandra Castrillón")</f>
        <v>Sandra Castrillón</v>
      </c>
    </row>
    <row r="599" spans="1:8" x14ac:dyDescent="0.2">
      <c r="A599" s="126" t="str">
        <f t="shared" ca="1" si="2"/>
        <v>Miguel Angel Giraldo</v>
      </c>
      <c r="B599" s="21" t="str">
        <f ca="1">IFERROR(__xludf.DUMMYFUNCTION("""COMPUTED_VALUE"""),"031210005")</f>
        <v>031210005</v>
      </c>
      <c r="C599" s="121">
        <f ca="1">IFERROR(__xludf.DUMMYFUNCTION("""COMPUTED_VALUE"""),450000)</f>
        <v>450000</v>
      </c>
      <c r="D599" s="21" t="str">
        <f ca="1">IFERROR(__xludf.DUMMYFUNCTION("""COMPUTED_VALUE"""),"Yesica Mazo")</f>
        <v>Yesica Mazo</v>
      </c>
      <c r="E599" s="123">
        <f ca="1">IFERROR(__xludf.DUMMYFUNCTION("""COMPUTED_VALUE"""),45696)</f>
        <v>45696</v>
      </c>
      <c r="F599" s="121" t="str">
        <f ca="1">IFERROR(__xludf.DUMMYFUNCTION("""COMPUTED_VALUE"""),"No ha consignado platica")</f>
        <v>No ha consignado platica</v>
      </c>
      <c r="G599" s="124" t="str">
        <f ca="1">IFERROR(__xludf.DUMMYFUNCTION("""COMPUTED_VALUE"""),"N/A")</f>
        <v>N/A</v>
      </c>
      <c r="H599" s="126" t="str">
        <f ca="1">IFERROR(__xludf.DUMMYFUNCTION("""COMPUTED_VALUE"""),"Miguel Angel Giraldo")</f>
        <v>Miguel Angel Giraldo</v>
      </c>
    </row>
    <row r="600" spans="1:8" x14ac:dyDescent="0.2">
      <c r="A600" s="126" t="str">
        <f t="shared" ca="1" si="2"/>
        <v>Andrés Felipe Osorio</v>
      </c>
      <c r="B600" s="21" t="str">
        <f ca="1">IFERROR(__xludf.DUMMYFUNCTION("""COMPUTED_VALUE"""),"031210006")</f>
        <v>031210006</v>
      </c>
      <c r="C600" s="121">
        <f ca="1">IFERROR(__xludf.DUMMYFUNCTION("""COMPUTED_VALUE"""),450000)</f>
        <v>450000</v>
      </c>
      <c r="D600" s="21" t="str">
        <f ca="1">IFERROR(__xludf.DUMMYFUNCTION("""COMPUTED_VALUE"""),"Yesica Mazo")</f>
        <v>Yesica Mazo</v>
      </c>
      <c r="E600" s="123">
        <f ca="1">IFERROR(__xludf.DUMMYFUNCTION("""COMPUTED_VALUE"""),45696)</f>
        <v>45696</v>
      </c>
      <c r="F600" s="121">
        <f ca="1">IFERROR(__xludf.DUMMYFUNCTION("""COMPUTED_VALUE"""),250000)</f>
        <v>250000</v>
      </c>
      <c r="G600" s="124">
        <f ca="1">IFERROR(__xludf.DUMMYFUNCTION("""COMPUTED_VALUE"""),0.555555555555555)</f>
        <v>0.55555555555555503</v>
      </c>
      <c r="H600" s="126" t="str">
        <f ca="1">IFERROR(__xludf.DUMMYFUNCTION("""COMPUTED_VALUE"""),"Andrés Felipe Osorio")</f>
        <v>Andrés Felipe Osorio</v>
      </c>
    </row>
    <row r="601" spans="1:8" x14ac:dyDescent="0.2">
      <c r="A601" s="126" t="str">
        <f t="shared" ca="1" si="2"/>
        <v>Ruth Ramirez</v>
      </c>
      <c r="B601" s="21" t="str">
        <f ca="1">IFERROR(__xludf.DUMMYFUNCTION("""COMPUTED_VALUE"""),"011210002")</f>
        <v>011210002</v>
      </c>
      <c r="C601" s="121">
        <f ca="1">IFERROR(__xludf.DUMMYFUNCTION("""COMPUTED_VALUE"""),220000)</f>
        <v>220000</v>
      </c>
      <c r="D601" s="21" t="str">
        <f ca="1">IFERROR(__xludf.DUMMYFUNCTION("""COMPUTED_VALUE"""),"Yesica Mazo")</f>
        <v>Yesica Mazo</v>
      </c>
      <c r="E601" s="123">
        <f ca="1">IFERROR(__xludf.DUMMYFUNCTION("""COMPUTED_VALUE"""),45696)</f>
        <v>45696</v>
      </c>
      <c r="F601" s="121">
        <f ca="1">IFERROR(__xludf.DUMMYFUNCTION("""COMPUTED_VALUE"""),100000)</f>
        <v>100000</v>
      </c>
      <c r="G601" s="124">
        <f ca="1">IFERROR(__xludf.DUMMYFUNCTION("""COMPUTED_VALUE"""),0.454545454545454)</f>
        <v>0.45454545454545398</v>
      </c>
      <c r="H601" s="126" t="str">
        <f ca="1">IFERROR(__xludf.DUMMYFUNCTION("""COMPUTED_VALUE"""),"Ruth Ramirez")</f>
        <v>Ruth Ramirez</v>
      </c>
    </row>
    <row r="602" spans="1:8" x14ac:dyDescent="0.2">
      <c r="A602" s="126" t="str">
        <f t="shared" ca="1" si="2"/>
        <v>Bibiana Valencia</v>
      </c>
      <c r="B602" s="21" t="str">
        <f ca="1">IFERROR(__xludf.DUMMYFUNCTION("""COMPUTED_VALUE"""),"011210003")</f>
        <v>011210003</v>
      </c>
      <c r="C602" s="121">
        <f ca="1">IFERROR(__xludf.DUMMYFUNCTION("""COMPUTED_VALUE"""),220000)</f>
        <v>220000</v>
      </c>
      <c r="D602" s="21" t="str">
        <f ca="1">IFERROR(__xludf.DUMMYFUNCTION("""COMPUTED_VALUE"""),"Yesica Mazo")</f>
        <v>Yesica Mazo</v>
      </c>
      <c r="E602" s="123">
        <f ca="1">IFERROR(__xludf.DUMMYFUNCTION("""COMPUTED_VALUE"""),45696)</f>
        <v>45696</v>
      </c>
      <c r="F602" s="121" t="str">
        <f ca="1">IFERROR(__xludf.DUMMYFUNCTION("""COMPUTED_VALUE"""),"No ha consignado platica")</f>
        <v>No ha consignado platica</v>
      </c>
      <c r="G602" s="124" t="str">
        <f ca="1">IFERROR(__xludf.DUMMYFUNCTION("""COMPUTED_VALUE"""),"N/A")</f>
        <v>N/A</v>
      </c>
      <c r="H602" s="126" t="str">
        <f ca="1">IFERROR(__xludf.DUMMYFUNCTION("""COMPUTED_VALUE"""),"Bibiana Valencia")</f>
        <v>Bibiana Valencia</v>
      </c>
    </row>
    <row r="603" spans="1:8" x14ac:dyDescent="0.2">
      <c r="A603" s="126" t="str">
        <f t="shared" ca="1" si="2"/>
        <v>Sandra Castrillón</v>
      </c>
      <c r="B603" s="21" t="str">
        <f ca="1">IFERROR(__xludf.DUMMYFUNCTION("""COMPUTED_VALUE"""),"021210004")</f>
        <v>021210004</v>
      </c>
      <c r="C603" s="121">
        <f ca="1">IFERROR(__xludf.DUMMYFUNCTION("""COMPUTED_VALUE"""),105000)</f>
        <v>105000</v>
      </c>
      <c r="D603" s="21" t="str">
        <f ca="1">IFERROR(__xludf.DUMMYFUNCTION("""COMPUTED_VALUE"""),"Yesica Mazo")</f>
        <v>Yesica Mazo</v>
      </c>
      <c r="E603" s="123">
        <f ca="1">IFERROR(__xludf.DUMMYFUNCTION("""COMPUTED_VALUE"""),45696)</f>
        <v>45696</v>
      </c>
      <c r="F603" s="121">
        <f ca="1">IFERROR(__xludf.DUMMYFUNCTION("""COMPUTED_VALUE"""),60000)</f>
        <v>60000</v>
      </c>
      <c r="G603" s="124">
        <f ca="1">IFERROR(__xludf.DUMMYFUNCTION("""COMPUTED_VALUE"""),0.571428571428571)</f>
        <v>0.57142857142857095</v>
      </c>
      <c r="H603" s="126" t="str">
        <f ca="1">IFERROR(__xludf.DUMMYFUNCTION("""COMPUTED_VALUE"""),"Sandra Castrillón")</f>
        <v>Sandra Castrillón</v>
      </c>
    </row>
    <row r="604" spans="1:8" x14ac:dyDescent="0.2">
      <c r="A604" s="126" t="str">
        <f t="shared" ca="1" si="2"/>
        <v>Paola Agudelo</v>
      </c>
      <c r="B604" s="21" t="str">
        <f ca="1">IFERROR(__xludf.DUMMYFUNCTION("""COMPUTED_VALUE"""),"021210005")</f>
        <v>021210005</v>
      </c>
      <c r="C604" s="121">
        <f ca="1">IFERROR(__xludf.DUMMYFUNCTION("""COMPUTED_VALUE"""),105000)</f>
        <v>105000</v>
      </c>
      <c r="D604" s="21" t="str">
        <f ca="1">IFERROR(__xludf.DUMMYFUNCTION("""COMPUTED_VALUE"""),"Yesica Mazo")</f>
        <v>Yesica Mazo</v>
      </c>
      <c r="E604" s="123">
        <f ca="1">IFERROR(__xludf.DUMMYFUNCTION("""COMPUTED_VALUE"""),45696)</f>
        <v>45696</v>
      </c>
      <c r="F604" s="121">
        <f ca="1">IFERROR(__xludf.DUMMYFUNCTION("""COMPUTED_VALUE"""),105000)</f>
        <v>105000</v>
      </c>
      <c r="G604" s="124">
        <f ca="1">IFERROR(__xludf.DUMMYFUNCTION("""COMPUTED_VALUE"""),1)</f>
        <v>1</v>
      </c>
      <c r="H604" s="126" t="str">
        <f ca="1">IFERROR(__xludf.DUMMYFUNCTION("""COMPUTED_VALUE"""),"Paola Agudelo")</f>
        <v>Paola Agudelo</v>
      </c>
    </row>
    <row r="605" spans="1:8" x14ac:dyDescent="0.2">
      <c r="A605" s="126" t="str">
        <f t="shared" ca="1" si="2"/>
        <v>Bibiana Valencia</v>
      </c>
      <c r="B605" s="21" t="str">
        <f ca="1">IFERROR(__xludf.DUMMYFUNCTION("""COMPUTED_VALUE"""),"021210006")</f>
        <v>021210006</v>
      </c>
      <c r="C605" s="121">
        <f ca="1">IFERROR(__xludf.DUMMYFUNCTION("""COMPUTED_VALUE"""),105000)</f>
        <v>105000</v>
      </c>
      <c r="D605" s="21" t="str">
        <f ca="1">IFERROR(__xludf.DUMMYFUNCTION("""COMPUTED_VALUE"""),"Yesica Mazo")</f>
        <v>Yesica Mazo</v>
      </c>
      <c r="E605" s="123">
        <f ca="1">IFERROR(__xludf.DUMMYFUNCTION("""COMPUTED_VALUE"""),45696)</f>
        <v>45696</v>
      </c>
      <c r="F605" s="121" t="str">
        <f ca="1">IFERROR(__xludf.DUMMYFUNCTION("""COMPUTED_VALUE"""),"No ha consignado platica")</f>
        <v>No ha consignado platica</v>
      </c>
      <c r="G605" s="124" t="str">
        <f ca="1">IFERROR(__xludf.DUMMYFUNCTION("""COMPUTED_VALUE"""),"N/A")</f>
        <v>N/A</v>
      </c>
      <c r="H605" s="126" t="str">
        <f ca="1">IFERROR(__xludf.DUMMYFUNCTION("""COMPUTED_VALUE"""),"Bibiana Valencia")</f>
        <v>Bibiana Valencia</v>
      </c>
    </row>
    <row r="606" spans="1:8" x14ac:dyDescent="0.2">
      <c r="A606" s="126" t="str">
        <f t="shared" ca="1" si="2"/>
        <v>Verónica Durango</v>
      </c>
      <c r="B606" s="21" t="str">
        <f ca="1">IFERROR(__xludf.DUMMYFUNCTION("""COMPUTED_VALUE"""),"061210001")</f>
        <v>061210001</v>
      </c>
      <c r="C606" s="121">
        <f ca="1">IFERROR(__xludf.DUMMYFUNCTION("""COMPUTED_VALUE"""),105000)</f>
        <v>105000</v>
      </c>
      <c r="D606" s="21" t="str">
        <f ca="1">IFERROR(__xludf.DUMMYFUNCTION("""COMPUTED_VALUE"""),"Yesica Mazo")</f>
        <v>Yesica Mazo</v>
      </c>
      <c r="E606" s="123">
        <f ca="1">IFERROR(__xludf.DUMMYFUNCTION("""COMPUTED_VALUE"""),45696)</f>
        <v>45696</v>
      </c>
      <c r="F606" s="121" t="str">
        <f ca="1">IFERROR(__xludf.DUMMYFUNCTION("""COMPUTED_VALUE"""),"No ha consignado platica")</f>
        <v>No ha consignado platica</v>
      </c>
      <c r="G606" s="124" t="str">
        <f ca="1">IFERROR(__xludf.DUMMYFUNCTION("""COMPUTED_VALUE"""),"N/A")</f>
        <v>N/A</v>
      </c>
      <c r="H606" s="126" t="str">
        <f ca="1">IFERROR(__xludf.DUMMYFUNCTION("""COMPUTED_VALUE"""),"Verónica Durango")</f>
        <v>Verónica Durango</v>
      </c>
    </row>
    <row r="607" spans="1:8" x14ac:dyDescent="0.2">
      <c r="A607" s="126" t="str">
        <f t="shared" ca="1" si="2"/>
        <v>Marleny Rodriguez</v>
      </c>
      <c r="B607" s="21" t="str">
        <f ca="1">IFERROR(__xludf.DUMMYFUNCTION("""COMPUTED_VALUE"""),"061210002")</f>
        <v>061210002</v>
      </c>
      <c r="C607" s="121">
        <f ca="1">IFERROR(__xludf.DUMMYFUNCTION("""COMPUTED_VALUE"""),105000)</f>
        <v>105000</v>
      </c>
      <c r="D607" s="21" t="str">
        <f ca="1">IFERROR(__xludf.DUMMYFUNCTION("""COMPUTED_VALUE"""),"Yesica Mazo")</f>
        <v>Yesica Mazo</v>
      </c>
      <c r="E607" s="123">
        <f ca="1">IFERROR(__xludf.DUMMYFUNCTION("""COMPUTED_VALUE"""),45696)</f>
        <v>45696</v>
      </c>
      <c r="F607" s="121">
        <f ca="1">IFERROR(__xludf.DUMMYFUNCTION("""COMPUTED_VALUE"""),105000)</f>
        <v>105000</v>
      </c>
      <c r="G607" s="124">
        <f ca="1">IFERROR(__xludf.DUMMYFUNCTION("""COMPUTED_VALUE"""),1)</f>
        <v>1</v>
      </c>
      <c r="H607" s="126" t="str">
        <f ca="1">IFERROR(__xludf.DUMMYFUNCTION("""COMPUTED_VALUE"""),"Marleny Rodriguez")</f>
        <v>Marleny Rodriguez</v>
      </c>
    </row>
    <row r="608" spans="1:8" x14ac:dyDescent="0.2">
      <c r="A608" s="126" t="str">
        <f t="shared" ca="1" si="2"/>
        <v>Miguel Angel Giraldo</v>
      </c>
      <c r="B608" s="21" t="str">
        <f ca="1">IFERROR(__xludf.DUMMYFUNCTION("""COMPUTED_VALUE"""),"061210003")</f>
        <v>061210003</v>
      </c>
      <c r="C608" s="121">
        <f ca="1">IFERROR(__xludf.DUMMYFUNCTION("""COMPUTED_VALUE"""),105000)</f>
        <v>105000</v>
      </c>
      <c r="D608" s="21" t="str">
        <f ca="1">IFERROR(__xludf.DUMMYFUNCTION("""COMPUTED_VALUE"""),"Yesica Mazo")</f>
        <v>Yesica Mazo</v>
      </c>
      <c r="E608" s="123">
        <f ca="1">IFERROR(__xludf.DUMMYFUNCTION("""COMPUTED_VALUE"""),45696)</f>
        <v>45696</v>
      </c>
      <c r="F608" s="121" t="str">
        <f ca="1">IFERROR(__xludf.DUMMYFUNCTION("""COMPUTED_VALUE"""),"No ha consignado platica")</f>
        <v>No ha consignado platica</v>
      </c>
      <c r="G608" s="124" t="str">
        <f ca="1">IFERROR(__xludf.DUMMYFUNCTION("""COMPUTED_VALUE"""),"N/A")</f>
        <v>N/A</v>
      </c>
      <c r="H608" s="126" t="str">
        <f ca="1">IFERROR(__xludf.DUMMYFUNCTION("""COMPUTED_VALUE"""),"Miguel Angel Giraldo")</f>
        <v>Miguel Angel Giraldo</v>
      </c>
    </row>
    <row r="609" spans="1:8" x14ac:dyDescent="0.2">
      <c r="A609" s="126" t="str">
        <f t="shared" ca="1" si="2"/>
        <v>William</v>
      </c>
      <c r="B609" s="21" t="str">
        <f ca="1">IFERROR(__xludf.DUMMYFUNCTION("""COMPUTED_VALUE"""),"039101009")</f>
        <v>039101009</v>
      </c>
      <c r="C609" s="121">
        <f ca="1">IFERROR(__xludf.DUMMYFUNCTION("""COMPUTED_VALUE"""),450000)</f>
        <v>450000</v>
      </c>
      <c r="D609" s="21" t="str">
        <f ca="1">IFERROR(__xludf.DUMMYFUNCTION("""COMPUTED_VALUE"""),"Nasser Eslaquit")</f>
        <v>Nasser Eslaquit</v>
      </c>
      <c r="E609" s="123">
        <f ca="1">IFERROR(__xludf.DUMMYFUNCTION("""COMPUTED_VALUE"""),45710)</f>
        <v>45710</v>
      </c>
      <c r="F609" s="121">
        <f ca="1">IFERROR(__xludf.DUMMYFUNCTION("""COMPUTED_VALUE"""),450000)</f>
        <v>450000</v>
      </c>
      <c r="G609" s="124">
        <f ca="1">IFERROR(__xludf.DUMMYFUNCTION("""COMPUTED_VALUE"""),1)</f>
        <v>1</v>
      </c>
      <c r="H609" s="126" t="str">
        <f ca="1">IFERROR(__xludf.DUMMYFUNCTION("""COMPUTED_VALUE"""),"William")</f>
        <v>William</v>
      </c>
    </row>
    <row r="610" spans="1:8" x14ac:dyDescent="0.2">
      <c r="A610" s="126" t="str">
        <f t="shared" ca="1" si="2"/>
        <v>Gerson</v>
      </c>
      <c r="B610" s="21" t="str">
        <f ca="1">IFERROR(__xludf.DUMMYFUNCTION("""COMPUTED_VALUE"""),"0391010010")</f>
        <v>0391010010</v>
      </c>
      <c r="C610" s="121">
        <f ca="1">IFERROR(__xludf.DUMMYFUNCTION("""COMPUTED_VALUE"""),450000)</f>
        <v>450000</v>
      </c>
      <c r="D610" s="21" t="str">
        <f ca="1">IFERROR(__xludf.DUMMYFUNCTION("""COMPUTED_VALUE"""),"Nasser Eslaquit")</f>
        <v>Nasser Eslaquit</v>
      </c>
      <c r="E610" s="123">
        <f ca="1">IFERROR(__xludf.DUMMYFUNCTION("""COMPUTED_VALUE"""),45710)</f>
        <v>45710</v>
      </c>
      <c r="F610" s="121">
        <f ca="1">IFERROR(__xludf.DUMMYFUNCTION("""COMPUTED_VALUE"""),450000)</f>
        <v>450000</v>
      </c>
      <c r="G610" s="124">
        <f ca="1">IFERROR(__xludf.DUMMYFUNCTION("""COMPUTED_VALUE"""),1)</f>
        <v>1</v>
      </c>
      <c r="H610" s="126" t="str">
        <f ca="1">IFERROR(__xludf.DUMMYFUNCTION("""COMPUTED_VALUE"""),"Gerson")</f>
        <v>Gerson</v>
      </c>
    </row>
    <row r="611" spans="1:8" x14ac:dyDescent="0.2">
      <c r="A611" s="126" t="str">
        <f t="shared" ca="1" si="2"/>
        <v>TET Santa Marta</v>
      </c>
      <c r="B611" s="21" t="str">
        <f ca="1">IFERROR(__xludf.DUMMYFUNCTION("""COMPUTED_VALUE"""),"029140003")</f>
        <v>029140003</v>
      </c>
      <c r="C611" s="121">
        <f ca="1">IFERROR(__xludf.DUMMYFUNCTION("""COMPUTED_VALUE"""),240000)</f>
        <v>240000</v>
      </c>
      <c r="D611" s="21" t="str">
        <f ca="1">IFERROR(__xludf.DUMMYFUNCTION("""COMPUTED_VALUE"""),"David Carrillo")</f>
        <v>David Carrillo</v>
      </c>
      <c r="E611" s="123">
        <f ca="1">IFERROR(__xludf.DUMMYFUNCTION("""COMPUTED_VALUE"""),45744)</f>
        <v>45744</v>
      </c>
      <c r="F611" s="121" t="str">
        <f ca="1">IFERROR(__xludf.DUMMYFUNCTION("""COMPUTED_VALUE"""),"No ha consignado platica")</f>
        <v>No ha consignado platica</v>
      </c>
      <c r="G611" s="124" t="str">
        <f ca="1">IFERROR(__xludf.DUMMYFUNCTION("""COMPUTED_VALUE"""),"N/A")</f>
        <v>N/A</v>
      </c>
      <c r="H611" s="126" t="str">
        <f ca="1">IFERROR(__xludf.DUMMYFUNCTION("""COMPUTED_VALUE"""),"TET Santa Marta")</f>
        <v>TET Santa Marta</v>
      </c>
    </row>
    <row r="612" spans="1:8" x14ac:dyDescent="0.2">
      <c r="A612" s="126" t="str">
        <f t="shared" ca="1" si="2"/>
        <v>TET Santa Marta</v>
      </c>
      <c r="B612" s="21" t="str">
        <f ca="1">IFERROR(__xludf.DUMMYFUNCTION("""COMPUTED_VALUE"""),"079140001")</f>
        <v>079140001</v>
      </c>
      <c r="C612" s="121">
        <f ca="1">IFERROR(__xludf.DUMMYFUNCTION("""COMPUTED_VALUE"""),198000)</f>
        <v>198000</v>
      </c>
      <c r="D612" s="21" t="str">
        <f ca="1">IFERROR(__xludf.DUMMYFUNCTION("""COMPUTED_VALUE"""),"David Carrillo")</f>
        <v>David Carrillo</v>
      </c>
      <c r="E612" s="123">
        <f ca="1">IFERROR(__xludf.DUMMYFUNCTION("""COMPUTED_VALUE"""),45739)</f>
        <v>45739</v>
      </c>
      <c r="F612" s="121" t="str">
        <f ca="1">IFERROR(__xludf.DUMMYFUNCTION("""COMPUTED_VALUE"""),"No ha consignado platica")</f>
        <v>No ha consignado platica</v>
      </c>
      <c r="G612" s="124" t="str">
        <f ca="1">IFERROR(__xludf.DUMMYFUNCTION("""COMPUTED_VALUE"""),"N/A")</f>
        <v>N/A</v>
      </c>
      <c r="H612" s="126" t="str">
        <f ca="1">IFERROR(__xludf.DUMMYFUNCTION("""COMPUTED_VALUE"""),"TET Santa Marta")</f>
        <v>TET Santa Marta</v>
      </c>
    </row>
    <row r="613" spans="1:8" x14ac:dyDescent="0.2">
      <c r="A613" s="21" t="str">
        <f t="shared" ca="1" si="2"/>
        <v>María del Carmen</v>
      </c>
      <c r="B613" s="21" t="str">
        <f ca="1">IFERROR(__xludf.DUMMYFUNCTION("""COMPUTED_VALUE"""),"029140004")</f>
        <v>029140004</v>
      </c>
      <c r="C613" s="121">
        <f ca="1">IFERROR(__xludf.DUMMYFUNCTION("""COMPUTED_VALUE"""),240000)</f>
        <v>240000</v>
      </c>
      <c r="D613" s="21" t="str">
        <f ca="1">IFERROR(__xludf.DUMMYFUNCTION("""COMPUTED_VALUE"""),"Nasser Eslaquit")</f>
        <v>Nasser Eslaquit</v>
      </c>
      <c r="E613" s="123">
        <f ca="1">IFERROR(__xludf.DUMMYFUNCTION("""COMPUTED_VALUE"""),45745)</f>
        <v>45745</v>
      </c>
      <c r="F613" s="121" t="str">
        <f ca="1">IFERROR(__xludf.DUMMYFUNCTION("""COMPUTED_VALUE"""),"No ha consignado platica")</f>
        <v>No ha consignado platica</v>
      </c>
      <c r="G613" s="124" t="str">
        <f ca="1">IFERROR(__xludf.DUMMYFUNCTION("""COMPUTED_VALUE"""),"N/A")</f>
        <v>N/A</v>
      </c>
      <c r="H613" s="21" t="str">
        <f ca="1">IFERROR(__xludf.DUMMYFUNCTION("""COMPUTED_VALUE"""),"María del Carmen")</f>
        <v>María del Carmen</v>
      </c>
    </row>
    <row r="614" spans="1:8" x14ac:dyDescent="0.2">
      <c r="A614" s="21" t="str">
        <f t="shared" ca="1" si="2"/>
        <v>Yolanda Santos</v>
      </c>
      <c r="B614" s="21" t="str">
        <f ca="1">IFERROR(__xludf.DUMMYFUNCTION("""COMPUTED_VALUE"""),"029140005")</f>
        <v>029140005</v>
      </c>
      <c r="C614" s="121">
        <f ca="1">IFERROR(__xludf.DUMMYFUNCTION("""COMPUTED_VALUE"""),240000)</f>
        <v>240000</v>
      </c>
      <c r="D614" s="21" t="str">
        <f ca="1">IFERROR(__xludf.DUMMYFUNCTION("""COMPUTED_VALUE"""),"Nasser Eslaquit")</f>
        <v>Nasser Eslaquit</v>
      </c>
      <c r="E614" s="123">
        <f ca="1">IFERROR(__xludf.DUMMYFUNCTION("""COMPUTED_VALUE"""),45745)</f>
        <v>45745</v>
      </c>
      <c r="F614" s="121" t="str">
        <f ca="1">IFERROR(__xludf.DUMMYFUNCTION("""COMPUTED_VALUE"""),"No ha consignado platica")</f>
        <v>No ha consignado platica</v>
      </c>
      <c r="G614" s="124" t="str">
        <f ca="1">IFERROR(__xludf.DUMMYFUNCTION("""COMPUTED_VALUE"""),"N/A")</f>
        <v>N/A</v>
      </c>
      <c r="H614" s="21" t="str">
        <f ca="1">IFERROR(__xludf.DUMMYFUNCTION("""COMPUTED_VALUE"""),"Yolanda Santos")</f>
        <v>Yolanda Santos</v>
      </c>
    </row>
    <row r="615" spans="1:8" x14ac:dyDescent="0.2">
      <c r="A615" s="21" t="str">
        <f t="shared" ca="1" si="2"/>
        <v>Jennifer</v>
      </c>
      <c r="B615" s="21" t="str">
        <f ca="1">IFERROR(__xludf.DUMMYFUNCTION("""COMPUTED_VALUE"""),"0391400015")</f>
        <v>0391400015</v>
      </c>
      <c r="C615" s="121">
        <f ca="1">IFERROR(__xludf.DUMMYFUNCTION("""COMPUTED_VALUE"""),450000)</f>
        <v>450000</v>
      </c>
      <c r="D615" s="21" t="str">
        <f ca="1">IFERROR(__xludf.DUMMYFUNCTION("""COMPUTED_VALUE"""),"Nasser Eslaquit")</f>
        <v>Nasser Eslaquit</v>
      </c>
      <c r="E615" s="123">
        <f ca="1">IFERROR(__xludf.DUMMYFUNCTION("""COMPUTED_VALUE"""),45745)</f>
        <v>45745</v>
      </c>
      <c r="F615" s="121" t="str">
        <f ca="1">IFERROR(__xludf.DUMMYFUNCTION("""COMPUTED_VALUE"""),"No ha consignado platica")</f>
        <v>No ha consignado platica</v>
      </c>
      <c r="G615" s="124" t="str">
        <f ca="1">IFERROR(__xludf.DUMMYFUNCTION("""COMPUTED_VALUE"""),"N/A")</f>
        <v>N/A</v>
      </c>
      <c r="H615" s="21" t="str">
        <f ca="1">IFERROR(__xludf.DUMMYFUNCTION("""COMPUTED_VALUE"""),"Jennifer")</f>
        <v>Jennifer</v>
      </c>
    </row>
    <row r="616" spans="1:8" x14ac:dyDescent="0.2">
      <c r="A616" s="21" t="str">
        <f t="shared" ca="1" si="2"/>
        <v>Heli</v>
      </c>
      <c r="B616" s="21" t="str">
        <f ca="1">IFERROR(__xludf.DUMMYFUNCTION("""COMPUTED_VALUE"""),"0391400016")</f>
        <v>0391400016</v>
      </c>
      <c r="C616" s="121">
        <f ca="1">IFERROR(__xludf.DUMMYFUNCTION("""COMPUTED_VALUE"""),450000)</f>
        <v>450000</v>
      </c>
      <c r="D616" s="21" t="str">
        <f ca="1">IFERROR(__xludf.DUMMYFUNCTION("""COMPUTED_VALUE"""),"Nasser Eslaquit")</f>
        <v>Nasser Eslaquit</v>
      </c>
      <c r="E616" s="123">
        <f ca="1">IFERROR(__xludf.DUMMYFUNCTION("""COMPUTED_VALUE"""),45745)</f>
        <v>45745</v>
      </c>
      <c r="F616" s="121" t="str">
        <f ca="1">IFERROR(__xludf.DUMMYFUNCTION("""COMPUTED_VALUE"""),"No ha consignado platica")</f>
        <v>No ha consignado platica</v>
      </c>
      <c r="G616" s="124" t="str">
        <f ca="1">IFERROR(__xludf.DUMMYFUNCTION("""COMPUTED_VALUE"""),"N/A")</f>
        <v>N/A</v>
      </c>
      <c r="H616" s="21" t="str">
        <f ca="1">IFERROR(__xludf.DUMMYFUNCTION("""COMPUTED_VALUE"""),"Heli")</f>
        <v>Heli</v>
      </c>
    </row>
    <row r="617" spans="1:8" x14ac:dyDescent="0.2">
      <c r="A617" s="21" t="str">
        <f t="shared" ca="1" si="2"/>
        <v>Comunidad Piedras Blancas</v>
      </c>
      <c r="B617" s="21" t="str">
        <f ca="1">IFERROR(__xludf.DUMMYFUNCTION("""COMPUTED_VALUE"""),"079301001")</f>
        <v>079301001</v>
      </c>
      <c r="C617" s="121">
        <f ca="1">IFERROR(__xludf.DUMMYFUNCTION("""COMPUTED_VALUE"""),198000)</f>
        <v>198000</v>
      </c>
      <c r="D617" s="21" t="str">
        <f ca="1">IFERROR(__xludf.DUMMYFUNCTION("""COMPUTED_VALUE"""),"David Carrillo")</f>
        <v>David Carrillo</v>
      </c>
      <c r="E617" s="123">
        <f ca="1">IFERROR(__xludf.DUMMYFUNCTION("""COMPUTED_VALUE"""),45781)</f>
        <v>45781</v>
      </c>
      <c r="F617" s="121" t="str">
        <f ca="1">IFERROR(__xludf.DUMMYFUNCTION("""COMPUTED_VALUE"""),"No ha consignado platica")</f>
        <v>No ha consignado platica</v>
      </c>
      <c r="G617" s="124" t="str">
        <f ca="1">IFERROR(__xludf.DUMMYFUNCTION("""COMPUTED_VALUE"""),"N/A")</f>
        <v>N/A</v>
      </c>
      <c r="H617" s="21" t="str">
        <f ca="1">IFERROR(__xludf.DUMMYFUNCTION("""COMPUTED_VALUE"""),"Comunidad Piedras Blancas")</f>
        <v>Comunidad Piedras Blancas</v>
      </c>
    </row>
    <row r="618" spans="1:8" x14ac:dyDescent="0.2">
      <c r="A618" s="21" t="str">
        <f t="shared" ca="1" si="2"/>
        <v>Comunidad Cerezos</v>
      </c>
      <c r="B618" s="21" t="str">
        <f ca="1">IFERROR(__xludf.DUMMYFUNCTION("""COMPUTED_VALUE"""),"079325001")</f>
        <v>079325001</v>
      </c>
      <c r="C618" s="121">
        <f ca="1">IFERROR(__xludf.DUMMYFUNCTION("""COMPUTED_VALUE"""),198000)</f>
        <v>198000</v>
      </c>
      <c r="D618" s="21" t="str">
        <f ca="1">IFERROR(__xludf.DUMMYFUNCTION("""COMPUTED_VALUE"""),"David Carrillo")</f>
        <v>David Carrillo</v>
      </c>
      <c r="E618" s="123">
        <f ca="1">IFERROR(__xludf.DUMMYFUNCTION("""COMPUTED_VALUE"""),45781)</f>
        <v>45781</v>
      </c>
      <c r="F618" s="121" t="str">
        <f ca="1">IFERROR(__xludf.DUMMYFUNCTION("""COMPUTED_VALUE"""),"No ha consignado platica")</f>
        <v>No ha consignado platica</v>
      </c>
      <c r="G618" s="124" t="str">
        <f ca="1">IFERROR(__xludf.DUMMYFUNCTION("""COMPUTED_VALUE"""),"N/A")</f>
        <v>N/A</v>
      </c>
      <c r="H618" s="21" t="str">
        <f ca="1">IFERROR(__xludf.DUMMYFUNCTION("""COMPUTED_VALUE"""),"Comunidad Cerezos")</f>
        <v>Comunidad Cerezos</v>
      </c>
    </row>
    <row r="619" spans="1:8" x14ac:dyDescent="0.2">
      <c r="A619" s="21" t="str">
        <f t="shared" ca="1" si="2"/>
        <v>Comunidad Villa Tequia</v>
      </c>
      <c r="B619" s="21" t="str">
        <f ca="1">IFERROR(__xludf.DUMMYFUNCTION("""COMPUTED_VALUE"""),"079329001")</f>
        <v>079329001</v>
      </c>
      <c r="C619" s="121">
        <f ca="1">IFERROR(__xludf.DUMMYFUNCTION("""COMPUTED_VALUE"""),396000)</f>
        <v>396000</v>
      </c>
      <c r="D619" s="21" t="str">
        <f ca="1">IFERROR(__xludf.DUMMYFUNCTION("""COMPUTED_VALUE"""),"David Carrillo")</f>
        <v>David Carrillo</v>
      </c>
      <c r="E619" s="123">
        <f ca="1">IFERROR(__xludf.DUMMYFUNCTION("""COMPUTED_VALUE"""),45781)</f>
        <v>45781</v>
      </c>
      <c r="F619" s="121" t="str">
        <f ca="1">IFERROR(__xludf.DUMMYFUNCTION("""COMPUTED_VALUE"""),"No ha consignado platica")</f>
        <v>No ha consignado platica</v>
      </c>
      <c r="G619" s="124" t="str">
        <f ca="1">IFERROR(__xludf.DUMMYFUNCTION("""COMPUTED_VALUE"""),"N/A")</f>
        <v>N/A</v>
      </c>
      <c r="H619" s="21" t="str">
        <f ca="1">IFERROR(__xludf.DUMMYFUNCTION("""COMPUTED_VALUE"""),"Comunidad Villa Tequia")</f>
        <v>Comunidad Villa Tequia</v>
      </c>
    </row>
    <row r="620" spans="1:8" x14ac:dyDescent="0.2">
      <c r="A620" s="21" t="str">
        <f t="shared" ca="1" si="2"/>
        <v>María Eugenia Muñoz</v>
      </c>
      <c r="B620" s="21" t="str">
        <f ca="1">IFERROR(__xludf.DUMMYFUNCTION("""COMPUTED_VALUE"""),"032115001")</f>
        <v>032115001</v>
      </c>
      <c r="C620" s="121">
        <f ca="1">IFERROR(__xludf.DUMMYFUNCTION("""COMPUTED_VALUE"""),450000)</f>
        <v>450000</v>
      </c>
      <c r="D620" s="21" t="str">
        <f ca="1">IFERROR(__xludf.DUMMYFUNCTION("""COMPUTED_VALUE"""),"Gisell Carabali")</f>
        <v>Gisell Carabali</v>
      </c>
      <c r="E620" s="123">
        <f ca="1">IFERROR(__xludf.DUMMYFUNCTION("""COMPUTED_VALUE"""),45759)</f>
        <v>45759</v>
      </c>
      <c r="F620" s="121" t="str">
        <f ca="1">IFERROR(__xludf.DUMMYFUNCTION("""COMPUTED_VALUE"""),"No ha consignado platica")</f>
        <v>No ha consignado platica</v>
      </c>
      <c r="G620" s="124" t="str">
        <f ca="1">IFERROR(__xludf.DUMMYFUNCTION("""COMPUTED_VALUE"""),"N/A")</f>
        <v>N/A</v>
      </c>
      <c r="H620" s="21" t="str">
        <f ca="1">IFERROR(__xludf.DUMMYFUNCTION("""COMPUTED_VALUE"""),"María Eugenia Muñoz")</f>
        <v>María Eugenia Muñoz</v>
      </c>
    </row>
    <row r="621" spans="1:8" x14ac:dyDescent="0.2">
      <c r="A621" s="21" t="str">
        <f t="shared" ca="1" si="2"/>
        <v>Olga María Caicedo</v>
      </c>
      <c r="B621" s="21" t="str">
        <f ca="1">IFERROR(__xludf.DUMMYFUNCTION("""COMPUTED_VALUE"""),"032115002")</f>
        <v>032115002</v>
      </c>
      <c r="C621" s="121">
        <f ca="1">IFERROR(__xludf.DUMMYFUNCTION("""COMPUTED_VALUE"""),450000)</f>
        <v>450000</v>
      </c>
      <c r="D621" s="21" t="str">
        <f ca="1">IFERROR(__xludf.DUMMYFUNCTION("""COMPUTED_VALUE"""),"Gisell Carabali")</f>
        <v>Gisell Carabali</v>
      </c>
      <c r="E621" s="123">
        <f ca="1">IFERROR(__xludf.DUMMYFUNCTION("""COMPUTED_VALUE"""),45759)</f>
        <v>45759</v>
      </c>
      <c r="F621" s="121" t="str">
        <f ca="1">IFERROR(__xludf.DUMMYFUNCTION("""COMPUTED_VALUE"""),"No ha consignado platica")</f>
        <v>No ha consignado platica</v>
      </c>
      <c r="G621" s="124" t="str">
        <f ca="1">IFERROR(__xludf.DUMMYFUNCTION("""COMPUTED_VALUE"""),"N/A")</f>
        <v>N/A</v>
      </c>
      <c r="H621" s="21" t="str">
        <f ca="1">IFERROR(__xludf.DUMMYFUNCTION("""COMPUTED_VALUE"""),"Olga María Caicedo")</f>
        <v>Olga María Caicedo</v>
      </c>
    </row>
    <row r="622" spans="1:8" x14ac:dyDescent="0.2">
      <c r="A622" s="21" t="str">
        <f t="shared" ca="1" si="2"/>
        <v xml:space="preserve">María Yaneth Renteria </v>
      </c>
      <c r="B622" s="21" t="str">
        <f ca="1">IFERROR(__xludf.DUMMYFUNCTION("""COMPUTED_VALUE"""),"032115003")</f>
        <v>032115003</v>
      </c>
      <c r="C622" s="121">
        <f ca="1">IFERROR(__xludf.DUMMYFUNCTION("""COMPUTED_VALUE"""),450000)</f>
        <v>450000</v>
      </c>
      <c r="D622" s="21" t="str">
        <f ca="1">IFERROR(__xludf.DUMMYFUNCTION("""COMPUTED_VALUE"""),"Gisell Carabali")</f>
        <v>Gisell Carabali</v>
      </c>
      <c r="E622" s="123">
        <f ca="1">IFERROR(__xludf.DUMMYFUNCTION("""COMPUTED_VALUE"""),45759)</f>
        <v>45759</v>
      </c>
      <c r="F622" s="121" t="str">
        <f ca="1">IFERROR(__xludf.DUMMYFUNCTION("""COMPUTED_VALUE"""),"No ha consignado platica")</f>
        <v>No ha consignado platica</v>
      </c>
      <c r="G622" s="124" t="str">
        <f ca="1">IFERROR(__xludf.DUMMYFUNCTION("""COMPUTED_VALUE"""),"N/A")</f>
        <v>N/A</v>
      </c>
      <c r="H622" s="21" t="str">
        <f ca="1">IFERROR(__xludf.DUMMYFUNCTION("""COMPUTED_VALUE"""),"María Yaneth Renteria ")</f>
        <v xml:space="preserve">María Yaneth Renteria </v>
      </c>
    </row>
    <row r="623" spans="1:8" x14ac:dyDescent="0.2">
      <c r="A623" s="21" t="str">
        <f t="shared" ca="1" si="2"/>
        <v xml:space="preserve">Juan Jose Guzman </v>
      </c>
      <c r="B623" s="21" t="str">
        <f ca="1">IFERROR(__xludf.DUMMYFUNCTION("""COMPUTED_VALUE"""),"022111001")</f>
        <v>022111001</v>
      </c>
      <c r="C623" s="121">
        <f ca="1">IFERROR(__xludf.DUMMYFUNCTION("""COMPUTED_VALUE"""),240000)</f>
        <v>240000</v>
      </c>
      <c r="D623" s="21" t="str">
        <f ca="1">IFERROR(__xludf.DUMMYFUNCTION("""COMPUTED_VALUE"""),"Gisell Carabali")</f>
        <v>Gisell Carabali</v>
      </c>
      <c r="E623" s="123">
        <f ca="1">IFERROR(__xludf.DUMMYFUNCTION("""COMPUTED_VALUE"""),45794)</f>
        <v>45794</v>
      </c>
      <c r="F623" s="121" t="str">
        <f ca="1">IFERROR(__xludf.DUMMYFUNCTION("""COMPUTED_VALUE"""),"No ha consignado platica")</f>
        <v>No ha consignado platica</v>
      </c>
      <c r="G623" s="124" t="str">
        <f ca="1">IFERROR(__xludf.DUMMYFUNCTION("""COMPUTED_VALUE"""),"N/A")</f>
        <v>N/A</v>
      </c>
      <c r="H623" s="21" t="str">
        <f ca="1">IFERROR(__xludf.DUMMYFUNCTION("""COMPUTED_VALUE"""),"Juan Jose Guzman ")</f>
        <v xml:space="preserve">Juan Jose Guzman </v>
      </c>
    </row>
    <row r="624" spans="1:8" x14ac:dyDescent="0.2">
      <c r="A624" s="21" t="str">
        <f t="shared" ca="1" si="2"/>
        <v>Maria Elena Llanos</v>
      </c>
      <c r="B624" s="21" t="str">
        <f ca="1">IFERROR(__xludf.DUMMYFUNCTION("""COMPUTED_VALUE"""),"022111002")</f>
        <v>022111002</v>
      </c>
      <c r="C624" s="121">
        <f ca="1">IFERROR(__xludf.DUMMYFUNCTION("""COMPUTED_VALUE"""),240000)</f>
        <v>240000</v>
      </c>
      <c r="D624" s="21" t="str">
        <f ca="1">IFERROR(__xludf.DUMMYFUNCTION("""COMPUTED_VALUE"""),"Gisell Carabali")</f>
        <v>Gisell Carabali</v>
      </c>
      <c r="E624" s="123">
        <f ca="1">IFERROR(__xludf.DUMMYFUNCTION("""COMPUTED_VALUE"""),45794)</f>
        <v>45794</v>
      </c>
      <c r="F624" s="121" t="str">
        <f ca="1">IFERROR(__xludf.DUMMYFUNCTION("""COMPUTED_VALUE"""),"No ha consignado platica")</f>
        <v>No ha consignado platica</v>
      </c>
      <c r="G624" s="124" t="str">
        <f ca="1">IFERROR(__xludf.DUMMYFUNCTION("""COMPUTED_VALUE"""),"N/A")</f>
        <v>N/A</v>
      </c>
      <c r="H624" s="21" t="str">
        <f ca="1">IFERROR(__xludf.DUMMYFUNCTION("""COMPUTED_VALUE"""),"Maria Elena Llanos")</f>
        <v>Maria Elena Llanos</v>
      </c>
    </row>
    <row r="625" spans="1:8" x14ac:dyDescent="0.2">
      <c r="A625" s="21" t="str">
        <f t="shared" ca="1" si="2"/>
        <v>Octavio Ramos</v>
      </c>
      <c r="B625" s="21" t="str">
        <f ca="1">IFERROR(__xludf.DUMMYFUNCTION("""COMPUTED_VALUE"""),"022111003")</f>
        <v>022111003</v>
      </c>
      <c r="C625" s="121">
        <f ca="1">IFERROR(__xludf.DUMMYFUNCTION("""COMPUTED_VALUE"""),240000)</f>
        <v>240000</v>
      </c>
      <c r="D625" s="21" t="str">
        <f ca="1">IFERROR(__xludf.DUMMYFUNCTION("""COMPUTED_VALUE"""),"Gisell Carabali")</f>
        <v>Gisell Carabali</v>
      </c>
      <c r="E625" s="123">
        <f ca="1">IFERROR(__xludf.DUMMYFUNCTION("""COMPUTED_VALUE"""),45794)</f>
        <v>45794</v>
      </c>
      <c r="F625" s="121" t="str">
        <f ca="1">IFERROR(__xludf.DUMMYFUNCTION("""COMPUTED_VALUE"""),"No ha consignado platica")</f>
        <v>No ha consignado platica</v>
      </c>
      <c r="G625" s="124" t="str">
        <f ca="1">IFERROR(__xludf.DUMMYFUNCTION("""COMPUTED_VALUE"""),"N/A")</f>
        <v>N/A</v>
      </c>
      <c r="H625" s="21" t="str">
        <f ca="1">IFERROR(__xludf.DUMMYFUNCTION("""COMPUTED_VALUE"""),"Octavio Ramos")</f>
        <v>Octavio Ramos</v>
      </c>
    </row>
    <row r="626" spans="1:8" x14ac:dyDescent="0.2">
      <c r="A626" s="21" t="str">
        <f t="shared" ca="1" si="2"/>
        <v>Yaneth Moreno Asprilla</v>
      </c>
      <c r="B626" s="21" t="str">
        <f ca="1">IFERROR(__xludf.DUMMYFUNCTION("""COMPUTED_VALUE"""),"032115004")</f>
        <v>032115004</v>
      </c>
      <c r="C626" s="121">
        <f ca="1">IFERROR(__xludf.DUMMYFUNCTION("""COMPUTED_VALUE"""),450000)</f>
        <v>450000</v>
      </c>
      <c r="D626" s="21" t="str">
        <f ca="1">IFERROR(__xludf.DUMMYFUNCTION("""COMPUTED_VALUE"""),"Gisell Carabali")</f>
        <v>Gisell Carabali</v>
      </c>
      <c r="E626" s="123">
        <f ca="1">IFERROR(__xludf.DUMMYFUNCTION("""COMPUTED_VALUE"""),45759)</f>
        <v>45759</v>
      </c>
      <c r="F626" s="121" t="str">
        <f ca="1">IFERROR(__xludf.DUMMYFUNCTION("""COMPUTED_VALUE"""),"No ha consignado platica")</f>
        <v>No ha consignado platica</v>
      </c>
      <c r="G626" s="124" t="str">
        <f ca="1">IFERROR(__xludf.DUMMYFUNCTION("""COMPUTED_VALUE"""),"N/A")</f>
        <v>N/A</v>
      </c>
      <c r="H626" s="21" t="str">
        <f ca="1">IFERROR(__xludf.DUMMYFUNCTION("""COMPUTED_VALUE"""),"Yaneth Moreno Asprilla")</f>
        <v>Yaneth Moreno Asprilla</v>
      </c>
    </row>
    <row r="627" spans="1:8" x14ac:dyDescent="0.2">
      <c r="A627" s="126" t="str">
        <f t="shared" ca="1" si="2"/>
        <v>Eliana Centeno</v>
      </c>
      <c r="B627" s="21" t="str">
        <f ca="1">IFERROR(__xludf.DUMMYFUNCTION("""COMPUTED_VALUE"""),"029101001")</f>
        <v>029101001</v>
      </c>
      <c r="C627" s="121">
        <f ca="1">IFERROR(__xludf.DUMMYFUNCTION("""COMPUTED_VALUE"""),240000)</f>
        <v>240000</v>
      </c>
      <c r="D627" s="21" t="str">
        <f ca="1">IFERROR(__xludf.DUMMYFUNCTION("""COMPUTED_VALUE"""),"Santiago Morales")</f>
        <v>Santiago Morales</v>
      </c>
      <c r="E627" s="123">
        <f ca="1">IFERROR(__xludf.DUMMYFUNCTION("""COMPUTED_VALUE"""),45801)</f>
        <v>45801</v>
      </c>
      <c r="F627" s="121" t="str">
        <f ca="1">IFERROR(__xludf.DUMMYFUNCTION("""COMPUTED_VALUE"""),"No ha consignado platica")</f>
        <v>No ha consignado platica</v>
      </c>
      <c r="G627" s="124" t="str">
        <f ca="1">IFERROR(__xludf.DUMMYFUNCTION("""COMPUTED_VALUE"""),"N/A")</f>
        <v>N/A</v>
      </c>
      <c r="H627" s="126" t="str">
        <f ca="1">IFERROR(__xludf.DUMMYFUNCTION("""COMPUTED_VALUE"""),"Eliana Centeno")</f>
        <v>Eliana Centeno</v>
      </c>
    </row>
    <row r="628" spans="1:8" x14ac:dyDescent="0.2">
      <c r="A628" s="126" t="str">
        <f t="shared" ca="1" si="2"/>
        <v>Mayuri Restrepo</v>
      </c>
      <c r="B628" s="21" t="str">
        <f ca="1">IFERROR(__xludf.DUMMYFUNCTION("""COMPUTED_VALUE"""),"049102001")</f>
        <v>049102001</v>
      </c>
      <c r="C628" s="121">
        <f ca="1">IFERROR(__xludf.DUMMYFUNCTION("""COMPUTED_VALUE"""),705000)</f>
        <v>705000</v>
      </c>
      <c r="D628" s="21" t="str">
        <f ca="1">IFERROR(__xludf.DUMMYFUNCTION("""COMPUTED_VALUE"""),"Santiago Morales")</f>
        <v>Santiago Morales</v>
      </c>
      <c r="E628" s="123">
        <f ca="1">IFERROR(__xludf.DUMMYFUNCTION("""COMPUTED_VALUE"""),45801)</f>
        <v>45801</v>
      </c>
      <c r="F628" s="121" t="str">
        <f ca="1">IFERROR(__xludf.DUMMYFUNCTION("""COMPUTED_VALUE"""),"No ha consignado platica")</f>
        <v>No ha consignado platica</v>
      </c>
      <c r="G628" s="124" t="str">
        <f ca="1">IFERROR(__xludf.DUMMYFUNCTION("""COMPUTED_VALUE"""),"N/A")</f>
        <v>N/A</v>
      </c>
      <c r="H628" s="126" t="str">
        <f ca="1">IFERROR(__xludf.DUMMYFUNCTION("""COMPUTED_VALUE"""),"Mayuri Restrepo")</f>
        <v>Mayuri Restrepo</v>
      </c>
    </row>
    <row r="629" spans="1:8" x14ac:dyDescent="0.2">
      <c r="A629" s="21" t="str">
        <f t="shared" ca="1" si="2"/>
        <v>Luz Marina Rodriguez</v>
      </c>
      <c r="B629" s="21" t="str">
        <f ca="1">IFERROR(__xludf.DUMMYFUNCTION("""COMPUTED_VALUE"""),"039102001")</f>
        <v>039102001</v>
      </c>
      <c r="C629" s="121">
        <f ca="1">IFERROR(__xludf.DUMMYFUNCTION("""COMPUTED_VALUE"""),450000)</f>
        <v>450000</v>
      </c>
      <c r="D629" s="21" t="str">
        <f ca="1">IFERROR(__xludf.DUMMYFUNCTION("""COMPUTED_VALUE"""),"Santiago Morales")</f>
        <v>Santiago Morales</v>
      </c>
      <c r="E629" s="123">
        <f ca="1">IFERROR(__xludf.DUMMYFUNCTION("""COMPUTED_VALUE"""),45801)</f>
        <v>45801</v>
      </c>
      <c r="F629" s="121" t="str">
        <f ca="1">IFERROR(__xludf.DUMMYFUNCTION("""COMPUTED_VALUE"""),"No ha consignado platica")</f>
        <v>No ha consignado platica</v>
      </c>
      <c r="G629" s="124" t="str">
        <f ca="1">IFERROR(__xludf.DUMMYFUNCTION("""COMPUTED_VALUE"""),"N/A")</f>
        <v>N/A</v>
      </c>
      <c r="H629" s="21" t="str">
        <f ca="1">IFERROR(__xludf.DUMMYFUNCTION("""COMPUTED_VALUE"""),"Luz Marina Rodriguez")</f>
        <v>Luz Marina Rodriguez</v>
      </c>
    </row>
    <row r="630" spans="1:8" x14ac:dyDescent="0.2">
      <c r="A630" s="126" t="str">
        <f t="shared" ca="1" si="2"/>
        <v>Jairo Edilberto Delgado</v>
      </c>
      <c r="B630" s="21" t="str">
        <f ca="1">IFERROR(__xludf.DUMMYFUNCTION("""COMPUTED_VALUE"""),"039102002")</f>
        <v>039102002</v>
      </c>
      <c r="C630" s="121">
        <f ca="1">IFERROR(__xludf.DUMMYFUNCTION("""COMPUTED_VALUE"""),450000)</f>
        <v>450000</v>
      </c>
      <c r="D630" s="21" t="str">
        <f ca="1">IFERROR(__xludf.DUMMYFUNCTION("""COMPUTED_VALUE"""),"Santiago Morales")</f>
        <v>Santiago Morales</v>
      </c>
      <c r="E630" s="123">
        <f ca="1">IFERROR(__xludf.DUMMYFUNCTION("""COMPUTED_VALUE"""),45801)</f>
        <v>45801</v>
      </c>
      <c r="F630" s="121" t="str">
        <f ca="1">IFERROR(__xludf.DUMMYFUNCTION("""COMPUTED_VALUE"""),"No ha consignado platica")</f>
        <v>No ha consignado platica</v>
      </c>
      <c r="G630" s="124" t="str">
        <f ca="1">IFERROR(__xludf.DUMMYFUNCTION("""COMPUTED_VALUE"""),"N/A")</f>
        <v>N/A</v>
      </c>
      <c r="H630" s="126" t="str">
        <f ca="1">IFERROR(__xludf.DUMMYFUNCTION("""COMPUTED_VALUE"""),"Jairo Edilberto Delgado")</f>
        <v>Jairo Edilberto Delgado</v>
      </c>
    </row>
    <row r="631" spans="1:8" x14ac:dyDescent="0.2">
      <c r="A631" s="21" t="str">
        <f t="shared" ca="1" si="2"/>
        <v>Daniel Felipe Riascos Castillo</v>
      </c>
      <c r="B631" s="21" t="str">
        <f ca="1">IFERROR(__xludf.DUMMYFUNCTION("""COMPUTED_VALUE"""),"062115001")</f>
        <v>062115001</v>
      </c>
      <c r="C631" s="121">
        <f ca="1">IFERROR(__xludf.DUMMYFUNCTION("""COMPUTED_VALUE"""),240000)</f>
        <v>240000</v>
      </c>
      <c r="D631" s="21" t="str">
        <f ca="1">IFERROR(__xludf.DUMMYFUNCTION("""COMPUTED_VALUE"""),"Gisell Carabali")</f>
        <v>Gisell Carabali</v>
      </c>
      <c r="E631" s="123">
        <f ca="1">IFERROR(__xludf.DUMMYFUNCTION("""COMPUTED_VALUE"""),45801)</f>
        <v>45801</v>
      </c>
      <c r="F631" s="121" t="str">
        <f ca="1">IFERROR(__xludf.DUMMYFUNCTION("""COMPUTED_VALUE"""),"No ha consignado platica")</f>
        <v>No ha consignado platica</v>
      </c>
      <c r="G631" s="124" t="str">
        <f ca="1">IFERROR(__xludf.DUMMYFUNCTION("""COMPUTED_VALUE"""),"N/A")</f>
        <v>N/A</v>
      </c>
      <c r="H631" s="21" t="str">
        <f ca="1">IFERROR(__xludf.DUMMYFUNCTION("""COMPUTED_VALUE"""),"Daniel Felipe Riascos Castillo")</f>
        <v>Daniel Felipe Riascos Castillo</v>
      </c>
    </row>
    <row r="632" spans="1:8" x14ac:dyDescent="0.2">
      <c r="A632" s="21" t="str">
        <f t="shared" ca="1" si="2"/>
        <v>Daniel Felipe Riascos Castillo</v>
      </c>
      <c r="B632" s="21" t="str">
        <f ca="1">IFERROR(__xludf.DUMMYFUNCTION("""COMPUTED_VALUE"""),"012115001")</f>
        <v>012115001</v>
      </c>
      <c r="C632" s="121">
        <f ca="1">IFERROR(__xludf.DUMMYFUNCTION("""COMPUTED_VALUE"""),330000)</f>
        <v>330000</v>
      </c>
      <c r="D632" s="21" t="str">
        <f ca="1">IFERROR(__xludf.DUMMYFUNCTION("""COMPUTED_VALUE"""),"Gisell Carabali")</f>
        <v>Gisell Carabali</v>
      </c>
      <c r="E632" s="123">
        <f ca="1">IFERROR(__xludf.DUMMYFUNCTION("""COMPUTED_VALUE"""),45801)</f>
        <v>45801</v>
      </c>
      <c r="F632" s="121" t="str">
        <f ca="1">IFERROR(__xludf.DUMMYFUNCTION("""COMPUTED_VALUE"""),"No ha consignado platica")</f>
        <v>No ha consignado platica</v>
      </c>
      <c r="G632" s="124" t="str">
        <f ca="1">IFERROR(__xludf.DUMMYFUNCTION("""COMPUTED_VALUE"""),"N/A")</f>
        <v>N/A</v>
      </c>
      <c r="H632" s="21" t="str">
        <f ca="1">IFERROR(__xludf.DUMMYFUNCTION("""COMPUTED_VALUE"""),"Daniel Felipe Riascos Castillo")</f>
        <v>Daniel Felipe Riascos Castillo</v>
      </c>
    </row>
    <row r="633" spans="1:8" x14ac:dyDescent="0.2">
      <c r="A633" s="21" t="str">
        <f t="shared" ca="1" si="2"/>
        <v xml:space="preserve">Jhon Kener Payan Vivas </v>
      </c>
      <c r="B633" s="21" t="str">
        <f ca="1">IFERROR(__xludf.DUMMYFUNCTION("""COMPUTED_VALUE"""),"062115002")</f>
        <v>062115002</v>
      </c>
      <c r="C633" s="121">
        <f ca="1">IFERROR(__xludf.DUMMYFUNCTION("""COMPUTED_VALUE"""),240000)</f>
        <v>240000</v>
      </c>
      <c r="D633" s="21" t="str">
        <f ca="1">IFERROR(__xludf.DUMMYFUNCTION("""COMPUTED_VALUE"""),"Gisell Carabali")</f>
        <v>Gisell Carabali</v>
      </c>
      <c r="E633" s="123">
        <f ca="1">IFERROR(__xludf.DUMMYFUNCTION("""COMPUTED_VALUE"""),45801)</f>
        <v>45801</v>
      </c>
      <c r="F633" s="121" t="str">
        <f ca="1">IFERROR(__xludf.DUMMYFUNCTION("""COMPUTED_VALUE"""),"No ha consignado platica")</f>
        <v>No ha consignado platica</v>
      </c>
      <c r="G633" s="124" t="str">
        <f ca="1">IFERROR(__xludf.DUMMYFUNCTION("""COMPUTED_VALUE"""),"N/A")</f>
        <v>N/A</v>
      </c>
      <c r="H633" s="21" t="str">
        <f ca="1">IFERROR(__xludf.DUMMYFUNCTION("""COMPUTED_VALUE"""),"Jhon Kener Payan Vivas ")</f>
        <v xml:space="preserve">Jhon Kener Payan Vivas </v>
      </c>
    </row>
    <row r="634" spans="1:8" x14ac:dyDescent="0.2">
      <c r="A634" s="21" t="str">
        <f t="shared" ca="1" si="2"/>
        <v xml:space="preserve">Jhon Kener Payan Vivas </v>
      </c>
      <c r="B634" s="21" t="str">
        <f ca="1">IFERROR(__xludf.DUMMYFUNCTION("""COMPUTED_VALUE"""),"012115002")</f>
        <v>012115002</v>
      </c>
      <c r="C634" s="121">
        <f ca="1">IFERROR(__xludf.DUMMYFUNCTION("""COMPUTED_VALUE"""),330000)</f>
        <v>330000</v>
      </c>
      <c r="D634" s="21" t="str">
        <f ca="1">IFERROR(__xludf.DUMMYFUNCTION("""COMPUTED_VALUE"""),"Gisell Carabali")</f>
        <v>Gisell Carabali</v>
      </c>
      <c r="E634" s="123">
        <f ca="1">IFERROR(__xludf.DUMMYFUNCTION("""COMPUTED_VALUE"""),45801)</f>
        <v>45801</v>
      </c>
      <c r="F634" s="121" t="str">
        <f ca="1">IFERROR(__xludf.DUMMYFUNCTION("""COMPUTED_VALUE"""),"No ha consignado platica")</f>
        <v>No ha consignado platica</v>
      </c>
      <c r="G634" s="124" t="str">
        <f ca="1">IFERROR(__xludf.DUMMYFUNCTION("""COMPUTED_VALUE"""),"N/A")</f>
        <v>N/A</v>
      </c>
      <c r="H634" s="21" t="str">
        <f ca="1">IFERROR(__xludf.DUMMYFUNCTION("""COMPUTED_VALUE"""),"Jhon Kener Payan Vivas ")</f>
        <v xml:space="preserve">Jhon Kener Payan Vivas </v>
      </c>
    </row>
    <row r="635" spans="1:8" x14ac:dyDescent="0.2">
      <c r="A635" s="21" t="str">
        <f t="shared" ca="1" si="2"/>
        <v>Jose Alexander Lopez Valencia</v>
      </c>
      <c r="B635" s="21" t="str">
        <f ca="1">IFERROR(__xludf.DUMMYFUNCTION("""COMPUTED_VALUE"""),"062115003")</f>
        <v>062115003</v>
      </c>
      <c r="C635" s="121">
        <f ca="1">IFERROR(__xludf.DUMMYFUNCTION("""COMPUTED_VALUE"""),240000)</f>
        <v>240000</v>
      </c>
      <c r="D635" s="21" t="str">
        <f ca="1">IFERROR(__xludf.DUMMYFUNCTION("""COMPUTED_VALUE"""),"Gisell Carabali")</f>
        <v>Gisell Carabali</v>
      </c>
      <c r="E635" s="123">
        <f ca="1">IFERROR(__xludf.DUMMYFUNCTION("""COMPUTED_VALUE"""),45801)</f>
        <v>45801</v>
      </c>
      <c r="F635" s="121" t="str">
        <f ca="1">IFERROR(__xludf.DUMMYFUNCTION("""COMPUTED_VALUE"""),"No ha consignado platica")</f>
        <v>No ha consignado platica</v>
      </c>
      <c r="G635" s="124" t="str">
        <f ca="1">IFERROR(__xludf.DUMMYFUNCTION("""COMPUTED_VALUE"""),"N/A")</f>
        <v>N/A</v>
      </c>
      <c r="H635" s="21" t="str">
        <f ca="1">IFERROR(__xludf.DUMMYFUNCTION("""COMPUTED_VALUE"""),"Jose Alexander Lopez Valencia")</f>
        <v>Jose Alexander Lopez Valencia</v>
      </c>
    </row>
    <row r="636" spans="1:8" x14ac:dyDescent="0.2">
      <c r="A636" s="21" t="str">
        <f t="shared" ca="1" si="2"/>
        <v>jose Alexander Lopez Valencia</v>
      </c>
      <c r="B636" s="21" t="str">
        <f ca="1">IFERROR(__xludf.DUMMYFUNCTION("""COMPUTED_VALUE"""),"012115003")</f>
        <v>012115003</v>
      </c>
      <c r="C636" s="121">
        <f ca="1">IFERROR(__xludf.DUMMYFUNCTION("""COMPUTED_VALUE"""),330000)</f>
        <v>330000</v>
      </c>
      <c r="D636" s="21" t="str">
        <f ca="1">IFERROR(__xludf.DUMMYFUNCTION("""COMPUTED_VALUE"""),"Gisell Carabali")</f>
        <v>Gisell Carabali</v>
      </c>
      <c r="E636" s="123">
        <f ca="1">IFERROR(__xludf.DUMMYFUNCTION("""COMPUTED_VALUE"""),45801)</f>
        <v>45801</v>
      </c>
      <c r="F636" s="121" t="str">
        <f ca="1">IFERROR(__xludf.DUMMYFUNCTION("""COMPUTED_VALUE"""),"No ha consignado platica")</f>
        <v>No ha consignado platica</v>
      </c>
      <c r="G636" s="124" t="str">
        <f ca="1">IFERROR(__xludf.DUMMYFUNCTION("""COMPUTED_VALUE"""),"N/A")</f>
        <v>N/A</v>
      </c>
      <c r="H636" s="21" t="str">
        <f ca="1">IFERROR(__xludf.DUMMYFUNCTION("""COMPUTED_VALUE"""),"jose Alexander Lopez Valencia")</f>
        <v>jose Alexander Lopez Valencia</v>
      </c>
    </row>
    <row r="637" spans="1:8" x14ac:dyDescent="0.2">
      <c r="A637" s="21" t="str">
        <f t="shared" ca="1" si="2"/>
        <v>Elba Maria Aguirre</v>
      </c>
      <c r="B637" s="21" t="str">
        <f ca="1">IFERROR(__xludf.DUMMYFUNCTION("""COMPUTED_VALUE"""),"031210007")</f>
        <v>031210007</v>
      </c>
      <c r="C637" s="121">
        <f ca="1">IFERROR(__xludf.DUMMYFUNCTION("""COMPUTED_VALUE"""),450000)</f>
        <v>450000</v>
      </c>
      <c r="D637" s="21" t="str">
        <f ca="1">IFERROR(__xludf.DUMMYFUNCTION("""COMPUTED_VALUE"""),"Yesica Mazo")</f>
        <v>Yesica Mazo</v>
      </c>
      <c r="E637" s="123">
        <f ca="1">IFERROR(__xludf.DUMMYFUNCTION("""COMPUTED_VALUE"""),45822)</f>
        <v>45822</v>
      </c>
      <c r="F637" s="121" t="str">
        <f ca="1">IFERROR(__xludf.DUMMYFUNCTION("""COMPUTED_VALUE"""),"No ha consignado platica")</f>
        <v>No ha consignado platica</v>
      </c>
      <c r="G637" s="124" t="str">
        <f ca="1">IFERROR(__xludf.DUMMYFUNCTION("""COMPUTED_VALUE"""),"N/A")</f>
        <v>N/A</v>
      </c>
      <c r="H637" s="21" t="str">
        <f ca="1">IFERROR(__xludf.DUMMYFUNCTION("""COMPUTED_VALUE"""),"Elba Maria Aguirre")</f>
        <v>Elba Maria Aguirre</v>
      </c>
    </row>
    <row r="638" spans="1:8" x14ac:dyDescent="0.2">
      <c r="A638" s="21" t="str">
        <f t="shared" ca="1" si="2"/>
        <v>Ruth Ramirez</v>
      </c>
      <c r="B638" s="21" t="str">
        <f ca="1">IFERROR(__xludf.DUMMYFUNCTION("""COMPUTED_VALUE"""),"021210007")</f>
        <v>021210007</v>
      </c>
      <c r="C638" s="121">
        <f ca="1">IFERROR(__xludf.DUMMYFUNCTION("""COMPUTED_VALUE"""),240000)</f>
        <v>240000</v>
      </c>
      <c r="D638" s="21" t="str">
        <f ca="1">IFERROR(__xludf.DUMMYFUNCTION("""COMPUTED_VALUE"""),"Yesica Mazo")</f>
        <v>Yesica Mazo</v>
      </c>
      <c r="E638" s="123">
        <f ca="1">IFERROR(__xludf.DUMMYFUNCTION("""COMPUTED_VALUE"""),45822)</f>
        <v>45822</v>
      </c>
      <c r="F638" s="121" t="str">
        <f ca="1">IFERROR(__xludf.DUMMYFUNCTION("""COMPUTED_VALUE"""),"No ha consignado platica")</f>
        <v>No ha consignado platica</v>
      </c>
      <c r="G638" s="124" t="str">
        <f ca="1">IFERROR(__xludf.DUMMYFUNCTION("""COMPUTED_VALUE"""),"N/A")</f>
        <v>N/A</v>
      </c>
      <c r="H638" s="21" t="str">
        <f ca="1">IFERROR(__xludf.DUMMYFUNCTION("""COMPUTED_VALUE"""),"Ruth Ramirez")</f>
        <v>Ruth Ramirez</v>
      </c>
    </row>
    <row r="639" spans="1:8" x14ac:dyDescent="0.2">
      <c r="A639" s="21" t="str">
        <f t="shared" ca="1" si="2"/>
        <v>Sandra Zapata</v>
      </c>
      <c r="B639" s="21" t="str">
        <f ca="1">IFERROR(__xludf.DUMMYFUNCTION("""COMPUTED_VALUE"""),"021210008")</f>
        <v>021210008</v>
      </c>
      <c r="C639" s="121">
        <f ca="1">IFERROR(__xludf.DUMMYFUNCTION("""COMPUTED_VALUE"""),240000)</f>
        <v>240000</v>
      </c>
      <c r="D639" s="21" t="str">
        <f ca="1">IFERROR(__xludf.DUMMYFUNCTION("""COMPUTED_VALUE"""),"Yesica Mazo")</f>
        <v>Yesica Mazo</v>
      </c>
      <c r="E639" s="123">
        <f ca="1">IFERROR(__xludf.DUMMYFUNCTION("""COMPUTED_VALUE"""),45822)</f>
        <v>45822</v>
      </c>
      <c r="F639" s="121" t="str">
        <f ca="1">IFERROR(__xludf.DUMMYFUNCTION("""COMPUTED_VALUE"""),"No ha consignado platica")</f>
        <v>No ha consignado platica</v>
      </c>
      <c r="G639" s="124" t="str">
        <f ca="1">IFERROR(__xludf.DUMMYFUNCTION("""COMPUTED_VALUE"""),"N/A")</f>
        <v>N/A</v>
      </c>
      <c r="H639" s="21" t="str">
        <f ca="1">IFERROR(__xludf.DUMMYFUNCTION("""COMPUTED_VALUE"""),"Sandra Zapata")</f>
        <v>Sandra Zapata</v>
      </c>
    </row>
    <row r="640" spans="1:8" x14ac:dyDescent="0.2">
      <c r="A640" s="21" t="str">
        <f t="shared" ca="1" si="2"/>
        <v>Daniela Portillo</v>
      </c>
      <c r="B640" s="21" t="str">
        <f ca="1">IFERROR(__xludf.DUMMYFUNCTION("""COMPUTED_VALUE"""),"021210009")</f>
        <v>021210009</v>
      </c>
      <c r="C640" s="121">
        <f ca="1">IFERROR(__xludf.DUMMYFUNCTION("""COMPUTED_VALUE"""),240000)</f>
        <v>240000</v>
      </c>
      <c r="D640" s="21" t="str">
        <f ca="1">IFERROR(__xludf.DUMMYFUNCTION("""COMPUTED_VALUE"""),"Yesica Mazo")</f>
        <v>Yesica Mazo</v>
      </c>
      <c r="E640" s="123">
        <f ca="1">IFERROR(__xludf.DUMMYFUNCTION("""COMPUTED_VALUE"""),45822)</f>
        <v>45822</v>
      </c>
      <c r="F640" s="121" t="str">
        <f ca="1">IFERROR(__xludf.DUMMYFUNCTION("""COMPUTED_VALUE"""),"No ha consignado platica")</f>
        <v>No ha consignado platica</v>
      </c>
      <c r="G640" s="124" t="str">
        <f ca="1">IFERROR(__xludf.DUMMYFUNCTION("""COMPUTED_VALUE"""),"N/A")</f>
        <v>N/A</v>
      </c>
      <c r="H640" s="21" t="str">
        <f ca="1">IFERROR(__xludf.DUMMYFUNCTION("""COMPUTED_VALUE"""),"Daniela Portillo")</f>
        <v>Daniela Portillo</v>
      </c>
    </row>
    <row r="641" spans="1:8" x14ac:dyDescent="0.2">
      <c r="A641" s="21" t="str">
        <f t="shared" ca="1" si="2"/>
        <v>Alejandro Taborda</v>
      </c>
      <c r="B641" s="21" t="str">
        <f ca="1">IFERROR(__xludf.DUMMYFUNCTION("""COMPUTED_VALUE"""),"0212100010")</f>
        <v>0212100010</v>
      </c>
      <c r="C641" s="121">
        <f ca="1">IFERROR(__xludf.DUMMYFUNCTION("""COMPUTED_VALUE"""),240000)</f>
        <v>240000</v>
      </c>
      <c r="D641" s="21" t="str">
        <f ca="1">IFERROR(__xludf.DUMMYFUNCTION("""COMPUTED_VALUE"""),"Yesica Mazo")</f>
        <v>Yesica Mazo</v>
      </c>
      <c r="E641" s="123">
        <f ca="1">IFERROR(__xludf.DUMMYFUNCTION("""COMPUTED_VALUE"""),45822)</f>
        <v>45822</v>
      </c>
      <c r="F641" s="121" t="str">
        <f ca="1">IFERROR(__xludf.DUMMYFUNCTION("""COMPUTED_VALUE"""),"No ha consignado platica")</f>
        <v>No ha consignado platica</v>
      </c>
      <c r="G641" s="124" t="str">
        <f ca="1">IFERROR(__xludf.DUMMYFUNCTION("""COMPUTED_VALUE"""),"N/A")</f>
        <v>N/A</v>
      </c>
      <c r="H641" s="21" t="str">
        <f ca="1">IFERROR(__xludf.DUMMYFUNCTION("""COMPUTED_VALUE"""),"Alejandro Taborda")</f>
        <v>Alejandro Taborda</v>
      </c>
    </row>
    <row r="642" spans="1:8" x14ac:dyDescent="0.2">
      <c r="A642" s="21" t="str">
        <f t="shared" ca="1" si="2"/>
        <v>Marta Callejas</v>
      </c>
      <c r="B642" s="21" t="str">
        <f ca="1">IFERROR(__xludf.DUMMYFUNCTION("""COMPUTED_VALUE"""),"0212100011")</f>
        <v>0212100011</v>
      </c>
      <c r="C642" s="121">
        <f ca="1">IFERROR(__xludf.DUMMYFUNCTION("""COMPUTED_VALUE"""),240000)</f>
        <v>240000</v>
      </c>
      <c r="D642" s="21" t="str">
        <f ca="1">IFERROR(__xludf.DUMMYFUNCTION("""COMPUTED_VALUE"""),"Yesica Mazo")</f>
        <v>Yesica Mazo</v>
      </c>
      <c r="E642" s="123">
        <f ca="1">IFERROR(__xludf.DUMMYFUNCTION("""COMPUTED_VALUE"""),45822)</f>
        <v>45822</v>
      </c>
      <c r="F642" s="121" t="str">
        <f ca="1">IFERROR(__xludf.DUMMYFUNCTION("""COMPUTED_VALUE"""),"No ha consignado platica")</f>
        <v>No ha consignado platica</v>
      </c>
      <c r="G642" s="124" t="str">
        <f ca="1">IFERROR(__xludf.DUMMYFUNCTION("""COMPUTED_VALUE"""),"N/A")</f>
        <v>N/A</v>
      </c>
      <c r="H642" s="21" t="str">
        <f ca="1">IFERROR(__xludf.DUMMYFUNCTION("""COMPUTED_VALUE"""),"Marta Callejas")</f>
        <v>Marta Callejas</v>
      </c>
    </row>
    <row r="643" spans="1:8" x14ac:dyDescent="0.2">
      <c r="A643" s="21" t="str">
        <f t="shared" ca="1" si="2"/>
        <v>Claudia Duque</v>
      </c>
      <c r="B643" s="21" t="str">
        <f ca="1">IFERROR(__xludf.DUMMYFUNCTION("""COMPUTED_VALUE"""),"0212100012")</f>
        <v>0212100012</v>
      </c>
      <c r="C643" s="121">
        <f ca="1">IFERROR(__xludf.DUMMYFUNCTION("""COMPUTED_VALUE"""),240000)</f>
        <v>240000</v>
      </c>
      <c r="D643" s="21" t="str">
        <f ca="1">IFERROR(__xludf.DUMMYFUNCTION("""COMPUTED_VALUE"""),"Yesica Mazo")</f>
        <v>Yesica Mazo</v>
      </c>
      <c r="E643" s="123">
        <f ca="1">IFERROR(__xludf.DUMMYFUNCTION("""COMPUTED_VALUE"""),45822)</f>
        <v>45822</v>
      </c>
      <c r="F643" s="121" t="str">
        <f ca="1">IFERROR(__xludf.DUMMYFUNCTION("""COMPUTED_VALUE"""),"No ha consignado platica")</f>
        <v>No ha consignado platica</v>
      </c>
      <c r="G643" s="124" t="str">
        <f ca="1">IFERROR(__xludf.DUMMYFUNCTION("""COMPUTED_VALUE"""),"N/A")</f>
        <v>N/A</v>
      </c>
      <c r="H643" s="21" t="str">
        <f ca="1">IFERROR(__xludf.DUMMYFUNCTION("""COMPUTED_VALUE"""),"Claudia Duque")</f>
        <v>Claudia Duque</v>
      </c>
    </row>
    <row r="644" spans="1:8" x14ac:dyDescent="0.2">
      <c r="A644" s="21" t="str">
        <f t="shared" ca="1" si="2"/>
        <v>Flover Castro</v>
      </c>
      <c r="B644" s="21" t="str">
        <f ca="1">IFERROR(__xludf.DUMMYFUNCTION("""COMPUTED_VALUE"""),"0212100013")</f>
        <v>0212100013</v>
      </c>
      <c r="C644" s="121">
        <f ca="1">IFERROR(__xludf.DUMMYFUNCTION("""COMPUTED_VALUE"""),240000)</f>
        <v>240000</v>
      </c>
      <c r="D644" s="21" t="str">
        <f ca="1">IFERROR(__xludf.DUMMYFUNCTION("""COMPUTED_VALUE"""),"Yesica Mazo")</f>
        <v>Yesica Mazo</v>
      </c>
      <c r="E644" s="123">
        <f ca="1">IFERROR(__xludf.DUMMYFUNCTION("""COMPUTED_VALUE"""),45822)</f>
        <v>45822</v>
      </c>
      <c r="F644" s="121" t="str">
        <f ca="1">IFERROR(__xludf.DUMMYFUNCTION("""COMPUTED_VALUE"""),"No ha consignado platica")</f>
        <v>No ha consignado platica</v>
      </c>
      <c r="G644" s="124" t="str">
        <f ca="1">IFERROR(__xludf.DUMMYFUNCTION("""COMPUTED_VALUE"""),"N/A")</f>
        <v>N/A</v>
      </c>
      <c r="H644" s="21" t="str">
        <f ca="1">IFERROR(__xludf.DUMMYFUNCTION("""COMPUTED_VALUE"""),"Flover Castro")</f>
        <v>Flover Castro</v>
      </c>
    </row>
    <row r="645" spans="1:8" x14ac:dyDescent="0.2">
      <c r="A645" s="21" t="str">
        <f t="shared" ca="1" si="2"/>
        <v>Juan Esteban Vasquez</v>
      </c>
      <c r="B645" s="21" t="str">
        <f ca="1">IFERROR(__xludf.DUMMYFUNCTION("""COMPUTED_VALUE"""),"0212100014")</f>
        <v>0212100014</v>
      </c>
      <c r="C645" s="121">
        <f ca="1">IFERROR(__xludf.DUMMYFUNCTION("""COMPUTED_VALUE"""),240000)</f>
        <v>240000</v>
      </c>
      <c r="D645" s="21" t="str">
        <f ca="1">IFERROR(__xludf.DUMMYFUNCTION("""COMPUTED_VALUE"""),"Yesica Mazo")</f>
        <v>Yesica Mazo</v>
      </c>
      <c r="E645" s="123">
        <f ca="1">IFERROR(__xludf.DUMMYFUNCTION("""COMPUTED_VALUE"""),45822)</f>
        <v>45822</v>
      </c>
      <c r="F645" s="121" t="str">
        <f ca="1">IFERROR(__xludf.DUMMYFUNCTION("""COMPUTED_VALUE"""),"No ha consignado platica")</f>
        <v>No ha consignado platica</v>
      </c>
      <c r="G645" s="124" t="str">
        <f ca="1">IFERROR(__xludf.DUMMYFUNCTION("""COMPUTED_VALUE"""),"N/A")</f>
        <v>N/A</v>
      </c>
      <c r="H645" s="21" t="str">
        <f ca="1">IFERROR(__xludf.DUMMYFUNCTION("""COMPUTED_VALUE"""),"Juan Esteban Vasquez")</f>
        <v>Juan Esteban Vasquez</v>
      </c>
    </row>
    <row r="646" spans="1:8" x14ac:dyDescent="0.2">
      <c r="A646" s="21" t="str">
        <f t="shared" ca="1" si="2"/>
        <v>Aún no especificado</v>
      </c>
      <c r="B646" s="21" t="str">
        <f ca="1">IFERROR(__xludf.DUMMYFUNCTION("""COMPUTED_VALUE"""),"069331001")</f>
        <v>069331001</v>
      </c>
      <c r="C646" s="121">
        <f ca="1">IFERROR(__xludf.DUMMYFUNCTION("""COMPUTED_VALUE"""),240000)</f>
        <v>240000</v>
      </c>
      <c r="D646" s="21" t="str">
        <f ca="1">IFERROR(__xludf.DUMMYFUNCTION("""COMPUTED_VALUE"""),"Santiago Morales")</f>
        <v>Santiago Morales</v>
      </c>
      <c r="E646" s="123">
        <f ca="1">IFERROR(__xludf.DUMMYFUNCTION("""COMPUTED_VALUE"""),45835)</f>
        <v>45835</v>
      </c>
      <c r="F646" s="121" t="str">
        <f ca="1">IFERROR(__xludf.DUMMYFUNCTION("""COMPUTED_VALUE"""),"No ha consignado platica")</f>
        <v>No ha consignado platica</v>
      </c>
      <c r="G646" s="124" t="str">
        <f ca="1">IFERROR(__xludf.DUMMYFUNCTION("""COMPUTED_VALUE"""),"N/A")</f>
        <v>N/A</v>
      </c>
      <c r="H646" s="21" t="str">
        <f ca="1">IFERROR(__xludf.DUMMYFUNCTION("""COMPUTED_VALUE"""),"Aún no especificado")</f>
        <v>Aún no especificado</v>
      </c>
    </row>
    <row r="647" spans="1:8" x14ac:dyDescent="0.2">
      <c r="A647" s="21" t="str">
        <f t="shared" ca="1" si="2"/>
        <v>Aún no especificado</v>
      </c>
      <c r="B647" s="21" t="str">
        <f ca="1">IFERROR(__xludf.DUMMYFUNCTION("""COMPUTED_VALUE"""),"039331001")</f>
        <v>039331001</v>
      </c>
      <c r="C647" s="121">
        <f ca="1">IFERROR(__xludf.DUMMYFUNCTION("""COMPUTED_VALUE"""),450000)</f>
        <v>450000</v>
      </c>
      <c r="D647" s="21" t="str">
        <f ca="1">IFERROR(__xludf.DUMMYFUNCTION("""COMPUTED_VALUE"""),"Santiago Morales")</f>
        <v>Santiago Morales</v>
      </c>
      <c r="E647" s="123">
        <f ca="1">IFERROR(__xludf.DUMMYFUNCTION("""COMPUTED_VALUE"""),45836)</f>
        <v>45836</v>
      </c>
      <c r="F647" s="121" t="str">
        <f ca="1">IFERROR(__xludf.DUMMYFUNCTION("""COMPUTED_VALUE"""),"No ha consignado platica")</f>
        <v>No ha consignado platica</v>
      </c>
      <c r="G647" s="124" t="str">
        <f ca="1">IFERROR(__xludf.DUMMYFUNCTION("""COMPUTED_VALUE"""),"N/A")</f>
        <v>N/A</v>
      </c>
      <c r="H647" s="21" t="str">
        <f ca="1">IFERROR(__xludf.DUMMYFUNCTION("""COMPUTED_VALUE"""),"Aún no especificado")</f>
        <v>Aún no especificado</v>
      </c>
    </row>
    <row r="648" spans="1:8" x14ac:dyDescent="0.2">
      <c r="A648" s="21">
        <f t="shared" si="2"/>
        <v>0</v>
      </c>
      <c r="B648" s="21" t="str">
        <f ca="1">IFERROR(__xludf.DUMMYFUNCTION("""COMPUTED_VALUE"""),"Te falta un dato")</f>
        <v>Te falta un dato</v>
      </c>
      <c r="C648" s="121" t="str">
        <f ca="1">IFERROR(__xludf.DUMMYFUNCTION("""COMPUTED_VALUE"""),"")</f>
        <v/>
      </c>
      <c r="D648" s="21"/>
      <c r="E648" s="21"/>
      <c r="F648" s="121" t="str">
        <f ca="1">IFERROR(__xludf.DUMMYFUNCTION("""COMPUTED_VALUE"""),"No ha consignado platica")</f>
        <v>No ha consignado platica</v>
      </c>
      <c r="G648" s="124" t="str">
        <f ca="1">IFERROR(__xludf.DUMMYFUNCTION("""COMPUTED_VALUE"""),"N/A")</f>
        <v>N/A</v>
      </c>
      <c r="H648" s="21"/>
    </row>
    <row r="649" spans="1:8" x14ac:dyDescent="0.2">
      <c r="A649" s="21">
        <f t="shared" si="2"/>
        <v>0</v>
      </c>
      <c r="B649" s="21" t="str">
        <f ca="1">IFERROR(__xludf.DUMMYFUNCTION("""COMPUTED_VALUE"""),"Te falta un dato")</f>
        <v>Te falta un dato</v>
      </c>
      <c r="C649" s="121" t="str">
        <f ca="1">IFERROR(__xludf.DUMMYFUNCTION("""COMPUTED_VALUE"""),"")</f>
        <v/>
      </c>
      <c r="D649" s="21"/>
      <c r="E649" s="21"/>
      <c r="F649" s="121" t="str">
        <f ca="1">IFERROR(__xludf.DUMMYFUNCTION("""COMPUTED_VALUE"""),"No ha consignado platica")</f>
        <v>No ha consignado platica</v>
      </c>
      <c r="G649" s="124" t="str">
        <f ca="1">IFERROR(__xludf.DUMMYFUNCTION("""COMPUTED_VALUE"""),"N/A")</f>
        <v>N/A</v>
      </c>
      <c r="H649" s="21"/>
    </row>
    <row r="650" spans="1:8" x14ac:dyDescent="0.2">
      <c r="A650" s="21">
        <f t="shared" si="2"/>
        <v>0</v>
      </c>
      <c r="B650" s="21" t="str">
        <f ca="1">IFERROR(__xludf.DUMMYFUNCTION("""COMPUTED_VALUE"""),"Te falta un dato")</f>
        <v>Te falta un dato</v>
      </c>
      <c r="C650" s="121" t="str">
        <f ca="1">IFERROR(__xludf.DUMMYFUNCTION("""COMPUTED_VALUE"""),"")</f>
        <v/>
      </c>
      <c r="D650" s="21"/>
      <c r="E650" s="21"/>
      <c r="F650" s="121" t="str">
        <f ca="1">IFERROR(__xludf.DUMMYFUNCTION("""COMPUTED_VALUE"""),"No ha consignado platica")</f>
        <v>No ha consignado platica</v>
      </c>
      <c r="G650" s="124" t="str">
        <f ca="1">IFERROR(__xludf.DUMMYFUNCTION("""COMPUTED_VALUE"""),"N/A")</f>
        <v>N/A</v>
      </c>
      <c r="H650" s="21"/>
    </row>
    <row r="651" spans="1:8" x14ac:dyDescent="0.2">
      <c r="A651" s="21">
        <f t="shared" si="2"/>
        <v>0</v>
      </c>
      <c r="B651" s="21" t="str">
        <f ca="1">IFERROR(__xludf.DUMMYFUNCTION("""COMPUTED_VALUE"""),"Te falta un dato")</f>
        <v>Te falta un dato</v>
      </c>
      <c r="C651" s="121" t="str">
        <f ca="1">IFERROR(__xludf.DUMMYFUNCTION("""COMPUTED_VALUE"""),"")</f>
        <v/>
      </c>
      <c r="D651" s="21"/>
      <c r="E651" s="21"/>
      <c r="F651" s="121" t="str">
        <f ca="1">IFERROR(__xludf.DUMMYFUNCTION("""COMPUTED_VALUE"""),"No ha consignado platica")</f>
        <v>No ha consignado platica</v>
      </c>
      <c r="G651" s="124" t="str">
        <f ca="1">IFERROR(__xludf.DUMMYFUNCTION("""COMPUTED_VALUE"""),"N/A")</f>
        <v>N/A</v>
      </c>
      <c r="H651" s="21"/>
    </row>
    <row r="652" spans="1:8" x14ac:dyDescent="0.2">
      <c r="A652" s="21">
        <f t="shared" si="2"/>
        <v>0</v>
      </c>
      <c r="B652" s="21" t="str">
        <f ca="1">IFERROR(__xludf.DUMMYFUNCTION("""COMPUTED_VALUE"""),"Te falta un dato")</f>
        <v>Te falta un dato</v>
      </c>
      <c r="C652" s="121" t="str">
        <f ca="1">IFERROR(__xludf.DUMMYFUNCTION("""COMPUTED_VALUE"""),"")</f>
        <v/>
      </c>
      <c r="D652" s="21"/>
      <c r="E652" s="21"/>
      <c r="F652" s="121" t="str">
        <f ca="1">IFERROR(__xludf.DUMMYFUNCTION("""COMPUTED_VALUE"""),"No ha consignado platica")</f>
        <v>No ha consignado platica</v>
      </c>
      <c r="G652" s="124" t="str">
        <f ca="1">IFERROR(__xludf.DUMMYFUNCTION("""COMPUTED_VALUE"""),"N/A")</f>
        <v>N/A</v>
      </c>
      <c r="H652" s="21"/>
    </row>
    <row r="653" spans="1:8" x14ac:dyDescent="0.2">
      <c r="A653" s="21">
        <f t="shared" si="2"/>
        <v>0</v>
      </c>
      <c r="B653" s="21" t="str">
        <f ca="1">IFERROR(__xludf.DUMMYFUNCTION("""COMPUTED_VALUE"""),"Te falta un dato")</f>
        <v>Te falta un dato</v>
      </c>
      <c r="C653" s="121" t="str">
        <f ca="1">IFERROR(__xludf.DUMMYFUNCTION("""COMPUTED_VALUE"""),"")</f>
        <v/>
      </c>
      <c r="D653" s="21"/>
      <c r="E653" s="21"/>
      <c r="F653" s="121" t="str">
        <f ca="1">IFERROR(__xludf.DUMMYFUNCTION("""COMPUTED_VALUE"""),"No ha consignado platica")</f>
        <v>No ha consignado platica</v>
      </c>
      <c r="G653" s="124" t="str">
        <f ca="1">IFERROR(__xludf.DUMMYFUNCTION("""COMPUTED_VALUE"""),"N/A")</f>
        <v>N/A</v>
      </c>
      <c r="H653" s="21"/>
    </row>
    <row r="654" spans="1:8" x14ac:dyDescent="0.2">
      <c r="A654" s="21">
        <f t="shared" si="2"/>
        <v>0</v>
      </c>
      <c r="B654" s="21" t="str">
        <f ca="1">IFERROR(__xludf.DUMMYFUNCTION("""COMPUTED_VALUE"""),"Te falta un dato")</f>
        <v>Te falta un dato</v>
      </c>
      <c r="C654" s="121" t="str">
        <f ca="1">IFERROR(__xludf.DUMMYFUNCTION("""COMPUTED_VALUE"""),"")</f>
        <v/>
      </c>
      <c r="D654" s="21"/>
      <c r="E654" s="21"/>
      <c r="F654" s="121" t="str">
        <f ca="1">IFERROR(__xludf.DUMMYFUNCTION("""COMPUTED_VALUE"""),"No ha consignado platica")</f>
        <v>No ha consignado platica</v>
      </c>
      <c r="G654" s="124" t="str">
        <f ca="1">IFERROR(__xludf.DUMMYFUNCTION("""COMPUTED_VALUE"""),"N/A")</f>
        <v>N/A</v>
      </c>
      <c r="H654" s="21"/>
    </row>
    <row r="655" spans="1:8" x14ac:dyDescent="0.2">
      <c r="A655" s="21">
        <f t="shared" si="2"/>
        <v>0</v>
      </c>
      <c r="B655" s="21" t="str">
        <f ca="1">IFERROR(__xludf.DUMMYFUNCTION("""COMPUTED_VALUE"""),"Te falta un dato")</f>
        <v>Te falta un dato</v>
      </c>
      <c r="C655" s="121" t="str">
        <f ca="1">IFERROR(__xludf.DUMMYFUNCTION("""COMPUTED_VALUE"""),"")</f>
        <v/>
      </c>
      <c r="D655" s="21"/>
      <c r="E655" s="21"/>
      <c r="F655" s="121" t="str">
        <f ca="1">IFERROR(__xludf.DUMMYFUNCTION("""COMPUTED_VALUE"""),"No ha consignado platica")</f>
        <v>No ha consignado platica</v>
      </c>
      <c r="G655" s="124" t="str">
        <f ca="1">IFERROR(__xludf.DUMMYFUNCTION("""COMPUTED_VALUE"""),"N/A")</f>
        <v>N/A</v>
      </c>
      <c r="H655" s="21"/>
    </row>
    <row r="656" spans="1:8" x14ac:dyDescent="0.2">
      <c r="A656" s="21">
        <f t="shared" si="2"/>
        <v>0</v>
      </c>
      <c r="B656" s="21" t="str">
        <f ca="1">IFERROR(__xludf.DUMMYFUNCTION("""COMPUTED_VALUE"""),"Te falta un dato")</f>
        <v>Te falta un dato</v>
      </c>
      <c r="C656" s="121" t="str">
        <f ca="1">IFERROR(__xludf.DUMMYFUNCTION("""COMPUTED_VALUE"""),"")</f>
        <v/>
      </c>
      <c r="D656" s="21"/>
      <c r="E656" s="21"/>
      <c r="F656" s="121" t="str">
        <f ca="1">IFERROR(__xludf.DUMMYFUNCTION("""COMPUTED_VALUE"""),"No ha consignado platica")</f>
        <v>No ha consignado platica</v>
      </c>
      <c r="G656" s="124" t="str">
        <f ca="1">IFERROR(__xludf.DUMMYFUNCTION("""COMPUTED_VALUE"""),"N/A")</f>
        <v>N/A</v>
      </c>
      <c r="H656" s="21"/>
    </row>
    <row r="657" spans="1:8" x14ac:dyDescent="0.2">
      <c r="A657" s="21">
        <f t="shared" si="2"/>
        <v>0</v>
      </c>
      <c r="B657" s="21" t="str">
        <f ca="1">IFERROR(__xludf.DUMMYFUNCTION("""COMPUTED_VALUE"""),"Te falta un dato")</f>
        <v>Te falta un dato</v>
      </c>
      <c r="C657" s="121" t="str">
        <f ca="1">IFERROR(__xludf.DUMMYFUNCTION("""COMPUTED_VALUE"""),"")</f>
        <v/>
      </c>
      <c r="D657" s="21"/>
      <c r="E657" s="21"/>
      <c r="F657" s="121" t="str">
        <f ca="1">IFERROR(__xludf.DUMMYFUNCTION("""COMPUTED_VALUE"""),"No ha consignado platica")</f>
        <v>No ha consignado platica</v>
      </c>
      <c r="G657" s="124" t="str">
        <f ca="1">IFERROR(__xludf.DUMMYFUNCTION("""COMPUTED_VALUE"""),"N/A")</f>
        <v>N/A</v>
      </c>
      <c r="H657" s="21"/>
    </row>
    <row r="658" spans="1:8" x14ac:dyDescent="0.2">
      <c r="A658" s="21">
        <f t="shared" si="2"/>
        <v>0</v>
      </c>
      <c r="B658" s="21" t="str">
        <f ca="1">IFERROR(__xludf.DUMMYFUNCTION("""COMPUTED_VALUE"""),"Te falta un dato")</f>
        <v>Te falta un dato</v>
      </c>
      <c r="C658" s="121" t="str">
        <f ca="1">IFERROR(__xludf.DUMMYFUNCTION("""COMPUTED_VALUE"""),"")</f>
        <v/>
      </c>
      <c r="D658" s="21"/>
      <c r="E658" s="21"/>
      <c r="F658" s="121" t="str">
        <f ca="1">IFERROR(__xludf.DUMMYFUNCTION("""COMPUTED_VALUE"""),"No ha consignado platica")</f>
        <v>No ha consignado platica</v>
      </c>
      <c r="G658" s="124" t="str">
        <f ca="1">IFERROR(__xludf.DUMMYFUNCTION("""COMPUTED_VALUE"""),"N/A")</f>
        <v>N/A</v>
      </c>
      <c r="H658" s="21"/>
    </row>
    <row r="659" spans="1:8" x14ac:dyDescent="0.2">
      <c r="A659" s="21">
        <f t="shared" si="2"/>
        <v>0</v>
      </c>
      <c r="B659" s="21" t="str">
        <f ca="1">IFERROR(__xludf.DUMMYFUNCTION("""COMPUTED_VALUE"""),"Te falta un dato")</f>
        <v>Te falta un dato</v>
      </c>
      <c r="C659" s="121" t="str">
        <f ca="1">IFERROR(__xludf.DUMMYFUNCTION("""COMPUTED_VALUE"""),"")</f>
        <v/>
      </c>
      <c r="D659" s="21"/>
      <c r="E659" s="21"/>
      <c r="F659" s="121" t="str">
        <f ca="1">IFERROR(__xludf.DUMMYFUNCTION("""COMPUTED_VALUE"""),"No ha consignado platica")</f>
        <v>No ha consignado platica</v>
      </c>
      <c r="G659" s="124" t="str">
        <f ca="1">IFERROR(__xludf.DUMMYFUNCTION("""COMPUTED_VALUE"""),"N/A")</f>
        <v>N/A</v>
      </c>
      <c r="H659" s="21"/>
    </row>
    <row r="660" spans="1:8" x14ac:dyDescent="0.2">
      <c r="A660" s="21">
        <f t="shared" si="2"/>
        <v>0</v>
      </c>
      <c r="B660" s="21" t="str">
        <f ca="1">IFERROR(__xludf.DUMMYFUNCTION("""COMPUTED_VALUE"""),"Te falta un dato")</f>
        <v>Te falta un dato</v>
      </c>
      <c r="C660" s="121" t="str">
        <f ca="1">IFERROR(__xludf.DUMMYFUNCTION("""COMPUTED_VALUE"""),"")</f>
        <v/>
      </c>
      <c r="D660" s="21"/>
      <c r="E660" s="21"/>
      <c r="F660" s="121" t="str">
        <f ca="1">IFERROR(__xludf.DUMMYFUNCTION("""COMPUTED_VALUE"""),"No ha consignado platica")</f>
        <v>No ha consignado platica</v>
      </c>
      <c r="G660" s="124" t="str">
        <f ca="1">IFERROR(__xludf.DUMMYFUNCTION("""COMPUTED_VALUE"""),"N/A")</f>
        <v>N/A</v>
      </c>
      <c r="H660" s="21"/>
    </row>
    <row r="661" spans="1:8" x14ac:dyDescent="0.2">
      <c r="A661" s="21">
        <f t="shared" si="2"/>
        <v>0</v>
      </c>
      <c r="B661" s="21" t="str">
        <f ca="1">IFERROR(__xludf.DUMMYFUNCTION("""COMPUTED_VALUE"""),"Te falta un dato")</f>
        <v>Te falta un dato</v>
      </c>
      <c r="C661" s="121" t="str">
        <f ca="1">IFERROR(__xludf.DUMMYFUNCTION("""COMPUTED_VALUE"""),"")</f>
        <v/>
      </c>
      <c r="D661" s="21"/>
      <c r="E661" s="21"/>
      <c r="F661" s="121" t="str">
        <f ca="1">IFERROR(__xludf.DUMMYFUNCTION("""COMPUTED_VALUE"""),"No ha consignado platica")</f>
        <v>No ha consignado platica</v>
      </c>
      <c r="G661" s="124" t="str">
        <f ca="1">IFERROR(__xludf.DUMMYFUNCTION("""COMPUTED_VALUE"""),"N/A")</f>
        <v>N/A</v>
      </c>
      <c r="H661" s="21"/>
    </row>
    <row r="662" spans="1:8" x14ac:dyDescent="0.2">
      <c r="A662" s="21">
        <f t="shared" si="2"/>
        <v>0</v>
      </c>
      <c r="B662" s="21" t="str">
        <f ca="1">IFERROR(__xludf.DUMMYFUNCTION("""COMPUTED_VALUE"""),"Te falta un dato")</f>
        <v>Te falta un dato</v>
      </c>
      <c r="C662" s="121" t="str">
        <f ca="1">IFERROR(__xludf.DUMMYFUNCTION("""COMPUTED_VALUE"""),"")</f>
        <v/>
      </c>
      <c r="D662" s="21"/>
      <c r="E662" s="21"/>
      <c r="F662" s="121" t="str">
        <f ca="1">IFERROR(__xludf.DUMMYFUNCTION("""COMPUTED_VALUE"""),"No ha consignado platica")</f>
        <v>No ha consignado platica</v>
      </c>
      <c r="G662" s="124" t="str">
        <f ca="1">IFERROR(__xludf.DUMMYFUNCTION("""COMPUTED_VALUE"""),"N/A")</f>
        <v>N/A</v>
      </c>
      <c r="H662" s="21"/>
    </row>
    <row r="663" spans="1:8" x14ac:dyDescent="0.2">
      <c r="A663" s="21">
        <f t="shared" si="2"/>
        <v>0</v>
      </c>
      <c r="B663" s="21" t="str">
        <f ca="1">IFERROR(__xludf.DUMMYFUNCTION("""COMPUTED_VALUE"""),"Te falta un dato")</f>
        <v>Te falta un dato</v>
      </c>
      <c r="C663" s="121" t="str">
        <f ca="1">IFERROR(__xludf.DUMMYFUNCTION("""COMPUTED_VALUE"""),"")</f>
        <v/>
      </c>
      <c r="D663" s="21"/>
      <c r="E663" s="21"/>
      <c r="F663" s="121" t="str">
        <f ca="1">IFERROR(__xludf.DUMMYFUNCTION("""COMPUTED_VALUE"""),"No ha consignado platica")</f>
        <v>No ha consignado platica</v>
      </c>
      <c r="G663" s="124" t="str">
        <f ca="1">IFERROR(__xludf.DUMMYFUNCTION("""COMPUTED_VALUE"""),"N/A")</f>
        <v>N/A</v>
      </c>
      <c r="H663" s="21"/>
    </row>
    <row r="664" spans="1:8" x14ac:dyDescent="0.2">
      <c r="A664" s="21">
        <f t="shared" si="2"/>
        <v>0</v>
      </c>
      <c r="B664" s="21" t="str">
        <f ca="1">IFERROR(__xludf.DUMMYFUNCTION("""COMPUTED_VALUE"""),"Te falta un dato")</f>
        <v>Te falta un dato</v>
      </c>
      <c r="C664" s="121" t="str">
        <f ca="1">IFERROR(__xludf.DUMMYFUNCTION("""COMPUTED_VALUE"""),"")</f>
        <v/>
      </c>
      <c r="D664" s="21"/>
      <c r="E664" s="21"/>
      <c r="F664" s="121" t="str">
        <f ca="1">IFERROR(__xludf.DUMMYFUNCTION("""COMPUTED_VALUE"""),"No ha consignado platica")</f>
        <v>No ha consignado platica</v>
      </c>
      <c r="G664" s="124" t="str">
        <f ca="1">IFERROR(__xludf.DUMMYFUNCTION("""COMPUTED_VALUE"""),"N/A")</f>
        <v>N/A</v>
      </c>
      <c r="H664" s="21"/>
    </row>
    <row r="665" spans="1:8" x14ac:dyDescent="0.2">
      <c r="A665" s="21">
        <f t="shared" si="2"/>
        <v>0</v>
      </c>
      <c r="B665" s="21" t="str">
        <f ca="1">IFERROR(__xludf.DUMMYFUNCTION("""COMPUTED_VALUE"""),"Te falta un dato")</f>
        <v>Te falta un dato</v>
      </c>
      <c r="C665" s="121" t="str">
        <f ca="1">IFERROR(__xludf.DUMMYFUNCTION("""COMPUTED_VALUE"""),"")</f>
        <v/>
      </c>
      <c r="D665" s="21"/>
      <c r="E665" s="21"/>
      <c r="F665" s="121" t="str">
        <f ca="1">IFERROR(__xludf.DUMMYFUNCTION("""COMPUTED_VALUE"""),"No ha consignado platica")</f>
        <v>No ha consignado platica</v>
      </c>
      <c r="G665" s="124" t="str">
        <f ca="1">IFERROR(__xludf.DUMMYFUNCTION("""COMPUTED_VALUE"""),"N/A")</f>
        <v>N/A</v>
      </c>
      <c r="H665" s="21"/>
    </row>
    <row r="666" spans="1:8" x14ac:dyDescent="0.2">
      <c r="A666" s="21">
        <f t="shared" si="2"/>
        <v>0</v>
      </c>
      <c r="B666" s="21" t="str">
        <f ca="1">IFERROR(__xludf.DUMMYFUNCTION("""COMPUTED_VALUE"""),"Te falta un dato")</f>
        <v>Te falta un dato</v>
      </c>
      <c r="C666" s="121" t="str">
        <f ca="1">IFERROR(__xludf.DUMMYFUNCTION("""COMPUTED_VALUE"""),"")</f>
        <v/>
      </c>
      <c r="D666" s="21"/>
      <c r="E666" s="21"/>
      <c r="F666" s="121" t="str">
        <f ca="1">IFERROR(__xludf.DUMMYFUNCTION("""COMPUTED_VALUE"""),"No ha consignado platica")</f>
        <v>No ha consignado platica</v>
      </c>
      <c r="G666" s="124" t="str">
        <f ca="1">IFERROR(__xludf.DUMMYFUNCTION("""COMPUTED_VALUE"""),"N/A")</f>
        <v>N/A</v>
      </c>
      <c r="H666" s="21"/>
    </row>
    <row r="667" spans="1:8" x14ac:dyDescent="0.2">
      <c r="A667" s="21">
        <f t="shared" si="2"/>
        <v>0</v>
      </c>
      <c r="B667" s="21" t="str">
        <f ca="1">IFERROR(__xludf.DUMMYFUNCTION("""COMPUTED_VALUE"""),"Te falta un dato")</f>
        <v>Te falta un dato</v>
      </c>
      <c r="C667" s="121" t="str">
        <f ca="1">IFERROR(__xludf.DUMMYFUNCTION("""COMPUTED_VALUE"""),"")</f>
        <v/>
      </c>
      <c r="D667" s="21"/>
      <c r="E667" s="21"/>
      <c r="F667" s="121" t="str">
        <f ca="1">IFERROR(__xludf.DUMMYFUNCTION("""COMPUTED_VALUE"""),"No ha consignado platica")</f>
        <v>No ha consignado platica</v>
      </c>
      <c r="G667" s="124" t="str">
        <f ca="1">IFERROR(__xludf.DUMMYFUNCTION("""COMPUTED_VALUE"""),"N/A")</f>
        <v>N/A</v>
      </c>
      <c r="H667" s="21"/>
    </row>
    <row r="668" spans="1:8" x14ac:dyDescent="0.2">
      <c r="A668" s="21">
        <f t="shared" si="2"/>
        <v>0</v>
      </c>
      <c r="B668" s="21" t="str">
        <f ca="1">IFERROR(__xludf.DUMMYFUNCTION("""COMPUTED_VALUE"""),"Te falta un dato")</f>
        <v>Te falta un dato</v>
      </c>
      <c r="C668" s="121" t="str">
        <f ca="1">IFERROR(__xludf.DUMMYFUNCTION("""COMPUTED_VALUE"""),"")</f>
        <v/>
      </c>
      <c r="D668" s="21"/>
      <c r="E668" s="21"/>
      <c r="F668" s="121" t="str">
        <f ca="1">IFERROR(__xludf.DUMMYFUNCTION("""COMPUTED_VALUE"""),"No ha consignado platica")</f>
        <v>No ha consignado platica</v>
      </c>
      <c r="G668" s="124" t="str">
        <f ca="1">IFERROR(__xludf.DUMMYFUNCTION("""COMPUTED_VALUE"""),"N/A")</f>
        <v>N/A</v>
      </c>
      <c r="H668" s="21"/>
    </row>
    <row r="669" spans="1:8" x14ac:dyDescent="0.2">
      <c r="A669" s="21">
        <f t="shared" si="2"/>
        <v>0</v>
      </c>
      <c r="B669" s="21" t="str">
        <f ca="1">IFERROR(__xludf.DUMMYFUNCTION("""COMPUTED_VALUE"""),"Te falta un dato")</f>
        <v>Te falta un dato</v>
      </c>
      <c r="C669" s="121" t="str">
        <f ca="1">IFERROR(__xludf.DUMMYFUNCTION("""COMPUTED_VALUE"""),"")</f>
        <v/>
      </c>
      <c r="D669" s="21"/>
      <c r="E669" s="21"/>
      <c r="F669" s="121" t="str">
        <f ca="1">IFERROR(__xludf.DUMMYFUNCTION("""COMPUTED_VALUE"""),"No ha consignado platica")</f>
        <v>No ha consignado platica</v>
      </c>
      <c r="G669" s="124" t="str">
        <f ca="1">IFERROR(__xludf.DUMMYFUNCTION("""COMPUTED_VALUE"""),"N/A")</f>
        <v>N/A</v>
      </c>
      <c r="H669" s="21"/>
    </row>
    <row r="670" spans="1:8" x14ac:dyDescent="0.2">
      <c r="A670" s="21">
        <f t="shared" si="2"/>
        <v>0</v>
      </c>
      <c r="B670" s="21" t="str">
        <f ca="1">IFERROR(__xludf.DUMMYFUNCTION("""COMPUTED_VALUE"""),"Te falta un dato")</f>
        <v>Te falta un dato</v>
      </c>
      <c r="C670" s="121" t="str">
        <f ca="1">IFERROR(__xludf.DUMMYFUNCTION("""COMPUTED_VALUE"""),"")</f>
        <v/>
      </c>
      <c r="D670" s="21"/>
      <c r="E670" s="21"/>
      <c r="F670" s="121" t="str">
        <f ca="1">IFERROR(__xludf.DUMMYFUNCTION("""COMPUTED_VALUE"""),"No ha consignado platica")</f>
        <v>No ha consignado platica</v>
      </c>
      <c r="G670" s="124" t="str">
        <f ca="1">IFERROR(__xludf.DUMMYFUNCTION("""COMPUTED_VALUE"""),"N/A")</f>
        <v>N/A</v>
      </c>
      <c r="H670" s="21"/>
    </row>
    <row r="671" spans="1:8" x14ac:dyDescent="0.2">
      <c r="A671" s="21">
        <f t="shared" si="2"/>
        <v>0</v>
      </c>
      <c r="B671" s="21" t="str">
        <f ca="1">IFERROR(__xludf.DUMMYFUNCTION("""COMPUTED_VALUE"""),"Te falta un dato")</f>
        <v>Te falta un dato</v>
      </c>
      <c r="C671" s="121" t="str">
        <f ca="1">IFERROR(__xludf.DUMMYFUNCTION("""COMPUTED_VALUE"""),"")</f>
        <v/>
      </c>
      <c r="D671" s="21"/>
      <c r="E671" s="21"/>
      <c r="F671" s="121" t="str">
        <f ca="1">IFERROR(__xludf.DUMMYFUNCTION("""COMPUTED_VALUE"""),"No ha consignado platica")</f>
        <v>No ha consignado platica</v>
      </c>
      <c r="G671" s="124" t="str">
        <f ca="1">IFERROR(__xludf.DUMMYFUNCTION("""COMPUTED_VALUE"""),"N/A")</f>
        <v>N/A</v>
      </c>
      <c r="H671" s="21"/>
    </row>
    <row r="672" spans="1:8" x14ac:dyDescent="0.2">
      <c r="A672" s="21">
        <f t="shared" si="2"/>
        <v>0</v>
      </c>
      <c r="B672" s="21" t="str">
        <f ca="1">IFERROR(__xludf.DUMMYFUNCTION("""COMPUTED_VALUE"""),"Te falta un dato")</f>
        <v>Te falta un dato</v>
      </c>
      <c r="C672" s="121" t="str">
        <f ca="1">IFERROR(__xludf.DUMMYFUNCTION("""COMPUTED_VALUE"""),"")</f>
        <v/>
      </c>
      <c r="D672" s="21"/>
      <c r="E672" s="21"/>
      <c r="F672" s="121" t="str">
        <f ca="1">IFERROR(__xludf.DUMMYFUNCTION("""COMPUTED_VALUE"""),"No ha consignado platica")</f>
        <v>No ha consignado platica</v>
      </c>
      <c r="G672" s="124" t="str">
        <f ca="1">IFERROR(__xludf.DUMMYFUNCTION("""COMPUTED_VALUE"""),"N/A")</f>
        <v>N/A</v>
      </c>
      <c r="H672" s="21"/>
    </row>
    <row r="673" spans="1:8" x14ac:dyDescent="0.2">
      <c r="A673" s="21">
        <f t="shared" si="2"/>
        <v>0</v>
      </c>
      <c r="B673" s="21" t="str">
        <f ca="1">IFERROR(__xludf.DUMMYFUNCTION("""COMPUTED_VALUE"""),"Te falta un dato")</f>
        <v>Te falta un dato</v>
      </c>
      <c r="C673" s="121" t="str">
        <f ca="1">IFERROR(__xludf.DUMMYFUNCTION("""COMPUTED_VALUE"""),"")</f>
        <v/>
      </c>
      <c r="D673" s="21"/>
      <c r="E673" s="21"/>
      <c r="F673" s="121" t="str">
        <f ca="1">IFERROR(__xludf.DUMMYFUNCTION("""COMPUTED_VALUE"""),"No ha consignado platica")</f>
        <v>No ha consignado platica</v>
      </c>
      <c r="G673" s="124" t="str">
        <f ca="1">IFERROR(__xludf.DUMMYFUNCTION("""COMPUTED_VALUE"""),"N/A")</f>
        <v>N/A</v>
      </c>
      <c r="H673" s="21"/>
    </row>
    <row r="674" spans="1:8" x14ac:dyDescent="0.2">
      <c r="A674" s="21">
        <f t="shared" si="2"/>
        <v>0</v>
      </c>
      <c r="B674" s="21" t="str">
        <f ca="1">IFERROR(__xludf.DUMMYFUNCTION("""COMPUTED_VALUE"""),"Te falta un dato")</f>
        <v>Te falta un dato</v>
      </c>
      <c r="C674" s="121" t="str">
        <f ca="1">IFERROR(__xludf.DUMMYFUNCTION("""COMPUTED_VALUE"""),"")</f>
        <v/>
      </c>
      <c r="D674" s="21"/>
      <c r="E674" s="21"/>
      <c r="F674" s="121" t="str">
        <f ca="1">IFERROR(__xludf.DUMMYFUNCTION("""COMPUTED_VALUE"""),"No ha consignado platica")</f>
        <v>No ha consignado platica</v>
      </c>
      <c r="G674" s="124" t="str">
        <f ca="1">IFERROR(__xludf.DUMMYFUNCTION("""COMPUTED_VALUE"""),"N/A")</f>
        <v>N/A</v>
      </c>
      <c r="H674" s="21"/>
    </row>
    <row r="675" spans="1:8" x14ac:dyDescent="0.2">
      <c r="A675" s="21">
        <f t="shared" si="2"/>
        <v>0</v>
      </c>
      <c r="B675" s="21" t="str">
        <f ca="1">IFERROR(__xludf.DUMMYFUNCTION("""COMPUTED_VALUE"""),"Te falta un dato")</f>
        <v>Te falta un dato</v>
      </c>
      <c r="C675" s="121" t="str">
        <f ca="1">IFERROR(__xludf.DUMMYFUNCTION("""COMPUTED_VALUE"""),"")</f>
        <v/>
      </c>
      <c r="D675" s="21"/>
      <c r="E675" s="21"/>
      <c r="F675" s="121" t="str">
        <f ca="1">IFERROR(__xludf.DUMMYFUNCTION("""COMPUTED_VALUE"""),"No ha consignado platica")</f>
        <v>No ha consignado platica</v>
      </c>
      <c r="G675" s="124" t="str">
        <f ca="1">IFERROR(__xludf.DUMMYFUNCTION("""COMPUTED_VALUE"""),"N/A")</f>
        <v>N/A</v>
      </c>
      <c r="H675" s="21"/>
    </row>
    <row r="676" spans="1:8" x14ac:dyDescent="0.2">
      <c r="A676" s="21">
        <f t="shared" si="2"/>
        <v>0</v>
      </c>
      <c r="B676" s="21" t="str">
        <f ca="1">IFERROR(__xludf.DUMMYFUNCTION("""COMPUTED_VALUE"""),"Te falta un dato")</f>
        <v>Te falta un dato</v>
      </c>
      <c r="C676" s="121" t="str">
        <f ca="1">IFERROR(__xludf.DUMMYFUNCTION("""COMPUTED_VALUE"""),"")</f>
        <v/>
      </c>
      <c r="D676" s="21"/>
      <c r="E676" s="21"/>
      <c r="F676" s="121" t="str">
        <f ca="1">IFERROR(__xludf.DUMMYFUNCTION("""COMPUTED_VALUE"""),"No ha consignado platica")</f>
        <v>No ha consignado platica</v>
      </c>
      <c r="G676" s="124" t="str">
        <f ca="1">IFERROR(__xludf.DUMMYFUNCTION("""COMPUTED_VALUE"""),"N/A")</f>
        <v>N/A</v>
      </c>
      <c r="H676" s="21"/>
    </row>
    <row r="677" spans="1:8" x14ac:dyDescent="0.2">
      <c r="A677" s="21">
        <f t="shared" si="2"/>
        <v>0</v>
      </c>
      <c r="B677" s="21" t="str">
        <f ca="1">IFERROR(__xludf.DUMMYFUNCTION("""COMPUTED_VALUE"""),"Te falta un dato")</f>
        <v>Te falta un dato</v>
      </c>
      <c r="C677" s="121" t="str">
        <f ca="1">IFERROR(__xludf.DUMMYFUNCTION("""COMPUTED_VALUE"""),"")</f>
        <v/>
      </c>
      <c r="D677" s="21"/>
      <c r="E677" s="21"/>
      <c r="F677" s="121" t="str">
        <f ca="1">IFERROR(__xludf.DUMMYFUNCTION("""COMPUTED_VALUE"""),"No ha consignado platica")</f>
        <v>No ha consignado platica</v>
      </c>
      <c r="G677" s="124" t="str">
        <f ca="1">IFERROR(__xludf.DUMMYFUNCTION("""COMPUTED_VALUE"""),"N/A")</f>
        <v>N/A</v>
      </c>
      <c r="H677" s="21"/>
    </row>
    <row r="678" spans="1:8" x14ac:dyDescent="0.2">
      <c r="A678" s="21">
        <f t="shared" si="2"/>
        <v>0</v>
      </c>
      <c r="B678" s="21" t="str">
        <f ca="1">IFERROR(__xludf.DUMMYFUNCTION("""COMPUTED_VALUE"""),"Te falta un dato")</f>
        <v>Te falta un dato</v>
      </c>
      <c r="C678" s="121" t="str">
        <f ca="1">IFERROR(__xludf.DUMMYFUNCTION("""COMPUTED_VALUE"""),"")</f>
        <v/>
      </c>
      <c r="D678" s="21"/>
      <c r="E678" s="21"/>
      <c r="F678" s="121" t="str">
        <f ca="1">IFERROR(__xludf.DUMMYFUNCTION("""COMPUTED_VALUE"""),"No ha consignado platica")</f>
        <v>No ha consignado platica</v>
      </c>
      <c r="G678" s="124" t="str">
        <f ca="1">IFERROR(__xludf.DUMMYFUNCTION("""COMPUTED_VALUE"""),"N/A")</f>
        <v>N/A</v>
      </c>
      <c r="H678" s="21"/>
    </row>
    <row r="679" spans="1:8" x14ac:dyDescent="0.2">
      <c r="A679" s="21">
        <f t="shared" si="2"/>
        <v>0</v>
      </c>
      <c r="B679" s="21" t="str">
        <f ca="1">IFERROR(__xludf.DUMMYFUNCTION("""COMPUTED_VALUE"""),"Te falta un dato")</f>
        <v>Te falta un dato</v>
      </c>
      <c r="C679" s="121" t="str">
        <f ca="1">IFERROR(__xludf.DUMMYFUNCTION("""COMPUTED_VALUE"""),"")</f>
        <v/>
      </c>
      <c r="D679" s="21"/>
      <c r="E679" s="21"/>
      <c r="F679" s="121" t="str">
        <f ca="1">IFERROR(__xludf.DUMMYFUNCTION("""COMPUTED_VALUE"""),"No ha consignado platica")</f>
        <v>No ha consignado platica</v>
      </c>
      <c r="G679" s="124" t="str">
        <f ca="1">IFERROR(__xludf.DUMMYFUNCTION("""COMPUTED_VALUE"""),"N/A")</f>
        <v>N/A</v>
      </c>
      <c r="H679" s="21"/>
    </row>
    <row r="680" spans="1:8" x14ac:dyDescent="0.2">
      <c r="A680" s="21">
        <f t="shared" si="2"/>
        <v>0</v>
      </c>
      <c r="B680" s="21" t="str">
        <f ca="1">IFERROR(__xludf.DUMMYFUNCTION("""COMPUTED_VALUE"""),"Te falta un dato")</f>
        <v>Te falta un dato</v>
      </c>
      <c r="C680" s="121" t="str">
        <f ca="1">IFERROR(__xludf.DUMMYFUNCTION("""COMPUTED_VALUE"""),"")</f>
        <v/>
      </c>
      <c r="D680" s="21"/>
      <c r="E680" s="21"/>
      <c r="F680" s="121" t="str">
        <f ca="1">IFERROR(__xludf.DUMMYFUNCTION("""COMPUTED_VALUE"""),"No ha consignado platica")</f>
        <v>No ha consignado platica</v>
      </c>
      <c r="G680" s="124" t="str">
        <f ca="1">IFERROR(__xludf.DUMMYFUNCTION("""COMPUTED_VALUE"""),"N/A")</f>
        <v>N/A</v>
      </c>
      <c r="H680" s="21"/>
    </row>
    <row r="681" spans="1:8" x14ac:dyDescent="0.2">
      <c r="A681" s="21">
        <f t="shared" si="2"/>
        <v>0</v>
      </c>
      <c r="B681" s="21" t="str">
        <f ca="1">IFERROR(__xludf.DUMMYFUNCTION("""COMPUTED_VALUE"""),"Te falta un dato")</f>
        <v>Te falta un dato</v>
      </c>
      <c r="C681" s="121" t="str">
        <f ca="1">IFERROR(__xludf.DUMMYFUNCTION("""COMPUTED_VALUE"""),"")</f>
        <v/>
      </c>
      <c r="D681" s="21"/>
      <c r="E681" s="21"/>
      <c r="F681" s="121" t="str">
        <f ca="1">IFERROR(__xludf.DUMMYFUNCTION("""COMPUTED_VALUE"""),"No ha consignado platica")</f>
        <v>No ha consignado platica</v>
      </c>
      <c r="G681" s="124" t="str">
        <f ca="1">IFERROR(__xludf.DUMMYFUNCTION("""COMPUTED_VALUE"""),"N/A")</f>
        <v>N/A</v>
      </c>
      <c r="H681" s="21"/>
    </row>
    <row r="682" spans="1:8" x14ac:dyDescent="0.2">
      <c r="A682" s="21">
        <f t="shared" si="2"/>
        <v>0</v>
      </c>
      <c r="B682" s="21" t="str">
        <f ca="1">IFERROR(__xludf.DUMMYFUNCTION("""COMPUTED_VALUE"""),"Te falta un dato")</f>
        <v>Te falta un dato</v>
      </c>
      <c r="C682" s="121" t="str">
        <f ca="1">IFERROR(__xludf.DUMMYFUNCTION("""COMPUTED_VALUE"""),"")</f>
        <v/>
      </c>
      <c r="D682" s="21"/>
      <c r="E682" s="21"/>
      <c r="F682" s="121" t="str">
        <f ca="1">IFERROR(__xludf.DUMMYFUNCTION("""COMPUTED_VALUE"""),"No ha consignado platica")</f>
        <v>No ha consignado platica</v>
      </c>
      <c r="G682" s="124" t="str">
        <f ca="1">IFERROR(__xludf.DUMMYFUNCTION("""COMPUTED_VALUE"""),"N/A")</f>
        <v>N/A</v>
      </c>
      <c r="H682" s="21"/>
    </row>
    <row r="683" spans="1:8" x14ac:dyDescent="0.2">
      <c r="A683" s="21">
        <f t="shared" si="2"/>
        <v>0</v>
      </c>
      <c r="B683" s="21" t="str">
        <f ca="1">IFERROR(__xludf.DUMMYFUNCTION("""COMPUTED_VALUE"""),"Te falta un dato")</f>
        <v>Te falta un dato</v>
      </c>
      <c r="C683" s="121" t="str">
        <f ca="1">IFERROR(__xludf.DUMMYFUNCTION("""COMPUTED_VALUE"""),"")</f>
        <v/>
      </c>
      <c r="D683" s="21"/>
      <c r="E683" s="21"/>
      <c r="F683" s="121" t="str">
        <f ca="1">IFERROR(__xludf.DUMMYFUNCTION("""COMPUTED_VALUE"""),"No ha consignado platica")</f>
        <v>No ha consignado platica</v>
      </c>
      <c r="G683" s="124" t="str">
        <f ca="1">IFERROR(__xludf.DUMMYFUNCTION("""COMPUTED_VALUE"""),"N/A")</f>
        <v>N/A</v>
      </c>
      <c r="H683" s="21"/>
    </row>
    <row r="684" spans="1:8" x14ac:dyDescent="0.2">
      <c r="A684" s="21">
        <f t="shared" si="2"/>
        <v>0</v>
      </c>
      <c r="B684" s="21" t="str">
        <f ca="1">IFERROR(__xludf.DUMMYFUNCTION("""COMPUTED_VALUE"""),"Te falta un dato")</f>
        <v>Te falta un dato</v>
      </c>
      <c r="C684" s="121" t="str">
        <f ca="1">IFERROR(__xludf.DUMMYFUNCTION("""COMPUTED_VALUE"""),"")</f>
        <v/>
      </c>
      <c r="D684" s="21"/>
      <c r="E684" s="21"/>
      <c r="F684" s="121" t="str">
        <f ca="1">IFERROR(__xludf.DUMMYFUNCTION("""COMPUTED_VALUE"""),"No ha consignado platica")</f>
        <v>No ha consignado platica</v>
      </c>
      <c r="G684" s="124" t="str">
        <f ca="1">IFERROR(__xludf.DUMMYFUNCTION("""COMPUTED_VALUE"""),"N/A")</f>
        <v>N/A</v>
      </c>
      <c r="H684" s="21"/>
    </row>
    <row r="685" spans="1:8" x14ac:dyDescent="0.2">
      <c r="A685" s="21">
        <f t="shared" si="2"/>
        <v>0</v>
      </c>
      <c r="B685" s="21" t="str">
        <f ca="1">IFERROR(__xludf.DUMMYFUNCTION("""COMPUTED_VALUE"""),"Te falta un dato")</f>
        <v>Te falta un dato</v>
      </c>
      <c r="C685" s="121" t="str">
        <f ca="1">IFERROR(__xludf.DUMMYFUNCTION("""COMPUTED_VALUE"""),"")</f>
        <v/>
      </c>
      <c r="D685" s="21"/>
      <c r="E685" s="21"/>
      <c r="F685" s="121" t="str">
        <f ca="1">IFERROR(__xludf.DUMMYFUNCTION("""COMPUTED_VALUE"""),"No ha consignado platica")</f>
        <v>No ha consignado platica</v>
      </c>
      <c r="G685" s="124" t="str">
        <f ca="1">IFERROR(__xludf.DUMMYFUNCTION("""COMPUTED_VALUE"""),"N/A")</f>
        <v>N/A</v>
      </c>
      <c r="H685" s="21"/>
    </row>
    <row r="686" spans="1:8" x14ac:dyDescent="0.2">
      <c r="A686" s="21">
        <f t="shared" si="2"/>
        <v>0</v>
      </c>
      <c r="B686" s="21" t="str">
        <f ca="1">IFERROR(__xludf.DUMMYFUNCTION("""COMPUTED_VALUE"""),"Te falta un dato")</f>
        <v>Te falta un dato</v>
      </c>
      <c r="C686" s="121" t="str">
        <f ca="1">IFERROR(__xludf.DUMMYFUNCTION("""COMPUTED_VALUE"""),"")</f>
        <v/>
      </c>
      <c r="D686" s="21"/>
      <c r="E686" s="21"/>
      <c r="F686" s="121" t="str">
        <f ca="1">IFERROR(__xludf.DUMMYFUNCTION("""COMPUTED_VALUE"""),"No ha consignado platica")</f>
        <v>No ha consignado platica</v>
      </c>
      <c r="G686" s="124" t="str">
        <f ca="1">IFERROR(__xludf.DUMMYFUNCTION("""COMPUTED_VALUE"""),"N/A")</f>
        <v>N/A</v>
      </c>
      <c r="H686" s="21"/>
    </row>
    <row r="687" spans="1:8" x14ac:dyDescent="0.2">
      <c r="A687" s="21">
        <f t="shared" si="2"/>
        <v>0</v>
      </c>
      <c r="B687" s="21" t="str">
        <f ca="1">IFERROR(__xludf.DUMMYFUNCTION("""COMPUTED_VALUE"""),"Te falta un dato")</f>
        <v>Te falta un dato</v>
      </c>
      <c r="C687" s="121" t="str">
        <f ca="1">IFERROR(__xludf.DUMMYFUNCTION("""COMPUTED_VALUE"""),"")</f>
        <v/>
      </c>
      <c r="D687" s="21"/>
      <c r="E687" s="21"/>
      <c r="F687" s="121" t="str">
        <f ca="1">IFERROR(__xludf.DUMMYFUNCTION("""COMPUTED_VALUE"""),"No ha consignado platica")</f>
        <v>No ha consignado platica</v>
      </c>
      <c r="G687" s="124" t="str">
        <f ca="1">IFERROR(__xludf.DUMMYFUNCTION("""COMPUTED_VALUE"""),"N/A")</f>
        <v>N/A</v>
      </c>
      <c r="H687" s="21"/>
    </row>
    <row r="688" spans="1:8" x14ac:dyDescent="0.2">
      <c r="A688" s="21">
        <f t="shared" si="2"/>
        <v>0</v>
      </c>
      <c r="B688" s="21" t="str">
        <f ca="1">IFERROR(__xludf.DUMMYFUNCTION("""COMPUTED_VALUE"""),"Te falta un dato")</f>
        <v>Te falta un dato</v>
      </c>
      <c r="C688" s="121" t="str">
        <f ca="1">IFERROR(__xludf.DUMMYFUNCTION("""COMPUTED_VALUE"""),"")</f>
        <v/>
      </c>
      <c r="D688" s="21"/>
      <c r="E688" s="21"/>
      <c r="F688" s="121" t="str">
        <f ca="1">IFERROR(__xludf.DUMMYFUNCTION("""COMPUTED_VALUE"""),"No ha consignado platica")</f>
        <v>No ha consignado platica</v>
      </c>
      <c r="G688" s="124" t="str">
        <f ca="1">IFERROR(__xludf.DUMMYFUNCTION("""COMPUTED_VALUE"""),"N/A")</f>
        <v>N/A</v>
      </c>
      <c r="H688" s="21"/>
    </row>
    <row r="689" spans="1:8" x14ac:dyDescent="0.2">
      <c r="A689" s="21">
        <f t="shared" si="2"/>
        <v>0</v>
      </c>
      <c r="B689" s="21" t="str">
        <f ca="1">IFERROR(__xludf.DUMMYFUNCTION("""COMPUTED_VALUE"""),"Te falta un dato")</f>
        <v>Te falta un dato</v>
      </c>
      <c r="C689" s="121" t="str">
        <f ca="1">IFERROR(__xludf.DUMMYFUNCTION("""COMPUTED_VALUE"""),"")</f>
        <v/>
      </c>
      <c r="D689" s="21"/>
      <c r="E689" s="21"/>
      <c r="F689" s="121" t="str">
        <f ca="1">IFERROR(__xludf.DUMMYFUNCTION("""COMPUTED_VALUE"""),"No ha consignado platica")</f>
        <v>No ha consignado platica</v>
      </c>
      <c r="G689" s="124" t="str">
        <f ca="1">IFERROR(__xludf.DUMMYFUNCTION("""COMPUTED_VALUE"""),"N/A")</f>
        <v>N/A</v>
      </c>
      <c r="H689" s="21"/>
    </row>
    <row r="690" spans="1:8" x14ac:dyDescent="0.2">
      <c r="A690" s="21">
        <f t="shared" si="2"/>
        <v>0</v>
      </c>
      <c r="B690" s="21" t="str">
        <f ca="1">IFERROR(__xludf.DUMMYFUNCTION("""COMPUTED_VALUE"""),"Te falta un dato")</f>
        <v>Te falta un dato</v>
      </c>
      <c r="C690" s="121" t="str">
        <f ca="1">IFERROR(__xludf.DUMMYFUNCTION("""COMPUTED_VALUE"""),"")</f>
        <v/>
      </c>
      <c r="D690" s="21"/>
      <c r="E690" s="21"/>
      <c r="F690" s="121" t="str">
        <f ca="1">IFERROR(__xludf.DUMMYFUNCTION("""COMPUTED_VALUE"""),"No ha consignado platica")</f>
        <v>No ha consignado platica</v>
      </c>
      <c r="G690" s="124" t="str">
        <f ca="1">IFERROR(__xludf.DUMMYFUNCTION("""COMPUTED_VALUE"""),"N/A")</f>
        <v>N/A</v>
      </c>
      <c r="H690" s="21"/>
    </row>
    <row r="691" spans="1:8" x14ac:dyDescent="0.2">
      <c r="A691" s="21">
        <f t="shared" si="2"/>
        <v>0</v>
      </c>
      <c r="B691" s="21" t="str">
        <f ca="1">IFERROR(__xludf.DUMMYFUNCTION("""COMPUTED_VALUE"""),"Te falta un dato")</f>
        <v>Te falta un dato</v>
      </c>
      <c r="C691" s="121" t="str">
        <f ca="1">IFERROR(__xludf.DUMMYFUNCTION("""COMPUTED_VALUE"""),"")</f>
        <v/>
      </c>
      <c r="D691" s="21"/>
      <c r="E691" s="21"/>
      <c r="F691" s="121" t="str">
        <f ca="1">IFERROR(__xludf.DUMMYFUNCTION("""COMPUTED_VALUE"""),"No ha consignado platica")</f>
        <v>No ha consignado platica</v>
      </c>
      <c r="G691" s="124" t="str">
        <f ca="1">IFERROR(__xludf.DUMMYFUNCTION("""COMPUTED_VALUE"""),"N/A")</f>
        <v>N/A</v>
      </c>
      <c r="H691" s="21"/>
    </row>
    <row r="692" spans="1:8" x14ac:dyDescent="0.2">
      <c r="A692" s="21">
        <f t="shared" si="2"/>
        <v>0</v>
      </c>
      <c r="B692" s="21" t="str">
        <f ca="1">IFERROR(__xludf.DUMMYFUNCTION("""COMPUTED_VALUE"""),"Te falta un dato")</f>
        <v>Te falta un dato</v>
      </c>
      <c r="C692" s="121" t="str">
        <f ca="1">IFERROR(__xludf.DUMMYFUNCTION("""COMPUTED_VALUE"""),"")</f>
        <v/>
      </c>
      <c r="D692" s="21"/>
      <c r="E692" s="21"/>
      <c r="F692" s="121" t="str">
        <f ca="1">IFERROR(__xludf.DUMMYFUNCTION("""COMPUTED_VALUE"""),"No ha consignado platica")</f>
        <v>No ha consignado platica</v>
      </c>
      <c r="G692" s="124" t="str">
        <f ca="1">IFERROR(__xludf.DUMMYFUNCTION("""COMPUTED_VALUE"""),"N/A")</f>
        <v>N/A</v>
      </c>
      <c r="H692" s="21"/>
    </row>
    <row r="693" spans="1:8" x14ac:dyDescent="0.2">
      <c r="A693" s="21">
        <f t="shared" si="2"/>
        <v>0</v>
      </c>
      <c r="B693" s="21" t="str">
        <f ca="1">IFERROR(__xludf.DUMMYFUNCTION("""COMPUTED_VALUE"""),"Te falta un dato")</f>
        <v>Te falta un dato</v>
      </c>
      <c r="C693" s="121" t="str">
        <f ca="1">IFERROR(__xludf.DUMMYFUNCTION("""COMPUTED_VALUE"""),"")</f>
        <v/>
      </c>
      <c r="D693" s="21"/>
      <c r="E693" s="21"/>
      <c r="F693" s="121" t="str">
        <f ca="1">IFERROR(__xludf.DUMMYFUNCTION("""COMPUTED_VALUE"""),"No ha consignado platica")</f>
        <v>No ha consignado platica</v>
      </c>
      <c r="G693" s="124" t="str">
        <f ca="1">IFERROR(__xludf.DUMMYFUNCTION("""COMPUTED_VALUE"""),"N/A")</f>
        <v>N/A</v>
      </c>
      <c r="H693" s="21"/>
    </row>
    <row r="694" spans="1:8" x14ac:dyDescent="0.2">
      <c r="A694" s="21">
        <f t="shared" si="2"/>
        <v>0</v>
      </c>
      <c r="B694" s="21" t="str">
        <f ca="1">IFERROR(__xludf.DUMMYFUNCTION("""COMPUTED_VALUE"""),"Te falta un dato")</f>
        <v>Te falta un dato</v>
      </c>
      <c r="C694" s="121" t="str">
        <f ca="1">IFERROR(__xludf.DUMMYFUNCTION("""COMPUTED_VALUE"""),"")</f>
        <v/>
      </c>
      <c r="D694" s="21"/>
      <c r="E694" s="21"/>
      <c r="F694" s="121" t="str">
        <f ca="1">IFERROR(__xludf.DUMMYFUNCTION("""COMPUTED_VALUE"""),"No ha consignado platica")</f>
        <v>No ha consignado platica</v>
      </c>
      <c r="G694" s="124" t="str">
        <f ca="1">IFERROR(__xludf.DUMMYFUNCTION("""COMPUTED_VALUE"""),"N/A")</f>
        <v>N/A</v>
      </c>
      <c r="H694" s="21"/>
    </row>
    <row r="695" spans="1:8" x14ac:dyDescent="0.2">
      <c r="A695" s="21">
        <f t="shared" si="2"/>
        <v>0</v>
      </c>
      <c r="B695" s="21" t="str">
        <f ca="1">IFERROR(__xludf.DUMMYFUNCTION("""COMPUTED_VALUE"""),"Te falta un dato")</f>
        <v>Te falta un dato</v>
      </c>
      <c r="C695" s="121" t="str">
        <f ca="1">IFERROR(__xludf.DUMMYFUNCTION("""COMPUTED_VALUE"""),"")</f>
        <v/>
      </c>
      <c r="D695" s="21"/>
      <c r="E695" s="21"/>
      <c r="F695" s="121" t="str">
        <f ca="1">IFERROR(__xludf.DUMMYFUNCTION("""COMPUTED_VALUE"""),"No ha consignado platica")</f>
        <v>No ha consignado platica</v>
      </c>
      <c r="G695" s="124" t="str">
        <f ca="1">IFERROR(__xludf.DUMMYFUNCTION("""COMPUTED_VALUE"""),"N/A")</f>
        <v>N/A</v>
      </c>
      <c r="H695" s="21"/>
    </row>
    <row r="696" spans="1:8" x14ac:dyDescent="0.2">
      <c r="A696" s="21">
        <f t="shared" si="2"/>
        <v>0</v>
      </c>
      <c r="B696" s="21" t="str">
        <f ca="1">IFERROR(__xludf.DUMMYFUNCTION("""COMPUTED_VALUE"""),"Te falta un dato")</f>
        <v>Te falta un dato</v>
      </c>
      <c r="C696" s="121" t="str">
        <f ca="1">IFERROR(__xludf.DUMMYFUNCTION("""COMPUTED_VALUE"""),"")</f>
        <v/>
      </c>
      <c r="D696" s="21"/>
      <c r="E696" s="21"/>
      <c r="F696" s="121" t="str">
        <f ca="1">IFERROR(__xludf.DUMMYFUNCTION("""COMPUTED_VALUE"""),"No ha consignado platica")</f>
        <v>No ha consignado platica</v>
      </c>
      <c r="G696" s="124" t="str">
        <f ca="1">IFERROR(__xludf.DUMMYFUNCTION("""COMPUTED_VALUE"""),"N/A")</f>
        <v>N/A</v>
      </c>
      <c r="H696" s="21"/>
    </row>
    <row r="697" spans="1:8" x14ac:dyDescent="0.2">
      <c r="A697" s="21">
        <f t="shared" si="2"/>
        <v>0</v>
      </c>
      <c r="B697" s="21" t="str">
        <f ca="1">IFERROR(__xludf.DUMMYFUNCTION("""COMPUTED_VALUE"""),"Te falta un dato")</f>
        <v>Te falta un dato</v>
      </c>
      <c r="C697" s="121" t="str">
        <f ca="1">IFERROR(__xludf.DUMMYFUNCTION("""COMPUTED_VALUE"""),"")</f>
        <v/>
      </c>
      <c r="D697" s="21"/>
      <c r="E697" s="21"/>
      <c r="F697" s="121" t="str">
        <f ca="1">IFERROR(__xludf.DUMMYFUNCTION("""COMPUTED_VALUE"""),"No ha consignado platica")</f>
        <v>No ha consignado platica</v>
      </c>
      <c r="G697" s="124" t="str">
        <f ca="1">IFERROR(__xludf.DUMMYFUNCTION("""COMPUTED_VALUE"""),"N/A")</f>
        <v>N/A</v>
      </c>
      <c r="H697" s="21"/>
    </row>
    <row r="698" spans="1:8" x14ac:dyDescent="0.2">
      <c r="A698" s="21">
        <f t="shared" si="2"/>
        <v>0</v>
      </c>
      <c r="B698" s="21" t="str">
        <f ca="1">IFERROR(__xludf.DUMMYFUNCTION("""COMPUTED_VALUE"""),"Te falta un dato")</f>
        <v>Te falta un dato</v>
      </c>
      <c r="C698" s="121" t="str">
        <f ca="1">IFERROR(__xludf.DUMMYFUNCTION("""COMPUTED_VALUE"""),"")</f>
        <v/>
      </c>
      <c r="D698" s="21"/>
      <c r="E698" s="21"/>
      <c r="F698" s="121" t="str">
        <f ca="1">IFERROR(__xludf.DUMMYFUNCTION("""COMPUTED_VALUE"""),"No ha consignado platica")</f>
        <v>No ha consignado platica</v>
      </c>
      <c r="G698" s="124" t="str">
        <f ca="1">IFERROR(__xludf.DUMMYFUNCTION("""COMPUTED_VALUE"""),"N/A")</f>
        <v>N/A</v>
      </c>
      <c r="H698" s="21"/>
    </row>
    <row r="699" spans="1:8" x14ac:dyDescent="0.2">
      <c r="A699" s="21">
        <f t="shared" si="2"/>
        <v>0</v>
      </c>
      <c r="B699" s="21" t="str">
        <f ca="1">IFERROR(__xludf.DUMMYFUNCTION("""COMPUTED_VALUE"""),"Te falta un dato")</f>
        <v>Te falta un dato</v>
      </c>
      <c r="C699" s="121" t="str">
        <f ca="1">IFERROR(__xludf.DUMMYFUNCTION("""COMPUTED_VALUE"""),"")</f>
        <v/>
      </c>
      <c r="D699" s="21"/>
      <c r="E699" s="21"/>
      <c r="F699" s="121" t="str">
        <f ca="1">IFERROR(__xludf.DUMMYFUNCTION("""COMPUTED_VALUE"""),"No ha consignado platica")</f>
        <v>No ha consignado platica</v>
      </c>
      <c r="G699" s="124" t="str">
        <f ca="1">IFERROR(__xludf.DUMMYFUNCTION("""COMPUTED_VALUE"""),"N/A")</f>
        <v>N/A</v>
      </c>
      <c r="H699" s="21"/>
    </row>
    <row r="700" spans="1:8" x14ac:dyDescent="0.2">
      <c r="A700" s="21">
        <f t="shared" si="2"/>
        <v>0</v>
      </c>
      <c r="B700" s="21"/>
      <c r="C700" s="21"/>
      <c r="D700" s="21"/>
      <c r="E700" s="21"/>
      <c r="F700" s="121" t="str">
        <f ca="1">IFERROR(__xludf.DUMMYFUNCTION("""COMPUTED_VALUE"""),"No ha consignado platica")</f>
        <v>No ha consignado platica</v>
      </c>
      <c r="G700" s="21"/>
      <c r="H700" s="21"/>
    </row>
    <row r="701" spans="1:8" x14ac:dyDescent="0.2">
      <c r="A701" s="21">
        <f t="shared" si="2"/>
        <v>0</v>
      </c>
      <c r="B701" s="21"/>
      <c r="C701" s="21"/>
      <c r="D701" s="21"/>
      <c r="E701" s="21"/>
      <c r="F701" s="121" t="str">
        <f ca="1">IFERROR(__xludf.DUMMYFUNCTION("""COMPUTED_VALUE"""),"No ha consignado platica")</f>
        <v>No ha consignado platica</v>
      </c>
      <c r="G701" s="21"/>
      <c r="H701" s="21"/>
    </row>
    <row r="702" spans="1:8" x14ac:dyDescent="0.2">
      <c r="A702" s="21">
        <f t="shared" si="2"/>
        <v>0</v>
      </c>
      <c r="B702" s="21"/>
      <c r="C702" s="21"/>
      <c r="D702" s="21"/>
      <c r="E702" s="21"/>
      <c r="F702" s="121" t="str">
        <f ca="1">IFERROR(__xludf.DUMMYFUNCTION("""COMPUTED_VALUE"""),"No ha consignado platica")</f>
        <v>No ha consignado platica</v>
      </c>
      <c r="G702" s="21"/>
      <c r="H702" s="21"/>
    </row>
    <row r="703" spans="1:8" x14ac:dyDescent="0.2">
      <c r="A703" s="21">
        <f t="shared" si="2"/>
        <v>0</v>
      </c>
      <c r="B703" s="21"/>
      <c r="C703" s="21"/>
      <c r="D703" s="21"/>
      <c r="E703" s="21"/>
      <c r="F703" s="121" t="str">
        <f ca="1">IFERROR(__xludf.DUMMYFUNCTION("""COMPUTED_VALUE"""),"No ha consignado platica")</f>
        <v>No ha consignado platica</v>
      </c>
      <c r="G703" s="21"/>
      <c r="H703" s="21"/>
    </row>
    <row r="704" spans="1:8" x14ac:dyDescent="0.2">
      <c r="B704" s="21"/>
      <c r="C704" s="21"/>
      <c r="D704" s="21"/>
      <c r="E704" s="21"/>
      <c r="F704" s="121" t="str">
        <f ca="1">IFERROR(__xludf.DUMMYFUNCTION("""COMPUTED_VALUE"""),"No ha consignado platica")</f>
        <v>No ha consignado platica</v>
      </c>
      <c r="G704" s="21"/>
      <c r="H704" s="21"/>
    </row>
    <row r="705" spans="2:8" x14ac:dyDescent="0.2">
      <c r="B705" s="21"/>
      <c r="C705" s="21"/>
      <c r="D705" s="21"/>
      <c r="E705" s="21"/>
      <c r="F705" s="121" t="str">
        <f ca="1">IFERROR(__xludf.DUMMYFUNCTION("""COMPUTED_VALUE"""),"No ha consignado platica")</f>
        <v>No ha consignado platica</v>
      </c>
      <c r="G705" s="21"/>
      <c r="H705" s="21"/>
    </row>
    <row r="706" spans="2:8" x14ac:dyDescent="0.2">
      <c r="B706" s="21"/>
      <c r="C706" s="21"/>
      <c r="D706" s="21"/>
      <c r="E706" s="21"/>
      <c r="F706" s="121" t="str">
        <f ca="1">IFERROR(__xludf.DUMMYFUNCTION("""COMPUTED_VALUE"""),"No ha consignado platica")</f>
        <v>No ha consignado platica</v>
      </c>
      <c r="G706" s="21"/>
      <c r="H706" s="21"/>
    </row>
    <row r="707" spans="2:8" x14ac:dyDescent="0.2">
      <c r="B707" s="21"/>
      <c r="C707" s="21"/>
      <c r="D707" s="21"/>
      <c r="E707" s="21"/>
      <c r="F707" s="121" t="str">
        <f ca="1">IFERROR(__xludf.DUMMYFUNCTION("""COMPUTED_VALUE"""),"No ha consignado platica")</f>
        <v>No ha consignado platica</v>
      </c>
      <c r="G707" s="21"/>
      <c r="H707" s="21"/>
    </row>
    <row r="708" spans="2:8" x14ac:dyDescent="0.2">
      <c r="B708" s="21"/>
      <c r="C708" s="21"/>
      <c r="D708" s="21"/>
      <c r="E708" s="21"/>
      <c r="F708" s="121" t="str">
        <f ca="1">IFERROR(__xludf.DUMMYFUNCTION("""COMPUTED_VALUE"""),"No ha consignado platica")</f>
        <v>No ha consignado platica</v>
      </c>
      <c r="G708" s="21"/>
      <c r="H708" s="21"/>
    </row>
    <row r="709" spans="2:8" x14ac:dyDescent="0.2">
      <c r="B709" s="21"/>
      <c r="C709" s="21"/>
      <c r="D709" s="21"/>
      <c r="E709" s="21"/>
      <c r="F709" s="121" t="str">
        <f ca="1">IFERROR(__xludf.DUMMYFUNCTION("""COMPUTED_VALUE"""),"No ha consignado platica")</f>
        <v>No ha consignado platica</v>
      </c>
      <c r="G709" s="21"/>
      <c r="H709" s="21"/>
    </row>
    <row r="710" spans="2:8" x14ac:dyDescent="0.2">
      <c r="B710" s="21"/>
      <c r="C710" s="21"/>
      <c r="D710" s="21"/>
      <c r="E710" s="21"/>
      <c r="F710" s="121" t="str">
        <f ca="1">IFERROR(__xludf.DUMMYFUNCTION("""COMPUTED_VALUE"""),"No ha consignado platica")</f>
        <v>No ha consignado platica</v>
      </c>
      <c r="G710" s="21"/>
      <c r="H710" s="21"/>
    </row>
    <row r="711" spans="2:8" x14ac:dyDescent="0.2">
      <c r="B711" s="21"/>
      <c r="C711" s="21"/>
      <c r="D711" s="21"/>
      <c r="E711" s="21"/>
      <c r="F711" s="121" t="str">
        <f ca="1">IFERROR(__xludf.DUMMYFUNCTION("""COMPUTED_VALUE"""),"No ha consignado platica")</f>
        <v>No ha consignado platica</v>
      </c>
      <c r="G711" s="21"/>
      <c r="H711" s="21"/>
    </row>
    <row r="712" spans="2:8" x14ac:dyDescent="0.2">
      <c r="B712" s="21"/>
      <c r="C712" s="21"/>
      <c r="D712" s="21"/>
      <c r="E712" s="21"/>
      <c r="F712" s="121" t="str">
        <f ca="1">IFERROR(__xludf.DUMMYFUNCTION("""COMPUTED_VALUE"""),"No ha consignado platica")</f>
        <v>No ha consignado platica</v>
      </c>
      <c r="G712" s="21"/>
      <c r="H712" s="21"/>
    </row>
    <row r="713" spans="2:8" x14ac:dyDescent="0.2">
      <c r="B713" s="21"/>
      <c r="C713" s="21"/>
      <c r="D713" s="21"/>
      <c r="E713" s="21"/>
      <c r="F713" s="121" t="str">
        <f ca="1">IFERROR(__xludf.DUMMYFUNCTION("""COMPUTED_VALUE"""),"No ha consignado platica")</f>
        <v>No ha consignado platica</v>
      </c>
      <c r="G713" s="21"/>
      <c r="H713" s="21"/>
    </row>
    <row r="714" spans="2:8" x14ac:dyDescent="0.2">
      <c r="B714" s="21"/>
      <c r="C714" s="21"/>
      <c r="D714" s="21"/>
      <c r="E714" s="21"/>
      <c r="F714" s="121" t="str">
        <f ca="1">IFERROR(__xludf.DUMMYFUNCTION("""COMPUTED_VALUE"""),"No ha consignado platica")</f>
        <v>No ha consignado platica</v>
      </c>
      <c r="G714" s="21"/>
      <c r="H714" s="21"/>
    </row>
    <row r="715" spans="2:8" x14ac:dyDescent="0.2">
      <c r="B715" s="21"/>
      <c r="C715" s="21"/>
      <c r="D715" s="21"/>
      <c r="E715" s="21"/>
      <c r="F715" s="121" t="str">
        <f ca="1">IFERROR(__xludf.DUMMYFUNCTION("""COMPUTED_VALUE"""),"No ha consignado platica")</f>
        <v>No ha consignado platica</v>
      </c>
      <c r="G715" s="21"/>
      <c r="H715" s="21"/>
    </row>
    <row r="716" spans="2:8" x14ac:dyDescent="0.2">
      <c r="B716" s="21"/>
      <c r="C716" s="21"/>
      <c r="D716" s="21"/>
      <c r="E716" s="21"/>
      <c r="F716" s="121" t="str">
        <f ca="1">IFERROR(__xludf.DUMMYFUNCTION("""COMPUTED_VALUE"""),"No ha consignado platica")</f>
        <v>No ha consignado platica</v>
      </c>
      <c r="G716" s="21"/>
      <c r="H716" s="21"/>
    </row>
    <row r="717" spans="2:8" x14ac:dyDescent="0.2">
      <c r="B717" s="21"/>
      <c r="C717" s="21"/>
      <c r="D717" s="21"/>
      <c r="E717" s="21"/>
      <c r="F717" s="121" t="str">
        <f ca="1">IFERROR(__xludf.DUMMYFUNCTION("""COMPUTED_VALUE"""),"No ha consignado platica")</f>
        <v>No ha consignado platica</v>
      </c>
      <c r="G717" s="21"/>
      <c r="H717" s="21"/>
    </row>
    <row r="718" spans="2:8" x14ac:dyDescent="0.2">
      <c r="B718" s="21"/>
      <c r="C718" s="21"/>
      <c r="D718" s="21"/>
      <c r="E718" s="21"/>
      <c r="F718" s="121" t="str">
        <f ca="1">IFERROR(__xludf.DUMMYFUNCTION("""COMPUTED_VALUE"""),"No ha consignado platica")</f>
        <v>No ha consignado platica</v>
      </c>
      <c r="G718" s="21"/>
      <c r="H718" s="21"/>
    </row>
    <row r="719" spans="2:8" x14ac:dyDescent="0.2">
      <c r="B719" s="21"/>
      <c r="C719" s="21"/>
      <c r="D719" s="21"/>
      <c r="E719" s="21"/>
      <c r="F719" s="121" t="str">
        <f ca="1">IFERROR(__xludf.DUMMYFUNCTION("""COMPUTED_VALUE"""),"No ha consignado platica")</f>
        <v>No ha consignado platica</v>
      </c>
      <c r="G719" s="21"/>
      <c r="H719" s="21"/>
    </row>
    <row r="720" spans="2:8" x14ac:dyDescent="0.2">
      <c r="B720" s="21"/>
      <c r="C720" s="21"/>
      <c r="D720" s="21"/>
      <c r="E720" s="21"/>
      <c r="F720" s="121" t="str">
        <f ca="1">IFERROR(__xludf.DUMMYFUNCTION("""COMPUTED_VALUE"""),"No ha consignado platica")</f>
        <v>No ha consignado platica</v>
      </c>
      <c r="G720" s="21"/>
      <c r="H720" s="21"/>
    </row>
    <row r="721" spans="2:8" x14ac:dyDescent="0.2">
      <c r="B721" s="21"/>
      <c r="C721" s="21"/>
      <c r="D721" s="21"/>
      <c r="E721" s="21"/>
      <c r="F721" s="121" t="str">
        <f ca="1">IFERROR(__xludf.DUMMYFUNCTION("""COMPUTED_VALUE"""),"No ha consignado platica")</f>
        <v>No ha consignado platica</v>
      </c>
      <c r="G721" s="21"/>
      <c r="H721" s="21"/>
    </row>
    <row r="722" spans="2:8" x14ac:dyDescent="0.2">
      <c r="B722" s="21"/>
      <c r="C722" s="21"/>
      <c r="D722" s="21"/>
      <c r="E722" s="21"/>
      <c r="F722" s="121" t="str">
        <f ca="1">IFERROR(__xludf.DUMMYFUNCTION("""COMPUTED_VALUE"""),"No ha consignado platica")</f>
        <v>No ha consignado platica</v>
      </c>
      <c r="G722" s="21"/>
      <c r="H722" s="21"/>
    </row>
    <row r="723" spans="2:8" x14ac:dyDescent="0.2">
      <c r="B723" s="21"/>
      <c r="C723" s="21"/>
      <c r="D723" s="21"/>
      <c r="E723" s="21"/>
      <c r="F723" s="121" t="str">
        <f ca="1">IFERROR(__xludf.DUMMYFUNCTION("""COMPUTED_VALUE"""),"No ha consignado platica")</f>
        <v>No ha consignado platica</v>
      </c>
      <c r="G723" s="21"/>
      <c r="H723" s="21"/>
    </row>
    <row r="724" spans="2:8" x14ac:dyDescent="0.2">
      <c r="B724" s="21"/>
      <c r="C724" s="21"/>
      <c r="D724" s="21"/>
      <c r="E724" s="21"/>
      <c r="F724" s="121" t="str">
        <f ca="1">IFERROR(__xludf.DUMMYFUNCTION("""COMPUTED_VALUE"""),"No ha consignado platica")</f>
        <v>No ha consignado platica</v>
      </c>
      <c r="G724" s="21"/>
      <c r="H724" s="21"/>
    </row>
    <row r="725" spans="2:8" x14ac:dyDescent="0.2">
      <c r="B725" s="21"/>
      <c r="C725" s="21"/>
      <c r="D725" s="21"/>
      <c r="E725" s="21"/>
      <c r="F725" s="121" t="str">
        <f ca="1">IFERROR(__xludf.DUMMYFUNCTION("""COMPUTED_VALUE"""),"No ha consignado platica")</f>
        <v>No ha consignado platica</v>
      </c>
      <c r="G725" s="21"/>
      <c r="H725" s="21"/>
    </row>
    <row r="726" spans="2:8" x14ac:dyDescent="0.2">
      <c r="B726" s="21"/>
      <c r="C726" s="21"/>
      <c r="D726" s="21"/>
      <c r="E726" s="21"/>
      <c r="F726" s="121" t="str">
        <f ca="1">IFERROR(__xludf.DUMMYFUNCTION("""COMPUTED_VALUE"""),"No ha consignado platica")</f>
        <v>No ha consignado platica</v>
      </c>
      <c r="G726" s="21"/>
      <c r="H726" s="21"/>
    </row>
    <row r="727" spans="2:8" x14ac:dyDescent="0.2">
      <c r="B727" s="21"/>
      <c r="C727" s="21"/>
      <c r="D727" s="21"/>
      <c r="E727" s="21"/>
      <c r="F727" s="121" t="str">
        <f ca="1">IFERROR(__xludf.DUMMYFUNCTION("""COMPUTED_VALUE"""),"No ha consignado platica")</f>
        <v>No ha consignado platica</v>
      </c>
      <c r="G727" s="21"/>
      <c r="H727" s="21"/>
    </row>
    <row r="728" spans="2:8" x14ac:dyDescent="0.2">
      <c r="B728" s="21"/>
      <c r="C728" s="21"/>
      <c r="D728" s="21"/>
      <c r="E728" s="21"/>
      <c r="F728" s="21"/>
      <c r="G728" s="21"/>
      <c r="H728" s="21"/>
    </row>
    <row r="729" spans="2:8" x14ac:dyDescent="0.2">
      <c r="B729" s="21"/>
      <c r="C729" s="21"/>
      <c r="D729" s="21"/>
      <c r="E729" s="21"/>
      <c r="F729" s="21"/>
      <c r="G729" s="21"/>
      <c r="H729" s="21"/>
    </row>
    <row r="730" spans="2:8" x14ac:dyDescent="0.2">
      <c r="B730" s="21"/>
      <c r="C730" s="21"/>
      <c r="D730" s="21"/>
      <c r="E730" s="21"/>
      <c r="F730" s="21"/>
      <c r="G730" s="21"/>
      <c r="H730" s="21"/>
    </row>
    <row r="731" spans="2:8" x14ac:dyDescent="0.2">
      <c r="B731" s="21"/>
      <c r="C731" s="21"/>
      <c r="D731" s="21"/>
      <c r="E731" s="21"/>
      <c r="F731" s="21"/>
      <c r="G731" s="21"/>
      <c r="H731" s="21"/>
    </row>
    <row r="732" spans="2:8" x14ac:dyDescent="0.2">
      <c r="B732" s="21"/>
      <c r="C732" s="21"/>
      <c r="D732" s="21"/>
      <c r="E732" s="21"/>
      <c r="F732" s="21"/>
      <c r="G732" s="21"/>
      <c r="H732" s="21"/>
    </row>
    <row r="733" spans="2:8" x14ac:dyDescent="0.2">
      <c r="B733" s="21"/>
      <c r="C733" s="21"/>
      <c r="D733" s="21"/>
      <c r="E733" s="21"/>
      <c r="F733" s="21"/>
      <c r="G733" s="21"/>
      <c r="H733" s="21"/>
    </row>
    <row r="734" spans="2:8" x14ac:dyDescent="0.2">
      <c r="B734" s="21"/>
      <c r="C734" s="21"/>
      <c r="D734" s="21"/>
      <c r="E734" s="21"/>
      <c r="F734" s="21"/>
      <c r="G734" s="21"/>
      <c r="H734" s="21"/>
    </row>
    <row r="735" spans="2:8" x14ac:dyDescent="0.2">
      <c r="B735" s="21"/>
      <c r="C735" s="21"/>
      <c r="D735" s="21"/>
      <c r="E735" s="21"/>
      <c r="F735" s="21"/>
      <c r="G735" s="21"/>
      <c r="H735" s="21"/>
    </row>
    <row r="736" spans="2:8" x14ac:dyDescent="0.2">
      <c r="B736" s="21"/>
      <c r="C736" s="21"/>
      <c r="D736" s="21"/>
      <c r="E736" s="21"/>
      <c r="F736" s="21"/>
      <c r="G736" s="21"/>
      <c r="H736" s="21"/>
    </row>
    <row r="737" spans="2:8" x14ac:dyDescent="0.2">
      <c r="B737" s="21"/>
      <c r="C737" s="21"/>
      <c r="D737" s="21"/>
      <c r="E737" s="21"/>
      <c r="F737" s="21"/>
      <c r="G737" s="21"/>
      <c r="H737" s="21"/>
    </row>
    <row r="738" spans="2:8" x14ac:dyDescent="0.2">
      <c r="B738" s="21"/>
      <c r="C738" s="21"/>
      <c r="D738" s="21"/>
      <c r="E738" s="21"/>
      <c r="F738" s="21"/>
      <c r="G738" s="21"/>
      <c r="H738" s="21"/>
    </row>
    <row r="739" spans="2:8" x14ac:dyDescent="0.2">
      <c r="B739" s="21"/>
      <c r="C739" s="21"/>
      <c r="D739" s="21"/>
      <c r="E739" s="21"/>
      <c r="F739" s="21"/>
      <c r="G739" s="21"/>
      <c r="H739" s="21"/>
    </row>
    <row r="740" spans="2:8" x14ac:dyDescent="0.2">
      <c r="B740" s="21"/>
      <c r="C740" s="21"/>
      <c r="D740" s="21"/>
      <c r="E740" s="21"/>
      <c r="F740" s="21"/>
      <c r="G740" s="21"/>
      <c r="H740" s="21"/>
    </row>
    <row r="741" spans="2:8" x14ac:dyDescent="0.2">
      <c r="B741" s="21"/>
      <c r="C741" s="21"/>
      <c r="D741" s="21"/>
      <c r="E741" s="21"/>
      <c r="F741" s="21"/>
      <c r="G741" s="21"/>
      <c r="H741" s="21"/>
    </row>
    <row r="742" spans="2:8" x14ac:dyDescent="0.2">
      <c r="B742" s="21"/>
      <c r="C742" s="21"/>
      <c r="D742" s="21"/>
      <c r="E742" s="21"/>
      <c r="F742" s="21"/>
      <c r="G742" s="21"/>
      <c r="H742" s="21"/>
    </row>
    <row r="743" spans="2:8" x14ac:dyDescent="0.2">
      <c r="B743" s="21"/>
      <c r="C743" s="21"/>
      <c r="D743" s="21"/>
      <c r="E743" s="21"/>
      <c r="F743" s="21"/>
      <c r="G743" s="21"/>
      <c r="H743" s="21"/>
    </row>
    <row r="744" spans="2:8" x14ac:dyDescent="0.2">
      <c r="B744" s="21"/>
      <c r="C744" s="21"/>
      <c r="D744" s="21"/>
      <c r="E744" s="21"/>
      <c r="F744" s="21"/>
      <c r="G744" s="21"/>
      <c r="H744" s="21"/>
    </row>
    <row r="745" spans="2:8" x14ac:dyDescent="0.2">
      <c r="B745" s="21"/>
      <c r="C745" s="21"/>
      <c r="D745" s="21"/>
      <c r="E745" s="21"/>
      <c r="F745" s="21"/>
      <c r="G745" s="21"/>
      <c r="H745" s="21"/>
    </row>
    <row r="746" spans="2:8" x14ac:dyDescent="0.2">
      <c r="B746" s="21"/>
      <c r="C746" s="21"/>
      <c r="D746" s="21"/>
      <c r="E746" s="21"/>
      <c r="F746" s="21"/>
      <c r="G746" s="21"/>
      <c r="H746" s="21"/>
    </row>
    <row r="747" spans="2:8" x14ac:dyDescent="0.2">
      <c r="B747" s="21"/>
      <c r="C747" s="21"/>
      <c r="D747" s="21"/>
      <c r="E747" s="21"/>
      <c r="F747" s="21"/>
      <c r="G747" s="21"/>
      <c r="H747" s="21"/>
    </row>
    <row r="748" spans="2:8" x14ac:dyDescent="0.2">
      <c r="B748" s="21"/>
      <c r="C748" s="21"/>
      <c r="D748" s="21"/>
      <c r="E748" s="21"/>
      <c r="F748" s="21"/>
      <c r="G748" s="21"/>
      <c r="H748" s="21"/>
    </row>
    <row r="749" spans="2:8" x14ac:dyDescent="0.2">
      <c r="B749" s="21"/>
      <c r="C749" s="21"/>
      <c r="D749" s="21"/>
      <c r="E749" s="21"/>
      <c r="F749" s="21"/>
      <c r="G749" s="21"/>
      <c r="H749" s="21"/>
    </row>
    <row r="750" spans="2:8" x14ac:dyDescent="0.2">
      <c r="B750" s="21"/>
      <c r="C750" s="21"/>
      <c r="D750" s="21"/>
      <c r="E750" s="21"/>
      <c r="F750" s="21"/>
      <c r="G750" s="21"/>
      <c r="H750" s="21"/>
    </row>
    <row r="751" spans="2:8" x14ac:dyDescent="0.2">
      <c r="B751" s="21"/>
      <c r="C751" s="21"/>
      <c r="D751" s="21"/>
      <c r="E751" s="21"/>
      <c r="F751" s="21"/>
      <c r="G751" s="21"/>
      <c r="H751" s="21"/>
    </row>
    <row r="752" spans="2:8" x14ac:dyDescent="0.2">
      <c r="B752" s="21"/>
      <c r="C752" s="21"/>
      <c r="D752" s="21"/>
      <c r="E752" s="21"/>
      <c r="F752" s="21"/>
      <c r="G752" s="21"/>
      <c r="H752" s="21"/>
    </row>
    <row r="753" spans="2:8" x14ac:dyDescent="0.2">
      <c r="B753" s="21"/>
      <c r="C753" s="21"/>
      <c r="D753" s="21"/>
      <c r="E753" s="21"/>
      <c r="F753" s="21"/>
      <c r="G753" s="21"/>
      <c r="H753" s="21"/>
    </row>
    <row r="754" spans="2:8" x14ac:dyDescent="0.2">
      <c r="B754" s="21"/>
      <c r="C754" s="21"/>
      <c r="D754" s="21"/>
      <c r="E754" s="21"/>
      <c r="F754" s="21"/>
      <c r="G754" s="21"/>
      <c r="H754" s="21"/>
    </row>
    <row r="755" spans="2:8" x14ac:dyDescent="0.2">
      <c r="B755" s="21"/>
      <c r="C755" s="21"/>
      <c r="D755" s="21"/>
      <c r="E755" s="21"/>
      <c r="F755" s="21"/>
      <c r="G755" s="21"/>
      <c r="H755" s="21"/>
    </row>
    <row r="756" spans="2:8" x14ac:dyDescent="0.2">
      <c r="B756" s="21"/>
      <c r="C756" s="21"/>
      <c r="D756" s="21"/>
      <c r="E756" s="21"/>
      <c r="F756" s="21"/>
      <c r="G756" s="21"/>
      <c r="H756" s="21"/>
    </row>
    <row r="757" spans="2:8" x14ac:dyDescent="0.2">
      <c r="B757" s="21"/>
      <c r="C757" s="21"/>
      <c r="D757" s="21"/>
      <c r="E757" s="21"/>
      <c r="F757" s="21"/>
      <c r="G757" s="21"/>
      <c r="H757" s="21"/>
    </row>
    <row r="758" spans="2:8" x14ac:dyDescent="0.2">
      <c r="B758" s="21"/>
      <c r="C758" s="21"/>
      <c r="D758" s="21"/>
      <c r="E758" s="21"/>
      <c r="F758" s="21"/>
      <c r="G758" s="21"/>
      <c r="H758" s="21"/>
    </row>
    <row r="759" spans="2:8" x14ac:dyDescent="0.2">
      <c r="B759" s="21"/>
      <c r="C759" s="21"/>
      <c r="D759" s="21"/>
      <c r="E759" s="21"/>
      <c r="F759" s="21"/>
      <c r="G759" s="21"/>
      <c r="H759" s="21"/>
    </row>
    <row r="760" spans="2:8" x14ac:dyDescent="0.2">
      <c r="B760" s="21"/>
      <c r="C760" s="21"/>
      <c r="D760" s="21"/>
      <c r="E760" s="21"/>
      <c r="F760" s="21"/>
      <c r="G760" s="21"/>
      <c r="H760" s="21"/>
    </row>
    <row r="761" spans="2:8" x14ac:dyDescent="0.2">
      <c r="B761" s="21"/>
      <c r="C761" s="21"/>
      <c r="D761" s="21"/>
      <c r="E761" s="21"/>
      <c r="F761" s="21"/>
      <c r="G761" s="21"/>
      <c r="H761" s="21"/>
    </row>
    <row r="762" spans="2:8" x14ac:dyDescent="0.2">
      <c r="B762" s="21"/>
      <c r="C762" s="21"/>
      <c r="D762" s="21"/>
      <c r="E762" s="21"/>
      <c r="F762" s="21"/>
      <c r="G762" s="21"/>
      <c r="H762" s="21"/>
    </row>
    <row r="763" spans="2:8" x14ac:dyDescent="0.2">
      <c r="B763" s="21"/>
      <c r="C763" s="21"/>
      <c r="D763" s="21"/>
      <c r="E763" s="21"/>
      <c r="F763" s="21"/>
      <c r="G763" s="21"/>
      <c r="H763" s="21"/>
    </row>
    <row r="764" spans="2:8" x14ac:dyDescent="0.2">
      <c r="B764" s="21"/>
      <c r="C764" s="21"/>
      <c r="D764" s="21"/>
      <c r="E764" s="21"/>
      <c r="F764" s="21"/>
      <c r="G764" s="21"/>
      <c r="H764" s="21"/>
    </row>
    <row r="765" spans="2:8" x14ac:dyDescent="0.2">
      <c r="B765" s="21"/>
      <c r="C765" s="21"/>
      <c r="D765" s="21"/>
      <c r="E765" s="21"/>
      <c r="F765" s="21"/>
      <c r="G765" s="21"/>
      <c r="H765" s="21"/>
    </row>
    <row r="766" spans="2:8" x14ac:dyDescent="0.2">
      <c r="B766" s="21"/>
      <c r="C766" s="21"/>
      <c r="D766" s="21"/>
      <c r="E766" s="21"/>
      <c r="F766" s="21"/>
      <c r="G766" s="21"/>
      <c r="H766" s="21"/>
    </row>
    <row r="767" spans="2:8" x14ac:dyDescent="0.2">
      <c r="B767" s="21"/>
      <c r="C767" s="21"/>
      <c r="D767" s="21"/>
      <c r="E767" s="21"/>
      <c r="F767" s="21"/>
      <c r="G767" s="21"/>
      <c r="H767" s="21"/>
    </row>
    <row r="768" spans="2:8" x14ac:dyDescent="0.2">
      <c r="B768" s="21"/>
      <c r="C768" s="21"/>
      <c r="D768" s="21"/>
      <c r="E768" s="21"/>
      <c r="F768" s="21"/>
      <c r="G768" s="21"/>
      <c r="H768" s="21"/>
    </row>
    <row r="769" spans="2:8" x14ac:dyDescent="0.2">
      <c r="B769" s="21"/>
      <c r="C769" s="21"/>
      <c r="D769" s="21"/>
      <c r="E769" s="21"/>
      <c r="F769" s="21"/>
      <c r="G769" s="21"/>
      <c r="H769" s="21"/>
    </row>
    <row r="770" spans="2:8" x14ac:dyDescent="0.2">
      <c r="B770" s="21"/>
      <c r="C770" s="21"/>
      <c r="D770" s="21"/>
      <c r="E770" s="21"/>
      <c r="F770" s="21"/>
      <c r="G770" s="21"/>
      <c r="H770" s="21"/>
    </row>
    <row r="771" spans="2:8" x14ac:dyDescent="0.2">
      <c r="B771" s="21"/>
      <c r="C771" s="21"/>
      <c r="D771" s="21"/>
      <c r="E771" s="21"/>
      <c r="F771" s="21"/>
      <c r="G771" s="21"/>
      <c r="H771" s="21"/>
    </row>
    <row r="772" spans="2:8" x14ac:dyDescent="0.2">
      <c r="B772" s="21"/>
      <c r="C772" s="21"/>
      <c r="D772" s="21"/>
      <c r="E772" s="21"/>
      <c r="F772" s="21"/>
      <c r="G772" s="21"/>
      <c r="H772" s="21"/>
    </row>
    <row r="773" spans="2:8" x14ac:dyDescent="0.2">
      <c r="B773" s="21"/>
      <c r="C773" s="21"/>
      <c r="D773" s="21"/>
      <c r="E773" s="21"/>
      <c r="F773" s="21"/>
      <c r="G773" s="21"/>
      <c r="H773" s="21"/>
    </row>
    <row r="774" spans="2:8" x14ac:dyDescent="0.2">
      <c r="B774" s="21"/>
      <c r="C774" s="21"/>
      <c r="D774" s="21"/>
      <c r="E774" s="21"/>
      <c r="F774" s="21"/>
      <c r="G774" s="21"/>
      <c r="H774" s="21"/>
    </row>
    <row r="775" spans="2:8" x14ac:dyDescent="0.2">
      <c r="B775" s="21"/>
      <c r="C775" s="21"/>
      <c r="D775" s="21"/>
      <c r="E775" s="21"/>
      <c r="F775" s="21"/>
      <c r="G775" s="21"/>
      <c r="H775" s="21"/>
    </row>
    <row r="776" spans="2:8" x14ac:dyDescent="0.2">
      <c r="B776" s="21"/>
      <c r="C776" s="21"/>
      <c r="D776" s="21"/>
      <c r="E776" s="21"/>
      <c r="F776" s="21"/>
      <c r="G776" s="21"/>
      <c r="H776" s="21"/>
    </row>
    <row r="777" spans="2:8" x14ac:dyDescent="0.2">
      <c r="B777" s="21"/>
      <c r="C777" s="21"/>
      <c r="D777" s="21"/>
      <c r="E777" s="21"/>
      <c r="F777" s="21"/>
      <c r="G777" s="21"/>
      <c r="H777" s="21"/>
    </row>
    <row r="778" spans="2:8" x14ac:dyDescent="0.2">
      <c r="B778" s="21"/>
      <c r="C778" s="21"/>
      <c r="D778" s="21"/>
      <c r="E778" s="21"/>
      <c r="F778" s="21"/>
      <c r="G778" s="21"/>
      <c r="H778" s="21"/>
    </row>
    <row r="779" spans="2:8" x14ac:dyDescent="0.2">
      <c r="B779" s="21"/>
      <c r="C779" s="21"/>
      <c r="D779" s="21"/>
      <c r="E779" s="21"/>
      <c r="F779" s="21"/>
      <c r="G779" s="21"/>
      <c r="H779" s="21"/>
    </row>
    <row r="780" spans="2:8" x14ac:dyDescent="0.2">
      <c r="B780" s="21"/>
      <c r="C780" s="21"/>
      <c r="D780" s="21"/>
      <c r="E780" s="21"/>
      <c r="F780" s="21"/>
      <c r="G780" s="21"/>
      <c r="H780" s="21"/>
    </row>
    <row r="781" spans="2:8" x14ac:dyDescent="0.2">
      <c r="B781" s="21"/>
      <c r="C781" s="21"/>
      <c r="D781" s="21"/>
      <c r="E781" s="21"/>
      <c r="F781" s="21"/>
      <c r="G781" s="21"/>
      <c r="H781" s="21"/>
    </row>
    <row r="782" spans="2:8" x14ac:dyDescent="0.2">
      <c r="B782" s="21"/>
      <c r="C782" s="21"/>
      <c r="D782" s="21"/>
      <c r="E782" s="21"/>
      <c r="F782" s="21"/>
      <c r="G782" s="21"/>
      <c r="H782" s="21"/>
    </row>
    <row r="783" spans="2:8" x14ac:dyDescent="0.2">
      <c r="B783" s="21"/>
      <c r="C783" s="21"/>
      <c r="D783" s="21"/>
      <c r="E783" s="21"/>
      <c r="F783" s="21"/>
      <c r="G783" s="21"/>
      <c r="H783" s="21"/>
    </row>
    <row r="784" spans="2:8" x14ac:dyDescent="0.2">
      <c r="B784" s="21"/>
      <c r="C784" s="21"/>
      <c r="D784" s="21"/>
      <c r="E784" s="21"/>
      <c r="F784" s="21"/>
      <c r="G784" s="21"/>
      <c r="H784" s="21"/>
    </row>
    <row r="785" spans="2:8" x14ac:dyDescent="0.2">
      <c r="B785" s="21"/>
      <c r="C785" s="21"/>
      <c r="D785" s="21"/>
      <c r="E785" s="21"/>
      <c r="F785" s="21"/>
      <c r="G785" s="21"/>
      <c r="H785" s="21"/>
    </row>
    <row r="786" spans="2:8" x14ac:dyDescent="0.2">
      <c r="B786" s="21"/>
      <c r="C786" s="21"/>
      <c r="D786" s="21"/>
      <c r="E786" s="21"/>
      <c r="F786" s="21"/>
      <c r="G786" s="21"/>
      <c r="H786" s="21"/>
    </row>
    <row r="787" spans="2:8" x14ac:dyDescent="0.2">
      <c r="B787" s="21"/>
      <c r="C787" s="21"/>
      <c r="D787" s="21"/>
      <c r="E787" s="21"/>
      <c r="F787" s="21"/>
      <c r="G787" s="21"/>
      <c r="H787" s="21"/>
    </row>
    <row r="788" spans="2:8" x14ac:dyDescent="0.2">
      <c r="B788" s="21"/>
      <c r="C788" s="21"/>
      <c r="D788" s="21"/>
      <c r="E788" s="21"/>
      <c r="F788" s="21"/>
      <c r="G788" s="21"/>
      <c r="H788" s="21"/>
    </row>
    <row r="789" spans="2:8" x14ac:dyDescent="0.2">
      <c r="B789" s="21"/>
      <c r="C789" s="21"/>
      <c r="D789" s="21"/>
      <c r="E789" s="21"/>
      <c r="F789" s="21"/>
      <c r="G789" s="21"/>
      <c r="H789" s="21"/>
    </row>
    <row r="790" spans="2:8" x14ac:dyDescent="0.2">
      <c r="B790" s="21"/>
      <c r="C790" s="21"/>
      <c r="D790" s="21"/>
      <c r="E790" s="21"/>
      <c r="F790" s="21"/>
      <c r="G790" s="21"/>
      <c r="H790" s="21"/>
    </row>
    <row r="791" spans="2:8" x14ac:dyDescent="0.2">
      <c r="B791" s="21"/>
      <c r="C791" s="21"/>
      <c r="D791" s="21"/>
      <c r="E791" s="21"/>
      <c r="F791" s="21"/>
      <c r="G791" s="21"/>
      <c r="H791" s="21"/>
    </row>
    <row r="792" spans="2:8" x14ac:dyDescent="0.2">
      <c r="B792" s="21"/>
      <c r="C792" s="21"/>
      <c r="D792" s="21"/>
      <c r="E792" s="21"/>
      <c r="F792" s="21"/>
      <c r="G792" s="21"/>
      <c r="H792" s="21"/>
    </row>
    <row r="793" spans="2:8" x14ac:dyDescent="0.2">
      <c r="B793" s="21"/>
      <c r="C793" s="21"/>
      <c r="D793" s="21"/>
      <c r="E793" s="21"/>
      <c r="F793" s="21"/>
      <c r="G793" s="21"/>
      <c r="H793" s="21"/>
    </row>
    <row r="794" spans="2:8" x14ac:dyDescent="0.2">
      <c r="B794" s="21"/>
      <c r="C794" s="21"/>
      <c r="D794" s="21"/>
      <c r="E794" s="21"/>
      <c r="F794" s="21"/>
      <c r="G794" s="21"/>
      <c r="H794" s="21"/>
    </row>
    <row r="795" spans="2:8" x14ac:dyDescent="0.2">
      <c r="B795" s="21"/>
      <c r="C795" s="21"/>
      <c r="D795" s="21"/>
      <c r="E795" s="21"/>
      <c r="F795" s="21"/>
      <c r="G795" s="21"/>
      <c r="H795" s="21"/>
    </row>
    <row r="796" spans="2:8" x14ac:dyDescent="0.2">
      <c r="B796" s="21"/>
      <c r="C796" s="21"/>
      <c r="D796" s="21"/>
      <c r="E796" s="21"/>
      <c r="F796" s="21"/>
      <c r="G796" s="21"/>
      <c r="H796" s="21"/>
    </row>
    <row r="797" spans="2:8" x14ac:dyDescent="0.2">
      <c r="B797" s="21"/>
      <c r="C797" s="21"/>
      <c r="D797" s="21"/>
      <c r="E797" s="21"/>
      <c r="F797" s="21"/>
      <c r="G797" s="21"/>
      <c r="H797" s="21"/>
    </row>
    <row r="798" spans="2:8" x14ac:dyDescent="0.2">
      <c r="B798" s="21"/>
      <c r="C798" s="21"/>
      <c r="D798" s="21"/>
      <c r="E798" s="21"/>
      <c r="F798" s="21"/>
      <c r="G798" s="21"/>
      <c r="H798" s="21"/>
    </row>
    <row r="799" spans="2:8" x14ac:dyDescent="0.2">
      <c r="B799" s="21"/>
      <c r="C799" s="21"/>
      <c r="D799" s="21"/>
      <c r="E799" s="21"/>
      <c r="F799" s="21"/>
      <c r="G799" s="21"/>
      <c r="H799" s="21"/>
    </row>
    <row r="800" spans="2:8" x14ac:dyDescent="0.2">
      <c r="B800" s="21"/>
      <c r="C800" s="21"/>
      <c r="D800" s="21"/>
      <c r="E800" s="21"/>
      <c r="F800" s="21"/>
      <c r="G800" s="21"/>
      <c r="H800" s="21"/>
    </row>
    <row r="801" spans="2:8" x14ac:dyDescent="0.2">
      <c r="B801" s="21"/>
      <c r="C801" s="21"/>
      <c r="D801" s="21"/>
      <c r="E801" s="21"/>
      <c r="F801" s="21"/>
      <c r="G801" s="21"/>
      <c r="H801" s="21"/>
    </row>
    <row r="802" spans="2:8" x14ac:dyDescent="0.2">
      <c r="B802" s="21"/>
      <c r="C802" s="21"/>
      <c r="D802" s="21"/>
      <c r="E802" s="21"/>
      <c r="F802" s="21"/>
      <c r="G802" s="21"/>
      <c r="H802" s="21"/>
    </row>
    <row r="803" spans="2:8" x14ac:dyDescent="0.2">
      <c r="B803" s="21"/>
      <c r="C803" s="21"/>
      <c r="D803" s="21"/>
      <c r="E803" s="21"/>
      <c r="F803" s="21"/>
      <c r="G803" s="21"/>
      <c r="H803" s="21"/>
    </row>
  </sheetData>
  <autoFilter ref="B1:G589" xr:uid="{00000000-0009-0000-0000-000005000000}"/>
  <hyperlinks>
    <hyperlink ref="H595" r:id="rId1" display="https://maps.app.goo.gl/grLjSNnx73vjkfTg9" xr:uid="{00000000-0004-0000-0500-000000000000}"/>
    <hyperlink ref="H596" r:id="rId2" display="https://maps.app.goo.gl/LuJuVEDeo2D5hawk8" xr:uid="{00000000-0004-0000-0500-000001000000}"/>
    <hyperlink ref="H597" r:id="rId3" display="https://maps.app.goo.gl/2Y79GUF7BSA4w39k8" xr:uid="{00000000-0004-0000-0500-000002000000}"/>
    <hyperlink ref="H598" r:id="rId4" display="https://maps.app.goo.gl/1zjrgUVZ8Afo39Pn8" xr:uid="{00000000-0004-0000-0500-000003000000}"/>
    <hyperlink ref="H599" r:id="rId5" display="https://maps.app.goo.gl/KVqLFWqyoPgYjU4u6" xr:uid="{00000000-0004-0000-0500-000004000000}"/>
    <hyperlink ref="H600" r:id="rId6" display="https://maps.app.goo.gl/EVeHXdRv8BBnPLjJ7" xr:uid="{00000000-0004-0000-0500-000005000000}"/>
    <hyperlink ref="H601" r:id="rId7" display="https://maps.app.goo.gl/2Y79GUF7BSA4w39k8" xr:uid="{00000000-0004-0000-0500-000006000000}"/>
    <hyperlink ref="H602" r:id="rId8" display="https://maps.app.goo.gl/TYrLUEKfj4FKQJZh9" xr:uid="{00000000-0004-0000-0500-000007000000}"/>
    <hyperlink ref="H603" r:id="rId9" display="https://maps.app.goo.gl/1zjrgUVZ8Afo39Pn8" xr:uid="{00000000-0004-0000-0500-000008000000}"/>
    <hyperlink ref="H604" r:id="rId10" display="https://maps.app.goo.gl/LuJuVEDeo2D5hawk8" xr:uid="{00000000-0004-0000-0500-000009000000}"/>
    <hyperlink ref="H605" r:id="rId11" display="https://maps.app.goo.gl/TYrLUEKfj4FKQJZh9" xr:uid="{00000000-0004-0000-0500-00000A000000}"/>
    <hyperlink ref="H606" r:id="rId12" display="https://maps.app.goo.gl/grLjSNnx73vjkfTg9" xr:uid="{00000000-0004-0000-0500-00000B000000}"/>
    <hyperlink ref="H607" r:id="rId13" display="https://maps.app.goo.gl/dXD3H3FapEpPFXrH8" xr:uid="{00000000-0004-0000-0500-00000C000000}"/>
    <hyperlink ref="H608" r:id="rId14" display="https://maps.app.goo.gl/KVqLFWqyoPgYjU4u6" xr:uid="{00000000-0004-0000-0500-00000D000000}"/>
    <hyperlink ref="H609" r:id="rId15" display="https://maps.app.goo.gl/ymoKyeUP1BTMm8iR9" xr:uid="{00000000-0004-0000-0500-00000E000000}"/>
    <hyperlink ref="H610" r:id="rId16" display="https://maps.app.goo.gl/idyLQ2H64W64WiJz7" xr:uid="{00000000-0004-0000-0500-00000F000000}"/>
    <hyperlink ref="H611" r:id="rId17" display="https://maps.app.goo.gl/jwdSXFf5UhMjg7oK8" xr:uid="{00000000-0004-0000-0500-000010000000}"/>
    <hyperlink ref="H612" r:id="rId18" display="https://maps.app.goo.gl/jwdSXFf5UhMjg7oK8" xr:uid="{00000000-0004-0000-0500-000011000000}"/>
    <hyperlink ref="H627" r:id="rId19" display="https://www.google.com/maps?q=4.5325404,-74.15249&amp;z=17&amp;hl=en" xr:uid="{00000000-0004-0000-0500-000012000000}"/>
    <hyperlink ref="H628" r:id="rId20" display="https://www.google.com/maps/place/4.530441,-74.150807/data=!4m6!3m5!1s0!7e2!8m2!3d4.5304405999999995!4d-74.1508071?utm_source=mstt_1&amp;entry=gps&amp;coh=192189&amp;g_ep=CAESBzI1LjEzLjYYACD67A0qbCw5NDIyMzI5OSw5NDIxNjQxMyw5NDIxMjQ5Niw5NDIwNzM5NCw5NDIwNzUwNiw5NDIwODUwNiw5NDIxNzUyMyw5NDIxODY1Myw5NDIyOTgzOSw0NzA4NDM5Myw5NDIxMzIwMCw5NDI1ODMyNUICQ08%3D&amp;skid=cdcadf36-9656-4fe0-a2d9-122f6a9030e8&amp;g_st=aw" xr:uid="{00000000-0004-0000-0500-000013000000}"/>
    <hyperlink ref="H630" r:id="rId21" display="https://www.google.com/maps/place/4%C2%B031'49.6%22N+74%C2%B009'03.1%22W/@4.5304033,-74.1509215,174m/data=!3m1!1e3!4m4!3m3!8m2!3d4.530444!4d-74.15087?entry=ttu&amp;g_ep=EgoyMDI1MDQyMi4wIKXMDSoASAFQAw%3D%3D" xr:uid="{00000000-0004-0000-0500-00001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Q15"/>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25.7109375" customWidth="1"/>
    <col min="3" max="3" width="21.140625" customWidth="1"/>
    <col min="4" max="4" width="24.5703125" customWidth="1"/>
    <col min="5" max="5" width="23.42578125" customWidth="1"/>
    <col min="6" max="7" width="18.85546875" customWidth="1"/>
    <col min="8" max="8" width="24.28515625" customWidth="1"/>
    <col min="9" max="9" width="18.85546875" customWidth="1"/>
    <col min="10" max="10" width="33.28515625" customWidth="1"/>
    <col min="11" max="11" width="19.7109375" customWidth="1"/>
    <col min="12" max="12" width="26.42578125" customWidth="1"/>
    <col min="13" max="14" width="37.5703125" customWidth="1"/>
    <col min="15" max="15" width="34.42578125" customWidth="1"/>
    <col min="16" max="16" width="35.42578125" customWidth="1"/>
    <col min="17" max="18" width="37.5703125" customWidth="1"/>
    <col min="19" max="19" width="36.5703125" customWidth="1"/>
    <col min="20" max="20" width="34.5703125" customWidth="1"/>
    <col min="21" max="21" width="33" customWidth="1"/>
    <col min="22" max="22" width="35.42578125" customWidth="1"/>
    <col min="23" max="23" width="35.85546875" customWidth="1"/>
    <col min="24" max="24" width="36.140625" customWidth="1"/>
    <col min="25" max="25" width="36" customWidth="1"/>
    <col min="26" max="26" width="28.28515625" customWidth="1"/>
    <col min="27" max="27" width="28.85546875" customWidth="1"/>
    <col min="28" max="28" width="34" customWidth="1"/>
    <col min="29" max="29" width="36.7109375" customWidth="1"/>
    <col min="30" max="30" width="28" customWidth="1"/>
    <col min="31" max="31" width="29.42578125" customWidth="1"/>
    <col min="32" max="32" width="26.42578125" customWidth="1"/>
    <col min="33" max="36" width="37.5703125" customWidth="1"/>
    <col min="37" max="37" width="28" customWidth="1"/>
    <col min="38" max="38" width="37.5703125" customWidth="1"/>
    <col min="39" max="43" width="18.85546875" customWidth="1"/>
  </cols>
  <sheetData>
    <row r="1" spans="1:43" x14ac:dyDescent="0.2">
      <c r="A1" s="127" t="s">
        <v>0</v>
      </c>
      <c r="B1" s="128" t="s">
        <v>4292</v>
      </c>
      <c r="C1" s="128" t="s">
        <v>4293</v>
      </c>
      <c r="D1" s="128" t="s">
        <v>4294</v>
      </c>
      <c r="E1" s="128" t="s">
        <v>4295</v>
      </c>
      <c r="F1" s="128" t="s">
        <v>4296</v>
      </c>
      <c r="G1" s="128" t="s">
        <v>4297</v>
      </c>
      <c r="H1" s="128" t="s">
        <v>4298</v>
      </c>
      <c r="I1" s="128" t="s">
        <v>4299</v>
      </c>
      <c r="J1" s="128" t="s">
        <v>4300</v>
      </c>
      <c r="K1" s="128" t="s">
        <v>4301</v>
      </c>
      <c r="L1" s="128" t="s">
        <v>4302</v>
      </c>
      <c r="M1" s="128" t="s">
        <v>4303</v>
      </c>
      <c r="N1" s="128" t="s">
        <v>4304</v>
      </c>
      <c r="O1" s="128" t="s">
        <v>4305</v>
      </c>
      <c r="P1" s="128" t="s">
        <v>4306</v>
      </c>
      <c r="Q1" s="128" t="s">
        <v>4307</v>
      </c>
      <c r="R1" s="128" t="s">
        <v>4308</v>
      </c>
      <c r="S1" s="128" t="s">
        <v>4309</v>
      </c>
      <c r="T1" s="128" t="s">
        <v>4310</v>
      </c>
      <c r="U1" s="128" t="s">
        <v>4311</v>
      </c>
      <c r="V1" s="128" t="s">
        <v>4312</v>
      </c>
      <c r="W1" s="128" t="s">
        <v>4313</v>
      </c>
      <c r="X1" s="128" t="s">
        <v>4314</v>
      </c>
      <c r="Y1" s="128" t="s">
        <v>4315</v>
      </c>
      <c r="Z1" s="128" t="s">
        <v>4316</v>
      </c>
      <c r="AA1" s="128" t="s">
        <v>4317</v>
      </c>
      <c r="AB1" s="128" t="s">
        <v>4318</v>
      </c>
      <c r="AC1" s="128" t="s">
        <v>4319</v>
      </c>
      <c r="AD1" s="128" t="s">
        <v>4320</v>
      </c>
      <c r="AE1" s="128" t="s">
        <v>4321</v>
      </c>
      <c r="AF1" s="128" t="s">
        <v>4322</v>
      </c>
      <c r="AG1" s="128" t="s">
        <v>4323</v>
      </c>
      <c r="AH1" s="128" t="s">
        <v>4324</v>
      </c>
      <c r="AI1" s="128" t="s">
        <v>4325</v>
      </c>
      <c r="AJ1" s="128" t="s">
        <v>4326</v>
      </c>
      <c r="AK1" s="129" t="s">
        <v>4327</v>
      </c>
      <c r="AL1" s="127" t="s">
        <v>4328</v>
      </c>
      <c r="AM1" s="129" t="s">
        <v>4329</v>
      </c>
    </row>
    <row r="2" spans="1:43" x14ac:dyDescent="0.2">
      <c r="A2" s="130">
        <v>45693.375102627309</v>
      </c>
      <c r="B2" s="131" t="s">
        <v>4330</v>
      </c>
      <c r="C2" s="131" t="s">
        <v>4331</v>
      </c>
      <c r="D2" s="131" t="s">
        <v>4332</v>
      </c>
      <c r="E2" s="132">
        <v>45689</v>
      </c>
      <c r="F2" s="131" t="s">
        <v>4333</v>
      </c>
      <c r="G2" s="131" t="s">
        <v>1020</v>
      </c>
      <c r="H2" s="131" t="s">
        <v>4334</v>
      </c>
      <c r="I2" s="131">
        <v>43901501</v>
      </c>
      <c r="J2" s="131">
        <v>3217409087</v>
      </c>
      <c r="K2" s="131" t="s">
        <v>4335</v>
      </c>
      <c r="L2" s="131" t="s">
        <v>564</v>
      </c>
      <c r="M2" s="131" t="s">
        <v>4336</v>
      </c>
      <c r="N2" s="133" t="s">
        <v>4337</v>
      </c>
      <c r="O2" s="131"/>
      <c r="P2" s="131"/>
      <c r="Q2" s="131"/>
      <c r="R2" s="131"/>
      <c r="S2" s="131"/>
      <c r="T2" s="131"/>
      <c r="U2" s="131"/>
      <c r="V2" s="131"/>
      <c r="W2" s="131"/>
      <c r="X2" s="131"/>
      <c r="Y2" s="131"/>
      <c r="Z2" s="131" t="s">
        <v>4338</v>
      </c>
      <c r="AA2" s="131" t="s">
        <v>4339</v>
      </c>
      <c r="AB2" s="131" t="s">
        <v>4340</v>
      </c>
      <c r="AC2" s="131" t="s">
        <v>4341</v>
      </c>
      <c r="AD2" s="131"/>
      <c r="AE2" s="131"/>
      <c r="AF2" s="131"/>
      <c r="AG2" s="131"/>
      <c r="AH2" s="131"/>
      <c r="AI2" s="131"/>
      <c r="AJ2" s="131"/>
      <c r="AK2" s="131" t="s">
        <v>35</v>
      </c>
      <c r="AL2" s="131" t="s">
        <v>4342</v>
      </c>
      <c r="AM2" s="131" t="s">
        <v>4343</v>
      </c>
      <c r="AN2" s="134"/>
      <c r="AO2" s="134"/>
      <c r="AP2" s="134"/>
      <c r="AQ2" s="134"/>
    </row>
    <row r="3" spans="1:43" x14ac:dyDescent="0.2">
      <c r="A3" s="130">
        <v>45698.878033125002</v>
      </c>
      <c r="B3" s="131" t="s">
        <v>4344</v>
      </c>
      <c r="C3" s="131" t="s">
        <v>4345</v>
      </c>
      <c r="D3" s="131" t="s">
        <v>4346</v>
      </c>
      <c r="E3" s="132">
        <v>45696</v>
      </c>
      <c r="F3" s="131" t="s">
        <v>4333</v>
      </c>
      <c r="G3" s="131" t="s">
        <v>2465</v>
      </c>
      <c r="H3" s="131" t="s">
        <v>4347</v>
      </c>
      <c r="I3" s="131" t="s">
        <v>4348</v>
      </c>
      <c r="J3" s="131" t="s">
        <v>4349</v>
      </c>
      <c r="K3" s="131" t="s">
        <v>4350</v>
      </c>
      <c r="L3" s="131" t="s">
        <v>564</v>
      </c>
      <c r="M3" s="131" t="s">
        <v>4351</v>
      </c>
      <c r="N3" s="133" t="s">
        <v>4352</v>
      </c>
      <c r="O3" s="131"/>
      <c r="P3" s="131"/>
      <c r="Q3" s="131"/>
      <c r="R3" s="131"/>
      <c r="S3" s="131"/>
      <c r="T3" s="131"/>
      <c r="U3" s="131"/>
      <c r="V3" s="131"/>
      <c r="W3" s="131" t="s">
        <v>4353</v>
      </c>
      <c r="X3" s="131" t="s">
        <v>4354</v>
      </c>
      <c r="Y3" s="131" t="s">
        <v>4355</v>
      </c>
      <c r="Z3" s="131"/>
      <c r="AA3" s="131"/>
      <c r="AB3" s="131"/>
      <c r="AC3" s="131"/>
      <c r="AD3" s="131"/>
      <c r="AE3" s="131"/>
      <c r="AF3" s="131"/>
      <c r="AG3" s="131"/>
      <c r="AH3" s="131"/>
      <c r="AI3" s="131"/>
      <c r="AJ3" s="131"/>
      <c r="AK3" s="131" t="s">
        <v>35</v>
      </c>
      <c r="AL3" s="131" t="s">
        <v>4356</v>
      </c>
      <c r="AM3" s="131" t="s">
        <v>4357</v>
      </c>
      <c r="AN3" s="134"/>
      <c r="AO3" s="134"/>
      <c r="AP3" s="134"/>
      <c r="AQ3" s="134"/>
    </row>
    <row r="4" spans="1:43" x14ac:dyDescent="0.2">
      <c r="A4" s="130">
        <v>45698.922839027779</v>
      </c>
      <c r="B4" s="131" t="s">
        <v>4358</v>
      </c>
      <c r="C4" s="131" t="s">
        <v>4359</v>
      </c>
      <c r="D4" s="131" t="s">
        <v>4360</v>
      </c>
      <c r="E4" s="132">
        <v>45696</v>
      </c>
      <c r="F4" s="131" t="s">
        <v>4333</v>
      </c>
      <c r="G4" s="131" t="s">
        <v>1573</v>
      </c>
      <c r="H4" s="131" t="s">
        <v>4361</v>
      </c>
      <c r="I4" s="131"/>
      <c r="J4" s="131">
        <v>3217664695</v>
      </c>
      <c r="K4" s="131" t="s">
        <v>4350</v>
      </c>
      <c r="L4" s="131" t="s">
        <v>564</v>
      </c>
      <c r="M4" s="135" t="s">
        <v>4362</v>
      </c>
      <c r="N4" s="133" t="s">
        <v>4363</v>
      </c>
      <c r="O4" s="131"/>
      <c r="P4" s="131"/>
      <c r="Q4" s="131"/>
      <c r="R4" s="131"/>
      <c r="S4" s="131"/>
      <c r="T4" s="131"/>
      <c r="U4" s="131"/>
      <c r="V4" s="131"/>
      <c r="W4" s="131" t="s">
        <v>4353</v>
      </c>
      <c r="X4" s="131" t="s">
        <v>4354</v>
      </c>
      <c r="Y4" s="131" t="s">
        <v>4364</v>
      </c>
      <c r="Z4" s="131"/>
      <c r="AA4" s="131"/>
      <c r="AB4" s="131"/>
      <c r="AC4" s="131"/>
      <c r="AD4" s="131"/>
      <c r="AE4" s="131"/>
      <c r="AF4" s="131"/>
      <c r="AG4" s="131"/>
      <c r="AH4" s="131"/>
      <c r="AI4" s="131"/>
      <c r="AJ4" s="131"/>
      <c r="AK4" s="131" t="s">
        <v>35</v>
      </c>
      <c r="AL4" s="131" t="s">
        <v>4365</v>
      </c>
      <c r="AM4" s="131" t="s">
        <v>4366</v>
      </c>
      <c r="AN4" s="134"/>
      <c r="AO4" s="134"/>
      <c r="AP4" s="134"/>
      <c r="AQ4" s="134"/>
    </row>
    <row r="5" spans="1:43" x14ac:dyDescent="0.2">
      <c r="A5" s="130">
        <v>45699.673554988425</v>
      </c>
      <c r="B5" s="131" t="s">
        <v>4367</v>
      </c>
      <c r="C5" s="131" t="s">
        <v>4368</v>
      </c>
      <c r="D5" s="131" t="s">
        <v>4369</v>
      </c>
      <c r="E5" s="132">
        <v>45696</v>
      </c>
      <c r="F5" s="131" t="s">
        <v>4333</v>
      </c>
      <c r="G5" s="131" t="s">
        <v>1180</v>
      </c>
      <c r="H5" s="131" t="s">
        <v>4370</v>
      </c>
      <c r="I5" s="131" t="s">
        <v>4371</v>
      </c>
      <c r="J5" s="131" t="s">
        <v>4372</v>
      </c>
      <c r="K5" s="131" t="s">
        <v>4335</v>
      </c>
      <c r="L5" s="131" t="s">
        <v>564</v>
      </c>
      <c r="M5" s="131"/>
      <c r="N5" s="133" t="s">
        <v>4373</v>
      </c>
      <c r="O5" s="131"/>
      <c r="P5" s="131"/>
      <c r="Q5" s="131"/>
      <c r="R5" s="131"/>
      <c r="S5" s="131"/>
      <c r="T5" s="131"/>
      <c r="U5" s="131"/>
      <c r="V5" s="131"/>
      <c r="W5" s="131"/>
      <c r="X5" s="131"/>
      <c r="Y5" s="131"/>
      <c r="Z5" s="131" t="s">
        <v>4374</v>
      </c>
      <c r="AA5" s="131" t="s">
        <v>4339</v>
      </c>
      <c r="AB5" s="131" t="s">
        <v>4339</v>
      </c>
      <c r="AC5" s="131" t="s">
        <v>4375</v>
      </c>
      <c r="AD5" s="131"/>
      <c r="AE5" s="131"/>
      <c r="AF5" s="131"/>
      <c r="AG5" s="131"/>
      <c r="AH5" s="131"/>
      <c r="AI5" s="131"/>
      <c r="AJ5" s="131"/>
      <c r="AK5" s="131" t="s">
        <v>35</v>
      </c>
      <c r="AL5" s="131" t="s">
        <v>4376</v>
      </c>
      <c r="AM5" s="131" t="s">
        <v>4377</v>
      </c>
      <c r="AN5" s="134"/>
      <c r="AO5" s="134"/>
      <c r="AP5" s="134"/>
      <c r="AQ5" s="134"/>
    </row>
    <row r="6" spans="1:43" x14ac:dyDescent="0.2">
      <c r="A6" s="130">
        <v>45700.532638356482</v>
      </c>
      <c r="B6" s="131" t="s">
        <v>4378</v>
      </c>
      <c r="C6" s="131" t="s">
        <v>4379</v>
      </c>
      <c r="D6" s="131" t="s">
        <v>4380</v>
      </c>
      <c r="E6" s="132">
        <v>45696</v>
      </c>
      <c r="F6" s="131" t="s">
        <v>4333</v>
      </c>
      <c r="G6" s="131" t="s">
        <v>1180</v>
      </c>
      <c r="H6" s="131" t="s">
        <v>4381</v>
      </c>
      <c r="I6" s="131">
        <v>98468307</v>
      </c>
      <c r="J6" s="131">
        <v>3136934243</v>
      </c>
      <c r="K6" s="131" t="s">
        <v>4335</v>
      </c>
      <c r="L6" s="131" t="s">
        <v>564</v>
      </c>
      <c r="M6" s="131"/>
      <c r="N6" s="133" t="s">
        <v>4382</v>
      </c>
      <c r="O6" s="131"/>
      <c r="P6" s="131"/>
      <c r="Q6" s="131"/>
      <c r="R6" s="131"/>
      <c r="S6" s="131"/>
      <c r="T6" s="131"/>
      <c r="U6" s="131"/>
      <c r="V6" s="131"/>
      <c r="W6" s="131"/>
      <c r="X6" s="131"/>
      <c r="Y6" s="131"/>
      <c r="Z6" s="131" t="s">
        <v>4383</v>
      </c>
      <c r="AA6" s="131" t="s">
        <v>4384</v>
      </c>
      <c r="AB6" s="131" t="s">
        <v>4339</v>
      </c>
      <c r="AC6" s="131" t="s">
        <v>4385</v>
      </c>
      <c r="AD6" s="131"/>
      <c r="AE6" s="131"/>
      <c r="AF6" s="131"/>
      <c r="AG6" s="131"/>
      <c r="AH6" s="131"/>
      <c r="AI6" s="131"/>
      <c r="AJ6" s="131"/>
      <c r="AK6" s="131" t="s">
        <v>35</v>
      </c>
      <c r="AL6" s="131" t="s">
        <v>4386</v>
      </c>
      <c r="AM6" s="131" t="s">
        <v>4387</v>
      </c>
      <c r="AN6" s="134"/>
      <c r="AO6" s="134"/>
      <c r="AP6" s="134"/>
      <c r="AQ6" s="134"/>
    </row>
    <row r="7" spans="1:43" x14ac:dyDescent="0.2">
      <c r="A7" s="130">
        <v>45700.560083217591</v>
      </c>
      <c r="B7" s="131" t="s">
        <v>4388</v>
      </c>
      <c r="C7" s="131" t="s">
        <v>4389</v>
      </c>
      <c r="D7" s="131" t="s">
        <v>4390</v>
      </c>
      <c r="E7" s="132">
        <v>45696</v>
      </c>
      <c r="F7" s="131" t="s">
        <v>4333</v>
      </c>
      <c r="G7" s="131" t="s">
        <v>4391</v>
      </c>
      <c r="H7" s="131" t="s">
        <v>2162</v>
      </c>
      <c r="I7" s="131">
        <v>1128394766</v>
      </c>
      <c r="J7" s="131" t="s">
        <v>4392</v>
      </c>
      <c r="K7" s="131" t="s">
        <v>4393</v>
      </c>
      <c r="L7" s="131" t="s">
        <v>564</v>
      </c>
      <c r="M7" s="131" t="s">
        <v>4394</v>
      </c>
      <c r="N7" s="133" t="s">
        <v>4395</v>
      </c>
      <c r="O7" s="131"/>
      <c r="P7" s="131"/>
      <c r="Q7" s="131"/>
      <c r="R7" s="131"/>
      <c r="S7" s="131"/>
      <c r="T7" s="131"/>
      <c r="U7" s="131"/>
      <c r="V7" s="131"/>
      <c r="W7" s="131"/>
      <c r="X7" s="131"/>
      <c r="Y7" s="131"/>
      <c r="Z7" s="131"/>
      <c r="AA7" s="131"/>
      <c r="AB7" s="131"/>
      <c r="AC7" s="131"/>
      <c r="AD7" s="131" t="s">
        <v>564</v>
      </c>
      <c r="AE7" s="131" t="s">
        <v>564</v>
      </c>
      <c r="AF7" s="131" t="s">
        <v>564</v>
      </c>
      <c r="AG7" s="131" t="s">
        <v>564</v>
      </c>
      <c r="AH7" s="131" t="s">
        <v>4396</v>
      </c>
      <c r="AI7" s="131"/>
      <c r="AJ7" s="131"/>
      <c r="AK7" s="131" t="s">
        <v>35</v>
      </c>
      <c r="AL7" s="131" t="s">
        <v>4397</v>
      </c>
      <c r="AM7" s="131" t="s">
        <v>4398</v>
      </c>
      <c r="AN7" s="134"/>
      <c r="AO7" s="134"/>
      <c r="AP7" s="134"/>
      <c r="AQ7" s="134"/>
    </row>
    <row r="8" spans="1:43" x14ac:dyDescent="0.2">
      <c r="A8" s="130">
        <v>45700.913173229172</v>
      </c>
      <c r="B8" s="131" t="s">
        <v>4399</v>
      </c>
      <c r="C8" s="131" t="s">
        <v>4400</v>
      </c>
      <c r="D8" s="131" t="s">
        <v>4401</v>
      </c>
      <c r="E8" s="132">
        <v>45696</v>
      </c>
      <c r="F8" s="131" t="s">
        <v>4333</v>
      </c>
      <c r="G8" s="131" t="s">
        <v>4402</v>
      </c>
      <c r="H8" s="131" t="s">
        <v>4403</v>
      </c>
      <c r="I8" s="131">
        <v>43901501</v>
      </c>
      <c r="J8" s="131">
        <v>30</v>
      </c>
      <c r="K8" s="131" t="s">
        <v>4404</v>
      </c>
      <c r="L8" s="131" t="s">
        <v>564</v>
      </c>
      <c r="M8" s="131"/>
      <c r="N8" s="133" t="s">
        <v>4405</v>
      </c>
      <c r="O8" s="131" t="s">
        <v>4406</v>
      </c>
      <c r="P8" s="131" t="s">
        <v>132</v>
      </c>
      <c r="Q8" s="131" t="s">
        <v>132</v>
      </c>
      <c r="R8" s="131" t="s">
        <v>4407</v>
      </c>
      <c r="S8" s="131" t="s">
        <v>35</v>
      </c>
      <c r="T8" s="131" t="s">
        <v>4406</v>
      </c>
      <c r="U8" s="131" t="s">
        <v>4408</v>
      </c>
      <c r="V8" s="131" t="s">
        <v>4409</v>
      </c>
      <c r="W8" s="131"/>
      <c r="X8" s="131"/>
      <c r="Y8" s="131"/>
      <c r="Z8" s="131"/>
      <c r="AA8" s="131"/>
      <c r="AB8" s="131"/>
      <c r="AC8" s="131"/>
      <c r="AD8" s="131"/>
      <c r="AE8" s="131"/>
      <c r="AF8" s="131"/>
      <c r="AG8" s="131"/>
      <c r="AH8" s="131"/>
      <c r="AI8" s="131"/>
      <c r="AJ8" s="131"/>
      <c r="AK8" s="131" t="s">
        <v>35</v>
      </c>
      <c r="AL8" s="131" t="s">
        <v>4410</v>
      </c>
      <c r="AM8" s="131" t="s">
        <v>4411</v>
      </c>
      <c r="AN8" s="134"/>
      <c r="AO8" s="134"/>
      <c r="AP8" s="134"/>
      <c r="AQ8" s="134"/>
    </row>
    <row r="9" spans="1:43" x14ac:dyDescent="0.2">
      <c r="A9" s="130">
        <v>45700.937088136576</v>
      </c>
      <c r="B9" s="131" t="s">
        <v>4412</v>
      </c>
      <c r="C9" s="131" t="s">
        <v>4413</v>
      </c>
      <c r="D9" s="131" t="s">
        <v>4414</v>
      </c>
      <c r="E9" s="132">
        <v>45696</v>
      </c>
      <c r="F9" s="131" t="s">
        <v>4333</v>
      </c>
      <c r="G9" s="131" t="s">
        <v>4415</v>
      </c>
      <c r="H9" s="131" t="s">
        <v>2827</v>
      </c>
      <c r="I9" s="131">
        <v>38281469</v>
      </c>
      <c r="J9" s="131">
        <v>3007561504</v>
      </c>
      <c r="K9" s="131" t="s">
        <v>4350</v>
      </c>
      <c r="L9" s="131" t="s">
        <v>564</v>
      </c>
      <c r="M9" s="131" t="s">
        <v>4416</v>
      </c>
      <c r="N9" s="133" t="s">
        <v>4417</v>
      </c>
      <c r="O9" s="131"/>
      <c r="P9" s="131"/>
      <c r="Q9" s="131"/>
      <c r="R9" s="131"/>
      <c r="S9" s="131"/>
      <c r="T9" s="131"/>
      <c r="U9" s="131"/>
      <c r="V9" s="131"/>
      <c r="W9" s="131" t="s">
        <v>4353</v>
      </c>
      <c r="X9" s="131" t="s">
        <v>4418</v>
      </c>
      <c r="Y9" s="131" t="s">
        <v>4419</v>
      </c>
      <c r="Z9" s="131"/>
      <c r="AA9" s="131"/>
      <c r="AB9" s="131"/>
      <c r="AC9" s="131"/>
      <c r="AD9" s="131"/>
      <c r="AE9" s="131"/>
      <c r="AF9" s="131"/>
      <c r="AG9" s="131"/>
      <c r="AH9" s="131"/>
      <c r="AI9" s="131"/>
      <c r="AJ9" s="131"/>
      <c r="AK9" s="131" t="s">
        <v>35</v>
      </c>
      <c r="AL9" s="131" t="s">
        <v>4420</v>
      </c>
      <c r="AM9" s="131" t="s">
        <v>4421</v>
      </c>
      <c r="AN9" s="134"/>
      <c r="AO9" s="134"/>
      <c r="AP9" s="134"/>
      <c r="AQ9" s="134"/>
    </row>
    <row r="10" spans="1:43" x14ac:dyDescent="0.2">
      <c r="A10" s="130">
        <v>45705.851290046296</v>
      </c>
      <c r="B10" s="131" t="s">
        <v>2192</v>
      </c>
      <c r="C10" s="131" t="s">
        <v>4422</v>
      </c>
      <c r="D10" s="131" t="s">
        <v>1420</v>
      </c>
      <c r="E10" s="132">
        <v>45703</v>
      </c>
      <c r="F10" s="131" t="s">
        <v>4333</v>
      </c>
      <c r="G10" s="131" t="s">
        <v>4423</v>
      </c>
      <c r="H10" s="131" t="s">
        <v>4424</v>
      </c>
      <c r="I10" s="131" t="s">
        <v>4425</v>
      </c>
      <c r="J10" s="131" t="s">
        <v>4426</v>
      </c>
      <c r="K10" s="131" t="s">
        <v>4404</v>
      </c>
      <c r="L10" s="131" t="s">
        <v>564</v>
      </c>
      <c r="M10" s="131" t="s">
        <v>4427</v>
      </c>
      <c r="N10" s="133" t="s">
        <v>4428</v>
      </c>
      <c r="O10" s="131" t="s">
        <v>4429</v>
      </c>
      <c r="P10" s="131" t="s">
        <v>564</v>
      </c>
      <c r="Q10" s="131" t="s">
        <v>564</v>
      </c>
      <c r="R10" s="131" t="s">
        <v>4407</v>
      </c>
      <c r="S10" s="131" t="s">
        <v>35</v>
      </c>
      <c r="T10" s="131" t="s">
        <v>4430</v>
      </c>
      <c r="U10" s="131" t="s">
        <v>4431</v>
      </c>
      <c r="V10" s="131" t="s">
        <v>4432</v>
      </c>
      <c r="W10" s="131"/>
      <c r="X10" s="131"/>
      <c r="Y10" s="131"/>
      <c r="Z10" s="131"/>
      <c r="AA10" s="131"/>
      <c r="AB10" s="131"/>
      <c r="AC10" s="131"/>
      <c r="AD10" s="131"/>
      <c r="AE10" s="131"/>
      <c r="AF10" s="131"/>
      <c r="AG10" s="131"/>
      <c r="AH10" s="131"/>
      <c r="AI10" s="131"/>
      <c r="AJ10" s="131"/>
      <c r="AK10" s="131" t="s">
        <v>132</v>
      </c>
      <c r="AL10" s="131" t="s">
        <v>4428</v>
      </c>
      <c r="AM10" s="131" t="s">
        <v>4433</v>
      </c>
      <c r="AN10" s="134"/>
      <c r="AO10" s="134"/>
      <c r="AP10" s="134"/>
      <c r="AQ10" s="134"/>
    </row>
    <row r="11" spans="1:43" x14ac:dyDescent="0.2">
      <c r="A11" s="130">
        <v>45706.418940138887</v>
      </c>
      <c r="B11" s="131" t="s">
        <v>4434</v>
      </c>
      <c r="C11" s="131" t="s">
        <v>4435</v>
      </c>
      <c r="D11" s="131" t="s">
        <v>4436</v>
      </c>
      <c r="E11" s="132">
        <v>45696</v>
      </c>
      <c r="F11" s="131" t="s">
        <v>4333</v>
      </c>
      <c r="G11" s="131" t="s">
        <v>4437</v>
      </c>
      <c r="H11" s="131" t="s">
        <v>2016</v>
      </c>
      <c r="I11" s="131">
        <v>1017239458</v>
      </c>
      <c r="J11" s="131">
        <v>3155010091</v>
      </c>
      <c r="K11" s="131" t="s">
        <v>4335</v>
      </c>
      <c r="L11" s="131" t="s">
        <v>564</v>
      </c>
      <c r="M11" s="136" t="s">
        <v>4438</v>
      </c>
      <c r="N11" s="133" t="s">
        <v>4439</v>
      </c>
      <c r="O11" s="131"/>
      <c r="P11" s="131"/>
      <c r="Q11" s="131"/>
      <c r="R11" s="131"/>
      <c r="S11" s="131"/>
      <c r="T11" s="131"/>
      <c r="U11" s="131"/>
      <c r="V11" s="131"/>
      <c r="W11" s="131"/>
      <c r="X11" s="131"/>
      <c r="Y11" s="131"/>
      <c r="Z11" s="131" t="s">
        <v>4383</v>
      </c>
      <c r="AA11" s="131" t="s">
        <v>4339</v>
      </c>
      <c r="AB11" s="131" t="s">
        <v>4339</v>
      </c>
      <c r="AC11" s="131" t="s">
        <v>2007</v>
      </c>
      <c r="AD11" s="131"/>
      <c r="AE11" s="131"/>
      <c r="AF11" s="131"/>
      <c r="AG11" s="131"/>
      <c r="AH11" s="131"/>
      <c r="AI11" s="131"/>
      <c r="AJ11" s="131"/>
      <c r="AK11" s="131" t="s">
        <v>35</v>
      </c>
      <c r="AL11" s="131" t="s">
        <v>4440</v>
      </c>
      <c r="AM11" s="133" t="s">
        <v>4441</v>
      </c>
      <c r="AN11" s="134"/>
      <c r="AO11" s="134"/>
      <c r="AP11" s="134"/>
      <c r="AQ11" s="134"/>
    </row>
    <row r="12" spans="1:43" x14ac:dyDescent="0.2">
      <c r="A12" s="130">
        <v>45706.822373136572</v>
      </c>
      <c r="B12" s="131" t="s">
        <v>4442</v>
      </c>
      <c r="C12" s="131" t="s">
        <v>4443</v>
      </c>
      <c r="D12" s="131" t="s">
        <v>4444</v>
      </c>
      <c r="E12" s="132">
        <v>45703</v>
      </c>
      <c r="F12" s="131" t="s">
        <v>4333</v>
      </c>
      <c r="G12" s="131" t="s">
        <v>4445</v>
      </c>
      <c r="H12" s="131" t="s">
        <v>2768</v>
      </c>
      <c r="I12" s="131"/>
      <c r="J12" s="131">
        <v>3217664695</v>
      </c>
      <c r="K12" s="131" t="s">
        <v>4335</v>
      </c>
      <c r="L12" s="131" t="s">
        <v>564</v>
      </c>
      <c r="M12" s="131"/>
      <c r="N12" s="133" t="s">
        <v>4446</v>
      </c>
      <c r="O12" s="131"/>
      <c r="P12" s="131"/>
      <c r="Q12" s="131"/>
      <c r="R12" s="131"/>
      <c r="S12" s="131"/>
      <c r="T12" s="131"/>
      <c r="U12" s="131"/>
      <c r="V12" s="131"/>
      <c r="W12" s="131"/>
      <c r="X12" s="131"/>
      <c r="Y12" s="131"/>
      <c r="Z12" s="131" t="s">
        <v>4383</v>
      </c>
      <c r="AA12" s="131" t="s">
        <v>4339</v>
      </c>
      <c r="AB12" s="131" t="s">
        <v>4447</v>
      </c>
      <c r="AC12" s="131" t="s">
        <v>4448</v>
      </c>
      <c r="AD12" s="131"/>
      <c r="AE12" s="131"/>
      <c r="AF12" s="131"/>
      <c r="AG12" s="131"/>
      <c r="AH12" s="131"/>
      <c r="AI12" s="131"/>
      <c r="AJ12" s="131"/>
      <c r="AK12" s="131" t="s">
        <v>35</v>
      </c>
      <c r="AL12" s="131" t="s">
        <v>4449</v>
      </c>
      <c r="AM12" s="131" t="s">
        <v>4450</v>
      </c>
      <c r="AN12" s="134"/>
      <c r="AO12" s="134"/>
      <c r="AP12" s="134"/>
      <c r="AQ12" s="134"/>
    </row>
    <row r="13" spans="1:43" x14ac:dyDescent="0.2">
      <c r="A13" s="130">
        <v>45708.713089791665</v>
      </c>
      <c r="B13" s="131" t="s">
        <v>4451</v>
      </c>
      <c r="C13" s="131" t="s">
        <v>1530</v>
      </c>
      <c r="D13" s="131" t="s">
        <v>4452</v>
      </c>
      <c r="E13" s="132">
        <v>45704</v>
      </c>
      <c r="F13" s="131" t="s">
        <v>4333</v>
      </c>
      <c r="G13" s="131" t="s">
        <v>1911</v>
      </c>
      <c r="H13" s="131" t="s">
        <v>4453</v>
      </c>
      <c r="I13" s="131"/>
      <c r="J13" s="131">
        <v>3155010091</v>
      </c>
      <c r="K13" s="131" t="s">
        <v>4404</v>
      </c>
      <c r="L13" s="131" t="s">
        <v>564</v>
      </c>
      <c r="M13" s="136" t="s">
        <v>4454</v>
      </c>
      <c r="N13" s="133" t="s">
        <v>4455</v>
      </c>
      <c r="O13" s="131" t="s">
        <v>4406</v>
      </c>
      <c r="P13" s="131" t="s">
        <v>132</v>
      </c>
      <c r="Q13" s="131" t="s">
        <v>132</v>
      </c>
      <c r="R13" s="131" t="s">
        <v>4407</v>
      </c>
      <c r="S13" s="131" t="s">
        <v>35</v>
      </c>
      <c r="T13" s="131" t="s">
        <v>4406</v>
      </c>
      <c r="U13" s="131" t="s">
        <v>4456</v>
      </c>
      <c r="V13" s="131" t="s">
        <v>4457</v>
      </c>
      <c r="W13" s="131"/>
      <c r="X13" s="131"/>
      <c r="Y13" s="131"/>
      <c r="Z13" s="131"/>
      <c r="AA13" s="131"/>
      <c r="AB13" s="131"/>
      <c r="AC13" s="131"/>
      <c r="AD13" s="131"/>
      <c r="AE13" s="131"/>
      <c r="AF13" s="131"/>
      <c r="AG13" s="131"/>
      <c r="AH13" s="131"/>
      <c r="AI13" s="131"/>
      <c r="AJ13" s="131"/>
      <c r="AK13" s="131" t="s">
        <v>35</v>
      </c>
      <c r="AL13" s="131" t="s">
        <v>4458</v>
      </c>
      <c r="AM13" s="131" t="s">
        <v>4459</v>
      </c>
      <c r="AN13" s="134"/>
      <c r="AO13" s="134"/>
      <c r="AP13" s="134"/>
      <c r="AQ13" s="134"/>
    </row>
    <row r="14" spans="1:43" x14ac:dyDescent="0.2">
      <c r="A14" s="130">
        <v>45712.529622800925</v>
      </c>
      <c r="B14" s="131" t="s">
        <v>4460</v>
      </c>
      <c r="C14" s="131" t="s">
        <v>4379</v>
      </c>
      <c r="D14" s="131" t="s">
        <v>4461</v>
      </c>
      <c r="E14" s="132">
        <v>45696</v>
      </c>
      <c r="F14" s="131" t="s">
        <v>4333</v>
      </c>
      <c r="G14" s="131" t="s">
        <v>4462</v>
      </c>
      <c r="H14" s="131" t="s">
        <v>4463</v>
      </c>
      <c r="I14" s="131"/>
      <c r="J14" s="131">
        <v>3027665898</v>
      </c>
      <c r="K14" s="131" t="s">
        <v>4464</v>
      </c>
      <c r="L14" s="131" t="s">
        <v>564</v>
      </c>
      <c r="M14" s="131"/>
      <c r="N14" s="133" t="s">
        <v>4465</v>
      </c>
      <c r="O14" s="131"/>
      <c r="P14" s="131"/>
      <c r="Q14" s="131"/>
      <c r="R14" s="131"/>
      <c r="S14" s="131"/>
      <c r="T14" s="131"/>
      <c r="U14" s="131"/>
      <c r="V14" s="131"/>
      <c r="W14" s="131"/>
      <c r="X14" s="131"/>
      <c r="Y14" s="131"/>
      <c r="Z14" s="131" t="s">
        <v>4374</v>
      </c>
      <c r="AA14" s="131" t="s">
        <v>4384</v>
      </c>
      <c r="AB14" s="131" t="s">
        <v>4339</v>
      </c>
      <c r="AC14" s="131"/>
      <c r="AD14" s="131"/>
      <c r="AE14" s="131"/>
      <c r="AF14" s="131"/>
      <c r="AG14" s="131"/>
      <c r="AH14" s="131"/>
      <c r="AI14" s="131"/>
      <c r="AJ14" s="131"/>
      <c r="AK14" s="131" t="s">
        <v>35</v>
      </c>
      <c r="AL14" s="131" t="s">
        <v>4466</v>
      </c>
      <c r="AM14" s="131" t="s">
        <v>4466</v>
      </c>
      <c r="AN14" s="134"/>
      <c r="AO14" s="134"/>
      <c r="AP14" s="134"/>
      <c r="AQ14" s="134"/>
    </row>
    <row r="15" spans="1:43" x14ac:dyDescent="0.2">
      <c r="A15" s="130">
        <v>45714.42434626157</v>
      </c>
      <c r="B15" s="131" t="s">
        <v>4467</v>
      </c>
      <c r="C15" s="131" t="s">
        <v>4468</v>
      </c>
      <c r="D15" s="131" t="s">
        <v>4469</v>
      </c>
      <c r="E15" s="132">
        <v>45711</v>
      </c>
      <c r="F15" s="131" t="s">
        <v>4333</v>
      </c>
      <c r="G15" s="131" t="s">
        <v>1180</v>
      </c>
      <c r="H15" s="131" t="s">
        <v>1808</v>
      </c>
      <c r="I15" s="131" t="s">
        <v>4470</v>
      </c>
      <c r="J15" s="131" t="s">
        <v>4470</v>
      </c>
      <c r="K15" s="131" t="s">
        <v>4404</v>
      </c>
      <c r="L15" s="131" t="s">
        <v>564</v>
      </c>
      <c r="M15" s="131"/>
      <c r="N15" s="133" t="s">
        <v>4471</v>
      </c>
      <c r="O15" s="131" t="s">
        <v>4429</v>
      </c>
      <c r="P15" s="131" t="s">
        <v>564</v>
      </c>
      <c r="Q15" s="131" t="s">
        <v>564</v>
      </c>
      <c r="R15" s="131" t="s">
        <v>4407</v>
      </c>
      <c r="S15" s="131" t="s">
        <v>35</v>
      </c>
      <c r="T15" s="131" t="s">
        <v>4430</v>
      </c>
      <c r="U15" s="131" t="s">
        <v>4472</v>
      </c>
      <c r="V15" s="131" t="s">
        <v>4473</v>
      </c>
      <c r="W15" s="131"/>
      <c r="X15" s="131"/>
      <c r="Y15" s="131"/>
      <c r="Z15" s="131"/>
      <c r="AA15" s="131"/>
      <c r="AB15" s="131"/>
      <c r="AC15" s="131"/>
      <c r="AD15" s="131"/>
      <c r="AE15" s="131"/>
      <c r="AF15" s="131"/>
      <c r="AG15" s="131"/>
      <c r="AH15" s="131"/>
      <c r="AI15" s="131"/>
      <c r="AJ15" s="131"/>
      <c r="AK15" s="131" t="s">
        <v>132</v>
      </c>
      <c r="AL15" s="131" t="s">
        <v>4474</v>
      </c>
      <c r="AM15" s="131"/>
      <c r="AN15" s="134"/>
      <c r="AO15" s="134"/>
      <c r="AP15" s="134"/>
      <c r="AQ15" s="134"/>
    </row>
  </sheetData>
  <dataValidations count="1">
    <dataValidation type="list" allowBlank="1" sqref="AK2:AK15" xr:uid="{00000000-0002-0000-0600-000000000000}">
      <formula1>"Si,No"</formula1>
    </dataValidation>
  </dataValidations>
  <hyperlinks>
    <hyperlink ref="M4" r:id="rId1" xr:uid="{00000000-0004-0000-0600-000000000000}"/>
    <hyperlink ref="M11" r:id="rId2" xr:uid="{00000000-0004-0000-0600-000001000000}"/>
    <hyperlink ref="M13" r:id="rId3" xr:uid="{00000000-0004-0000-0600-000002000000}"/>
  </hyperlinks>
  <pageMargins left="0.7" right="0.7" top="0.75" bottom="0.75" header="0.3" footer="0.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Caracterizaciones</vt:lpstr>
      <vt:lpstr>GRANIZAL</vt:lpstr>
      <vt:lpstr>migración nueva jeru</vt:lpstr>
      <vt:lpstr>La Nueva Jerusalén</vt:lpstr>
      <vt:lpstr>Migración La Honda</vt:lpstr>
      <vt:lpstr>PAGOS</vt:lpstr>
      <vt:lpstr>INFORMES CONSTRUCCIÓN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Gutiérrez</cp:lastModifiedBy>
  <dcterms:created xsi:type="dcterms:W3CDTF">2025-06-01T02:28:59Z</dcterms:created>
  <dcterms:modified xsi:type="dcterms:W3CDTF">2025-06-01T02:29:00Z</dcterms:modified>
</cp:coreProperties>
</file>