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vi\OneDrive\Documentos\Kevin\"/>
    </mc:Choice>
  </mc:AlternateContent>
  <xr:revisionPtr revIDLastSave="0" documentId="13_ncr:1_{3E93C638-71BC-484D-9242-61F731C6F331}" xr6:coauthVersionLast="47" xr6:coauthVersionMax="47" xr10:uidLastSave="{00000000-0000-0000-0000-000000000000}"/>
  <bookViews>
    <workbookView xWindow="-120" yWindow="-120" windowWidth="20730" windowHeight="11760" xr2:uid="{72D1DA2C-2589-4D16-A637-73C1131596F2}"/>
  </bookViews>
  <sheets>
    <sheet name="Hoja1" sheetId="1" r:id="rId1"/>
    <sheet name="Hoja2" sheetId="4" r:id="rId2"/>
    <sheet name="eco deluxe " sheetId="5" r:id="rId3"/>
    <sheet name="Hoja3" sheetId="3" r:id="rId4"/>
    <sheet name="Calculadora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1" l="1"/>
  <c r="J12" i="1"/>
  <c r="K10" i="1"/>
  <c r="J10" i="1"/>
  <c r="H15" i="1"/>
  <c r="G15" i="1"/>
  <c r="G14" i="1"/>
  <c r="G13" i="1"/>
  <c r="G11" i="1"/>
  <c r="G10" i="1"/>
  <c r="G12" i="1"/>
  <c r="G16" i="1"/>
  <c r="G9" i="1"/>
  <c r="G19" i="1"/>
  <c r="F16" i="1"/>
  <c r="D14" i="4"/>
  <c r="C14" i="4"/>
  <c r="B17" i="4"/>
  <c r="B3" i="4"/>
  <c r="E12" i="4"/>
  <c r="F12" i="4"/>
  <c r="G12" i="4"/>
  <c r="H12" i="4"/>
  <c r="I12" i="4"/>
  <c r="J12" i="4"/>
  <c r="D12" i="4"/>
  <c r="F7" i="4"/>
  <c r="G7" i="4"/>
  <c r="H7" i="4"/>
  <c r="I7" i="4"/>
  <c r="J7" i="4"/>
  <c r="E7" i="4"/>
  <c r="J6" i="1"/>
  <c r="K5" i="1"/>
  <c r="J5" i="1"/>
  <c r="C4" i="1"/>
  <c r="F10" i="1"/>
  <c r="F11" i="1"/>
  <c r="F12" i="1"/>
  <c r="F13" i="1"/>
  <c r="F14" i="1"/>
  <c r="F15" i="1"/>
  <c r="F18" i="1"/>
  <c r="G20" i="1"/>
  <c r="B14" i="5" a="1"/>
  <c r="B14" i="5"/>
  <c r="A7" i="1"/>
  <c r="H8" i="1"/>
  <c r="F2" i="1"/>
  <c r="F14" i="5"/>
  <c r="I3" i="5"/>
  <c r="H3" i="5"/>
  <c r="G3" i="5"/>
  <c r="H4" i="5" s="1"/>
  <c r="H9" i="5" s="1"/>
  <c r="H11" i="5" s="1"/>
  <c r="H12" i="5" s="1"/>
  <c r="E3" i="5"/>
  <c r="B1" i="5"/>
  <c r="C3" i="4"/>
  <c r="D3" i="4"/>
  <c r="F20" i="2"/>
  <c r="D13" i="2"/>
  <c r="D14" i="2"/>
  <c r="D15" i="2"/>
  <c r="D16" i="2"/>
  <c r="D17" i="2"/>
  <c r="D18" i="2"/>
  <c r="D19" i="2"/>
  <c r="D20" i="2"/>
  <c r="F13" i="2"/>
  <c r="F14" i="2"/>
  <c r="F15" i="2"/>
  <c r="F16" i="2"/>
  <c r="F17" i="2"/>
  <c r="F18" i="2"/>
  <c r="F19" i="2"/>
  <c r="E13" i="2"/>
  <c r="E14" i="2"/>
  <c r="E15" i="2"/>
  <c r="E16" i="2"/>
  <c r="E17" i="2"/>
  <c r="E18" i="2"/>
  <c r="E19" i="2"/>
  <c r="E20" i="2"/>
  <c r="C13" i="2"/>
  <c r="C14" i="2"/>
  <c r="C15" i="2"/>
  <c r="C16" i="2"/>
  <c r="C17" i="2"/>
  <c r="C18" i="2"/>
  <c r="C19" i="2"/>
  <c r="C20" i="2"/>
  <c r="F11" i="2"/>
  <c r="F12" i="2"/>
  <c r="E12" i="2"/>
  <c r="D12" i="2"/>
  <c r="C12" i="2"/>
  <c r="B12" i="2" a="1"/>
  <c r="B12" i="2"/>
  <c r="K6" i="1"/>
  <c r="L19" i="3"/>
  <c r="L18" i="3"/>
  <c r="K19" i="3"/>
  <c r="K22" i="3" s="1"/>
  <c r="K18" i="3"/>
  <c r="L22" i="3"/>
  <c r="H17" i="3"/>
  <c r="I17" i="3"/>
  <c r="J17" i="3"/>
  <c r="K17" i="3"/>
  <c r="L17" i="3"/>
  <c r="G17" i="3"/>
  <c r="J19" i="3"/>
  <c r="J22" i="3" s="1"/>
  <c r="J18" i="3"/>
  <c r="I18" i="3"/>
  <c r="I19" i="3"/>
  <c r="I22" i="3" s="1"/>
  <c r="H19" i="3"/>
  <c r="H22" i="3" s="1"/>
  <c r="H18" i="3"/>
  <c r="G19" i="3"/>
  <c r="G22" i="3" s="1"/>
  <c r="G18" i="3"/>
  <c r="F11" i="3"/>
  <c r="H12" i="3"/>
  <c r="I12" i="3" s="1"/>
  <c r="J12" i="3" s="1"/>
  <c r="K12" i="3" s="1"/>
  <c r="L12" i="3" s="1"/>
  <c r="G12" i="3"/>
  <c r="L11" i="3"/>
  <c r="J11" i="3"/>
  <c r="H11" i="3"/>
  <c r="D5" i="3"/>
  <c r="G6" i="3"/>
  <c r="F9" i="1"/>
  <c r="H9" i="1" s="1"/>
  <c r="H10" i="1"/>
  <c r="H11" i="1" s="1"/>
  <c r="H12" i="1" s="1"/>
  <c r="H13" i="1" s="1"/>
  <c r="H14" i="1" s="1"/>
  <c r="H16" i="1" s="1"/>
  <c r="B7" i="1" l="1"/>
  <c r="E19" i="1"/>
  <c r="F19" i="1" s="1"/>
  <c r="E20" i="1"/>
  <c r="F20" i="1" s="1"/>
  <c r="C1" i="5"/>
  <c r="C2" i="5" s="1"/>
  <c r="E26" i="5"/>
  <c r="D26" i="5"/>
  <c r="C26" i="5"/>
  <c r="E25" i="5"/>
  <c r="D25" i="5"/>
  <c r="C25" i="5"/>
  <c r="E24" i="5"/>
  <c r="D24" i="5"/>
  <c r="C24" i="5"/>
  <c r="E23" i="5"/>
  <c r="D23" i="5"/>
  <c r="C23" i="5"/>
  <c r="E22" i="5"/>
  <c r="D22" i="5"/>
  <c r="C22" i="5"/>
  <c r="E21" i="5"/>
  <c r="D21" i="5"/>
  <c r="C21" i="5"/>
  <c r="E20" i="5"/>
  <c r="D20" i="5"/>
  <c r="C20" i="5"/>
  <c r="E19" i="5"/>
  <c r="D19" i="5"/>
  <c r="C19" i="5"/>
  <c r="E18" i="5"/>
  <c r="D18" i="5"/>
  <c r="C18" i="5"/>
  <c r="E17" i="5"/>
  <c r="D17" i="5"/>
  <c r="C17" i="5"/>
  <c r="E16" i="5"/>
  <c r="D16" i="5"/>
  <c r="C16" i="5"/>
  <c r="E15" i="5"/>
  <c r="D15" i="5"/>
  <c r="C15" i="5"/>
  <c r="F15" i="5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J7" i="1" l="1"/>
  <c r="H18" i="1"/>
  <c r="H19" i="1" s="1"/>
  <c r="H20" i="1" s="1"/>
  <c r="K1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<sst xmlns="http://schemas.openxmlformats.org/spreadsheetml/2006/main" count="69" uniqueCount="51">
  <si>
    <t>n</t>
  </si>
  <si>
    <t>i</t>
  </si>
  <si>
    <t>cuota</t>
  </si>
  <si>
    <t xml:space="preserve">capital </t>
  </si>
  <si>
    <t xml:space="preserve">interes </t>
  </si>
  <si>
    <t xml:space="preserve">valor </t>
  </si>
  <si>
    <t>meses</t>
  </si>
  <si>
    <t>Pasantias</t>
  </si>
  <si>
    <t>Jove. Accion</t>
  </si>
  <si>
    <t xml:space="preserve">años </t>
  </si>
  <si>
    <t xml:space="preserve">mensual </t>
  </si>
  <si>
    <t xml:space="preserve">bimensual </t>
  </si>
  <si>
    <t xml:space="preserve">Jovenes en Accion </t>
  </si>
  <si>
    <t>Descuentos de Jovenes para moto</t>
  </si>
  <si>
    <t xml:space="preserve">Descuentos pasantias </t>
  </si>
  <si>
    <t>n (per)</t>
  </si>
  <si>
    <t>Monto</t>
  </si>
  <si>
    <t>i %</t>
  </si>
  <si>
    <t>mensual</t>
  </si>
  <si>
    <t>Calcular</t>
  </si>
  <si>
    <t xml:space="preserve">CUOTA </t>
  </si>
  <si>
    <t>CAPITAL</t>
  </si>
  <si>
    <t>INTERES</t>
  </si>
  <si>
    <t xml:space="preserve">MONTO </t>
  </si>
  <si>
    <t>PLAZO</t>
  </si>
  <si>
    <t>VF</t>
  </si>
  <si>
    <t>CUOTA</t>
  </si>
  <si>
    <t xml:space="preserve">Act Fisicos </t>
  </si>
  <si>
    <t xml:space="preserve">diferencia </t>
  </si>
  <si>
    <t xml:space="preserve">enero 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</si>
  <si>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</si>
  <si>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</si>
  <si>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</si>
  <si>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</si>
  <si>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</si>
  <si>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</si>
  <si>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</si>
  <si>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</si>
  <si>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</si>
  <si>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 xml:space="preserve">ingresos </t>
  </si>
  <si>
    <t xml:space="preserve">egresos </t>
  </si>
  <si>
    <t>ahorro / egresos</t>
  </si>
  <si>
    <t>Brakets /egresos</t>
  </si>
  <si>
    <t xml:space="preserve">cuota </t>
  </si>
  <si>
    <t xml:space="preserve">inicial </t>
  </si>
  <si>
    <t>moto</t>
  </si>
  <si>
    <t>soat</t>
  </si>
  <si>
    <t xml:space="preserve">matricula </t>
  </si>
  <si>
    <t xml:space="preserve">Total </t>
  </si>
  <si>
    <t>ingresos</t>
  </si>
  <si>
    <t>egresos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</si>
</sst>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\ #,##0;[Red]\-&quot;$&quot;\ #,##0"/>
    <numFmt numFmtId="8" formatCode="&quot;$&quot;\ #,##0.00;[Red]\-&quot;$&quot;\ #,##0.00"/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2" fillId="3" borderId="0" xfId="0" applyFont="1" applyFill="1"/>
    <xf numFmtId="164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0" fillId="4" borderId="1" xfId="0" applyFill="1" applyBorder="1"/>
    <xf numFmtId="0" fontId="0" fillId="5" borderId="1" xfId="0" applyFill="1" applyBorder="1"/>
    <xf numFmtId="164" fontId="0" fillId="4" borderId="1" xfId="1" applyNumberFormat="1" applyFont="1" applyFill="1" applyBorder="1"/>
    <xf numFmtId="164" fontId="0" fillId="5" borderId="1" xfId="1" applyNumberFormat="1" applyFont="1" applyFill="1" applyBorder="1"/>
    <xf numFmtId="0" fontId="4" fillId="0" borderId="0" xfId="0" applyFont="1"/>
    <xf numFmtId="8" fontId="4" fillId="0" borderId="0" xfId="0" applyNumberFormat="1" applyFont="1"/>
    <xf numFmtId="0" fontId="4" fillId="0" borderId="1" xfId="0" applyFont="1" applyBorder="1"/>
    <xf numFmtId="8" fontId="4" fillId="0" borderId="1" xfId="0" applyNumberFormat="1" applyFont="1" applyBorder="1"/>
    <xf numFmtId="0" fontId="3" fillId="0" borderId="1" xfId="0" applyFont="1" applyBorder="1"/>
    <xf numFmtId="8" fontId="3" fillId="0" borderId="1" xfId="0" applyNumberFormat="1" applyFont="1" applyBorder="1"/>
    <xf numFmtId="164" fontId="3" fillId="0" borderId="1" xfId="1" applyNumberFormat="1" applyFont="1" applyBorder="1"/>
    <xf numFmtId="6" fontId="3" fillId="0" borderId="1" xfId="0" applyNumberFormat="1" applyFont="1" applyBorder="1"/>
    <xf numFmtId="164" fontId="4" fillId="0" borderId="1" xfId="1" applyNumberFormat="1" applyFont="1" applyBorder="1"/>
    <xf numFmtId="9" fontId="4" fillId="0" borderId="1" xfId="0" applyNumberFormat="1" applyFont="1" applyBorder="1"/>
    <xf numFmtId="164" fontId="4" fillId="0" borderId="0" xfId="0" applyNumberFormat="1" applyFont="1"/>
    <xf numFmtId="6" fontId="4" fillId="0" borderId="0" xfId="0" applyNumberFormat="1" applyFont="1"/>
    <xf numFmtId="10" fontId="0" fillId="0" borderId="0" xfId="0" applyNumberFormat="1"/>
    <xf numFmtId="10" fontId="0" fillId="0" borderId="0" xfId="2" applyNumberFormat="1" applyFont="1"/>
    <xf numFmtId="9" fontId="0" fillId="0" borderId="0" xfId="0" applyNumberFormat="1"/>
    <xf numFmtId="6" fontId="0" fillId="0" borderId="0" xfId="0" applyNumberFormat="1"/>
    <xf numFmtId="164" fontId="0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0" fillId="0" borderId="1" xfId="1" applyNumberFormat="1" applyFont="1" applyBorder="1"/>
    <xf numFmtId="166" fontId="0" fillId="0" borderId="0" xfId="2" applyNumberFormat="1" applyFo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</xdr:row>
      <xdr:rowOff>0</xdr:rowOff>
    </xdr:from>
    <xdr:to>
      <xdr:col>6</xdr:col>
      <xdr:colOff>733425</xdr:colOff>
      <xdr:row>2</xdr:row>
      <xdr:rowOff>161925</xdr:rowOff>
    </xdr:to>
    <xdr:sp macro="[0]!Macro4" textlink="">
      <xdr:nvSpPr>
        <xdr:cNvPr id="2" name="Flecha: a la derecha 1">
          <a:extLst>
            <a:ext uri="{FF2B5EF4-FFF2-40B4-BE49-F238E27FC236}">
              <a16:creationId xmlns:a16="http://schemas.microsoft.com/office/drawing/2014/main" id="{4A14C28E-3496-ACB2-A256-E1B098388F5E}"/>
            </a:ext>
          </a:extLst>
        </xdr:cNvPr>
        <xdr:cNvSpPr/>
      </xdr:nvSpPr>
      <xdr:spPr>
        <a:xfrm>
          <a:off x="4619625" y="190500"/>
          <a:ext cx="68580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F58E-505A-497B-A83E-B4D098BB6347}">
  <dimension ref="A1:K20"/>
  <sheetViews>
    <sheetView tabSelected="1" workbookViewId="0">
      <selection activeCell="K14" sqref="K14"/>
    </sheetView>
  </sheetViews>
  <sheetFormatPr baseColWidth="10" defaultRowHeight="15" x14ac:dyDescent="0.25"/>
  <cols>
    <col min="1" max="1" width="16.140625" bestFit="1" customWidth="1"/>
    <col min="2" max="2" width="18.5703125" bestFit="1" customWidth="1"/>
    <col min="3" max="3" width="15.5703125" bestFit="1" customWidth="1"/>
    <col min="4" max="4" width="22" bestFit="1" customWidth="1"/>
    <col min="5" max="7" width="13" bestFit="1" customWidth="1"/>
    <col min="8" max="8" width="16.28515625" bestFit="1" customWidth="1"/>
    <col min="10" max="11" width="14.5703125" bestFit="1" customWidth="1"/>
  </cols>
  <sheetData>
    <row r="1" spans="1:11" x14ac:dyDescent="0.25"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11" x14ac:dyDescent="0.25">
      <c r="A2" s="5" t="s">
        <v>16</v>
      </c>
      <c r="B2" s="29">
        <v>1000000</v>
      </c>
      <c r="C2" s="1">
        <v>5590000</v>
      </c>
      <c r="D2" s="1">
        <v>300000</v>
      </c>
      <c r="E2" s="1">
        <v>200000</v>
      </c>
      <c r="F2" s="4">
        <f>C2-B2+D2+E2</f>
        <v>5090000</v>
      </c>
    </row>
    <row r="3" spans="1:11" x14ac:dyDescent="0.25">
      <c r="A3" s="5" t="s">
        <v>0</v>
      </c>
      <c r="B3" s="5">
        <v>12</v>
      </c>
      <c r="J3" s="5">
        <v>9</v>
      </c>
      <c r="K3" s="5" t="s">
        <v>6</v>
      </c>
    </row>
    <row r="4" spans="1:11" x14ac:dyDescent="0.25">
      <c r="A4" s="5" t="s">
        <v>1</v>
      </c>
      <c r="B4" s="6">
        <v>0.03</v>
      </c>
      <c r="C4" s="30">
        <f>B4*12</f>
        <v>0.36</v>
      </c>
      <c r="J4" s="7" t="s">
        <v>7</v>
      </c>
      <c r="K4" s="8" t="s">
        <v>8</v>
      </c>
    </row>
    <row r="5" spans="1:11" x14ac:dyDescent="0.25">
      <c r="J5" s="9">
        <f>580000-E9</f>
        <v>0</v>
      </c>
      <c r="K5" s="10">
        <f>400000/2</f>
        <v>200000</v>
      </c>
    </row>
    <row r="6" spans="1:11" ht="18.75" x14ac:dyDescent="0.3">
      <c r="A6" s="13" t="s">
        <v>26</v>
      </c>
      <c r="B6" s="13" t="s">
        <v>25</v>
      </c>
      <c r="J6" s="9">
        <f>J5*J3</f>
        <v>0</v>
      </c>
      <c r="K6" s="10">
        <f>K5*J3</f>
        <v>1800000</v>
      </c>
    </row>
    <row r="7" spans="1:11" ht="18.75" x14ac:dyDescent="0.3">
      <c r="A7" s="14">
        <f>PMT(B4,B3,-F2)</f>
        <v>511352.01505738177</v>
      </c>
      <c r="B7" s="14">
        <f>A7*12</f>
        <v>6136224.1806885814</v>
      </c>
      <c r="D7" s="15"/>
      <c r="E7" s="15" t="s">
        <v>2</v>
      </c>
      <c r="F7" s="15" t="s">
        <v>3</v>
      </c>
      <c r="G7" s="15" t="s">
        <v>4</v>
      </c>
      <c r="H7" s="15" t="s">
        <v>5</v>
      </c>
      <c r="J7" s="27">
        <f>J6+K6</f>
        <v>1800000</v>
      </c>
      <c r="K7" s="27"/>
    </row>
    <row r="8" spans="1:11" ht="15.75" x14ac:dyDescent="0.25">
      <c r="D8" s="15">
        <v>0</v>
      </c>
      <c r="E8" s="15"/>
      <c r="F8" s="15"/>
      <c r="G8" s="15"/>
      <c r="H8" s="17">
        <f>F2</f>
        <v>5090000</v>
      </c>
    </row>
    <row r="9" spans="1:11" ht="15.75" x14ac:dyDescent="0.25">
      <c r="D9" s="15">
        <v>1</v>
      </c>
      <c r="E9" s="16">
        <v>580000</v>
      </c>
      <c r="F9" s="16">
        <f>E9-G9</f>
        <v>562600</v>
      </c>
      <c r="G9" s="16">
        <f>E9*$B$4</f>
        <v>17400</v>
      </c>
      <c r="H9" s="18">
        <f>H8-F9</f>
        <v>4527400</v>
      </c>
    </row>
    <row r="10" spans="1:11" ht="15.75" x14ac:dyDescent="0.25">
      <c r="D10" s="15">
        <v>2</v>
      </c>
      <c r="E10" s="16">
        <v>580000</v>
      </c>
      <c r="F10" s="16">
        <f t="shared" ref="F10:F20" si="0">E10-G10</f>
        <v>562600</v>
      </c>
      <c r="G10" s="16">
        <f t="shared" ref="G10:G18" si="1">E10*$B$4</f>
        <v>17400</v>
      </c>
      <c r="H10" s="18">
        <f t="shared" ref="H10:H20" si="2">H9-F10</f>
        <v>3964800</v>
      </c>
      <c r="J10" s="4">
        <f>1160000*50%</f>
        <v>580000</v>
      </c>
      <c r="K10" s="4">
        <f>1160000*75%</f>
        <v>870000</v>
      </c>
    </row>
    <row r="11" spans="1:11" ht="15.75" x14ac:dyDescent="0.25">
      <c r="D11" s="15">
        <v>3</v>
      </c>
      <c r="E11" s="16">
        <v>800000</v>
      </c>
      <c r="F11" s="16">
        <f t="shared" si="0"/>
        <v>776000</v>
      </c>
      <c r="G11" s="16">
        <f>E11*$B$4</f>
        <v>24000</v>
      </c>
      <c r="H11" s="18">
        <f t="shared" si="2"/>
        <v>3188800</v>
      </c>
      <c r="J11" s="4"/>
      <c r="K11" s="4"/>
    </row>
    <row r="12" spans="1:11" ht="15.75" x14ac:dyDescent="0.25">
      <c r="D12" s="15">
        <v>4</v>
      </c>
      <c r="E12" s="16">
        <v>800000</v>
      </c>
      <c r="F12" s="16">
        <f t="shared" si="0"/>
        <v>776000</v>
      </c>
      <c r="G12" s="16">
        <f t="shared" si="1"/>
        <v>24000</v>
      </c>
      <c r="H12" s="18">
        <f t="shared" si="2"/>
        <v>2412800</v>
      </c>
      <c r="J12" s="4">
        <f>J10*4</f>
        <v>2320000</v>
      </c>
      <c r="K12" s="4">
        <f>K10*6</f>
        <v>5220000</v>
      </c>
    </row>
    <row r="13" spans="1:11" ht="15.75" x14ac:dyDescent="0.25">
      <c r="D13" s="15">
        <v>5</v>
      </c>
      <c r="E13" s="16">
        <v>800000</v>
      </c>
      <c r="F13" s="16">
        <f t="shared" si="0"/>
        <v>776000</v>
      </c>
      <c r="G13" s="16">
        <f>E13*$B$4</f>
        <v>24000</v>
      </c>
      <c r="H13" s="18">
        <f t="shared" si="2"/>
        <v>1636800</v>
      </c>
    </row>
    <row r="14" spans="1:11" ht="15.75" x14ac:dyDescent="0.25">
      <c r="D14" s="15">
        <v>6</v>
      </c>
      <c r="E14" s="16">
        <v>800000</v>
      </c>
      <c r="F14" s="16">
        <f t="shared" si="0"/>
        <v>776000</v>
      </c>
      <c r="G14" s="16">
        <f>E14*$B$4</f>
        <v>24000</v>
      </c>
      <c r="H14" s="18">
        <f t="shared" si="2"/>
        <v>860800</v>
      </c>
    </row>
    <row r="15" spans="1:11" ht="15.75" x14ac:dyDescent="0.25">
      <c r="D15" s="15">
        <v>7</v>
      </c>
      <c r="E15" s="16">
        <v>800000</v>
      </c>
      <c r="F15" s="16">
        <f t="shared" si="0"/>
        <v>776000</v>
      </c>
      <c r="G15" s="16">
        <f>E15*$B$4</f>
        <v>24000</v>
      </c>
      <c r="H15" s="18">
        <f>H14-F15</f>
        <v>84800</v>
      </c>
    </row>
    <row r="16" spans="1:11" ht="15.75" x14ac:dyDescent="0.25">
      <c r="D16" s="15">
        <v>8</v>
      </c>
      <c r="E16" s="16">
        <v>700000</v>
      </c>
      <c r="F16" s="16">
        <f>E16-G16</f>
        <v>679000</v>
      </c>
      <c r="G16" s="16">
        <f t="shared" si="1"/>
        <v>21000</v>
      </c>
      <c r="H16" s="18">
        <f t="shared" si="2"/>
        <v>-594200</v>
      </c>
    </row>
    <row r="17" spans="4:8" ht="15.75" x14ac:dyDescent="0.25">
      <c r="D17" s="15">
        <v>9</v>
      </c>
      <c r="E17" s="16"/>
      <c r="F17" s="16"/>
      <c r="G17" s="16"/>
      <c r="H17" s="18"/>
    </row>
    <row r="18" spans="4:8" ht="15.75" x14ac:dyDescent="0.25">
      <c r="D18" s="15">
        <v>10</v>
      </c>
      <c r="E18" s="16">
        <v>580000</v>
      </c>
      <c r="F18" s="16">
        <f t="shared" si="0"/>
        <v>580000</v>
      </c>
      <c r="G18" s="16"/>
      <c r="H18" s="18">
        <f t="shared" si="2"/>
        <v>-580000</v>
      </c>
    </row>
    <row r="19" spans="4:8" ht="15.75" x14ac:dyDescent="0.25">
      <c r="D19" s="15">
        <v>11</v>
      </c>
      <c r="E19" s="16">
        <f t="shared" ref="E9:E20" si="3">$A$7</f>
        <v>511352.01505738177</v>
      </c>
      <c r="F19" s="16">
        <f t="shared" si="0"/>
        <v>481998.31752039003</v>
      </c>
      <c r="G19" s="16">
        <f t="shared" ref="G10:G20" si="4">IPMT($B$4,D19,$B$3,-$H$8)</f>
        <v>29353.697536991753</v>
      </c>
      <c r="H19" s="18">
        <f t="shared" si="2"/>
        <v>-1061998.31752039</v>
      </c>
    </row>
    <row r="20" spans="4:8" ht="15.75" x14ac:dyDescent="0.25">
      <c r="D20" s="15">
        <v>12</v>
      </c>
      <c r="E20" s="16">
        <f t="shared" si="3"/>
        <v>511352.01505738177</v>
      </c>
      <c r="F20" s="16">
        <f t="shared" si="0"/>
        <v>496458.26704600174</v>
      </c>
      <c r="G20" s="16">
        <f t="shared" si="4"/>
        <v>14893.748011380052</v>
      </c>
      <c r="H20" s="18">
        <f t="shared" si="2"/>
        <v>-1558456.5845663918</v>
      </c>
    </row>
  </sheetData>
  <mergeCells count="1">
    <mergeCell ref="J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914E-DD20-4614-AB80-59AADBE47183}">
  <dimension ref="A2:L20"/>
  <sheetViews>
    <sheetView workbookViewId="0">
      <selection activeCell="E15" sqref="E15"/>
    </sheetView>
  </sheetViews>
  <sheetFormatPr baseColWidth="10" defaultRowHeight="15" x14ac:dyDescent="0.25"/>
  <cols>
    <col min="1" max="1" width="13" bestFit="1" customWidth="1"/>
    <col min="2" max="3" width="14.85546875" bestFit="1" customWidth="1"/>
    <col min="4" max="10" width="13" bestFit="1" customWidth="1"/>
    <col min="12" max="12" width="13" bestFit="1" customWidth="1"/>
  </cols>
  <sheetData>
    <row r="2" spans="1:12" x14ac:dyDescent="0.25">
      <c r="A2" t="s">
        <v>27</v>
      </c>
      <c r="B2" t="s">
        <v>49</v>
      </c>
      <c r="C2" t="s">
        <v>50</v>
      </c>
      <c r="D2" t="s">
        <v>28</v>
      </c>
    </row>
    <row r="3" spans="1:12" x14ac:dyDescent="0.25">
      <c r="A3">
        <v>0</v>
      </c>
      <c r="B3" s="1">
        <f>SUM(A7:J7)+SUM(B12:J12)+A3</f>
        <v>9540000</v>
      </c>
      <c r="C3" s="1">
        <f>SUM(A14:J14)+SUM(B19:J19)</f>
        <v>5560000</v>
      </c>
      <c r="D3" s="4">
        <f>B3-C3</f>
        <v>3980000</v>
      </c>
      <c r="E3" s="4"/>
    </row>
    <row r="5" spans="1:12" x14ac:dyDescent="0.25">
      <c r="G5" s="4"/>
    </row>
    <row r="6" spans="1:12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</row>
    <row r="7" spans="1:12" x14ac:dyDescent="0.25">
      <c r="A7" s="1">
        <v>580000</v>
      </c>
      <c r="B7" s="1">
        <v>580000</v>
      </c>
      <c r="C7" s="1">
        <v>580000</v>
      </c>
      <c r="D7" s="1">
        <v>580000</v>
      </c>
      <c r="E7" s="1">
        <f>1160000*75%</f>
        <v>870000</v>
      </c>
      <c r="F7" s="1">
        <f t="shared" ref="F7:J7" si="0">1160000*75%</f>
        <v>870000</v>
      </c>
      <c r="G7" s="1">
        <f t="shared" si="0"/>
        <v>870000</v>
      </c>
      <c r="H7" s="1">
        <f t="shared" si="0"/>
        <v>870000</v>
      </c>
      <c r="I7" s="1">
        <f t="shared" si="0"/>
        <v>870000</v>
      </c>
      <c r="J7" s="1">
        <f t="shared" si="0"/>
        <v>870000</v>
      </c>
      <c r="K7" t="s">
        <v>39</v>
      </c>
    </row>
    <row r="11" spans="1:12" x14ac:dyDescent="0.25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</row>
    <row r="12" spans="1:12" x14ac:dyDescent="0.25">
      <c r="B12" s="1">
        <v>400000</v>
      </c>
      <c r="C12" s="1"/>
      <c r="D12" s="1">
        <f>B12</f>
        <v>400000</v>
      </c>
      <c r="E12" s="1">
        <f t="shared" ref="E12:J12" si="1">C12</f>
        <v>0</v>
      </c>
      <c r="F12" s="1">
        <f t="shared" si="1"/>
        <v>400000</v>
      </c>
      <c r="G12" s="1">
        <f t="shared" si="1"/>
        <v>0</v>
      </c>
      <c r="H12" s="1">
        <f t="shared" si="1"/>
        <v>400000</v>
      </c>
      <c r="I12" s="1">
        <f t="shared" si="1"/>
        <v>0</v>
      </c>
      <c r="J12" s="1">
        <f t="shared" si="1"/>
        <v>400000</v>
      </c>
      <c r="K12" t="s">
        <v>39</v>
      </c>
    </row>
    <row r="14" spans="1:12" x14ac:dyDescent="0.25">
      <c r="A14" s="1"/>
      <c r="B14" s="1"/>
      <c r="C14" s="1">
        <f>C7</f>
        <v>580000</v>
      </c>
      <c r="D14" s="1">
        <f>D7</f>
        <v>580000</v>
      </c>
      <c r="E14" s="1">
        <v>700000</v>
      </c>
      <c r="F14" s="1">
        <v>600000</v>
      </c>
      <c r="G14" s="1">
        <v>700000</v>
      </c>
      <c r="H14" s="1">
        <v>600000</v>
      </c>
      <c r="I14" s="1">
        <v>600000</v>
      </c>
      <c r="J14" s="1">
        <v>700000</v>
      </c>
      <c r="K14" s="26">
        <f>Hoja1!H17</f>
        <v>0</v>
      </c>
      <c r="L14" t="s">
        <v>40</v>
      </c>
    </row>
    <row r="17" spans="1:12" x14ac:dyDescent="0.25">
      <c r="A17" s="1"/>
      <c r="B17" s="1">
        <f>A7+B7</f>
        <v>1160000</v>
      </c>
      <c r="D17" s="1"/>
      <c r="E17" s="1"/>
      <c r="F17" s="1"/>
      <c r="G17" s="1"/>
      <c r="H17" s="1"/>
      <c r="I17" s="1"/>
      <c r="J17" s="1"/>
      <c r="K17" t="s">
        <v>41</v>
      </c>
      <c r="L17" s="1"/>
    </row>
    <row r="19" spans="1:12" x14ac:dyDescent="0.25">
      <c r="A19" s="4"/>
      <c r="B19" s="1">
        <v>100000</v>
      </c>
      <c r="C19" s="1"/>
      <c r="D19" s="1">
        <v>100000</v>
      </c>
      <c r="E19" s="1"/>
      <c r="F19" s="1">
        <v>100000</v>
      </c>
      <c r="G19" s="1"/>
      <c r="H19" s="1">
        <v>100000</v>
      </c>
      <c r="I19" s="1"/>
      <c r="J19" s="1">
        <v>100000</v>
      </c>
      <c r="K19" t="s">
        <v>42</v>
      </c>
      <c r="L19" s="4"/>
    </row>
    <row r="20" spans="1:12" x14ac:dyDescent="0.25">
      <c r="A2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6208-10C9-4C4B-B146-DC78A451375D}">
  <dimension ref="A1:I26"/>
  <sheetViews>
    <sheetView topLeftCell="A4" workbookViewId="0">
      <selection activeCell="B14" sqref="B14"/>
    </sheetView>
  </sheetViews>
  <sheetFormatPr baseColWidth="10" defaultRowHeight="15" x14ac:dyDescent="0.25"/>
  <cols>
    <col min="2" max="2" width="13" bestFit="1" customWidth="1"/>
    <col min="6" max="6" width="13.85546875" bestFit="1" customWidth="1"/>
    <col min="7" max="9" width="14.5703125" bestFit="1" customWidth="1"/>
  </cols>
  <sheetData>
    <row r="1" spans="1:9" x14ac:dyDescent="0.25">
      <c r="A1">
        <v>5790000</v>
      </c>
      <c r="B1" s="1">
        <f>A1/12</f>
        <v>482500</v>
      </c>
      <c r="C1" s="4">
        <f>B1*2.14%</f>
        <v>10325.500000000002</v>
      </c>
    </row>
    <row r="2" spans="1:9" x14ac:dyDescent="0.25">
      <c r="C2" s="4">
        <f>B1+C1</f>
        <v>492825.5</v>
      </c>
      <c r="E2" s="23">
        <v>0.25669999999999998</v>
      </c>
    </row>
    <row r="3" spans="1:9" x14ac:dyDescent="0.25">
      <c r="E3" s="24">
        <f>E2/12</f>
        <v>2.1391666666666666E-2</v>
      </c>
      <c r="G3" s="1">
        <f>500000*4</f>
        <v>2000000</v>
      </c>
      <c r="H3" s="1">
        <f>750000*6</f>
        <v>4500000</v>
      </c>
      <c r="I3" s="1">
        <f>400000*12</f>
        <v>4800000</v>
      </c>
    </row>
    <row r="4" spans="1:9" x14ac:dyDescent="0.25">
      <c r="G4" s="1"/>
      <c r="H4" s="1">
        <f>G3+H3+I3</f>
        <v>11300000</v>
      </c>
    </row>
    <row r="9" spans="1:9" x14ac:dyDescent="0.25">
      <c r="H9" s="4">
        <f>H4/12</f>
        <v>941666.66666666663</v>
      </c>
    </row>
    <row r="11" spans="1:9" x14ac:dyDescent="0.25">
      <c r="G11" s="25">
        <v>1</v>
      </c>
      <c r="H11" s="4">
        <f>H9</f>
        <v>941666.66666666663</v>
      </c>
    </row>
    <row r="12" spans="1:9" x14ac:dyDescent="0.25">
      <c r="G12" s="25">
        <v>0.7</v>
      </c>
      <c r="H12" s="4">
        <f>G12*H11/G11</f>
        <v>659166.66666666663</v>
      </c>
    </row>
    <row r="13" spans="1:9" x14ac:dyDescent="0.25">
      <c r="C13" t="s">
        <v>43</v>
      </c>
      <c r="D13" t="s">
        <v>3</v>
      </c>
      <c r="E13" t="s">
        <v>4</v>
      </c>
      <c r="F13" t="s">
        <v>5</v>
      </c>
    </row>
    <row r="14" spans="1:9" x14ac:dyDescent="0.25">
      <c r="B14" cm="1">
        <f t="array" ref="B14:B26">_xlfn.SEQUENCE(13,,0)</f>
        <v>0</v>
      </c>
      <c r="F14">
        <f>A1</f>
        <v>5790000</v>
      </c>
    </row>
    <row r="15" spans="1:9" x14ac:dyDescent="0.25">
      <c r="B15">
        <v>1</v>
      </c>
      <c r="C15" s="26">
        <f>PMT($E$3,12,-$F$14)</f>
        <v>552190.17747083132</v>
      </c>
      <c r="D15" s="26">
        <f>PPMT($E$3,B15,12,-$F$14)</f>
        <v>428332.42747083132</v>
      </c>
      <c r="E15" s="26">
        <f>IPMT($E$3,B15,12,-$F$14)</f>
        <v>123857.75</v>
      </c>
      <c r="F15" s="26">
        <f>F14-D15</f>
        <v>5361667.5725291688</v>
      </c>
    </row>
    <row r="16" spans="1:9" x14ac:dyDescent="0.25">
      <c r="B16">
        <v>2</v>
      </c>
      <c r="C16" s="26">
        <f t="shared" ref="C16:C26" si="0">PMT($E$3,12,-$F$14)</f>
        <v>552190.17747083132</v>
      </c>
      <c r="D16" s="26">
        <f t="shared" ref="D16:D26" si="1">PPMT($E$3,B16,12,-$F$14)</f>
        <v>437495.17198181147</v>
      </c>
      <c r="E16" s="26">
        <f t="shared" ref="E16:E26" si="2">IPMT($E$3,B16,12,-$F$14)</f>
        <v>114695.00548901978</v>
      </c>
      <c r="F16" s="26">
        <f t="shared" ref="F16:F26" si="3">F15-D16</f>
        <v>4924172.4005473573</v>
      </c>
    </row>
    <row r="17" spans="2:6" x14ac:dyDescent="0.25">
      <c r="B17">
        <v>3</v>
      </c>
      <c r="C17" s="26">
        <f t="shared" si="0"/>
        <v>552190.17747083132</v>
      </c>
      <c r="D17" s="26">
        <f t="shared" si="1"/>
        <v>446853.92286912235</v>
      </c>
      <c r="E17" s="26">
        <f t="shared" si="2"/>
        <v>105336.25460170889</v>
      </c>
      <c r="F17" s="26">
        <f t="shared" si="3"/>
        <v>4477318.4776782347</v>
      </c>
    </row>
    <row r="18" spans="2:6" x14ac:dyDescent="0.25">
      <c r="B18">
        <v>4</v>
      </c>
      <c r="C18" s="26">
        <f t="shared" si="0"/>
        <v>552190.17747083132</v>
      </c>
      <c r="D18" s="26">
        <f t="shared" si="1"/>
        <v>456412.87303583103</v>
      </c>
      <c r="E18" s="26">
        <f t="shared" si="2"/>
        <v>95777.304435000231</v>
      </c>
      <c r="F18" s="26">
        <f t="shared" si="3"/>
        <v>4020905.6046424038</v>
      </c>
    </row>
    <row r="19" spans="2:6" x14ac:dyDescent="0.25">
      <c r="B19">
        <v>5</v>
      </c>
      <c r="C19" s="26">
        <f t="shared" si="0"/>
        <v>552190.17747083132</v>
      </c>
      <c r="D19" s="26">
        <f t="shared" si="1"/>
        <v>466176.30507818924</v>
      </c>
      <c r="E19" s="26">
        <f t="shared" si="2"/>
        <v>86013.872392642079</v>
      </c>
      <c r="F19" s="26">
        <f t="shared" si="3"/>
        <v>3554729.2995642144</v>
      </c>
    </row>
    <row r="20" spans="2:6" x14ac:dyDescent="0.25">
      <c r="B20">
        <v>6</v>
      </c>
      <c r="C20" s="26">
        <f t="shared" si="0"/>
        <v>552190.17747083132</v>
      </c>
      <c r="D20" s="26">
        <f t="shared" si="1"/>
        <v>476148.59320432012</v>
      </c>
      <c r="E20" s="26">
        <f t="shared" si="2"/>
        <v>76041.584266511141</v>
      </c>
      <c r="F20" s="26">
        <f t="shared" si="3"/>
        <v>3078580.7063598945</v>
      </c>
    </row>
    <row r="21" spans="2:6" x14ac:dyDescent="0.25">
      <c r="B21">
        <v>7</v>
      </c>
      <c r="C21" s="26">
        <f t="shared" si="0"/>
        <v>552190.17747083132</v>
      </c>
      <c r="D21" s="26">
        <f t="shared" si="1"/>
        <v>486334.20519394916</v>
      </c>
      <c r="E21" s="26">
        <f t="shared" si="2"/>
        <v>65855.972276882079</v>
      </c>
      <c r="F21" s="26">
        <f t="shared" si="3"/>
        <v>2592246.5011659451</v>
      </c>
    </row>
    <row r="22" spans="2:6" x14ac:dyDescent="0.25">
      <c r="B22">
        <v>8</v>
      </c>
      <c r="C22" s="26">
        <f t="shared" si="0"/>
        <v>552190.17747083132</v>
      </c>
      <c r="D22" s="26">
        <f t="shared" si="1"/>
        <v>496737.70440005645</v>
      </c>
      <c r="E22" s="26">
        <f t="shared" si="2"/>
        <v>55452.473070774839</v>
      </c>
      <c r="F22" s="26">
        <f t="shared" si="3"/>
        <v>2095508.7967658886</v>
      </c>
    </row>
    <row r="23" spans="2:6" x14ac:dyDescent="0.25">
      <c r="B23">
        <v>9</v>
      </c>
      <c r="C23" s="26">
        <f t="shared" si="0"/>
        <v>552190.17747083132</v>
      </c>
      <c r="D23" s="26">
        <f t="shared" si="1"/>
        <v>507363.75179334765</v>
      </c>
      <c r="E23" s="26">
        <f t="shared" si="2"/>
        <v>44826.425677483632</v>
      </c>
      <c r="F23" s="26">
        <f t="shared" si="3"/>
        <v>1588145.0449725408</v>
      </c>
    </row>
    <row r="24" spans="2:6" x14ac:dyDescent="0.25">
      <c r="B24">
        <v>10</v>
      </c>
      <c r="C24" s="26">
        <f t="shared" si="0"/>
        <v>552190.17747083132</v>
      </c>
      <c r="D24" s="26">
        <f t="shared" si="1"/>
        <v>518217.1080504604</v>
      </c>
      <c r="E24" s="26">
        <f t="shared" si="2"/>
        <v>33973.069420370943</v>
      </c>
      <c r="F24" s="26">
        <f t="shared" si="3"/>
        <v>1069927.9369220803</v>
      </c>
    </row>
    <row r="25" spans="2:6" x14ac:dyDescent="0.25">
      <c r="B25">
        <v>11</v>
      </c>
      <c r="C25" s="26">
        <f t="shared" si="0"/>
        <v>552190.17747083132</v>
      </c>
      <c r="D25" s="26">
        <f t="shared" si="1"/>
        <v>529302.63568683981</v>
      </c>
      <c r="E25" s="26">
        <f t="shared" si="2"/>
        <v>22887.541783991503</v>
      </c>
      <c r="F25" s="26">
        <f t="shared" si="3"/>
        <v>540625.30123524053</v>
      </c>
    </row>
    <row r="26" spans="2:6" x14ac:dyDescent="0.25">
      <c r="B26">
        <v>12</v>
      </c>
      <c r="C26" s="26">
        <f t="shared" si="0"/>
        <v>552190.17747083132</v>
      </c>
      <c r="D26" s="26">
        <f t="shared" si="1"/>
        <v>540625.30123524077</v>
      </c>
      <c r="E26" s="26">
        <f t="shared" si="2"/>
        <v>11564.876235590526</v>
      </c>
      <c r="F26" s="26">
        <f t="shared" si="3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AEC8-6015-478E-B5BC-1381BC6A1DD4}">
  <dimension ref="B1:L59"/>
  <sheetViews>
    <sheetView topLeftCell="C3" workbookViewId="0">
      <selection activeCell="G12" sqref="G12"/>
    </sheetView>
  </sheetViews>
  <sheetFormatPr baseColWidth="10" defaultRowHeight="15" x14ac:dyDescent="0.25"/>
  <cols>
    <col min="5" max="5" width="15.5703125" bestFit="1" customWidth="1"/>
    <col min="7" max="7" width="13" bestFit="1" customWidth="1"/>
  </cols>
  <sheetData>
    <row r="1" spans="2:12" x14ac:dyDescent="0.25">
      <c r="H1" t="s">
        <v>10</v>
      </c>
      <c r="I1" t="s">
        <v>11</v>
      </c>
    </row>
    <row r="2" spans="2:12" x14ac:dyDescent="0.25">
      <c r="B2" t="s">
        <v>0</v>
      </c>
      <c r="C2">
        <v>4</v>
      </c>
      <c r="D2" t="s">
        <v>9</v>
      </c>
      <c r="H2">
        <v>750000</v>
      </c>
      <c r="I2">
        <v>500000</v>
      </c>
    </row>
    <row r="5" spans="2:12" x14ac:dyDescent="0.25">
      <c r="C5">
        <v>350000</v>
      </c>
      <c r="D5">
        <f>C5*4</f>
        <v>1400000</v>
      </c>
      <c r="E5">
        <v>5000000</v>
      </c>
    </row>
    <row r="6" spans="2:12" x14ac:dyDescent="0.25">
      <c r="G6" s="1">
        <f>E5/6</f>
        <v>833333.33333333337</v>
      </c>
    </row>
    <row r="10" spans="2:12" x14ac:dyDescent="0.25">
      <c r="F10">
        <v>0</v>
      </c>
      <c r="G10">
        <v>1</v>
      </c>
      <c r="H10">
        <v>2</v>
      </c>
      <c r="I10">
        <v>3</v>
      </c>
      <c r="J10">
        <v>4</v>
      </c>
      <c r="K10">
        <v>5</v>
      </c>
      <c r="L10">
        <v>6</v>
      </c>
    </row>
    <row r="11" spans="2:12" x14ac:dyDescent="0.25">
      <c r="D11" t="s">
        <v>12</v>
      </c>
      <c r="F11">
        <f>I2</f>
        <v>500000</v>
      </c>
      <c r="H11">
        <f>I2</f>
        <v>500000</v>
      </c>
      <c r="J11">
        <f>I2</f>
        <v>500000</v>
      </c>
      <c r="L11">
        <f>I2</f>
        <v>500000</v>
      </c>
    </row>
    <row r="12" spans="2:12" x14ac:dyDescent="0.25">
      <c r="D12" t="s">
        <v>7</v>
      </c>
      <c r="G12">
        <f>H2</f>
        <v>750000</v>
      </c>
      <c r="H12">
        <f>G12</f>
        <v>750000</v>
      </c>
      <c r="I12">
        <f>H12</f>
        <v>750000</v>
      </c>
      <c r="J12">
        <f>I12</f>
        <v>750000</v>
      </c>
      <c r="K12">
        <f>J12</f>
        <v>750000</v>
      </c>
      <c r="L12">
        <f>K12</f>
        <v>750000</v>
      </c>
    </row>
    <row r="15" spans="2:12" x14ac:dyDescent="0.25">
      <c r="D15" t="s">
        <v>13</v>
      </c>
      <c r="G15">
        <v>200000</v>
      </c>
      <c r="H15">
        <v>200000</v>
      </c>
      <c r="I15">
        <v>200000</v>
      </c>
      <c r="J15">
        <v>200000</v>
      </c>
      <c r="K15">
        <v>200000</v>
      </c>
      <c r="L15">
        <v>200000</v>
      </c>
    </row>
    <row r="16" spans="2:12" x14ac:dyDescent="0.25">
      <c r="D16" t="s">
        <v>14</v>
      </c>
      <c r="G16">
        <v>600000</v>
      </c>
      <c r="H16">
        <v>600000</v>
      </c>
      <c r="I16">
        <v>600000</v>
      </c>
      <c r="J16">
        <v>600000</v>
      </c>
      <c r="K16">
        <v>600000</v>
      </c>
      <c r="L16">
        <v>600000</v>
      </c>
    </row>
    <row r="17" spans="6:12" x14ac:dyDescent="0.25">
      <c r="G17" s="3">
        <f>SUM(G15:G16)</f>
        <v>800000</v>
      </c>
      <c r="H17" s="3">
        <f t="shared" ref="H17:L17" si="0">SUM(H15:H16)</f>
        <v>800000</v>
      </c>
      <c r="I17" s="3">
        <f t="shared" si="0"/>
        <v>800000</v>
      </c>
      <c r="J17" s="3">
        <f t="shared" si="0"/>
        <v>800000</v>
      </c>
      <c r="K17" s="3">
        <f t="shared" si="0"/>
        <v>800000</v>
      </c>
      <c r="L17" s="3">
        <f t="shared" si="0"/>
        <v>800000</v>
      </c>
    </row>
    <row r="18" spans="6:12" x14ac:dyDescent="0.25">
      <c r="G18">
        <f>F11-G15</f>
        <v>300000</v>
      </c>
      <c r="H18">
        <f>G18-H15</f>
        <v>100000</v>
      </c>
      <c r="I18">
        <f>H11-I15</f>
        <v>300000</v>
      </c>
      <c r="J18">
        <f>I18-J15</f>
        <v>100000</v>
      </c>
      <c r="K18">
        <f>J11-K15</f>
        <v>300000</v>
      </c>
      <c r="L18">
        <f>K18-L15</f>
        <v>100000</v>
      </c>
    </row>
    <row r="19" spans="6:12" x14ac:dyDescent="0.25">
      <c r="G19">
        <f t="shared" ref="G19:L19" si="1">G12-G16</f>
        <v>150000</v>
      </c>
      <c r="H19">
        <f t="shared" si="1"/>
        <v>150000</v>
      </c>
      <c r="I19">
        <f t="shared" si="1"/>
        <v>150000</v>
      </c>
      <c r="J19">
        <f t="shared" si="1"/>
        <v>150000</v>
      </c>
      <c r="K19">
        <f t="shared" si="1"/>
        <v>150000</v>
      </c>
      <c r="L19">
        <f t="shared" si="1"/>
        <v>150000</v>
      </c>
    </row>
    <row r="22" spans="6:12" x14ac:dyDescent="0.25">
      <c r="G22" s="2">
        <f>G19</f>
        <v>150000</v>
      </c>
      <c r="H22" s="2">
        <f>SUM(H18:H19)</f>
        <v>250000</v>
      </c>
      <c r="I22" s="2">
        <f>I19</f>
        <v>150000</v>
      </c>
      <c r="J22" s="2">
        <f>SUM(J18:J19)</f>
        <v>250000</v>
      </c>
      <c r="K22" s="2">
        <f>K19</f>
        <v>150000</v>
      </c>
      <c r="L22" s="2">
        <f>SUM(L18:L19)</f>
        <v>250000</v>
      </c>
    </row>
    <row r="25" spans="6:12" x14ac:dyDescent="0.25">
      <c r="F25">
        <v>100000</v>
      </c>
      <c r="H25">
        <v>100000</v>
      </c>
      <c r="J25">
        <v>100000</v>
      </c>
      <c r="L25">
        <v>100000</v>
      </c>
    </row>
    <row r="59" spans="5:5" x14ac:dyDescent="0.25">
      <c r="E59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7E3C-EF0C-4319-BBAC-B7620D8D9F03}">
  <dimension ref="B2:L23"/>
  <sheetViews>
    <sheetView zoomScale="90" zoomScaleNormal="90" workbookViewId="0">
      <selection activeCell="I14" sqref="I13:I14"/>
    </sheetView>
  </sheetViews>
  <sheetFormatPr baseColWidth="10" defaultRowHeight="15" x14ac:dyDescent="0.25"/>
  <cols>
    <col min="2" max="2" width="11.5703125" bestFit="1" customWidth="1"/>
    <col min="3" max="3" width="16.5703125" bestFit="1" customWidth="1"/>
    <col min="4" max="5" width="12.5703125" bestFit="1" customWidth="1"/>
    <col min="6" max="6" width="16.5703125" bestFit="1" customWidth="1"/>
    <col min="9" max="11" width="13" bestFit="1" customWidth="1"/>
    <col min="12" max="12" width="14.5703125" bestFit="1" customWidth="1"/>
  </cols>
  <sheetData>
    <row r="2" spans="2:12" ht="18.75" x14ac:dyDescent="0.3">
      <c r="B2" s="13" t="s">
        <v>16</v>
      </c>
      <c r="C2" s="19">
        <v>3000000</v>
      </c>
      <c r="D2" s="11" t="s">
        <v>10</v>
      </c>
      <c r="E2" s="11"/>
      <c r="F2" s="28" t="s">
        <v>19</v>
      </c>
      <c r="G2" s="28"/>
    </row>
    <row r="3" spans="2:12" ht="18.75" x14ac:dyDescent="0.3">
      <c r="B3" s="13" t="s">
        <v>15</v>
      </c>
      <c r="C3" s="13">
        <v>9</v>
      </c>
      <c r="D3" s="11" t="s">
        <v>18</v>
      </c>
      <c r="E3" s="11"/>
      <c r="F3" s="28"/>
      <c r="G3" s="28"/>
    </row>
    <row r="4" spans="2:12" ht="18.75" x14ac:dyDescent="0.3">
      <c r="B4" s="13" t="s">
        <v>17</v>
      </c>
      <c r="C4" s="20">
        <v>0.05</v>
      </c>
      <c r="D4" s="11"/>
      <c r="E4" s="11"/>
      <c r="F4" s="11"/>
      <c r="G4" s="11"/>
    </row>
    <row r="5" spans="2:12" ht="18.75" x14ac:dyDescent="0.3">
      <c r="B5" s="11"/>
      <c r="C5" s="11"/>
      <c r="D5" s="11"/>
      <c r="E5" s="11"/>
      <c r="F5" s="11"/>
      <c r="G5" s="11"/>
    </row>
    <row r="6" spans="2:12" ht="18.75" x14ac:dyDescent="0.3">
      <c r="B6" s="11"/>
      <c r="C6" s="11"/>
      <c r="D6" s="11"/>
      <c r="E6" s="11"/>
      <c r="F6" s="11"/>
      <c r="G6" s="11"/>
    </row>
    <row r="7" spans="2:12" ht="18.75" x14ac:dyDescent="0.3">
      <c r="B7" s="11"/>
      <c r="C7" s="11"/>
      <c r="D7" s="11"/>
      <c r="E7" s="11"/>
      <c r="F7" s="11"/>
      <c r="G7" s="11"/>
    </row>
    <row r="8" spans="2:12" ht="18.75" x14ac:dyDescent="0.3">
      <c r="B8" s="11"/>
      <c r="C8" s="11"/>
      <c r="D8" s="11"/>
      <c r="E8" s="11"/>
      <c r="F8" s="11"/>
      <c r="G8" s="11"/>
    </row>
    <row r="9" spans="2:12" ht="18.75" x14ac:dyDescent="0.3">
      <c r="B9" s="11"/>
      <c r="C9" s="11"/>
      <c r="D9" s="11"/>
      <c r="E9" s="11"/>
      <c r="F9" s="11"/>
      <c r="G9" s="11"/>
    </row>
    <row r="10" spans="2:12" ht="18.75" x14ac:dyDescent="0.3">
      <c r="B10" s="11" t="s">
        <v>24</v>
      </c>
      <c r="C10" s="11" t="s">
        <v>20</v>
      </c>
      <c r="D10" s="11" t="s">
        <v>21</v>
      </c>
      <c r="E10" s="11" t="s">
        <v>22</v>
      </c>
      <c r="F10" s="11" t="s">
        <v>23</v>
      </c>
      <c r="G10" s="11"/>
    </row>
    <row r="11" spans="2:12" ht="18.75" x14ac:dyDescent="0.3">
      <c r="B11" s="11">
        <v>0</v>
      </c>
      <c r="C11" s="11"/>
      <c r="D11" s="11"/>
      <c r="E11" s="11"/>
      <c r="F11" s="21">
        <f>C2</f>
        <v>3000000</v>
      </c>
      <c r="G11" s="11"/>
    </row>
    <row r="12" spans="2:12" ht="18.75" x14ac:dyDescent="0.3">
      <c r="B12" s="11" cm="1">
        <f t="array" ref="B12:B20">_xlfn.SEQUENCE(C3,,1)</f>
        <v>1</v>
      </c>
      <c r="C12" s="22">
        <f>PMT($C$4,$C$3,-$C$2)</f>
        <v>422070.23992736341</v>
      </c>
      <c r="D12" s="22">
        <f>PPMT($C$4,B12,$C$3,-$C$2)</f>
        <v>272070.23992736341</v>
      </c>
      <c r="E12" s="22">
        <f>IPMT($C$4,B12,$C$3,-$C$2)</f>
        <v>150000</v>
      </c>
      <c r="F12" s="21">
        <f>F11-D12</f>
        <v>2727929.7600726364</v>
      </c>
      <c r="G12" s="11"/>
      <c r="I12" s="1"/>
      <c r="J12" s="1"/>
      <c r="K12" s="1"/>
      <c r="L12" s="1"/>
    </row>
    <row r="13" spans="2:12" ht="18.75" x14ac:dyDescent="0.3">
      <c r="B13" s="11">
        <v>2</v>
      </c>
      <c r="C13" s="22">
        <f t="shared" ref="C13:C20" si="0">PMT($C$4,$C$3,-$C$2)</f>
        <v>422070.23992736341</v>
      </c>
      <c r="D13" s="22">
        <f t="shared" ref="D13:D20" si="1">PPMT($C$4,B13,$C$3,-$C$2)</f>
        <v>285673.75192373153</v>
      </c>
      <c r="E13" s="22">
        <f t="shared" ref="E13:E20" si="2">IPMT($C$4,B13,$C$3,-$C$2)</f>
        <v>136396.48800363182</v>
      </c>
      <c r="F13" s="21">
        <f t="shared" ref="F13:F19" si="3">F12-D13</f>
        <v>2442256.0081489049</v>
      </c>
      <c r="G13" s="11"/>
      <c r="I13" s="1"/>
      <c r="J13" s="1"/>
      <c r="K13" s="1"/>
      <c r="L13" s="1"/>
    </row>
    <row r="14" spans="2:12" ht="18.75" x14ac:dyDescent="0.3">
      <c r="B14" s="11">
        <v>3</v>
      </c>
      <c r="C14" s="22">
        <f t="shared" si="0"/>
        <v>422070.23992736341</v>
      </c>
      <c r="D14" s="22">
        <f t="shared" si="1"/>
        <v>299957.43951991812</v>
      </c>
      <c r="E14" s="22">
        <f t="shared" si="2"/>
        <v>122112.80040744525</v>
      </c>
      <c r="F14" s="21">
        <f t="shared" si="3"/>
        <v>2142298.5686289868</v>
      </c>
      <c r="G14" s="11"/>
      <c r="I14" s="1"/>
      <c r="J14" s="1"/>
      <c r="K14" s="1"/>
      <c r="L14" s="1"/>
    </row>
    <row r="15" spans="2:12" ht="18.75" x14ac:dyDescent="0.3">
      <c r="B15" s="11">
        <v>4</v>
      </c>
      <c r="C15" s="22">
        <f t="shared" si="0"/>
        <v>422070.23992736341</v>
      </c>
      <c r="D15" s="22">
        <f t="shared" si="1"/>
        <v>314955.31149591412</v>
      </c>
      <c r="E15" s="22">
        <f t="shared" si="2"/>
        <v>107114.92843144934</v>
      </c>
      <c r="F15" s="21">
        <f t="shared" si="3"/>
        <v>1827343.2571330727</v>
      </c>
      <c r="G15" s="11"/>
      <c r="I15" s="1"/>
      <c r="J15" s="1"/>
      <c r="K15" s="1"/>
      <c r="L15" s="1"/>
    </row>
    <row r="16" spans="2:12" ht="18.75" x14ac:dyDescent="0.3">
      <c r="B16" s="11">
        <v>5</v>
      </c>
      <c r="C16" s="22">
        <f t="shared" si="0"/>
        <v>422070.23992736341</v>
      </c>
      <c r="D16" s="22">
        <f t="shared" si="1"/>
        <v>330703.07707070978</v>
      </c>
      <c r="E16" s="22">
        <f t="shared" si="2"/>
        <v>91367.162856653638</v>
      </c>
      <c r="F16" s="21">
        <f t="shared" si="3"/>
        <v>1496640.1800623629</v>
      </c>
      <c r="G16" s="11"/>
      <c r="I16" s="1"/>
      <c r="J16" s="1"/>
      <c r="K16" s="1"/>
      <c r="L16" s="1"/>
    </row>
    <row r="17" spans="2:12" ht="18.75" x14ac:dyDescent="0.3">
      <c r="B17" s="11">
        <v>6</v>
      </c>
      <c r="C17" s="22">
        <f t="shared" si="0"/>
        <v>422070.23992736341</v>
      </c>
      <c r="D17" s="22">
        <f t="shared" si="1"/>
        <v>347238.23092424526</v>
      </c>
      <c r="E17" s="22">
        <f t="shared" si="2"/>
        <v>74832.009003118132</v>
      </c>
      <c r="F17" s="21">
        <f t="shared" si="3"/>
        <v>1149401.9491381177</v>
      </c>
      <c r="G17" s="11"/>
      <c r="I17" s="1"/>
      <c r="J17" s="1"/>
      <c r="K17" s="1"/>
      <c r="L17" s="1"/>
    </row>
    <row r="18" spans="2:12" ht="18.75" x14ac:dyDescent="0.3">
      <c r="B18" s="11">
        <v>7</v>
      </c>
      <c r="C18" s="22">
        <f t="shared" si="0"/>
        <v>422070.23992736341</v>
      </c>
      <c r="D18" s="22">
        <f t="shared" si="1"/>
        <v>364600.14247045753</v>
      </c>
      <c r="E18" s="22">
        <f t="shared" si="2"/>
        <v>57470.097456905874</v>
      </c>
      <c r="F18" s="21">
        <f t="shared" si="3"/>
        <v>784801.80666766013</v>
      </c>
      <c r="G18" s="11"/>
      <c r="I18" s="1"/>
      <c r="J18" s="1"/>
      <c r="K18" s="1"/>
      <c r="L18" s="1"/>
    </row>
    <row r="19" spans="2:12" ht="18.75" x14ac:dyDescent="0.3">
      <c r="B19" s="11">
        <v>8</v>
      </c>
      <c r="C19" s="22">
        <f t="shared" si="0"/>
        <v>422070.23992736341</v>
      </c>
      <c r="D19" s="22">
        <f t="shared" si="1"/>
        <v>382830.1495939804</v>
      </c>
      <c r="E19" s="22">
        <f t="shared" si="2"/>
        <v>39240.090333382999</v>
      </c>
      <c r="F19" s="21">
        <f t="shared" si="3"/>
        <v>401971.65707367973</v>
      </c>
      <c r="G19" s="11"/>
      <c r="I19" s="1"/>
      <c r="J19" s="1"/>
      <c r="K19" s="1"/>
      <c r="L19" s="1"/>
    </row>
    <row r="20" spans="2:12" ht="18.75" x14ac:dyDescent="0.3">
      <c r="B20" s="11">
        <v>9</v>
      </c>
      <c r="C20" s="22">
        <f t="shared" si="0"/>
        <v>422070.23992736341</v>
      </c>
      <c r="D20" s="22">
        <f t="shared" si="1"/>
        <v>401971.65707367938</v>
      </c>
      <c r="E20" s="22">
        <f t="shared" si="2"/>
        <v>20098.582853683976</v>
      </c>
      <c r="F20" s="21">
        <f>F19-D20</f>
        <v>0</v>
      </c>
      <c r="G20" s="11"/>
      <c r="I20" s="1"/>
      <c r="J20" s="1"/>
      <c r="K20" s="1"/>
      <c r="L20" s="1"/>
    </row>
    <row r="21" spans="2:12" ht="18.75" x14ac:dyDescent="0.3">
      <c r="B21" s="11"/>
      <c r="C21" s="12"/>
      <c r="D21" s="12"/>
      <c r="E21" s="12"/>
      <c r="F21" s="21"/>
      <c r="G21" s="11"/>
    </row>
    <row r="22" spans="2:12" ht="18.75" x14ac:dyDescent="0.3">
      <c r="B22" s="11"/>
      <c r="C22" s="12"/>
      <c r="D22" s="12"/>
      <c r="E22" s="12"/>
      <c r="F22" s="21"/>
      <c r="G22" s="11"/>
    </row>
    <row r="23" spans="2:12" ht="18.75" x14ac:dyDescent="0.3">
      <c r="B23" s="11"/>
      <c r="C23" s="12"/>
      <c r="D23" s="12"/>
      <c r="E23" s="12"/>
      <c r="F23" s="21"/>
      <c r="G23" s="11"/>
    </row>
  </sheetData>
  <mergeCells count="2">
    <mergeCell ref="F2:F3"/>
    <mergeCell ref="G2:G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eco deluxe </vt:lpstr>
      <vt:lpstr>Hoja3</vt:lpstr>
      <vt:lpstr>Calculadora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Alejandro Sanchez</dc:creator>
  <cp:lastModifiedBy>Kevin Alejandro Sanchez</cp:lastModifiedBy>
  <dcterms:created xsi:type="dcterms:W3CDTF">2022-12-08T01:29:31Z</dcterms:created>
  <dcterms:modified xsi:type="dcterms:W3CDTF">2023-01-20T00:31:20Z</dcterms:modified>
</cp:coreProperties>
</file>