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QUINCENALES\"/>
    </mc:Choice>
  </mc:AlternateContent>
  <xr:revisionPtr revIDLastSave="0" documentId="13_ncr:1_{FB01B87B-6B16-4531-BB99-C963FBAE73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ZO 25" sheetId="64" r:id="rId1"/>
    <sheet name="APUNTES" sheetId="62" r:id="rId2"/>
  </sheets>
  <definedNames>
    <definedName name="_xlnm._FilterDatabase" localSheetId="0" hidden="1">'MARZO 25'!$A$2:$M$28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" i="64" l="1"/>
  <c r="N55" i="64"/>
  <c r="N48" i="64"/>
  <c r="C73" i="64"/>
  <c r="C53" i="64" l="1"/>
  <c r="C62" i="64"/>
  <c r="C81" i="64" l="1"/>
  <c r="C83" i="64" l="1"/>
  <c r="H70" i="64"/>
  <c r="C77" i="64"/>
  <c r="L53" i="64"/>
  <c r="L68" i="64" l="1"/>
  <c r="C75" i="64"/>
  <c r="L65" i="64"/>
  <c r="L64" i="64"/>
  <c r="L63" i="64"/>
  <c r="L62" i="64"/>
  <c r="L17" i="64"/>
  <c r="L61" i="64"/>
  <c r="L16" i="64"/>
  <c r="L59" i="64"/>
  <c r="L58" i="64"/>
  <c r="L57" i="64"/>
  <c r="L12" i="64"/>
  <c r="L56" i="64"/>
  <c r="L11" i="64"/>
  <c r="L55" i="64"/>
  <c r="L10" i="64"/>
  <c r="L54" i="64"/>
  <c r="H53" i="64"/>
  <c r="L52" i="64"/>
  <c r="L8" i="64"/>
  <c r="L50" i="64"/>
  <c r="L6" i="64"/>
  <c r="L49" i="64"/>
  <c r="L5" i="64"/>
  <c r="C78" i="64" l="1"/>
  <c r="H82" i="64"/>
  <c r="C82" i="64" s="1"/>
  <c r="H81" i="64"/>
  <c r="L19" i="64"/>
  <c r="L13" i="64"/>
  <c r="L9" i="64"/>
  <c r="H80" i="64"/>
  <c r="C80" i="64" s="1"/>
  <c r="H76" i="64" l="1"/>
  <c r="C76" i="64" s="1"/>
  <c r="C74" i="64"/>
  <c r="L28" i="64"/>
  <c r="C28" i="64" s="1"/>
  <c r="J28" i="64"/>
  <c r="L27" i="64"/>
  <c r="C27" i="64"/>
  <c r="L26" i="64"/>
  <c r="C26" i="64"/>
  <c r="L25" i="64"/>
  <c r="C25" i="64" s="1"/>
  <c r="L24" i="64"/>
  <c r="C24" i="64" s="1"/>
  <c r="H23" i="64"/>
  <c r="H22" i="64"/>
  <c r="L22" i="64" s="1"/>
  <c r="C22" i="64" s="1"/>
  <c r="H21" i="64"/>
  <c r="L21" i="64" s="1"/>
  <c r="C21" i="64" s="1"/>
  <c r="H20" i="64"/>
  <c r="C19" i="64"/>
  <c r="H18" i="64"/>
  <c r="H17" i="64"/>
  <c r="C16" i="64"/>
  <c r="L15" i="64"/>
  <c r="C15" i="64"/>
  <c r="H14" i="64"/>
  <c r="L14" i="64" s="1"/>
  <c r="C13" i="64"/>
  <c r="H12" i="64"/>
  <c r="H11" i="64"/>
  <c r="C10" i="64"/>
  <c r="C9" i="64"/>
  <c r="C8" i="64"/>
  <c r="H7" i="64"/>
  <c r="L7" i="64" s="1"/>
  <c r="C6" i="64"/>
  <c r="C5" i="64"/>
  <c r="L4" i="64"/>
  <c r="C4" i="64" s="1"/>
  <c r="L3" i="64"/>
  <c r="C3" i="64" s="1"/>
  <c r="C11" i="64" l="1"/>
  <c r="L18" i="64"/>
  <c r="C18" i="64" s="1"/>
  <c r="C12" i="64"/>
  <c r="L20" i="64"/>
  <c r="C20" i="64" s="1"/>
  <c r="C14" i="64"/>
  <c r="C7" i="64"/>
  <c r="L23" i="64"/>
  <c r="C23" i="64" s="1"/>
  <c r="C17" i="64"/>
  <c r="C50" i="64"/>
  <c r="L47" i="64" l="1"/>
  <c r="C47" i="64" s="1"/>
  <c r="H59" i="64" l="1"/>
  <c r="C59" i="64" s="1"/>
  <c r="H57" i="64"/>
  <c r="C57" i="64" s="1"/>
  <c r="H66" i="64" l="1"/>
  <c r="L66" i="64" s="1"/>
  <c r="C54" i="64" l="1"/>
  <c r="H51" i="64" l="1"/>
  <c r="L72" i="64"/>
  <c r="C72" i="64" s="1"/>
  <c r="L71" i="64"/>
  <c r="C71" i="64" s="1"/>
  <c r="L70" i="64"/>
  <c r="C70" i="64" s="1"/>
  <c r="L69" i="64"/>
  <c r="C69" i="64" s="1"/>
  <c r="L73" i="64"/>
  <c r="J73" i="64"/>
  <c r="H68" i="64"/>
  <c r="H62" i="64"/>
  <c r="H63" i="64"/>
  <c r="L60" i="64"/>
  <c r="C60" i="64" s="1"/>
  <c r="H67" i="64"/>
  <c r="L67" i="64" s="1"/>
  <c r="C67" i="64" s="1"/>
  <c r="H56" i="64"/>
  <c r="C56" i="64" s="1"/>
  <c r="C49" i="64"/>
  <c r="L48" i="64"/>
  <c r="C48" i="64" s="1"/>
  <c r="C61" i="64"/>
  <c r="C52" i="64"/>
  <c r="H65" i="64"/>
  <c r="C64" i="64"/>
  <c r="C66" i="64"/>
  <c r="C55" i="64"/>
  <c r="C58" i="64"/>
  <c r="L51" i="64" l="1"/>
  <c r="C51" i="64" s="1"/>
  <c r="C65" i="64"/>
  <c r="C68" i="64"/>
  <c r="C63" i="64"/>
  <c r="C38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Smont y aragon Contratistas generales SAC</author>
  </authors>
  <commentList>
    <comment ref="G3" authorId="0" shapeId="0" xr:uid="{C2A7BB93-3CF2-49AB-9AAF-84ECD2D1BD1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 AGREGO 200 DE BONO MENSUAL POR ORDEN DEL ING, RUBEN</t>
        </r>
      </text>
    </comment>
    <comment ref="E6" authorId="1" shapeId="0" xr:uid="{7601E57A-398D-4387-9542-BA84B26CC6FC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PRESTAMO: FINALIZA NOVIEMBRE 2025 (10 MESES)</t>
        </r>
      </text>
    </comment>
    <comment ref="G8" authorId="0" shapeId="0" xr:uid="{2BFD6274-8ABB-4132-8FF9-E0872D7D950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 AGREGO BONO POR ORDENES DEL ING. RUBEN 500 MENSUAL</t>
        </r>
      </text>
    </comment>
    <comment ref="L13" authorId="1" shapeId="0" xr:uid="{DA3763D8-62C5-4526-A7F9-730C782B7A6C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TRAMITES CON CESAR TARQUI (MUNICIPALIDAD)
</t>
        </r>
      </text>
    </comment>
    <comment ref="E19" authorId="1" shapeId="0" xr:uid="{D8C63349-FFC6-4C8F-B849-0337C368F689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FIN 30/05</t>
        </r>
      </text>
    </comment>
    <comment ref="L23" authorId="1" shapeId="0" xr:uid="{F5704C7F-C4BA-4A31-BA7C-6B8C16273E44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DOBLETEA CON DOCUMENTOS Y TRAMITES EN LA MUNICIPALIDAD DE CARABAYLLO</t>
        </r>
      </text>
    </comment>
    <comment ref="G4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 AGREGO 200 DE BONO MENSUAL POR ORDEN DEL ING, RUBEN</t>
        </r>
      </text>
    </comment>
    <comment ref="E50" authorId="1" shapeId="0" xr:uid="{25B3B7E6-5977-446D-BA9B-D7312D6DBECE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PRESTAMO: FINALIZA NOVIEMBRE 2025 (10 MESES)</t>
        </r>
      </text>
    </comment>
    <comment ref="G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 AGREGO BONO POR ORDENES DEL ING. RUBEN 500 MENSUAL</t>
        </r>
      </text>
    </comment>
    <comment ref="E6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Smont y aragon Contratistas generales SAC:</t>
        </r>
        <r>
          <rPr>
            <sz val="9"/>
            <color indexed="81"/>
            <rFont val="Tahoma"/>
            <family val="2"/>
          </rPr>
          <t xml:space="preserve">
FIN 30/05</t>
        </r>
      </text>
    </comment>
  </commentList>
</comments>
</file>

<file path=xl/sharedStrings.xml><?xml version="1.0" encoding="utf-8"?>
<sst xmlns="http://schemas.openxmlformats.org/spreadsheetml/2006/main" count="228" uniqueCount="75">
  <si>
    <t xml:space="preserve">Nº </t>
  </si>
  <si>
    <t>NOMBRES</t>
  </si>
  <si>
    <t>DIAS LABORADOS</t>
  </si>
  <si>
    <t>PRESTAMO DSCTO.</t>
  </si>
  <si>
    <t>RENTA DE 5TA.</t>
  </si>
  <si>
    <t>BONOS</t>
  </si>
  <si>
    <t>SUELDO QUINCENAL</t>
  </si>
  <si>
    <t>FECHA DE INGRESO</t>
  </si>
  <si>
    <t>SUELDO MENSUAL</t>
  </si>
  <si>
    <t>OCHOA PEREZ PABLO</t>
  </si>
  <si>
    <t>ONP 13%</t>
  </si>
  <si>
    <t>ok</t>
  </si>
  <si>
    <t>HUILLCA HUAMAN EDWIN EDGAR</t>
  </si>
  <si>
    <t>AFP 13.30%</t>
  </si>
  <si>
    <t>SIFUENTES MONTOYA ADRIANA C.</t>
  </si>
  <si>
    <t>AFP 11,37%</t>
  </si>
  <si>
    <t>RAMIREZ SEGUNDO FERNANDO</t>
  </si>
  <si>
    <t>COSIO RABELO AYRTON</t>
  </si>
  <si>
    <t>SERRANO ESPINOZA LUISA</t>
  </si>
  <si>
    <t>GONZALES AHUANARI MAX</t>
  </si>
  <si>
    <t>ASENCIOS ASENCIOS JOSUE</t>
  </si>
  <si>
    <t>ESPEJO MARMOLEJO DRAGO H.</t>
  </si>
  <si>
    <t>CRUZ HUAMAN ANIBAL W.</t>
  </si>
  <si>
    <t>PEREZ PEÑA SION</t>
  </si>
  <si>
    <t>BERMUDEZ LUIS MANUEL</t>
  </si>
  <si>
    <t>JAIME GALLARDO RODRIGO</t>
  </si>
  <si>
    <t>SOTO OROZCO WILLINTOG</t>
  </si>
  <si>
    <t>PEREZ CARRANZA CESAR DAVID</t>
  </si>
  <si>
    <t>QUISPE RAFFO BORIS</t>
  </si>
  <si>
    <t>QUISPE ARANGO EDISON</t>
  </si>
  <si>
    <t>TARQUI QUISPE CESAR ANTONIO</t>
  </si>
  <si>
    <t>CORNEJO LEVANO WALTER</t>
  </si>
  <si>
    <t>WONG TORRES JANETH</t>
  </si>
  <si>
    <t>ESPINOZA M. LINDA</t>
  </si>
  <si>
    <t>ESPINOZA M. CLARA</t>
  </si>
  <si>
    <t>ESPINOZA M. DARIO</t>
  </si>
  <si>
    <t>MONTOYA AURORA</t>
  </si>
  <si>
    <t>YESSY HUAMAN</t>
  </si>
  <si>
    <t>RECIBO HON.</t>
  </si>
  <si>
    <t>CONTADOR</t>
  </si>
  <si>
    <t>PORTILLO OROZCO MARCO ANTONIO</t>
  </si>
  <si>
    <t>ING SSOMA LAP</t>
  </si>
  <si>
    <t>DOMINGUEZ LOPEZ MELISSA XIMENA</t>
  </si>
  <si>
    <t>EMPLEADOS - SEGUNDA QUINCENA DE FEBRERO 2025</t>
  </si>
  <si>
    <t>OK</t>
  </si>
  <si>
    <t xml:space="preserve">CASTRO SANDOVAL CLAUDIA C. </t>
  </si>
  <si>
    <t>MARTINEZ TORRES RAUL AMERICO</t>
  </si>
  <si>
    <t>PERALES CARDENAS JOSE ENRIQUE</t>
  </si>
  <si>
    <t>HUILLCA CERRUTI ODAIM</t>
  </si>
  <si>
    <t>TOTAL</t>
  </si>
  <si>
    <t>SION 3 DIAS DE VACACIONES (24/25/26)</t>
  </si>
  <si>
    <t>WILLINTON 1 DÍA DE VACACIONES(25)</t>
  </si>
  <si>
    <t>jeremy cancelo su prestamo el 31/05/2024</t>
  </si>
  <si>
    <t>SERGIO</t>
  </si>
  <si>
    <t>SUELDO COBEÑAS A 3000 A PARTIR DE LA SEGUNDA QUINCENA DE JUNIO 2024</t>
  </si>
  <si>
    <t>LECANO CESPEDES ROBERTO</t>
  </si>
  <si>
    <t>SANCHEZ CUYA JUBERT</t>
  </si>
  <si>
    <t>JAIME GALLARDO MARIA ALEJANDRA</t>
  </si>
  <si>
    <t>CORCUERA ESPEJO NICOLAS</t>
  </si>
  <si>
    <t>EMPLEADOS - PRIMERA QUINCENA DE MARZO 2025</t>
  </si>
  <si>
    <t>NETO A PAGAR AL 15/03/2025</t>
  </si>
  <si>
    <t>SEGURIDAD OPERACIONAL</t>
  </si>
  <si>
    <t>VIGILANCIA LAP</t>
  </si>
  <si>
    <t>ALMACEN LAP</t>
  </si>
  <si>
    <t>SEG OPERACIONAL</t>
  </si>
  <si>
    <t>OF TEC LAP</t>
  </si>
  <si>
    <t>OPERACIONES LAP</t>
  </si>
  <si>
    <t>PDR</t>
  </si>
  <si>
    <t>GARCIA BERROCAL JHESUS</t>
  </si>
  <si>
    <t>NETO A PAGAR AL 31/03/2025</t>
  </si>
  <si>
    <t>horas extras</t>
  </si>
  <si>
    <t>AFP 13.3% O 12.97% O 11.37%</t>
  </si>
  <si>
    <t>SUELDO QUINCENAL DEBE SER 951.25</t>
  </si>
  <si>
    <t>SELECCIONA 1500 EN VEZ DE 1586?</t>
  </si>
  <si>
    <t>SUELDO 2000+102.50?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</si>
</sst>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justify"/>
    </xf>
    <xf numFmtId="14" fontId="0" fillId="0" borderId="0" xfId="0" applyNumberFormat="1"/>
    <xf numFmtId="0" fontId="0" fillId="5" borderId="0" xfId="0" applyFill="1"/>
    <xf numFmtId="0" fontId="8" fillId="2" borderId="0" xfId="0" applyFont="1" applyFill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4" fontId="8" fillId="5" borderId="1" xfId="0" applyNumberFormat="1" applyFont="1" applyFill="1" applyBorder="1"/>
    <xf numFmtId="0" fontId="8" fillId="5" borderId="0" xfId="0" applyFont="1" applyFill="1"/>
    <xf numFmtId="14" fontId="8" fillId="5" borderId="1" xfId="0" applyNumberFormat="1" applyFont="1" applyFill="1" applyBorder="1"/>
    <xf numFmtId="4" fontId="10" fillId="5" borderId="1" xfId="0" applyNumberFormat="1" applyFont="1" applyFill="1" applyBorder="1"/>
    <xf numFmtId="0" fontId="8" fillId="4" borderId="0" xfId="0" applyFont="1" applyFill="1"/>
    <xf numFmtId="2" fontId="8" fillId="4" borderId="0" xfId="0" applyNumberFormat="1" applyFont="1" applyFill="1"/>
    <xf numFmtId="0" fontId="10" fillId="5" borderId="1" xfId="0" applyFont="1" applyFill="1" applyBorder="1"/>
    <xf numFmtId="2" fontId="8" fillId="5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8" fillId="6" borderId="1" xfId="0" applyFont="1" applyFill="1" applyBorder="1" applyAlignment="1">
      <alignment horizontal="center"/>
    </xf>
    <xf numFmtId="4" fontId="8" fillId="6" borderId="1" xfId="0" applyNumberFormat="1" applyFont="1" applyFill="1" applyBorder="1"/>
    <xf numFmtId="0" fontId="8" fillId="6" borderId="0" xfId="0" applyFont="1" applyFill="1"/>
    <xf numFmtId="2" fontId="8" fillId="6" borderId="1" xfId="0" applyNumberFormat="1" applyFont="1" applyFill="1" applyBorder="1" applyAlignment="1">
      <alignment horizontal="center"/>
    </xf>
    <xf numFmtId="14" fontId="8" fillId="6" borderId="2" xfId="0" applyNumberFormat="1" applyFont="1" applyFill="1" applyBorder="1"/>
    <xf numFmtId="2" fontId="8" fillId="6" borderId="0" xfId="0" applyNumberFormat="1" applyFont="1" applyFill="1"/>
    <xf numFmtId="4" fontId="11" fillId="2" borderId="1" xfId="0" applyNumberFormat="1" applyFont="1" applyFill="1" applyBorder="1"/>
    <xf numFmtId="0" fontId="4" fillId="6" borderId="0" xfId="0" applyFont="1" applyFill="1"/>
    <xf numFmtId="4" fontId="8" fillId="6" borderId="1" xfId="0" applyNumberFormat="1" applyFont="1" applyFill="1" applyBorder="1" applyAlignment="1">
      <alignment horizontal="center"/>
    </xf>
    <xf numFmtId="2" fontId="8" fillId="5" borderId="0" xfId="0" applyNumberFormat="1" applyFont="1" applyFill="1"/>
    <xf numFmtId="0" fontId="9" fillId="3" borderId="1" xfId="0" applyFont="1" applyFill="1" applyBorder="1"/>
    <xf numFmtId="4" fontId="7" fillId="6" borderId="1" xfId="0" applyNumberFormat="1" applyFont="1" applyFill="1" applyBorder="1"/>
    <xf numFmtId="4" fontId="7" fillId="3" borderId="1" xfId="0" applyNumberFormat="1" applyFont="1" applyFill="1" applyBorder="1"/>
    <xf numFmtId="0" fontId="1" fillId="2" borderId="1" xfId="0" applyFont="1" applyFill="1" applyBorder="1"/>
    <xf numFmtId="0" fontId="8" fillId="0" borderId="0" xfId="0" applyFont="1"/>
    <xf numFmtId="0" fontId="12" fillId="6" borderId="0" xfId="0" applyFont="1" applyFill="1"/>
    <xf numFmtId="4" fontId="12" fillId="0" borderId="0" xfId="0" applyNumberFormat="1" applyFont="1"/>
    <xf numFmtId="0" fontId="1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0" borderId="1" xfId="0" applyFont="1" applyBorder="1" applyAlignment="1">
      <alignment horizontal="center" vertical="justify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4" fontId="15" fillId="2" borderId="1" xfId="0" applyNumberFormat="1" applyFont="1" applyFill="1" applyBorder="1"/>
    <xf numFmtId="0" fontId="10" fillId="7" borderId="1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6" borderId="0" xfId="0" applyFill="1"/>
    <xf numFmtId="0" fontId="1" fillId="6" borderId="0" xfId="0" applyFont="1" applyFill="1"/>
    <xf numFmtId="0" fontId="0" fillId="2" borderId="0" xfId="0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5" borderId="0" xfId="0" applyNumberFormat="1" applyFill="1"/>
    <xf numFmtId="2" fontId="8" fillId="2" borderId="0" xfId="0" applyNumberFormat="1" applyFont="1" applyFill="1"/>
    <xf numFmtId="4" fontId="8" fillId="0" borderId="0" xfId="0" applyNumberFormat="1" applyFont="1"/>
    <xf numFmtId="0" fontId="9" fillId="2" borderId="1" xfId="0" applyFont="1" applyFill="1" applyBorder="1"/>
    <xf numFmtId="0" fontId="8" fillId="8" borderId="1" xfId="0" applyFont="1" applyFill="1" applyBorder="1" applyAlignment="1">
      <alignment horizontal="center"/>
    </xf>
    <xf numFmtId="4" fontId="8" fillId="8" borderId="1" xfId="0" applyNumberFormat="1" applyFont="1" applyFill="1" applyBorder="1" applyAlignment="1">
      <alignment horizontal="center"/>
    </xf>
    <xf numFmtId="4" fontId="8" fillId="8" borderId="1" xfId="0" applyNumberFormat="1" applyFont="1" applyFill="1" applyBorder="1"/>
    <xf numFmtId="14" fontId="8" fillId="8" borderId="2" xfId="0" applyNumberFormat="1" applyFont="1" applyFill="1" applyBorder="1"/>
    <xf numFmtId="14" fontId="8" fillId="0" borderId="2" xfId="0" applyNumberFormat="1" applyFont="1" applyFill="1" applyBorder="1"/>
    <xf numFmtId="4" fontId="8" fillId="0" borderId="1" xfId="0" applyNumberFormat="1" applyFont="1" applyFill="1" applyBorder="1"/>
    <xf numFmtId="14" fontId="8" fillId="0" borderId="1" xfId="0" applyNumberFormat="1" applyFont="1" applyFill="1" applyBorder="1"/>
    <xf numFmtId="14" fontId="8" fillId="0" borderId="0" xfId="0" applyNumberFormat="1" applyFont="1" applyFill="1"/>
    <xf numFmtId="4" fontId="8" fillId="0" borderId="0" xfId="0" applyNumberFormat="1" applyFont="1" applyFill="1"/>
    <xf numFmtId="0" fontId="14" fillId="2" borderId="3" xfId="0" applyFont="1" applyFill="1" applyBorder="1" applyAlignment="1">
      <alignment vertical="center"/>
    </xf>
    <xf numFmtId="0" fontId="8" fillId="0" borderId="0" xfId="0" applyFont="1" applyFill="1"/>
    <xf numFmtId="0" fontId="14" fillId="0" borderId="2" xfId="0" applyFont="1" applyFill="1" applyBorder="1" applyAlignment="1">
      <alignment vertical="center"/>
    </xf>
    <xf numFmtId="0" fontId="12" fillId="2" borderId="0" xfId="0" applyFont="1" applyFill="1"/>
    <xf numFmtId="2" fontId="12" fillId="2" borderId="0" xfId="0" applyNumberFormat="1" applyFont="1" applyFill="1"/>
    <xf numFmtId="0" fontId="12" fillId="0" borderId="0" xfId="0" applyFont="1" applyFill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DBADD8"/>
      <color rgb="FFFF66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3"/>
  <sheetViews>
    <sheetView tabSelected="1" topLeftCell="A44" zoomScaleNormal="100" workbookViewId="0">
      <selection activeCell="A58" sqref="A58:XFD58"/>
    </sheetView>
  </sheetViews>
  <sheetFormatPr baseColWidth="10" defaultColWidth="11.44140625" defaultRowHeight="14.4" x14ac:dyDescent="0.3"/>
  <cols>
    <col min="1" max="1" width="4.5546875" bestFit="1" customWidth="1"/>
    <col min="2" max="2" width="34.33203125" customWidth="1"/>
    <col min="3" max="3" width="17.88671875" customWidth="1"/>
    <col min="4" max="4" width="10.6640625" customWidth="1"/>
    <col min="5" max="5" width="9.33203125" customWidth="1"/>
    <col min="6" max="6" width="10.109375" customWidth="1"/>
    <col min="7" max="7" width="10.5546875" customWidth="1"/>
    <col min="8" max="8" width="14.33203125" customWidth="1"/>
    <col min="9" max="9" width="12.88671875" customWidth="1"/>
    <col min="10" max="10" width="12.109375" customWidth="1"/>
    <col min="12" max="12" width="14.5546875" customWidth="1"/>
    <col min="13" max="13" width="5.5546875" customWidth="1"/>
  </cols>
  <sheetData>
    <row r="1" spans="1:19" ht="21.6" thickBot="1" x14ac:dyDescent="0.45">
      <c r="B1" s="71" t="s">
        <v>59</v>
      </c>
      <c r="C1" s="71"/>
      <c r="D1" s="71"/>
      <c r="E1" s="71"/>
      <c r="F1" s="71"/>
      <c r="G1" s="71"/>
      <c r="H1" s="71"/>
      <c r="I1" s="71"/>
      <c r="L1" t="s">
        <v>70</v>
      </c>
    </row>
    <row r="2" spans="1:19" ht="43.8" thickBot="1" x14ac:dyDescent="0.35">
      <c r="A2" s="1" t="s">
        <v>0</v>
      </c>
      <c r="B2" s="1" t="s">
        <v>1</v>
      </c>
      <c r="C2" s="38" t="s">
        <v>60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9" s="12" customFormat="1" ht="16.2" thickBot="1" x14ac:dyDescent="0.35">
      <c r="A3" s="44">
        <v>1</v>
      </c>
      <c r="B3" s="16" t="s">
        <v>20</v>
      </c>
      <c r="C3" s="28">
        <f>(L3)-(L3*11.37%)+G3</f>
        <v>897.67</v>
      </c>
      <c r="D3" s="56">
        <v>15</v>
      </c>
      <c r="E3" s="56"/>
      <c r="F3" s="56"/>
      <c r="G3" s="57">
        <v>100</v>
      </c>
      <c r="H3" s="58">
        <v>900</v>
      </c>
      <c r="I3" s="59">
        <v>45274</v>
      </c>
      <c r="J3" s="58">
        <v>1800</v>
      </c>
      <c r="K3" s="19" t="s">
        <v>15</v>
      </c>
      <c r="L3" s="22">
        <f>(H3/15*D3)</f>
        <v>900</v>
      </c>
      <c r="M3" s="41" t="s">
        <v>11</v>
      </c>
      <c r="N3" s="46"/>
      <c r="S3" s="13"/>
    </row>
    <row r="4" spans="1:19" s="19" customFormat="1" ht="16.2" thickBot="1" x14ac:dyDescent="0.35">
      <c r="A4" s="44">
        <v>2</v>
      </c>
      <c r="B4" s="16" t="s">
        <v>24</v>
      </c>
      <c r="C4" s="28">
        <f>(L4)-(L4*11.37%)-F4</f>
        <v>930.17184999999995</v>
      </c>
      <c r="D4" s="17">
        <v>15</v>
      </c>
      <c r="E4" s="17"/>
      <c r="F4" s="17"/>
      <c r="G4" s="25"/>
      <c r="H4" s="18">
        <v>793</v>
      </c>
      <c r="I4" s="21">
        <v>45413</v>
      </c>
      <c r="J4" s="18">
        <v>1586</v>
      </c>
      <c r="K4" s="19" t="s">
        <v>15</v>
      </c>
      <c r="L4" s="22">
        <f>(H4/15*D4)+56.5+(4*(1500/30))</f>
        <v>1049.5</v>
      </c>
      <c r="M4" s="41" t="s">
        <v>11</v>
      </c>
      <c r="N4" s="47"/>
      <c r="S4" s="22"/>
    </row>
    <row r="5" spans="1:19" s="19" customFormat="1" ht="16.2" thickBot="1" x14ac:dyDescent="0.35">
      <c r="A5" s="44">
        <v>3</v>
      </c>
      <c r="B5" s="16" t="s">
        <v>45</v>
      </c>
      <c r="C5" s="28">
        <f>(L5)-(L5*11.37%)-F5</f>
        <v>1895.1065890000002</v>
      </c>
      <c r="D5" s="17">
        <v>15</v>
      </c>
      <c r="E5" s="17"/>
      <c r="F5" s="17">
        <v>54.78</v>
      </c>
      <c r="G5" s="25"/>
      <c r="H5" s="18">
        <v>1900</v>
      </c>
      <c r="I5" s="21">
        <v>45446</v>
      </c>
      <c r="J5" s="18">
        <v>3800</v>
      </c>
      <c r="K5" s="19" t="s">
        <v>15</v>
      </c>
      <c r="L5" s="22">
        <f>(H5/15*D5)+(19.79*13)+(21.38*2)</f>
        <v>2200.0300000000002</v>
      </c>
      <c r="M5" s="41" t="s">
        <v>44</v>
      </c>
      <c r="N5" s="48"/>
      <c r="O5" s="24"/>
      <c r="S5" s="22"/>
    </row>
    <row r="6" spans="1:19" s="19" customFormat="1" ht="18.600000000000001" thickBot="1" x14ac:dyDescent="0.4">
      <c r="A6" s="44">
        <v>5</v>
      </c>
      <c r="B6" s="16" t="s">
        <v>17</v>
      </c>
      <c r="C6" s="28">
        <f>(L6)-(L6*11.37%)-E6-F6</f>
        <v>2359.1851979999997</v>
      </c>
      <c r="D6" s="17">
        <v>15</v>
      </c>
      <c r="E6" s="17">
        <v>267.5</v>
      </c>
      <c r="F6" s="20">
        <v>54.78</v>
      </c>
      <c r="G6" s="18"/>
      <c r="H6" s="18">
        <v>1900</v>
      </c>
      <c r="I6" s="21">
        <v>45017</v>
      </c>
      <c r="J6" s="18">
        <v>3800</v>
      </c>
      <c r="K6" s="19" t="s">
        <v>15</v>
      </c>
      <c r="L6" s="22">
        <f>((H6/15)*D6)+(19.79*25)+(21.38*29.5)</f>
        <v>3025.46</v>
      </c>
      <c r="M6" s="42" t="s">
        <v>44</v>
      </c>
      <c r="N6" s="48"/>
      <c r="S6" s="22"/>
    </row>
    <row r="7" spans="1:19" s="19" customFormat="1" ht="18.600000000000001" thickBot="1" x14ac:dyDescent="0.4">
      <c r="A7" s="44">
        <v>6</v>
      </c>
      <c r="B7" s="16" t="s">
        <v>22</v>
      </c>
      <c r="C7" s="28">
        <f>(L7)-(L7*13%)-F7</f>
        <v>4906.5999000000002</v>
      </c>
      <c r="D7" s="17">
        <v>15</v>
      </c>
      <c r="E7" s="17"/>
      <c r="F7" s="20">
        <v>247.95</v>
      </c>
      <c r="G7" s="18"/>
      <c r="H7" s="18">
        <f>J7/2</f>
        <v>3250</v>
      </c>
      <c r="I7" s="21">
        <v>45293</v>
      </c>
      <c r="J7" s="18">
        <v>6500</v>
      </c>
      <c r="K7" s="19" t="s">
        <v>10</v>
      </c>
      <c r="L7" s="22">
        <f>(H7/15*D7)+(33.85*25)+(36.56*29.5)+750</f>
        <v>5924.77</v>
      </c>
      <c r="M7" s="42" t="s">
        <v>11</v>
      </c>
      <c r="N7" s="48"/>
      <c r="P7" s="32"/>
      <c r="S7" s="22"/>
    </row>
    <row r="8" spans="1:19" s="19" customFormat="1" ht="18.600000000000001" thickBot="1" x14ac:dyDescent="0.4">
      <c r="A8" s="44">
        <v>7</v>
      </c>
      <c r="B8" s="16" t="s">
        <v>21</v>
      </c>
      <c r="C8" s="28">
        <f>(L8)-(L8*11.37%)+G8-F8</f>
        <v>2613.2450174999999</v>
      </c>
      <c r="D8" s="17">
        <v>15</v>
      </c>
      <c r="E8" s="17"/>
      <c r="F8" s="20">
        <v>40.6</v>
      </c>
      <c r="G8" s="18">
        <v>250</v>
      </c>
      <c r="H8" s="18">
        <v>1750</v>
      </c>
      <c r="I8" s="21">
        <v>45293</v>
      </c>
      <c r="J8" s="18">
        <v>3500</v>
      </c>
      <c r="K8" s="19" t="s">
        <v>15</v>
      </c>
      <c r="L8" s="22">
        <f>(H8/15*D8)+(22*18.23)+(28.5*19.69)</f>
        <v>2712.2249999999999</v>
      </c>
      <c r="M8" s="42" t="s">
        <v>11</v>
      </c>
      <c r="N8" s="48"/>
      <c r="S8" s="22"/>
    </row>
    <row r="9" spans="1:19" s="19" customFormat="1" ht="18.600000000000001" thickBot="1" x14ac:dyDescent="0.4">
      <c r="A9" s="44">
        <v>8</v>
      </c>
      <c r="B9" s="16" t="s">
        <v>19</v>
      </c>
      <c r="C9" s="28">
        <f>(L9)-(L9*11.37%)+G9-E9</f>
        <v>1097.74595</v>
      </c>
      <c r="D9" s="17">
        <v>15</v>
      </c>
      <c r="E9" s="17"/>
      <c r="F9" s="20"/>
      <c r="G9" s="18">
        <v>250</v>
      </c>
      <c r="H9" s="18">
        <v>900</v>
      </c>
      <c r="I9" s="21">
        <v>45166</v>
      </c>
      <c r="J9" s="18">
        <v>1800</v>
      </c>
      <c r="K9" s="19" t="s">
        <v>15</v>
      </c>
      <c r="L9" s="22">
        <f>(H9/15*D9)+56.5</f>
        <v>956.5</v>
      </c>
      <c r="M9" s="42" t="s">
        <v>11</v>
      </c>
      <c r="N9" s="48"/>
      <c r="S9" s="22"/>
    </row>
    <row r="10" spans="1:19" s="19" customFormat="1" ht="18.600000000000001" thickBot="1" x14ac:dyDescent="0.4">
      <c r="A10" s="44">
        <v>9</v>
      </c>
      <c r="B10" s="16" t="s">
        <v>12</v>
      </c>
      <c r="C10" s="28">
        <f>((L10)-(L10*12.97%)-F10)-E10</f>
        <v>5637.7666500000005</v>
      </c>
      <c r="D10" s="17">
        <v>15</v>
      </c>
      <c r="E10" s="17"/>
      <c r="F10" s="20">
        <v>459.12</v>
      </c>
      <c r="G10" s="18"/>
      <c r="H10" s="18">
        <v>4500</v>
      </c>
      <c r="I10" s="21">
        <v>44198</v>
      </c>
      <c r="J10" s="18">
        <v>9000</v>
      </c>
      <c r="K10" s="19" t="s">
        <v>13</v>
      </c>
      <c r="L10" s="22">
        <f>(H10/15*D10)+56.5+(46.88*22)+(50.63*28)</f>
        <v>7005.5000000000009</v>
      </c>
      <c r="M10" s="42" t="s">
        <v>11</v>
      </c>
      <c r="N10" s="48"/>
      <c r="S10" s="22"/>
    </row>
    <row r="11" spans="1:19" s="19" customFormat="1" ht="18.600000000000001" thickBot="1" x14ac:dyDescent="0.4">
      <c r="A11" s="44">
        <v>10</v>
      </c>
      <c r="B11" s="16" t="s">
        <v>25</v>
      </c>
      <c r="C11" s="28">
        <f>(L11)-(L11*11.37%)-F11</f>
        <v>3733.2135969999995</v>
      </c>
      <c r="D11" s="17">
        <v>15</v>
      </c>
      <c r="E11" s="17"/>
      <c r="F11" s="20">
        <v>258.85000000000002</v>
      </c>
      <c r="G11" s="18"/>
      <c r="H11" s="18">
        <f>J11/2</f>
        <v>3300</v>
      </c>
      <c r="I11" s="21">
        <v>45474</v>
      </c>
      <c r="J11" s="18">
        <v>6600</v>
      </c>
      <c r="K11" s="19" t="s">
        <v>15</v>
      </c>
      <c r="L11" s="22">
        <f>(H11/15*D11)+(15.5*34.38)+(10*37.13)+300</f>
        <v>4504.1899999999996</v>
      </c>
      <c r="M11" s="42" t="s">
        <v>11</v>
      </c>
      <c r="N11" s="48"/>
      <c r="S11" s="22"/>
    </row>
    <row r="12" spans="1:19" s="12" customFormat="1" ht="18.600000000000001" thickBot="1" x14ac:dyDescent="0.4">
      <c r="A12" s="44">
        <v>11</v>
      </c>
      <c r="B12" s="27" t="s">
        <v>46</v>
      </c>
      <c r="C12" s="29">
        <f>(L12)-(L12*11.37%)-F12</f>
        <v>4199.2961179999993</v>
      </c>
      <c r="D12" s="17">
        <v>15</v>
      </c>
      <c r="E12" s="17"/>
      <c r="F12" s="20">
        <v>102.68</v>
      </c>
      <c r="G12" s="18"/>
      <c r="H12" s="18">
        <f>J12/2</f>
        <v>3250</v>
      </c>
      <c r="I12" s="21">
        <v>45712</v>
      </c>
      <c r="J12" s="18">
        <v>6500</v>
      </c>
      <c r="K12" s="19" t="s">
        <v>15</v>
      </c>
      <c r="L12" s="22">
        <f>(H12/15*D12)+(22*33.85)+(23.5*36.56)</f>
        <v>4853.8599999999997</v>
      </c>
      <c r="M12" s="42" t="s">
        <v>11</v>
      </c>
      <c r="N12" s="45"/>
      <c r="S12" s="13"/>
    </row>
    <row r="13" spans="1:19" s="19" customFormat="1" ht="18.600000000000001" thickBot="1" x14ac:dyDescent="0.4">
      <c r="A13" s="44">
        <v>12</v>
      </c>
      <c r="B13" s="16" t="s">
        <v>9</v>
      </c>
      <c r="C13" s="28">
        <f>(L13)-(L13*13%)</f>
        <v>1554.9988499999999</v>
      </c>
      <c r="D13" s="17">
        <v>15</v>
      </c>
      <c r="E13" s="17"/>
      <c r="F13" s="20"/>
      <c r="G13" s="18"/>
      <c r="H13" s="18">
        <v>900</v>
      </c>
      <c r="I13" s="21">
        <v>44169</v>
      </c>
      <c r="J13" s="18">
        <v>1902.5</v>
      </c>
      <c r="K13" s="19" t="s">
        <v>10</v>
      </c>
      <c r="L13" s="22">
        <f>(H13/15*D13)+56.5+(20*9.38)+(10.13*63.5)</f>
        <v>1787.355</v>
      </c>
      <c r="M13" s="42" t="s">
        <v>11</v>
      </c>
      <c r="N13" s="48"/>
      <c r="S13" s="22"/>
    </row>
    <row r="14" spans="1:19" s="19" customFormat="1" ht="18.600000000000001" thickBot="1" x14ac:dyDescent="0.4">
      <c r="A14" s="44">
        <v>13</v>
      </c>
      <c r="B14" s="27" t="s">
        <v>47</v>
      </c>
      <c r="C14" s="29">
        <f>(L14)-(L14*11.37%)</f>
        <v>664.72500000000002</v>
      </c>
      <c r="D14" s="17">
        <v>15</v>
      </c>
      <c r="E14" s="17"/>
      <c r="F14" s="20"/>
      <c r="G14" s="18"/>
      <c r="H14" s="18">
        <f>J14/2</f>
        <v>750</v>
      </c>
      <c r="I14" s="21">
        <v>45705</v>
      </c>
      <c r="J14" s="18">
        <v>1500</v>
      </c>
      <c r="K14" s="19" t="s">
        <v>15</v>
      </c>
      <c r="L14" s="22">
        <f>(H14/15*D14)</f>
        <v>750</v>
      </c>
      <c r="M14" s="42" t="s">
        <v>11</v>
      </c>
      <c r="N14" s="48"/>
      <c r="S14" s="22"/>
    </row>
    <row r="15" spans="1:19" s="19" customFormat="1" ht="18.600000000000001" thickBot="1" x14ac:dyDescent="0.4">
      <c r="A15" s="44">
        <v>14</v>
      </c>
      <c r="B15" s="16" t="s">
        <v>27</v>
      </c>
      <c r="C15" s="28">
        <f>(L15)-(L15*11.37%)</f>
        <v>664.72500000000002</v>
      </c>
      <c r="D15" s="17">
        <v>15</v>
      </c>
      <c r="E15" s="17"/>
      <c r="F15" s="20"/>
      <c r="G15" s="18"/>
      <c r="H15" s="18">
        <v>750</v>
      </c>
      <c r="I15" s="21">
        <v>44635</v>
      </c>
      <c r="J15" s="18">
        <v>1500</v>
      </c>
      <c r="K15" s="19" t="s">
        <v>15</v>
      </c>
      <c r="L15" s="22">
        <f>(H15/15*D15)</f>
        <v>750</v>
      </c>
      <c r="M15" s="42" t="s">
        <v>11</v>
      </c>
      <c r="N15" s="48"/>
      <c r="S15" s="22"/>
    </row>
    <row r="16" spans="1:19" s="19" customFormat="1" ht="18.600000000000001" thickBot="1" x14ac:dyDescent="0.4">
      <c r="A16" s="44">
        <v>15</v>
      </c>
      <c r="B16" s="16" t="s">
        <v>23</v>
      </c>
      <c r="C16" s="28">
        <f>(L16)-(L16*11.37%)-F16</f>
        <v>1988.9947375000002</v>
      </c>
      <c r="D16" s="17">
        <v>15</v>
      </c>
      <c r="E16" s="17"/>
      <c r="F16" s="20">
        <v>64.23</v>
      </c>
      <c r="G16" s="18"/>
      <c r="H16" s="18">
        <v>2000</v>
      </c>
      <c r="I16" s="21">
        <v>45293</v>
      </c>
      <c r="J16" s="18">
        <v>4000</v>
      </c>
      <c r="K16" s="19" t="s">
        <v>15</v>
      </c>
      <c r="L16" s="22">
        <f>(H16/15*D16)+(12.5*20.83)+(2.5*22.5)</f>
        <v>2316.625</v>
      </c>
      <c r="M16" s="42" t="s">
        <v>11</v>
      </c>
      <c r="N16" s="48"/>
      <c r="S16" s="22"/>
    </row>
    <row r="17" spans="1:42" s="19" customFormat="1" ht="18.600000000000001" thickBot="1" x14ac:dyDescent="0.4">
      <c r="A17" s="44">
        <v>16</v>
      </c>
      <c r="B17" s="16" t="s">
        <v>29</v>
      </c>
      <c r="C17" s="28">
        <f>(L17)-(L17*11.37%)</f>
        <v>2202.7213900000002</v>
      </c>
      <c r="D17" s="17">
        <v>15</v>
      </c>
      <c r="E17" s="17"/>
      <c r="F17" s="20">
        <v>16.97</v>
      </c>
      <c r="G17" s="18"/>
      <c r="H17" s="18">
        <f>J17/2</f>
        <v>1500</v>
      </c>
      <c r="I17" s="21">
        <v>45559</v>
      </c>
      <c r="J17" s="18">
        <v>3000</v>
      </c>
      <c r="K17" s="19" t="s">
        <v>15</v>
      </c>
      <c r="L17" s="22">
        <f>(H17/15*D17)+(15.63*22)+(38*16.88)</f>
        <v>2485.3000000000002</v>
      </c>
      <c r="M17" s="42" t="s">
        <v>11</v>
      </c>
      <c r="N17" s="48"/>
      <c r="S17" s="22"/>
    </row>
    <row r="18" spans="1:42" s="19" customFormat="1" ht="18.600000000000001" thickBot="1" x14ac:dyDescent="0.4">
      <c r="A18" s="44">
        <v>17</v>
      </c>
      <c r="B18" s="16" t="s">
        <v>28</v>
      </c>
      <c r="C18" s="28">
        <f>(L18)-(L18*11.37%)</f>
        <v>1921.0286609999998</v>
      </c>
      <c r="D18" s="17">
        <v>15</v>
      </c>
      <c r="E18" s="17"/>
      <c r="F18" s="20">
        <v>40.6</v>
      </c>
      <c r="G18" s="18"/>
      <c r="H18" s="18">
        <f>J18/2</f>
        <v>1750</v>
      </c>
      <c r="I18" s="21">
        <v>45546</v>
      </c>
      <c r="J18" s="18">
        <v>3500</v>
      </c>
      <c r="K18" s="19" t="s">
        <v>15</v>
      </c>
      <c r="L18" s="22">
        <f>(H18/15*D18)+56.5+(9*18.23)+(19.69*10)</f>
        <v>2167.4699999999998</v>
      </c>
      <c r="M18" s="42" t="s">
        <v>11</v>
      </c>
      <c r="N18" s="48"/>
      <c r="S18" s="22"/>
    </row>
    <row r="19" spans="1:42" s="19" customFormat="1" ht="18.600000000000001" thickBot="1" x14ac:dyDescent="0.4">
      <c r="A19" s="44">
        <v>18</v>
      </c>
      <c r="B19" s="16" t="s">
        <v>16</v>
      </c>
      <c r="C19" s="28">
        <f>(L19)-(L19*13%)-E19</f>
        <v>944.50674999999978</v>
      </c>
      <c r="D19" s="17">
        <v>15</v>
      </c>
      <c r="E19" s="17">
        <v>200</v>
      </c>
      <c r="F19" s="20"/>
      <c r="G19" s="18"/>
      <c r="H19" s="18">
        <v>900</v>
      </c>
      <c r="I19" s="21">
        <v>44886</v>
      </c>
      <c r="J19" s="18">
        <v>1800</v>
      </c>
      <c r="K19" s="19" t="s">
        <v>10</v>
      </c>
      <c r="L19" s="22">
        <f>(H19/15*D19)+(9.38*20)+(10.13*22.5)</f>
        <v>1315.5249999999999</v>
      </c>
      <c r="M19" s="42" t="s">
        <v>11</v>
      </c>
      <c r="N19" s="48"/>
      <c r="S19" s="22"/>
    </row>
    <row r="20" spans="1:42" ht="18.600000000000001" thickBot="1" x14ac:dyDescent="0.4">
      <c r="A20" s="44">
        <v>19</v>
      </c>
      <c r="B20" s="16" t="s">
        <v>18</v>
      </c>
      <c r="C20" s="28">
        <f>(L20)-(L20*11.37%)-F20</f>
        <v>2089.2010574999999</v>
      </c>
      <c r="D20" s="17">
        <v>15</v>
      </c>
      <c r="E20" s="17"/>
      <c r="F20" s="20">
        <v>40.6</v>
      </c>
      <c r="G20" s="18"/>
      <c r="H20" s="18">
        <f>J20/2</f>
        <v>1750</v>
      </c>
      <c r="I20" s="21">
        <v>45553</v>
      </c>
      <c r="J20" s="18">
        <v>3500</v>
      </c>
      <c r="K20" s="19" t="s">
        <v>15</v>
      </c>
      <c r="L20" s="22">
        <f>(H20/15*D20)+(18*18.23)+(16.5*19.69)</f>
        <v>2403.0250000000001</v>
      </c>
      <c r="M20" s="42" t="s">
        <v>11</v>
      </c>
      <c r="N20" s="4"/>
      <c r="O20" s="4"/>
      <c r="P20" s="4"/>
      <c r="Q20" s="4"/>
      <c r="R20" s="4"/>
      <c r="S20" s="52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8.600000000000001" thickBot="1" x14ac:dyDescent="0.4">
      <c r="A21" s="44">
        <v>20</v>
      </c>
      <c r="B21" s="16" t="s">
        <v>14</v>
      </c>
      <c r="C21" s="28">
        <f>(L21)-(L21*11.37%)</f>
        <v>500.7595</v>
      </c>
      <c r="D21" s="17">
        <v>15</v>
      </c>
      <c r="E21" s="17"/>
      <c r="F21" s="17"/>
      <c r="G21" s="18"/>
      <c r="H21" s="18">
        <f>J21/2</f>
        <v>565</v>
      </c>
      <c r="I21" s="21">
        <v>44870</v>
      </c>
      <c r="J21" s="18">
        <v>1130</v>
      </c>
      <c r="K21" s="19" t="s">
        <v>15</v>
      </c>
      <c r="L21" s="22">
        <f>(H21/15*D21)</f>
        <v>565</v>
      </c>
      <c r="M21" s="42" t="s">
        <v>11</v>
      </c>
      <c r="N21" s="4"/>
      <c r="O21" s="4"/>
      <c r="P21" s="4"/>
      <c r="Q21" s="4"/>
      <c r="R21" s="4"/>
      <c r="S21" s="52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8.600000000000001" thickBot="1" x14ac:dyDescent="0.4">
      <c r="A22" s="44">
        <v>21</v>
      </c>
      <c r="B22" s="16" t="s">
        <v>26</v>
      </c>
      <c r="C22" s="28">
        <f>(L22)-(L22*11.37%)-F22</f>
        <v>1956.3809500000002</v>
      </c>
      <c r="D22" s="17">
        <v>15</v>
      </c>
      <c r="E22" s="17"/>
      <c r="F22" s="17">
        <v>87.87</v>
      </c>
      <c r="G22" s="25"/>
      <c r="H22" s="18">
        <f>J22/2</f>
        <v>2250</v>
      </c>
      <c r="I22" s="21">
        <v>45505</v>
      </c>
      <c r="J22" s="18">
        <v>4500</v>
      </c>
      <c r="K22" s="19" t="s">
        <v>15</v>
      </c>
      <c r="L22" s="22">
        <f>(H22/15*D22)+56.5</f>
        <v>2306.5</v>
      </c>
      <c r="M22" s="42" t="s">
        <v>11</v>
      </c>
      <c r="N22" s="4"/>
      <c r="O22" s="4"/>
      <c r="P22" s="4"/>
      <c r="Q22" s="4"/>
      <c r="R22" s="4"/>
      <c r="S22" s="52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8.600000000000001" thickBot="1" x14ac:dyDescent="0.4">
      <c r="A23" s="44">
        <v>22</v>
      </c>
      <c r="B23" s="16" t="s">
        <v>30</v>
      </c>
      <c r="C23" s="28">
        <f>(L23)-(L23*11.37%)</f>
        <v>2788.7163610000002</v>
      </c>
      <c r="D23" s="17">
        <v>15</v>
      </c>
      <c r="E23" s="17"/>
      <c r="F23" s="17">
        <v>87.87</v>
      </c>
      <c r="G23" s="18"/>
      <c r="H23" s="18">
        <f>J23/2</f>
        <v>2250</v>
      </c>
      <c r="I23" s="21">
        <v>45580</v>
      </c>
      <c r="J23" s="18">
        <v>4500</v>
      </c>
      <c r="K23" s="19" t="s">
        <v>15</v>
      </c>
      <c r="L23" s="22">
        <f>(H23/15*D23)+56.5+(23.44*11)+(25.31*23)</f>
        <v>3146.4700000000003</v>
      </c>
      <c r="M23" s="42" t="s">
        <v>11</v>
      </c>
      <c r="N23" s="4"/>
      <c r="O23" s="4"/>
      <c r="P23" s="4"/>
      <c r="Q23" s="4"/>
      <c r="R23" s="4"/>
      <c r="S23" s="52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s="5" customFormat="1" ht="18.600000000000001" thickBot="1" x14ac:dyDescent="0.4">
      <c r="A24" s="44">
        <v>23</v>
      </c>
      <c r="B24" s="14" t="s">
        <v>33</v>
      </c>
      <c r="C24" s="11">
        <f>(L24)-(L24*13%)-F24</f>
        <v>2751.32</v>
      </c>
      <c r="D24" s="7">
        <v>15</v>
      </c>
      <c r="E24" s="7"/>
      <c r="F24" s="15">
        <v>293.68</v>
      </c>
      <c r="G24" s="7"/>
      <c r="H24" s="8">
        <v>3500</v>
      </c>
      <c r="I24" s="10">
        <v>42415</v>
      </c>
      <c r="J24" s="8">
        <v>7000</v>
      </c>
      <c r="K24" s="9" t="s">
        <v>10</v>
      </c>
      <c r="L24" s="26">
        <f>(H24/15*D24)</f>
        <v>3500</v>
      </c>
      <c r="M24" s="42"/>
      <c r="N24" s="49"/>
      <c r="S24" s="53"/>
    </row>
    <row r="25" spans="1:42" s="5" customFormat="1" ht="18.600000000000001" thickBot="1" x14ac:dyDescent="0.4">
      <c r="A25" s="44">
        <v>24</v>
      </c>
      <c r="B25" s="14" t="s">
        <v>34</v>
      </c>
      <c r="C25" s="11">
        <f>(L25)-(L25*13%)</f>
        <v>1305</v>
      </c>
      <c r="D25" s="7">
        <v>15</v>
      </c>
      <c r="E25" s="7"/>
      <c r="F25" s="15"/>
      <c r="G25" s="7"/>
      <c r="H25" s="8">
        <v>1500</v>
      </c>
      <c r="I25" s="10">
        <v>42415</v>
      </c>
      <c r="J25" s="8">
        <v>3000</v>
      </c>
      <c r="K25" s="9" t="s">
        <v>10</v>
      </c>
      <c r="L25" s="26">
        <f>(H25/15*D25)</f>
        <v>1500</v>
      </c>
      <c r="M25" s="42"/>
      <c r="N25" s="49"/>
      <c r="S25" s="53"/>
    </row>
    <row r="26" spans="1:42" s="5" customFormat="1" ht="18.600000000000001" thickBot="1" x14ac:dyDescent="0.4">
      <c r="A26" s="44">
        <v>25</v>
      </c>
      <c r="B26" s="14" t="s">
        <v>35</v>
      </c>
      <c r="C26" s="11">
        <f>(L26)-(L26*13%)-F26</f>
        <v>2095.9049999999997</v>
      </c>
      <c r="D26" s="7">
        <v>15</v>
      </c>
      <c r="E26" s="7"/>
      <c r="F26" s="15">
        <v>128.25</v>
      </c>
      <c r="G26" s="7"/>
      <c r="H26" s="8">
        <v>2500</v>
      </c>
      <c r="I26" s="10">
        <v>42857</v>
      </c>
      <c r="J26" s="8">
        <v>5000</v>
      </c>
      <c r="K26" s="9" t="s">
        <v>10</v>
      </c>
      <c r="L26" s="26">
        <f>(H26/15*D26)+56.5</f>
        <v>2556.5</v>
      </c>
      <c r="M26" s="42"/>
      <c r="N26" s="49"/>
      <c r="S26" s="53"/>
    </row>
    <row r="27" spans="1:42" s="5" customFormat="1" ht="15" thickBot="1" x14ac:dyDescent="0.35">
      <c r="A27" s="44">
        <v>26</v>
      </c>
      <c r="B27" s="14" t="s">
        <v>36</v>
      </c>
      <c r="C27" s="11">
        <f>(L27)-(L27*11.37%)-F27</f>
        <v>1708.3700000000001</v>
      </c>
      <c r="D27" s="7">
        <v>15</v>
      </c>
      <c r="E27" s="7"/>
      <c r="F27" s="15">
        <v>64.23</v>
      </c>
      <c r="G27" s="7"/>
      <c r="H27" s="8">
        <v>2000</v>
      </c>
      <c r="I27" s="10">
        <v>42415</v>
      </c>
      <c r="J27" s="8">
        <v>4000</v>
      </c>
      <c r="K27" s="9" t="s">
        <v>15</v>
      </c>
      <c r="L27" s="26">
        <f>(H27/15*D27)</f>
        <v>2000.0000000000002</v>
      </c>
      <c r="M27" s="31"/>
      <c r="N27" s="49"/>
      <c r="S27" s="53"/>
    </row>
    <row r="28" spans="1:42" s="5" customFormat="1" ht="15" thickBot="1" x14ac:dyDescent="0.35">
      <c r="A28" s="44">
        <v>27</v>
      </c>
      <c r="B28" s="14" t="s">
        <v>32</v>
      </c>
      <c r="C28" s="11">
        <f>(L28)-(L28*11.37%)+G28</f>
        <v>1186.3759500000001</v>
      </c>
      <c r="D28" s="7">
        <v>15</v>
      </c>
      <c r="E28" s="6"/>
      <c r="F28" s="7"/>
      <c r="G28" s="7">
        <v>250</v>
      </c>
      <c r="H28" s="8">
        <v>1000</v>
      </c>
      <c r="I28" s="10">
        <v>44046</v>
      </c>
      <c r="J28" s="8">
        <f>2000+102.5</f>
        <v>2102.5</v>
      </c>
      <c r="K28" s="9" t="s">
        <v>15</v>
      </c>
      <c r="L28" s="9">
        <f>(H28/15*D28)+56.5</f>
        <v>1056.5</v>
      </c>
      <c r="M28" s="31"/>
      <c r="N28" s="49"/>
      <c r="S28" s="53"/>
    </row>
    <row r="29" spans="1:42" s="5" customFormat="1" ht="15" thickBot="1" x14ac:dyDescent="0.35">
      <c r="A29" s="44">
        <v>1</v>
      </c>
      <c r="M29" s="31" t="s">
        <v>11</v>
      </c>
      <c r="N29" s="49"/>
      <c r="S29" s="53"/>
    </row>
    <row r="30" spans="1:42" s="5" customFormat="1" ht="15" thickBot="1" x14ac:dyDescent="0.35">
      <c r="A30" s="44">
        <v>2</v>
      </c>
      <c r="M30" s="31" t="s">
        <v>11</v>
      </c>
      <c r="N30" s="49"/>
      <c r="S30" s="53"/>
    </row>
    <row r="31" spans="1:42" ht="15" thickBot="1" x14ac:dyDescent="0.35">
      <c r="A31" s="44">
        <v>3</v>
      </c>
      <c r="M31" s="31" t="s">
        <v>11</v>
      </c>
    </row>
    <row r="32" spans="1:42" ht="15" thickBot="1" x14ac:dyDescent="0.35">
      <c r="A32" s="44">
        <v>4</v>
      </c>
      <c r="M32" s="31" t="s">
        <v>11</v>
      </c>
    </row>
    <row r="33" spans="1:41" ht="15" thickBot="1" x14ac:dyDescent="0.35">
      <c r="A33" s="44">
        <v>5</v>
      </c>
      <c r="M33" s="31" t="s">
        <v>11</v>
      </c>
    </row>
    <row r="34" spans="1:41" ht="15" thickBot="1" x14ac:dyDescent="0.35">
      <c r="A34" s="44">
        <v>6</v>
      </c>
      <c r="M34" s="31" t="s">
        <v>11</v>
      </c>
    </row>
    <row r="35" spans="1:41" ht="15" thickBot="1" x14ac:dyDescent="0.35">
      <c r="A35" s="44">
        <v>7</v>
      </c>
      <c r="M35" s="31" t="s">
        <v>11</v>
      </c>
    </row>
    <row r="36" spans="1:41" ht="15" thickBot="1" x14ac:dyDescent="0.35">
      <c r="A36" s="44">
        <v>8</v>
      </c>
      <c r="M36" s="31" t="s">
        <v>11</v>
      </c>
    </row>
    <row r="37" spans="1:41" ht="15" thickBot="1" x14ac:dyDescent="0.35">
      <c r="A37" s="44">
        <v>9</v>
      </c>
      <c r="M37" s="31" t="s">
        <v>11</v>
      </c>
    </row>
    <row r="38" spans="1:41" ht="20.399999999999999" thickBot="1" x14ac:dyDescent="0.45">
      <c r="A38" s="44"/>
      <c r="B38" s="34" t="s">
        <v>49</v>
      </c>
      <c r="C38" s="43">
        <f ca="1">SUM(C3:C82)</f>
        <v>0</v>
      </c>
    </row>
    <row r="39" spans="1:41" x14ac:dyDescent="0.3">
      <c r="C39" s="33"/>
    </row>
    <row r="40" spans="1:41" x14ac:dyDescent="0.3">
      <c r="C40" s="33"/>
    </row>
    <row r="41" spans="1:41" x14ac:dyDescent="0.3">
      <c r="C41" s="33"/>
    </row>
    <row r="42" spans="1:41" x14ac:dyDescent="0.3">
      <c r="C42" s="33"/>
    </row>
    <row r="43" spans="1:41" x14ac:dyDescent="0.3">
      <c r="C43" s="33"/>
    </row>
    <row r="44" spans="1:41" x14ac:dyDescent="0.3">
      <c r="C44" s="33"/>
    </row>
    <row r="45" spans="1:41" ht="21.6" thickBot="1" x14ac:dyDescent="0.45">
      <c r="B45" s="71" t="s">
        <v>43</v>
      </c>
      <c r="C45" s="71"/>
      <c r="D45" s="71"/>
      <c r="E45" s="71"/>
      <c r="F45" s="71"/>
      <c r="G45" s="71"/>
      <c r="H45" s="71"/>
      <c r="I45" s="71"/>
    </row>
    <row r="46" spans="1:41" ht="43.8" thickBot="1" x14ac:dyDescent="0.35">
      <c r="A46" s="1" t="s">
        <v>0</v>
      </c>
      <c r="B46" s="1" t="s">
        <v>1</v>
      </c>
      <c r="C46" s="38" t="s">
        <v>69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</row>
    <row r="47" spans="1:41" s="12" customFormat="1" ht="16.2" thickBot="1" x14ac:dyDescent="0.35">
      <c r="A47" s="44">
        <v>1</v>
      </c>
      <c r="B47" s="16" t="s">
        <v>20</v>
      </c>
      <c r="C47" s="28">
        <f>(L47)-(L47*11.37%)+G47</f>
        <v>897.67</v>
      </c>
      <c r="D47" s="17">
        <v>15</v>
      </c>
      <c r="E47" s="17"/>
      <c r="F47" s="17"/>
      <c r="G47" s="25">
        <v>100</v>
      </c>
      <c r="H47" s="61">
        <v>900</v>
      </c>
      <c r="I47" s="60">
        <v>45274</v>
      </c>
      <c r="J47" s="61">
        <v>1800</v>
      </c>
      <c r="K47" s="66" t="s">
        <v>15</v>
      </c>
      <c r="L47" s="22">
        <f>(H47/15*D47)</f>
        <v>900</v>
      </c>
      <c r="M47" s="41" t="s">
        <v>44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s="19" customFormat="1" ht="16.2" thickBot="1" x14ac:dyDescent="0.35">
      <c r="A48" s="44">
        <v>2</v>
      </c>
      <c r="B48" s="16" t="s">
        <v>24</v>
      </c>
      <c r="C48" s="28">
        <f>(L48)-(L48*11.37%)-F48</f>
        <v>930.17184999999995</v>
      </c>
      <c r="D48" s="17">
        <v>15</v>
      </c>
      <c r="E48" s="17"/>
      <c r="F48" s="17"/>
      <c r="G48" s="25"/>
      <c r="H48" s="61">
        <v>793</v>
      </c>
      <c r="I48" s="60">
        <v>45413</v>
      </c>
      <c r="J48" s="61">
        <v>1586</v>
      </c>
      <c r="K48" s="66" t="s">
        <v>15</v>
      </c>
      <c r="L48" s="22">
        <f>(H48/15*D48)+56.5+(4*(1500/30))</f>
        <v>1049.5</v>
      </c>
      <c r="M48" s="41" t="s">
        <v>44</v>
      </c>
      <c r="N48" s="69">
        <f>(H48/15*D48)+56.5+(4*(1586/30))</f>
        <v>1060.9666666666667</v>
      </c>
      <c r="O48" s="41" t="s">
        <v>73</v>
      </c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s="19" customFormat="1" ht="16.2" thickBot="1" x14ac:dyDescent="0.35">
      <c r="A49" s="44">
        <v>3</v>
      </c>
      <c r="B49" s="16" t="s">
        <v>45</v>
      </c>
      <c r="C49" s="28">
        <f>(L49)-(L49*11.37%)-F49</f>
        <v>1876.8621035000001</v>
      </c>
      <c r="D49" s="17">
        <v>15</v>
      </c>
      <c r="E49" s="17"/>
      <c r="F49" s="17">
        <v>54.78</v>
      </c>
      <c r="G49" s="25"/>
      <c r="H49" s="61">
        <v>1900</v>
      </c>
      <c r="I49" s="60">
        <v>45446</v>
      </c>
      <c r="J49" s="61">
        <v>3800</v>
      </c>
      <c r="K49" s="66" t="s">
        <v>15</v>
      </c>
      <c r="L49" s="22">
        <f>(H49/15*D49)+(19.79*12.5)+(21.38*1.5)</f>
        <v>2179.4450000000002</v>
      </c>
      <c r="M49" s="41" t="s">
        <v>44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s="12" customFormat="1" ht="18.600000000000001" thickBot="1" x14ac:dyDescent="0.4">
      <c r="A50" s="44">
        <v>4</v>
      </c>
      <c r="B50" s="16" t="s">
        <v>17</v>
      </c>
      <c r="C50" s="28">
        <f>(L50)-(L50*11.37%)-E50-F50</f>
        <v>2585.1651089999996</v>
      </c>
      <c r="D50" s="17">
        <v>15</v>
      </c>
      <c r="E50" s="17">
        <v>267.5</v>
      </c>
      <c r="F50" s="20">
        <v>54.78</v>
      </c>
      <c r="G50" s="18"/>
      <c r="H50" s="61">
        <v>1900</v>
      </c>
      <c r="I50" s="60">
        <v>45017</v>
      </c>
      <c r="J50" s="61">
        <v>3800</v>
      </c>
      <c r="K50" s="66" t="s">
        <v>15</v>
      </c>
      <c r="L50" s="22">
        <f>(H50/15)*D50+(19.79*26)+(21.38*40.5)</f>
        <v>3280.43</v>
      </c>
      <c r="M50" s="42" t="s">
        <v>44</v>
      </c>
      <c r="N50" s="42"/>
      <c r="O50" s="31"/>
      <c r="P50" s="4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s="19" customFormat="1" ht="18.600000000000001" thickBot="1" x14ac:dyDescent="0.4">
      <c r="A51" s="44">
        <v>5</v>
      </c>
      <c r="B51" s="16" t="s">
        <v>22</v>
      </c>
      <c r="C51" s="28">
        <f>(L51)-(L51*13%)-F51</f>
        <v>3598.5664999999999</v>
      </c>
      <c r="D51" s="17">
        <v>15</v>
      </c>
      <c r="E51" s="17"/>
      <c r="F51" s="20">
        <v>247.95</v>
      </c>
      <c r="G51" s="18"/>
      <c r="H51" s="61">
        <f>J51/2</f>
        <v>3250</v>
      </c>
      <c r="I51" s="60">
        <v>45293</v>
      </c>
      <c r="J51" s="61">
        <v>6500</v>
      </c>
      <c r="K51" s="66" t="s">
        <v>10</v>
      </c>
      <c r="L51" s="22">
        <f>(H51/15*D51)+(33.85*11)+(36.56*10)+(2*(6500/30))</f>
        <v>4421.2833333333328</v>
      </c>
      <c r="M51" s="42" t="s">
        <v>44</v>
      </c>
      <c r="N51" s="4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s="19" customFormat="1" ht="18.600000000000001" thickBot="1" x14ac:dyDescent="0.4">
      <c r="A52" s="44">
        <v>6</v>
      </c>
      <c r="B52" s="16" t="s">
        <v>21</v>
      </c>
      <c r="C52" s="28">
        <f>(L52)-(L52*11.37%)+G52-F52</f>
        <v>2987.7761943333339</v>
      </c>
      <c r="D52" s="17">
        <v>15</v>
      </c>
      <c r="E52" s="17"/>
      <c r="F52" s="20">
        <v>40.6</v>
      </c>
      <c r="G52" s="18">
        <v>250</v>
      </c>
      <c r="H52" s="61">
        <v>1750</v>
      </c>
      <c r="I52" s="60">
        <v>45293</v>
      </c>
      <c r="J52" s="61">
        <v>3500</v>
      </c>
      <c r="K52" s="66" t="s">
        <v>15</v>
      </c>
      <c r="L52" s="22">
        <f>(H52/15*D52)+(20.5*18.23)+(39.5*19.69)+(2*(3500/30))</f>
        <v>3134.8033333333337</v>
      </c>
      <c r="M52" s="42" t="s">
        <v>44</v>
      </c>
      <c r="N52" s="4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s="19" customFormat="1" ht="18.600000000000001" thickBot="1" x14ac:dyDescent="0.4">
      <c r="A53" s="44">
        <v>7</v>
      </c>
      <c r="B53" s="55" t="s">
        <v>68</v>
      </c>
      <c r="C53" s="28">
        <f>(L53)-(L53*11.37%)+G53-F53</f>
        <v>390.24675300000001</v>
      </c>
      <c r="D53" s="17">
        <v>6</v>
      </c>
      <c r="E53" s="17"/>
      <c r="F53" s="20"/>
      <c r="G53" s="18"/>
      <c r="H53" s="61">
        <f>J53/2</f>
        <v>1000</v>
      </c>
      <c r="I53" s="60">
        <v>45741</v>
      </c>
      <c r="J53" s="61">
        <v>2000</v>
      </c>
      <c r="K53" s="66" t="s">
        <v>15</v>
      </c>
      <c r="L53" s="22">
        <f>(H53/15*D53)+(3*7.81)+(2*8.44)</f>
        <v>440.31</v>
      </c>
      <c r="M53" s="42" t="s">
        <v>44</v>
      </c>
      <c r="N53" s="4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s="19" customFormat="1" ht="20.25" customHeight="1" thickBot="1" x14ac:dyDescent="0.4">
      <c r="A54" s="44">
        <v>8</v>
      </c>
      <c r="B54" s="16" t="s">
        <v>19</v>
      </c>
      <c r="C54" s="28">
        <f>(L54)-(L54*11.37%)+G54-E54</f>
        <v>1097.74595</v>
      </c>
      <c r="D54" s="17">
        <v>15</v>
      </c>
      <c r="E54" s="17"/>
      <c r="F54" s="20"/>
      <c r="G54" s="18">
        <v>250</v>
      </c>
      <c r="H54" s="61">
        <v>900</v>
      </c>
      <c r="I54" s="60">
        <v>45166</v>
      </c>
      <c r="J54" s="61">
        <v>1800</v>
      </c>
      <c r="K54" s="66" t="s">
        <v>15</v>
      </c>
      <c r="L54" s="22">
        <f>(H54/15*D54)+56.5</f>
        <v>956.5</v>
      </c>
      <c r="M54" s="42" t="s">
        <v>44</v>
      </c>
      <c r="N54" s="66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s="19" customFormat="1" ht="18.600000000000001" thickBot="1" x14ac:dyDescent="0.4">
      <c r="A55" s="44">
        <v>9</v>
      </c>
      <c r="B55" s="16" t="s">
        <v>12</v>
      </c>
      <c r="C55" s="28">
        <f>((L55)-(L55*12.97%)-F55)-E55</f>
        <v>7111.3368525000014</v>
      </c>
      <c r="D55" s="17">
        <v>15</v>
      </c>
      <c r="E55" s="17"/>
      <c r="F55" s="20">
        <v>459.12</v>
      </c>
      <c r="G55" s="18"/>
      <c r="H55" s="61">
        <v>4500</v>
      </c>
      <c r="I55" s="60">
        <v>44198</v>
      </c>
      <c r="J55" s="61">
        <v>9000</v>
      </c>
      <c r="K55" s="66" t="s">
        <v>13</v>
      </c>
      <c r="L55" s="22">
        <f>(H55/15*D55)+56.5+(46.88*25.5)+(50.63*34.5)+(4*(9000/30))</f>
        <v>8698.6750000000011</v>
      </c>
      <c r="M55" s="42" t="s">
        <v>44</v>
      </c>
      <c r="N55" s="69">
        <f>((L55)-(L55*11.37%)-F55)-E55</f>
        <v>7250.5156525000011</v>
      </c>
      <c r="O55" s="70" t="s">
        <v>71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s="19" customFormat="1" ht="18.600000000000001" thickBot="1" x14ac:dyDescent="0.4">
      <c r="A56" s="44">
        <v>10</v>
      </c>
      <c r="B56" s="16" t="s">
        <v>25</v>
      </c>
      <c r="C56" s="28">
        <f>(L56)-(L56*11.37%)-F56</f>
        <v>3125.4422350000004</v>
      </c>
      <c r="D56" s="17">
        <v>15</v>
      </c>
      <c r="E56" s="17"/>
      <c r="F56" s="20">
        <v>258.85000000000002</v>
      </c>
      <c r="G56" s="18"/>
      <c r="H56" s="61">
        <f>J56/2</f>
        <v>3300</v>
      </c>
      <c r="I56" s="60">
        <v>45474</v>
      </c>
      <c r="J56" s="61">
        <v>6600</v>
      </c>
      <c r="K56" s="66" t="s">
        <v>15</v>
      </c>
      <c r="L56" s="22">
        <f>(H56/15*D56)+(14*34.38)+(1*37.13)</f>
        <v>3818.4500000000003</v>
      </c>
      <c r="M56" s="42" t="s">
        <v>44</v>
      </c>
      <c r="N56" s="4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s="19" customFormat="1" ht="18.600000000000001" thickBot="1" x14ac:dyDescent="0.4">
      <c r="A57" s="44">
        <v>11</v>
      </c>
      <c r="B57" s="16" t="s">
        <v>46</v>
      </c>
      <c r="C57" s="28">
        <f>(L57)-(L57*11.37%)-F57</f>
        <v>4631.9345999999996</v>
      </c>
      <c r="D57" s="17">
        <v>15</v>
      </c>
      <c r="E57" s="17"/>
      <c r="F57" s="20">
        <v>102.68</v>
      </c>
      <c r="G57" s="18"/>
      <c r="H57" s="61">
        <f>J57/2</f>
        <v>3250</v>
      </c>
      <c r="I57" s="60">
        <v>45712</v>
      </c>
      <c r="J57" s="61">
        <v>6500</v>
      </c>
      <c r="K57" s="66" t="s">
        <v>15</v>
      </c>
      <c r="L57" s="22">
        <f>(H57/15*D57)+(24*33.85)+(35*36.56)</f>
        <v>5342</v>
      </c>
      <c r="M57" s="42" t="s">
        <v>44</v>
      </c>
      <c r="N57" s="4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s="19" customFormat="1" ht="18.600000000000001" thickBot="1" x14ac:dyDescent="0.4">
      <c r="A58" s="44">
        <v>12</v>
      </c>
      <c r="B58" s="16" t="s">
        <v>9</v>
      </c>
      <c r="C58" s="28">
        <f>(L58)-(L58*13%)</f>
        <v>1568.6578499999998</v>
      </c>
      <c r="D58" s="17">
        <v>15</v>
      </c>
      <c r="E58" s="17"/>
      <c r="F58" s="20"/>
      <c r="G58" s="18"/>
      <c r="H58" s="61">
        <v>900</v>
      </c>
      <c r="I58" s="60">
        <v>44169</v>
      </c>
      <c r="J58" s="61">
        <v>1902.5</v>
      </c>
      <c r="K58" s="66" t="s">
        <v>10</v>
      </c>
      <c r="L58" s="22">
        <f>(H58/15*D58)+56.5+(24*9.38)+(10.13*49.5)+(2*(1800/30))</f>
        <v>1803.0549999999998</v>
      </c>
      <c r="M58" s="42" t="s">
        <v>44</v>
      </c>
      <c r="N58" s="68">
        <f>J58/2</f>
        <v>951.25</v>
      </c>
      <c r="O58" s="70" t="s">
        <v>72</v>
      </c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s="19" customFormat="1" ht="18.600000000000001" thickBot="1" x14ac:dyDescent="0.4">
      <c r="A59" s="44">
        <v>13</v>
      </c>
      <c r="B59" s="16" t="s">
        <v>47</v>
      </c>
      <c r="C59" s="28">
        <f>(L59)-(L59*11.37%)</f>
        <v>714.80095000000006</v>
      </c>
      <c r="D59" s="17">
        <v>15</v>
      </c>
      <c r="E59" s="17"/>
      <c r="F59" s="20"/>
      <c r="G59" s="18"/>
      <c r="H59" s="61">
        <f>J59/2</f>
        <v>750</v>
      </c>
      <c r="I59" s="60">
        <v>45705</v>
      </c>
      <c r="J59" s="61">
        <v>1500</v>
      </c>
      <c r="K59" s="66" t="s">
        <v>15</v>
      </c>
      <c r="L59" s="22">
        <f>(H59/15*D59)+56.5</f>
        <v>806.5</v>
      </c>
      <c r="M59" s="42" t="s">
        <v>44</v>
      </c>
      <c r="N59" s="4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s="12" customFormat="1" ht="18.600000000000001" thickBot="1" x14ac:dyDescent="0.4">
      <c r="A60" s="44">
        <v>14</v>
      </c>
      <c r="B60" s="16" t="s">
        <v>27</v>
      </c>
      <c r="C60" s="28">
        <f>(L60)-(L60*11.37%)</f>
        <v>664.72500000000002</v>
      </c>
      <c r="D60" s="17">
        <v>15</v>
      </c>
      <c r="E60" s="17"/>
      <c r="F60" s="20"/>
      <c r="G60" s="18"/>
      <c r="H60" s="61">
        <v>750</v>
      </c>
      <c r="I60" s="60">
        <v>44635</v>
      </c>
      <c r="J60" s="61">
        <v>1500</v>
      </c>
      <c r="K60" s="66" t="s">
        <v>15</v>
      </c>
      <c r="L60" s="22">
        <f>(H60/15*D60)</f>
        <v>750</v>
      </c>
      <c r="M60" s="42" t="s">
        <v>44</v>
      </c>
      <c r="N60" s="4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s="19" customFormat="1" ht="18.600000000000001" thickBot="1" x14ac:dyDescent="0.4">
      <c r="A61" s="44">
        <v>15</v>
      </c>
      <c r="B61" s="16" t="s">
        <v>23</v>
      </c>
      <c r="C61" s="28">
        <f>(L61)-(L61*11.37%)-F61</f>
        <v>2151.8390680000002</v>
      </c>
      <c r="D61" s="17">
        <v>15</v>
      </c>
      <c r="E61" s="17"/>
      <c r="F61" s="20">
        <v>64.23</v>
      </c>
      <c r="G61" s="18"/>
      <c r="H61" s="61">
        <v>2000</v>
      </c>
      <c r="I61" s="60">
        <v>45293</v>
      </c>
      <c r="J61" s="61">
        <v>4000</v>
      </c>
      <c r="K61" s="66" t="s">
        <v>15</v>
      </c>
      <c r="L61" s="22">
        <f>(H61/15*D61)+(17*20.83)+(6.5*22.5)</f>
        <v>2500.36</v>
      </c>
      <c r="M61" s="42" t="s">
        <v>44</v>
      </c>
      <c r="N61" s="4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s="19" customFormat="1" ht="18.600000000000001" thickBot="1" x14ac:dyDescent="0.4">
      <c r="A62" s="44">
        <v>16</v>
      </c>
      <c r="B62" s="16" t="s">
        <v>29</v>
      </c>
      <c r="C62" s="28">
        <f>(L62)-(L62*11.37%)</f>
        <v>2784.7014220000001</v>
      </c>
      <c r="D62" s="17">
        <v>15</v>
      </c>
      <c r="E62" s="17"/>
      <c r="F62" s="20">
        <v>16.97</v>
      </c>
      <c r="G62" s="18"/>
      <c r="H62" s="61">
        <f>J62/2</f>
        <v>1500</v>
      </c>
      <c r="I62" s="60">
        <v>45559</v>
      </c>
      <c r="J62" s="61">
        <v>3000</v>
      </c>
      <c r="K62" s="66" t="s">
        <v>15</v>
      </c>
      <c r="L62" s="22">
        <f>(H62/15*D62)+(15.63*26)+(49.5*16.88)+(4*(3000/30))</f>
        <v>3141.94</v>
      </c>
      <c r="M62" s="42" t="s">
        <v>44</v>
      </c>
      <c r="N62" s="4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s="19" customFormat="1" ht="18.600000000000001" thickBot="1" x14ac:dyDescent="0.4">
      <c r="A63" s="44">
        <v>17</v>
      </c>
      <c r="B63" s="16" t="s">
        <v>28</v>
      </c>
      <c r="C63" s="28">
        <f>(L63)-(L63*11.37%)</f>
        <v>2220.5552231666666</v>
      </c>
      <c r="D63" s="17">
        <v>15</v>
      </c>
      <c r="E63" s="17"/>
      <c r="F63" s="20">
        <v>40.6</v>
      </c>
      <c r="G63" s="18"/>
      <c r="H63" s="61">
        <f>J63/2</f>
        <v>1750</v>
      </c>
      <c r="I63" s="60">
        <v>45546</v>
      </c>
      <c r="J63" s="61">
        <v>3500</v>
      </c>
      <c r="K63" s="66" t="s">
        <v>15</v>
      </c>
      <c r="L63" s="22">
        <f>(H63/15*D63)+56.5+(9.5*18.23)+(19.69*3)+(4*(3500/30))</f>
        <v>2505.4216666666666</v>
      </c>
      <c r="M63" s="42" t="s">
        <v>44</v>
      </c>
      <c r="N63" s="41"/>
      <c r="O63" s="31"/>
      <c r="P63" s="31"/>
      <c r="Q63" s="31"/>
      <c r="R63" s="31"/>
      <c r="S63" s="31"/>
      <c r="T63" s="54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s="19" customFormat="1" ht="18.600000000000001" thickBot="1" x14ac:dyDescent="0.4">
      <c r="A64" s="44">
        <v>18</v>
      </c>
      <c r="B64" s="16" t="s">
        <v>16</v>
      </c>
      <c r="C64" s="28">
        <f>(L64)-(L64*13%)-E64</f>
        <v>1265.31925</v>
      </c>
      <c r="D64" s="17">
        <v>15</v>
      </c>
      <c r="E64" s="17">
        <v>200</v>
      </c>
      <c r="F64" s="20"/>
      <c r="G64" s="18"/>
      <c r="H64" s="61">
        <v>900</v>
      </c>
      <c r="I64" s="60">
        <v>44886</v>
      </c>
      <c r="J64" s="61">
        <v>1800</v>
      </c>
      <c r="K64" s="66" t="s">
        <v>10</v>
      </c>
      <c r="L64" s="22">
        <f>(H64/15*D64)+(9.38*26)+(10.13*41.5)+(2*(1800/30))</f>
        <v>1684.2750000000001</v>
      </c>
      <c r="M64" s="42" t="s">
        <v>44</v>
      </c>
      <c r="N64" s="4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s="19" customFormat="1" ht="18.600000000000001" thickBot="1" x14ac:dyDescent="0.4">
      <c r="A65" s="44">
        <v>19</v>
      </c>
      <c r="B65" s="16" t="s">
        <v>18</v>
      </c>
      <c r="C65" s="28">
        <f>(L65)-(L65*11.37%)-F65</f>
        <v>2415.2486700000004</v>
      </c>
      <c r="D65" s="17">
        <v>16</v>
      </c>
      <c r="E65" s="17"/>
      <c r="F65" s="20">
        <v>40.6</v>
      </c>
      <c r="G65" s="18"/>
      <c r="H65" s="61">
        <f>J65/2</f>
        <v>1750</v>
      </c>
      <c r="I65" s="60">
        <v>45553</v>
      </c>
      <c r="J65" s="61">
        <v>3500</v>
      </c>
      <c r="K65" s="66" t="s">
        <v>15</v>
      </c>
      <c r="L65" s="22">
        <f>(H65/15*D65)+(12.5*18.23)+(22.5*19.69)+(2*(3500/30))</f>
        <v>2770.9000000000005</v>
      </c>
      <c r="M65" s="42" t="s">
        <v>44</v>
      </c>
      <c r="N65" s="4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s="19" customFormat="1" ht="18.600000000000001" thickBot="1" x14ac:dyDescent="0.4">
      <c r="A66" s="44">
        <v>20</v>
      </c>
      <c r="B66" s="16" t="s">
        <v>14</v>
      </c>
      <c r="C66" s="28">
        <f>(L66)-(L66*11.37%)</f>
        <v>500.7595</v>
      </c>
      <c r="D66" s="17">
        <v>15</v>
      </c>
      <c r="E66" s="17"/>
      <c r="F66" s="17"/>
      <c r="G66" s="18"/>
      <c r="H66" s="61">
        <f>J66/2</f>
        <v>565</v>
      </c>
      <c r="I66" s="60">
        <v>44870</v>
      </c>
      <c r="J66" s="61">
        <v>1130</v>
      </c>
      <c r="K66" s="66" t="s">
        <v>15</v>
      </c>
      <c r="L66" s="22">
        <f>(H66/15*D66)</f>
        <v>565</v>
      </c>
      <c r="M66" s="42" t="s">
        <v>44</v>
      </c>
      <c r="N66" s="4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s="19" customFormat="1" ht="17.25" customHeight="1" thickBot="1" x14ac:dyDescent="0.4">
      <c r="A67" s="44">
        <v>21</v>
      </c>
      <c r="B67" s="16" t="s">
        <v>26</v>
      </c>
      <c r="C67" s="28">
        <f>(L67)-(L67*11.37%)-F67</f>
        <v>1956.3809500000002</v>
      </c>
      <c r="D67" s="17">
        <v>15</v>
      </c>
      <c r="E67" s="17"/>
      <c r="F67" s="17">
        <v>87.87</v>
      </c>
      <c r="G67" s="25"/>
      <c r="H67" s="61">
        <f>J67/2</f>
        <v>2250</v>
      </c>
      <c r="I67" s="60">
        <v>45505</v>
      </c>
      <c r="J67" s="61">
        <v>4500</v>
      </c>
      <c r="K67" s="66" t="s">
        <v>15</v>
      </c>
      <c r="L67" s="22">
        <f>(H67/15*D67)+56.5</f>
        <v>2306.5</v>
      </c>
      <c r="M67" s="42" t="s">
        <v>44</v>
      </c>
      <c r="N67" s="4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ht="18.600000000000001" thickBot="1" x14ac:dyDescent="0.4">
      <c r="A68" s="44">
        <v>22</v>
      </c>
      <c r="B68" s="16" t="s">
        <v>30</v>
      </c>
      <c r="C68" s="28">
        <f>(L68)-(L68*11.37%)</f>
        <v>2428.9716224999997</v>
      </c>
      <c r="D68" s="17">
        <v>15</v>
      </c>
      <c r="E68" s="17"/>
      <c r="F68" s="17">
        <v>87.87</v>
      </c>
      <c r="G68" s="18"/>
      <c r="H68" s="61">
        <f>J68/2</f>
        <v>2250</v>
      </c>
      <c r="I68" s="60">
        <v>45580</v>
      </c>
      <c r="J68" s="61">
        <v>4500</v>
      </c>
      <c r="K68" s="66" t="s">
        <v>15</v>
      </c>
      <c r="L68" s="22">
        <f>(H68/15*D68)+56.5+(23.44*11.5)+(25.31*6.5)</f>
        <v>2740.5749999999998</v>
      </c>
      <c r="M68" s="42" t="s">
        <v>44</v>
      </c>
      <c r="O68" s="31"/>
    </row>
    <row r="69" spans="1:41" ht="18.600000000000001" thickBot="1" x14ac:dyDescent="0.4">
      <c r="A69" s="44">
        <v>23</v>
      </c>
      <c r="B69" s="14" t="s">
        <v>33</v>
      </c>
      <c r="C69" s="11">
        <f>(L69)-(L69*13%)-F69</f>
        <v>2751.32</v>
      </c>
      <c r="D69" s="7">
        <v>15</v>
      </c>
      <c r="E69" s="7"/>
      <c r="F69" s="15">
        <v>293.68</v>
      </c>
      <c r="G69" s="7"/>
      <c r="H69" s="61">
        <v>3500</v>
      </c>
      <c r="I69" s="62">
        <v>42415</v>
      </c>
      <c r="J69" s="61">
        <v>7000</v>
      </c>
      <c r="K69" s="66" t="s">
        <v>10</v>
      </c>
      <c r="L69" s="26">
        <f>(H69/15*D69)</f>
        <v>3500</v>
      </c>
      <c r="M69" s="42"/>
      <c r="O69" s="31"/>
    </row>
    <row r="70" spans="1:41" ht="18.600000000000001" thickBot="1" x14ac:dyDescent="0.4">
      <c r="A70" s="44">
        <v>24</v>
      </c>
      <c r="B70" s="14" t="s">
        <v>34</v>
      </c>
      <c r="C70" s="11">
        <f>(L70)-(L70*13%)</f>
        <v>1305</v>
      </c>
      <c r="D70" s="7">
        <v>15</v>
      </c>
      <c r="E70" s="7"/>
      <c r="F70" s="15"/>
      <c r="G70" s="7"/>
      <c r="H70" s="61">
        <f>J70/2</f>
        <v>1500</v>
      </c>
      <c r="I70" s="62">
        <v>42415</v>
      </c>
      <c r="J70" s="61">
        <v>3000</v>
      </c>
      <c r="K70" s="66" t="s">
        <v>10</v>
      </c>
      <c r="L70" s="26">
        <f>(H70/15*D70)</f>
        <v>1500</v>
      </c>
      <c r="M70" s="42"/>
      <c r="O70" s="31"/>
    </row>
    <row r="71" spans="1:41" ht="18.600000000000001" thickBot="1" x14ac:dyDescent="0.4">
      <c r="A71" s="44">
        <v>25</v>
      </c>
      <c r="B71" s="14" t="s">
        <v>35</v>
      </c>
      <c r="C71" s="11">
        <f>(L71)-(L71*13%)-F71</f>
        <v>2095.9049999999997</v>
      </c>
      <c r="D71" s="7">
        <v>15</v>
      </c>
      <c r="E71" s="7"/>
      <c r="F71" s="15">
        <v>128.25</v>
      </c>
      <c r="G71" s="7"/>
      <c r="H71" s="61">
        <v>2500</v>
      </c>
      <c r="I71" s="62">
        <v>42857</v>
      </c>
      <c r="J71" s="61">
        <v>5000</v>
      </c>
      <c r="K71" s="66" t="s">
        <v>10</v>
      </c>
      <c r="L71" s="26">
        <f>(H71/15*D71)+56.5</f>
        <v>2556.5</v>
      </c>
      <c r="M71" s="42"/>
      <c r="O71" s="31"/>
    </row>
    <row r="72" spans="1:41" ht="15" thickBot="1" x14ac:dyDescent="0.35">
      <c r="A72" s="44">
        <v>26</v>
      </c>
      <c r="B72" s="14" t="s">
        <v>36</v>
      </c>
      <c r="C72" s="11">
        <f>(L72)-(L72*11.37%)-F72</f>
        <v>1708.3700000000001</v>
      </c>
      <c r="D72" s="7">
        <v>15</v>
      </c>
      <c r="E72" s="7"/>
      <c r="F72" s="15">
        <v>64.23</v>
      </c>
      <c r="G72" s="7"/>
      <c r="H72" s="61">
        <v>2000</v>
      </c>
      <c r="I72" s="62">
        <v>42415</v>
      </c>
      <c r="J72" s="61">
        <v>4000</v>
      </c>
      <c r="K72" s="66" t="s">
        <v>15</v>
      </c>
      <c r="L72" s="26">
        <f>(H72/15*D72)</f>
        <v>2000.0000000000002</v>
      </c>
      <c r="M72" s="31"/>
      <c r="O72" s="31"/>
    </row>
    <row r="73" spans="1:41" ht="15" thickBot="1" x14ac:dyDescent="0.35">
      <c r="A73" s="44">
        <v>27</v>
      </c>
      <c r="B73" s="14" t="s">
        <v>32</v>
      </c>
      <c r="C73" s="11">
        <f>(L73)-(L73*11.37%)+G73</f>
        <v>1186.3759500000001</v>
      </c>
      <c r="D73" s="7">
        <v>15</v>
      </c>
      <c r="E73" s="6"/>
      <c r="F73" s="7"/>
      <c r="G73" s="7">
        <v>250</v>
      </c>
      <c r="H73" s="61">
        <v>1000</v>
      </c>
      <c r="I73" s="62">
        <v>44046</v>
      </c>
      <c r="J73" s="61">
        <f>2000+102.5</f>
        <v>2102.5</v>
      </c>
      <c r="K73" s="66" t="s">
        <v>15</v>
      </c>
      <c r="L73" s="9">
        <f>(H73/15*D73)+56.5</f>
        <v>1056.5</v>
      </c>
      <c r="M73" s="31"/>
      <c r="N73" s="68" t="s">
        <v>74</v>
      </c>
      <c r="O73" s="31"/>
    </row>
    <row r="74" spans="1:41" ht="15" thickBot="1" x14ac:dyDescent="0.35">
      <c r="A74" s="44">
        <v>28</v>
      </c>
      <c r="B74" s="34" t="s">
        <v>37</v>
      </c>
      <c r="C74" s="23">
        <f>(2000)-(2000*8%)</f>
        <v>1840</v>
      </c>
      <c r="D74" s="35">
        <v>15</v>
      </c>
      <c r="E74" s="30" t="s">
        <v>38</v>
      </c>
      <c r="F74" s="36"/>
      <c r="G74" s="37"/>
      <c r="H74" s="62"/>
      <c r="I74" s="62"/>
      <c r="J74" s="61"/>
      <c r="K74" s="67" t="s">
        <v>39</v>
      </c>
      <c r="L74" s="65"/>
      <c r="M74" s="31" t="s">
        <v>44</v>
      </c>
    </row>
    <row r="75" spans="1:41" ht="15" thickBot="1" x14ac:dyDescent="0.35">
      <c r="A75" s="44">
        <v>29</v>
      </c>
      <c r="B75" s="34" t="s">
        <v>40</v>
      </c>
      <c r="C75" s="23">
        <f>((2000/2)+(15.5*10.42)+(11.25*13.5))+((15.5*23.44)+(13.5*25.31))+1500+(2*(6500/30))</f>
        <v>3951.7233333333334</v>
      </c>
      <c r="D75" s="35">
        <v>15</v>
      </c>
      <c r="E75" s="30" t="s">
        <v>38</v>
      </c>
      <c r="F75" s="36"/>
      <c r="G75" s="37"/>
      <c r="H75" s="62"/>
      <c r="I75" s="62"/>
      <c r="J75" s="61"/>
      <c r="K75" s="67" t="s">
        <v>41</v>
      </c>
      <c r="L75" s="65"/>
      <c r="M75" s="31" t="s">
        <v>44</v>
      </c>
    </row>
    <row r="76" spans="1:41" ht="15" thickBot="1" x14ac:dyDescent="0.35">
      <c r="A76" s="44">
        <v>30</v>
      </c>
      <c r="B76" s="34" t="s">
        <v>42</v>
      </c>
      <c r="C76" s="23">
        <f>((H76/15)*D76)+(9.38*26)+(10.13*36)+(4*(1800/30))</f>
        <v>1748.5600000000002</v>
      </c>
      <c r="D76" s="35">
        <v>15</v>
      </c>
      <c r="E76" s="30" t="s">
        <v>38</v>
      </c>
      <c r="F76" s="39"/>
      <c r="G76" s="40"/>
      <c r="H76" s="61">
        <f t="shared" ref="H76" si="0">J76/2</f>
        <v>900</v>
      </c>
      <c r="I76" s="62">
        <v>45625</v>
      </c>
      <c r="J76" s="61">
        <v>1800</v>
      </c>
      <c r="K76" s="67" t="s">
        <v>67</v>
      </c>
      <c r="L76" s="65"/>
      <c r="M76" s="31" t="s">
        <v>44</v>
      </c>
    </row>
    <row r="77" spans="1:41" ht="15" thickBot="1" x14ac:dyDescent="0.35">
      <c r="A77" s="44">
        <v>31</v>
      </c>
      <c r="B77" s="34" t="s">
        <v>48</v>
      </c>
      <c r="C77" s="23">
        <f>3250+1623</f>
        <v>4873</v>
      </c>
      <c r="D77" s="35">
        <v>15</v>
      </c>
      <c r="E77" s="30" t="s">
        <v>38</v>
      </c>
      <c r="F77" s="50"/>
      <c r="G77" s="51"/>
      <c r="H77" s="64"/>
      <c r="I77" s="63"/>
      <c r="J77" s="64"/>
      <c r="K77" s="67" t="s">
        <v>66</v>
      </c>
      <c r="L77" s="65"/>
      <c r="M77" s="31" t="s">
        <v>44</v>
      </c>
    </row>
    <row r="78" spans="1:41" ht="15" thickBot="1" x14ac:dyDescent="0.35">
      <c r="A78" s="44">
        <v>32</v>
      </c>
      <c r="B78" s="34" t="s">
        <v>57</v>
      </c>
      <c r="C78" s="23">
        <f>2000-(2000*8%)</f>
        <v>1840</v>
      </c>
      <c r="D78" s="35">
        <v>15</v>
      </c>
      <c r="E78" s="30" t="s">
        <v>38</v>
      </c>
      <c r="F78" s="50"/>
      <c r="G78" s="51"/>
      <c r="H78" s="64"/>
      <c r="I78" s="63"/>
      <c r="J78" s="64"/>
      <c r="K78" s="67" t="s">
        <v>65</v>
      </c>
      <c r="L78" s="65"/>
      <c r="M78" s="31" t="s">
        <v>44</v>
      </c>
    </row>
    <row r="79" spans="1:41" ht="15" thickBot="1" x14ac:dyDescent="0.35">
      <c r="A79" s="44">
        <v>33</v>
      </c>
      <c r="B79" s="34" t="s">
        <v>58</v>
      </c>
      <c r="C79" s="23">
        <v>1000</v>
      </c>
      <c r="D79" s="35">
        <v>15</v>
      </c>
      <c r="E79" s="30" t="s">
        <v>38</v>
      </c>
      <c r="F79" s="50"/>
      <c r="G79" s="51"/>
      <c r="H79" s="64"/>
      <c r="I79" s="63"/>
      <c r="J79" s="64"/>
      <c r="K79" s="67" t="s">
        <v>64</v>
      </c>
      <c r="L79" s="65"/>
      <c r="M79" s="31" t="s">
        <v>44</v>
      </c>
    </row>
    <row r="80" spans="1:41" ht="15" thickBot="1" x14ac:dyDescent="0.35">
      <c r="A80" s="44">
        <v>34</v>
      </c>
      <c r="B80" s="34" t="s">
        <v>31</v>
      </c>
      <c r="C80" s="23">
        <f>((H80/15)*D80)+(25.5*9.38)+(10.13*9)+(2*(1800/30))</f>
        <v>1350.3600000000001</v>
      </c>
      <c r="D80" s="35">
        <v>15</v>
      </c>
      <c r="E80" s="30" t="s">
        <v>38</v>
      </c>
      <c r="F80" s="39"/>
      <c r="G80" s="40"/>
      <c r="H80" s="61">
        <f t="shared" ref="H80" si="1">J80/2</f>
        <v>900</v>
      </c>
      <c r="I80" s="62">
        <v>45625</v>
      </c>
      <c r="J80" s="61">
        <v>1800</v>
      </c>
      <c r="K80" s="67" t="s">
        <v>63</v>
      </c>
      <c r="L80" s="65"/>
      <c r="M80" s="31" t="s">
        <v>44</v>
      </c>
    </row>
    <row r="81" spans="1:13" ht="15" thickBot="1" x14ac:dyDescent="0.35">
      <c r="A81" s="44">
        <v>35</v>
      </c>
      <c r="B81" s="34" t="s">
        <v>55</v>
      </c>
      <c r="C81" s="23">
        <f>((H81/15)*D81)+(24*31.25)+(33.75*37.5)+(4*(6000/30))</f>
        <v>5815.625</v>
      </c>
      <c r="D81" s="35">
        <v>15</v>
      </c>
      <c r="E81" s="30" t="s">
        <v>38</v>
      </c>
      <c r="F81" s="39"/>
      <c r="G81" s="40"/>
      <c r="H81" s="61">
        <f t="shared" ref="H81" si="2">J81/2</f>
        <v>3000</v>
      </c>
      <c r="I81" s="62">
        <v>45625</v>
      </c>
      <c r="J81" s="61">
        <v>6000</v>
      </c>
      <c r="K81" s="67" t="s">
        <v>61</v>
      </c>
      <c r="L81" s="65"/>
      <c r="M81" s="31" t="s">
        <v>44</v>
      </c>
    </row>
    <row r="82" spans="1:13" ht="15" thickBot="1" x14ac:dyDescent="0.35">
      <c r="A82" s="44">
        <v>36</v>
      </c>
      <c r="B82" s="34" t="s">
        <v>56</v>
      </c>
      <c r="C82" s="23">
        <f>((H82/15)*D82)+(9.38*20)</f>
        <v>1207.5999999999999</v>
      </c>
      <c r="D82" s="35">
        <v>17</v>
      </c>
      <c r="E82" s="30" t="s">
        <v>38</v>
      </c>
      <c r="F82" s="39"/>
      <c r="G82" s="40"/>
      <c r="H82" s="61">
        <f t="shared" ref="H82" si="3">J82/2</f>
        <v>900</v>
      </c>
      <c r="I82" s="62">
        <v>45625</v>
      </c>
      <c r="J82" s="61">
        <v>1800</v>
      </c>
      <c r="K82" s="67" t="s">
        <v>62</v>
      </c>
      <c r="L82" s="65"/>
      <c r="M82" s="31" t="s">
        <v>44</v>
      </c>
    </row>
    <row r="83" spans="1:13" ht="20.399999999999999" thickBot="1" x14ac:dyDescent="0.45">
      <c r="A83" s="44"/>
      <c r="B83" s="34" t="s">
        <v>49</v>
      </c>
      <c r="C83" s="43">
        <f>SUM(C47:C82)</f>
        <v>80578.716936333352</v>
      </c>
    </row>
  </sheetData>
  <autoFilter ref="A2:M28" xr:uid="{00000000-0009-0000-0000-000000000000}"/>
  <mergeCells count="2">
    <mergeCell ref="B1:I1"/>
    <mergeCell ref="B45:I4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F14"/>
  <sheetViews>
    <sheetView workbookViewId="0">
      <selection activeCell="E5" sqref="E5"/>
    </sheetView>
  </sheetViews>
  <sheetFormatPr baseColWidth="10" defaultColWidth="11.44140625" defaultRowHeight="14.4" x14ac:dyDescent="0.3"/>
  <sheetData>
    <row r="3" spans="4:6" x14ac:dyDescent="0.3">
      <c r="E3" t="s">
        <v>50</v>
      </c>
    </row>
    <row r="4" spans="4:6" x14ac:dyDescent="0.3">
      <c r="E4" t="s">
        <v>51</v>
      </c>
    </row>
    <row r="13" spans="4:6" x14ac:dyDescent="0.3">
      <c r="F13" t="s">
        <v>52</v>
      </c>
    </row>
    <row r="14" spans="4:6" x14ac:dyDescent="0.3">
      <c r="D14" t="s">
        <v>53</v>
      </c>
      <c r="E14" s="3">
        <v>45455</v>
      </c>
      <c r="F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 25</vt:lpstr>
      <vt:lpstr>APUNTES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Kevin</cp:lastModifiedBy>
  <cp:revision/>
  <dcterms:created xsi:type="dcterms:W3CDTF">2019-12-03T14:53:50Z</dcterms:created>
  <dcterms:modified xsi:type="dcterms:W3CDTF">2025-04-14T18:58:46Z</dcterms:modified>
  <cp:category/>
  <cp:contentStatus/>
</cp:coreProperties>
</file>