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OneDrive\Documentos\Pensiones\"/>
    </mc:Choice>
  </mc:AlternateContent>
  <xr:revisionPtr revIDLastSave="0" documentId="13_ncr:1_{4BE30EDC-373D-4BEF-B4C9-DF05E94EBA7F}" xr6:coauthVersionLast="47" xr6:coauthVersionMax="47" xr10:uidLastSave="{00000000-0000-0000-0000-000000000000}"/>
  <bookViews>
    <workbookView xWindow="-120" yWindow="-120" windowWidth="20730" windowHeight="11040" xr2:uid="{9FC5C184-C33C-4E5C-A201-8B2CAAD63924}"/>
  </bookViews>
  <sheets>
    <sheet name="Pensión 2021 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7" i="2" l="1"/>
  <c r="P134" i="2"/>
  <c r="C125" i="2" s="1"/>
  <c r="Q133" i="2"/>
  <c r="P133" i="2"/>
  <c r="P132" i="2"/>
  <c r="Q132" i="2" s="1"/>
  <c r="P131" i="2"/>
  <c r="Q131" i="2" s="1"/>
  <c r="P130" i="2"/>
  <c r="Q130" i="2" s="1"/>
  <c r="Q129" i="2"/>
  <c r="P129" i="2"/>
  <c r="C129" i="2"/>
  <c r="P128" i="2"/>
  <c r="Q128" i="2" s="1"/>
  <c r="P127" i="2"/>
  <c r="Q127" i="2" s="1"/>
  <c r="Q126" i="2"/>
  <c r="P126" i="2"/>
  <c r="P125" i="2"/>
  <c r="Q125" i="2" s="1"/>
  <c r="P124" i="2"/>
  <c r="C156" i="2" s="1"/>
  <c r="C124" i="2"/>
  <c r="Q123" i="2"/>
  <c r="P123" i="2"/>
  <c r="P122" i="2"/>
  <c r="Q122" i="2" s="1"/>
  <c r="P121" i="2"/>
  <c r="Q121" i="2" s="1"/>
  <c r="C121" i="2"/>
  <c r="P120" i="2"/>
  <c r="Q120" i="2" s="1"/>
  <c r="P119" i="2"/>
  <c r="Q119" i="2" s="1"/>
  <c r="P118" i="2"/>
  <c r="Q118" i="2" s="1"/>
  <c r="P117" i="2"/>
  <c r="Q117" i="2" s="1"/>
  <c r="Q116" i="2"/>
  <c r="P116" i="2"/>
  <c r="P115" i="2"/>
  <c r="Q115" i="2" s="1"/>
  <c r="P114" i="2"/>
  <c r="Q114" i="2" s="1"/>
  <c r="P113" i="2"/>
  <c r="Q113" i="2" s="1"/>
  <c r="Q112" i="2"/>
  <c r="P112" i="2"/>
  <c r="P111" i="2"/>
  <c r="Q111" i="2" s="1"/>
  <c r="Q110" i="2"/>
  <c r="C105" i="2"/>
  <c r="E109" i="2" s="1"/>
  <c r="D76" i="2"/>
  <c r="F42" i="2"/>
  <c r="B35" i="2"/>
  <c r="H34" i="2"/>
  <c r="D34" i="2"/>
  <c r="C34" i="2"/>
  <c r="B34" i="2"/>
  <c r="E33" i="2" s="1"/>
  <c r="H33" i="2"/>
  <c r="D33" i="2"/>
  <c r="F33" i="2" s="1"/>
  <c r="C33" i="2"/>
  <c r="B33" i="2"/>
  <c r="E32" i="2" s="1"/>
  <c r="H32" i="2"/>
  <c r="D32" i="2" s="1"/>
  <c r="F32" i="2" s="1"/>
  <c r="C32" i="2"/>
  <c r="B32" i="2"/>
  <c r="H31" i="2"/>
  <c r="E31" i="2"/>
  <c r="D31" i="2"/>
  <c r="F31" i="2" s="1"/>
  <c r="C31" i="2"/>
  <c r="B31" i="2"/>
  <c r="H30" i="2"/>
  <c r="D30" i="2"/>
  <c r="C30" i="2"/>
  <c r="B30" i="2"/>
  <c r="E30" i="2" s="1"/>
  <c r="E23" i="2"/>
  <c r="E24" i="2" s="1"/>
  <c r="E20" i="2"/>
  <c r="D68" i="2" s="1"/>
  <c r="D69" i="2" s="1"/>
  <c r="C16" i="2"/>
  <c r="B16" i="2"/>
  <c r="C15" i="2"/>
  <c r="B15" i="2"/>
  <c r="C14" i="2"/>
  <c r="B14" i="2"/>
  <c r="C13" i="2"/>
  <c r="B13" i="2"/>
  <c r="C12" i="2"/>
  <c r="B12" i="2"/>
  <c r="E8" i="2"/>
  <c r="E25" i="2" s="1"/>
  <c r="D53" i="2" s="1"/>
  <c r="D55" i="2" s="1"/>
  <c r="D56" i="2" s="1"/>
  <c r="E7" i="2"/>
  <c r="E6" i="2"/>
  <c r="E5" i="2"/>
  <c r="E26" i="2" l="1"/>
  <c r="E36" i="2"/>
  <c r="F30" i="2"/>
  <c r="F34" i="2"/>
  <c r="Q134" i="2"/>
  <c r="Q124" i="2"/>
  <c r="C151" i="2" s="1"/>
  <c r="C123" i="2"/>
  <c r="C127" i="2" s="1"/>
  <c r="C155" i="2"/>
  <c r="E34" i="2"/>
  <c r="C122" i="2"/>
  <c r="C153" i="2"/>
  <c r="C154" i="2"/>
  <c r="C159" i="2" l="1"/>
  <c r="F36" i="2"/>
  <c r="D38" i="2" s="1"/>
  <c r="F43" i="2" l="1"/>
  <c r="C48" i="2" l="1"/>
  <c r="E59" i="2" s="1"/>
  <c r="B48" i="2"/>
  <c r="F61" i="2" s="1"/>
  <c r="E63" i="2" s="1"/>
  <c r="D71" i="2" s="1"/>
  <c r="D7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29" authorId="0" shapeId="0" xr:uid="{DDE235D9-4C72-4B92-A3F7-EF744DF5E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Esto es porque nadie se puede pensionar por más de 25 veces el salario mínimo al año de cálculo
</t>
        </r>
      </text>
    </comment>
  </commentList>
</comments>
</file>

<file path=xl/sharedStrings.xml><?xml version="1.0" encoding="utf-8"?>
<sst xmlns="http://schemas.openxmlformats.org/spreadsheetml/2006/main" count="129" uniqueCount="115">
  <si>
    <t>Datos generales</t>
  </si>
  <si>
    <t>Cálculo del monto estimado de la pensión otorgada por el IMSS bajo el régimen de la Ley 1973:</t>
  </si>
  <si>
    <t>Para el rango salarial y el salario tope, que es 25 veces el salario mínimo</t>
  </si>
  <si>
    <t>GRUPO DE SALARIO</t>
  </si>
  <si>
    <t>CUANTÍA BÁSICA</t>
  </si>
  <si>
    <t xml:space="preserve">INCREMENTO </t>
  </si>
  <si>
    <t>Fecha de nacimiento</t>
  </si>
  <si>
    <t>Fecha de jubilación</t>
  </si>
  <si>
    <t>Al menos en 2031</t>
  </si>
  <si>
    <t>Fecha de ingreso al IMSS</t>
  </si>
  <si>
    <t>Semanas cotizadas</t>
  </si>
  <si>
    <t>Historial salarial (últimos 5 años)</t>
  </si>
  <si>
    <t>del</t>
  </si>
  <si>
    <t>al</t>
  </si>
  <si>
    <t>SBC Mensual</t>
  </si>
  <si>
    <t>Edad de jubilación</t>
  </si>
  <si>
    <t>Años cotizados</t>
  </si>
  <si>
    <t>Semanas cotizadas calculadas</t>
  </si>
  <si>
    <t>Implícitamente estamos suponiendo que cotizó ininterrumpidamente</t>
  </si>
  <si>
    <t>Semanas cotizadas dadas</t>
  </si>
  <si>
    <t>Implica que en su trayectoria laboral hay semanas no cotizadas</t>
  </si>
  <si>
    <t>Semanas no cotizadas en el lapso</t>
  </si>
  <si>
    <t>Salario pensionable</t>
  </si>
  <si>
    <t>Del Día</t>
  </si>
  <si>
    <t>Al Día</t>
  </si>
  <si>
    <t>Días Transcurridos</t>
  </si>
  <si>
    <t>Total</t>
  </si>
  <si>
    <t>Salario mínimo</t>
  </si>
  <si>
    <t>SBC límite</t>
  </si>
  <si>
    <t>Edad</t>
  </si>
  <si>
    <t>Porcentaje de la Pensión de Vejez</t>
  </si>
  <si>
    <t>Salario promedio</t>
  </si>
  <si>
    <t>Salario Pensionable en Veces el Salario Mínimo</t>
  </si>
  <si>
    <t>Salario mínimo hasta este año. Solo es relevante el que se usa a la fecha de cálculo</t>
  </si>
  <si>
    <t>Salario Mínimo  (CDMX) al año de cálculo</t>
  </si>
  <si>
    <t>Vigencia</t>
  </si>
  <si>
    <t>Zona A</t>
  </si>
  <si>
    <t>Zona B</t>
  </si>
  <si>
    <t>Zona C</t>
  </si>
  <si>
    <t>Cuantía básica que corresponde por rango salarial:</t>
  </si>
  <si>
    <t>Cuantía básica</t>
  </si>
  <si>
    <t>Incremento</t>
  </si>
  <si>
    <t>Años para Aplicar el Incremento Anual</t>
  </si>
  <si>
    <t>Semanas Cotizadas</t>
  </si>
  <si>
    <t>Menos 500</t>
  </si>
  <si>
    <t>Expresado en Años</t>
  </si>
  <si>
    <t>Total por Incrementos Anuales</t>
  </si>
  <si>
    <t>Cuantía Básica + Incrementos Anuales</t>
  </si>
  <si>
    <t>Pensión del IMSS</t>
  </si>
  <si>
    <t>Reducción Antes de Edad 65 y factor de incremento</t>
  </si>
  <si>
    <t>Edad de Jubilación</t>
  </si>
  <si>
    <t>Porcentaje de Pensión</t>
  </si>
  <si>
    <t>Pensión reducida (mensual)</t>
  </si>
  <si>
    <t>el 1.1 es un incremento por decreto del 20 de diciembre de 2001.</t>
  </si>
  <si>
    <t>Asignaciones Familiares y Ayuda Asistencial</t>
  </si>
  <si>
    <t>Esposa</t>
  </si>
  <si>
    <t>Menores de 16 años</t>
  </si>
  <si>
    <t>Pensión (mensual)</t>
  </si>
  <si>
    <t>Algunas notas sobre la Ley del Seguro Social:</t>
  </si>
  <si>
    <t>Artículo 131: La pensión de viudez será igual al 90% del monto que se recibía.</t>
  </si>
  <si>
    <t>Artículo 133: La pensión para la viuda o viudo no cesará sino hasta su muerte o hasta contraer matrimonio.</t>
  </si>
  <si>
    <t>Artículo 135: La pensión de orfandad será igual al 20% del monto que se recibía por cada menor de 16 años o hasta 25 años si estudian.</t>
  </si>
  <si>
    <t>Artículo 136: La pensión de orfandad cesará cuando cumplan 16 años o hasta 25 años si estudian.</t>
  </si>
  <si>
    <t>En ningún caso la pensión de viudez y la pensión de orfandad podrán superar el 100% de la pensión que se recibía. Se hace una reducción si es el caso.</t>
  </si>
  <si>
    <t>Asignaciones y ayuda asistencial (incremento de pensión):</t>
  </si>
  <si>
    <t xml:space="preserve">Artículo 138: </t>
  </si>
  <si>
    <t>esposa, esposo, concubina, concubino.</t>
  </si>
  <si>
    <t>menores de 16 años.</t>
  </si>
  <si>
    <t>madre o padre</t>
  </si>
  <si>
    <t>si no hay cónyuge, descendientes ni madre o padre.</t>
  </si>
  <si>
    <t>Conservación y reconocimiento de derechos:</t>
  </si>
  <si>
    <t>Artículo 151: Es posible volver a cotizar y que se reconozca todo el historial de cotizaciones inclusive 6 años después. Se reactivan en un plazo no mayor a un año.</t>
  </si>
  <si>
    <t>Continuación voluntaria en el regimen obligatorio (Modalidad 40):</t>
  </si>
  <si>
    <t>Artículo 218: Se accede a la continuación voluntaria si se ha cotizado al menos 1 año dentro de los últimos 5 años de cotización. Las cuotas son mensuales anticipadas.</t>
  </si>
  <si>
    <t>A diferencia del tope salarial en el cálculo anterior (25 salarios mínimos), en esta modalidad se ocupan 25 Unidades de Medida y Actualización (UMA).</t>
  </si>
  <si>
    <t>UMA diaria 2021:</t>
  </si>
  <si>
    <t>Tope salarial</t>
  </si>
  <si>
    <t>Concepto de aportación:</t>
  </si>
  <si>
    <t>Se desglosa en vida, cesantía en edad avanzada, invalidez y seguro de retiro.</t>
  </si>
  <si>
    <t>Mensualidades y salarios en UMA (2021)</t>
  </si>
  <si>
    <t>Máxima mensualidad con Modalidad 40 (2021):</t>
  </si>
  <si>
    <t>Veces</t>
  </si>
  <si>
    <t>Salario</t>
  </si>
  <si>
    <t>Mensualidad</t>
  </si>
  <si>
    <t>Artículo 219: Se pierde el derecho a Modalidad 40 si no se hace la petición en un lapso de 5 años al momento de la baja.</t>
  </si>
  <si>
    <t>Artículo 220: Se pierde la Modalidad 40 si se hace la cancelación por declaración o se deja de pagar dos mensualidades o se reactivan las cotizaciones del régimen obligatorio.</t>
  </si>
  <si>
    <t xml:space="preserve">Tener la Modalidad 40 implica tener más semanas de cotización, lo que mejora la pensión. </t>
  </si>
  <si>
    <t>Declarar un salario de $200 durante 5 años reduce la pensión a $4318.87267 mensuales (cambiar a 6000 el historial salarial durante los últimos 5 años, celdas D12:D16)</t>
  </si>
  <si>
    <t>El cálculo de pensión bajo la ley del 73 toma en cuenta los últimos 5 años de cotización, sin importar qué tanto menos o más se ganaba antes.</t>
  </si>
  <si>
    <t>Salario de $200 con máxima mensualidad de Modalidad 40 durante 5 años:</t>
  </si>
  <si>
    <t>SBC mensual 2027</t>
  </si>
  <si>
    <t>SBC mensual 2028</t>
  </si>
  <si>
    <t>SBC mensual 2029</t>
  </si>
  <si>
    <t>SBC mensual 2030</t>
  </si>
  <si>
    <t>SBC mensual 2031</t>
  </si>
  <si>
    <t>Salario promedio mensual</t>
  </si>
  <si>
    <t xml:space="preserve">Semanas de cotización </t>
  </si>
  <si>
    <t>Por pagar 5 años Modalidad 40.</t>
  </si>
  <si>
    <t>Por reingresar al régimen entre 50 y 55 años.</t>
  </si>
  <si>
    <t>Sustituir este nuevo salario en las celdas D12:D16 y sumar las semanas de cotización en E8.</t>
  </si>
  <si>
    <t>La pensión a los 60 años es $28,281.31.</t>
  </si>
  <si>
    <t>Es decir, se obtiene una pensión de casi 30 mil pesos pagando durante los útimos 5 años mensualidades de $6,771.91.</t>
  </si>
  <si>
    <t>Al ocupar Modalidad 40, los nuevos salarios promedios son los que se pagan (ver tabla de salarios UMA). Sustituye los salarios promedios antiguos y agrega más semanas.</t>
  </si>
  <si>
    <t>La edad es un factor importante para la pensión. Utilizando máxima mensualidad de Modalidad 40 durante 5 años a diferentes edades:</t>
  </si>
  <si>
    <t>Pensión mensual</t>
  </si>
  <si>
    <t>(Cambiar el año de Fecha de jubilación, celda E6)</t>
  </si>
  <si>
    <t>Si la mensualidad máxima de Modalidad 40 es muy costosa, tomar otra, por ejemplo, de 15 UMA.</t>
  </si>
  <si>
    <t>Mensualidad de 15 UMA</t>
  </si>
  <si>
    <t>Ver tabla de UMA</t>
  </si>
  <si>
    <t>Sustituir este nuevo salario en las celdas D12:D16 y sumar las semanas de cotización en E8, que son semanas en 10 años (5 de régimen obligatorio, 5 de Modalidad 40).</t>
  </si>
  <si>
    <t>Comentarios finales</t>
  </si>
  <si>
    <t>Los cálculos toman en cuenta este año (2021), para los próximos años tendrían variaciones mayores por efectos de inflación.</t>
  </si>
  <si>
    <t>Si es asequible, conviene utilizar los últimos 5 años Modalidad 40 para aumentar el salario promedio y agregar más semanas de cotización (5 años).</t>
  </si>
  <si>
    <t>Modalidad 40 sustituye los últimos 5 años de cotización por el salario que se desee, es decir, es irrelevante lo cotizado antes de utilizar 5 años de Modalidad 40.</t>
  </si>
  <si>
    <t>Con Modalidad 40 se pierden derechos a servicios de salud, pero se restauran cuando se adquiera la pensión.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</si>
</sst>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14" fontId="3" fillId="0" borderId="1" xfId="0" applyNumberFormat="1" applyFont="1" applyBorder="1"/>
    <xf numFmtId="0" fontId="6" fillId="0" borderId="2" xfId="2" applyFont="1" applyBorder="1"/>
    <xf numFmtId="0" fontId="6" fillId="0" borderId="0" xfId="2" applyFont="1"/>
    <xf numFmtId="0" fontId="5" fillId="0" borderId="3" xfId="2" applyFont="1" applyBorder="1" applyAlignment="1">
      <alignment horizontal="center"/>
    </xf>
    <xf numFmtId="165" fontId="3" fillId="0" borderId="1" xfId="3" applyNumberFormat="1" applyFont="1" applyBorder="1"/>
    <xf numFmtId="2" fontId="5" fillId="0" borderId="1" xfId="2" applyNumberFormat="1" applyFont="1" applyBorder="1" applyAlignment="1">
      <alignment horizontal="center"/>
    </xf>
    <xf numFmtId="166" fontId="5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4" fontId="3" fillId="0" borderId="2" xfId="0" applyNumberFormat="1" applyFont="1" applyBorder="1"/>
    <xf numFmtId="14" fontId="3" fillId="0" borderId="0" xfId="0" applyNumberFormat="1" applyFont="1"/>
    <xf numFmtId="164" fontId="3" fillId="0" borderId="3" xfId="0" applyNumberFormat="1" applyFont="1" applyBorder="1"/>
    <xf numFmtId="14" fontId="3" fillId="0" borderId="7" xfId="0" applyNumberFormat="1" applyFont="1" applyBorder="1"/>
    <xf numFmtId="14" fontId="3" fillId="0" borderId="8" xfId="0" applyNumberFormat="1" applyFont="1" applyBorder="1"/>
    <xf numFmtId="164" fontId="3" fillId="0" borderId="9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1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wrapText="1"/>
    </xf>
    <xf numFmtId="164" fontId="3" fillId="0" borderId="0" xfId="0" applyNumberFormat="1" applyFont="1"/>
    <xf numFmtId="165" fontId="3" fillId="0" borderId="0" xfId="0" applyNumberFormat="1" applyFont="1"/>
    <xf numFmtId="164" fontId="3" fillId="0" borderId="0" xfId="3" applyFont="1" applyBorder="1"/>
    <xf numFmtId="0" fontId="2" fillId="0" borderId="0" xfId="0" applyFont="1" applyAlignment="1">
      <alignment horizontal="center" wrapText="1"/>
    </xf>
    <xf numFmtId="164" fontId="3" fillId="0" borderId="3" xfId="3" applyFont="1" applyBorder="1"/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9" fontId="5" fillId="0" borderId="1" xfId="2" applyNumberFormat="1" applyFont="1" applyBorder="1" applyAlignment="1">
      <alignment horizontal="centerContinuous"/>
    </xf>
    <xf numFmtId="0" fontId="3" fillId="0" borderId="3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4" fontId="7" fillId="2" borderId="1" xfId="0" applyNumberFormat="1" applyFont="1" applyFill="1" applyBorder="1" applyAlignment="1">
      <alignment horizontal="center"/>
    </xf>
    <xf numFmtId="0" fontId="3" fillId="0" borderId="9" xfId="0" applyFont="1" applyBorder="1"/>
    <xf numFmtId="164" fontId="3" fillId="0" borderId="1" xfId="3" applyFont="1" applyBorder="1"/>
    <xf numFmtId="0" fontId="5" fillId="0" borderId="1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 wrapText="1"/>
    </xf>
    <xf numFmtId="4" fontId="6" fillId="0" borderId="11" xfId="0" applyNumberFormat="1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10" fontId="3" fillId="0" borderId="7" xfId="1" applyNumberFormat="1" applyFont="1" applyBorder="1"/>
    <xf numFmtId="10" fontId="3" fillId="0" borderId="9" xfId="1" applyNumberFormat="1" applyFont="1" applyBorder="1"/>
    <xf numFmtId="0" fontId="3" fillId="0" borderId="2" xfId="0" applyFont="1" applyBorder="1" applyAlignment="1">
      <alignment horizontal="left"/>
    </xf>
    <xf numFmtId="3" fontId="3" fillId="0" borderId="3" xfId="0" applyNumberFormat="1" applyFont="1" applyBorder="1"/>
    <xf numFmtId="0" fontId="3" fillId="0" borderId="7" xfId="0" applyFont="1" applyBorder="1" applyAlignment="1">
      <alignment horizontal="left"/>
    </xf>
    <xf numFmtId="10" fontId="7" fillId="0" borderId="1" xfId="1" applyNumberFormat="1" applyFont="1" applyFill="1" applyBorder="1" applyAlignment="1">
      <alignment horizontal="center"/>
    </xf>
    <xf numFmtId="10" fontId="8" fillId="0" borderId="1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9" fontId="3" fillId="0" borderId="0" xfId="0" applyNumberFormat="1" applyFont="1"/>
    <xf numFmtId="0" fontId="8" fillId="2" borderId="0" xfId="0" applyFont="1" applyFill="1"/>
    <xf numFmtId="0" fontId="6" fillId="0" borderId="11" xfId="0" applyFont="1" applyBorder="1" applyAlignment="1">
      <alignment horizontal="center" wrapText="1"/>
    </xf>
    <xf numFmtId="164" fontId="3" fillId="0" borderId="14" xfId="3" applyFont="1" applyBorder="1"/>
    <xf numFmtId="167" fontId="3" fillId="0" borderId="9" xfId="0" applyNumberFormat="1" applyFont="1" applyBorder="1"/>
    <xf numFmtId="0" fontId="8" fillId="0" borderId="0" xfId="0" applyFont="1"/>
    <xf numFmtId="164" fontId="3" fillId="2" borderId="0" xfId="3" applyFont="1" applyFill="1"/>
    <xf numFmtId="164" fontId="3" fillId="0" borderId="14" xfId="0" applyNumberFormat="1" applyFont="1" applyBorder="1"/>
    <xf numFmtId="164" fontId="3" fillId="0" borderId="6" xfId="3" applyFont="1" applyBorder="1"/>
    <xf numFmtId="164" fontId="3" fillId="0" borderId="0" xfId="3" applyFont="1"/>
    <xf numFmtId="164" fontId="3" fillId="0" borderId="8" xfId="3" applyFont="1" applyBorder="1"/>
    <xf numFmtId="164" fontId="3" fillId="0" borderId="9" xfId="3" applyFon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3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9" xfId="3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3" fillId="0" borderId="3" xfId="3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64" fontId="3" fillId="0" borderId="9" xfId="3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2" applyFont="1" applyBorder="1" applyAlignment="1">
      <alignment horizontal="center" vertical="center" wrapText="1"/>
    </xf>
  </cellXfs>
  <cellStyles count="4">
    <cellStyle name="Comma 2" xfId="3" xr:uid="{A9C17DC7-4724-4234-A90E-9E4AD45ABDA5}"/>
    <cellStyle name="Normal" xfId="0" builtinId="0"/>
    <cellStyle name="Normal_CORPORATIVO PALACE RESORTS" xfId="2" xr:uid="{0A7AB967-5435-4563-BC1E-62994C8874C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C5DF-8E2C-4209-BBE6-0C67BA72E002}">
  <dimension ref="B1:R175"/>
  <sheetViews>
    <sheetView showGridLines="0" tabSelected="1" topLeftCell="A164" workbookViewId="0">
      <selection activeCell="H129" sqref="H129"/>
    </sheetView>
  </sheetViews>
  <sheetFormatPr defaultColWidth="11.42578125" defaultRowHeight="14.25" x14ac:dyDescent="0.2"/>
  <cols>
    <col min="1" max="1" width="5" style="2" customWidth="1"/>
    <col min="2" max="2" width="25" style="2" customWidth="1"/>
    <col min="3" max="3" width="16.7109375" style="2" customWidth="1"/>
    <col min="4" max="4" width="13.28515625" style="2" customWidth="1"/>
    <col min="5" max="5" width="15.140625" style="2" customWidth="1"/>
    <col min="6" max="6" width="17.42578125" style="2" customWidth="1"/>
    <col min="7" max="7" width="15" style="2" bestFit="1" customWidth="1"/>
    <col min="8" max="16" width="11.42578125" style="2"/>
    <col min="17" max="17" width="16.85546875" style="2" customWidth="1"/>
    <col min="18" max="16384" width="11.42578125" style="2"/>
  </cols>
  <sheetData>
    <row r="1" spans="2:18" x14ac:dyDescent="0.2">
      <c r="B1" s="1"/>
    </row>
    <row r="2" spans="2:18" ht="14.2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2" t="s">
        <v>0</v>
      </c>
    </row>
    <row r="3" spans="2:18" x14ac:dyDescent="0.2">
      <c r="B3" s="2" t="s">
        <v>1</v>
      </c>
      <c r="O3" s="2" t="s">
        <v>2</v>
      </c>
    </row>
    <row r="4" spans="2:18" x14ac:dyDescent="0.2">
      <c r="O4" s="85" t="s">
        <v>3</v>
      </c>
      <c r="P4" s="85"/>
      <c r="Q4" s="85" t="s">
        <v>4</v>
      </c>
      <c r="R4" s="85" t="s">
        <v>5</v>
      </c>
    </row>
    <row r="5" spans="2:18" x14ac:dyDescent="0.2">
      <c r="B5" s="2" t="s">
        <v>6</v>
      </c>
      <c r="E5" s="4">
        <f>+DATE(1971,1,30)</f>
        <v>25963</v>
      </c>
      <c r="O5" s="85"/>
      <c r="P5" s="85"/>
      <c r="Q5" s="85"/>
      <c r="R5" s="85"/>
    </row>
    <row r="6" spans="2:18" x14ac:dyDescent="0.2">
      <c r="B6" s="2" t="s">
        <v>7</v>
      </c>
      <c r="E6" s="4">
        <f>+DATE(2031,1,30)</f>
        <v>47878</v>
      </c>
      <c r="F6" s="2" t="s">
        <v>8</v>
      </c>
      <c r="O6" s="85"/>
      <c r="P6" s="85"/>
      <c r="Q6" s="85"/>
      <c r="R6" s="85"/>
    </row>
    <row r="7" spans="2:18" x14ac:dyDescent="0.2">
      <c r="B7" s="2" t="s">
        <v>9</v>
      </c>
      <c r="E7" s="4">
        <f>+DATE(1996,1,1)</f>
        <v>35065</v>
      </c>
      <c r="O7" s="5"/>
      <c r="P7" s="6"/>
      <c r="Q7" s="6"/>
      <c r="R7" s="7"/>
    </row>
    <row r="8" spans="2:18" x14ac:dyDescent="0.2">
      <c r="B8" s="2" t="s">
        <v>10</v>
      </c>
      <c r="E8" s="8">
        <f>759</f>
        <v>759</v>
      </c>
      <c r="O8" s="9">
        <v>0</v>
      </c>
      <c r="P8" s="9">
        <v>1</v>
      </c>
      <c r="Q8" s="9">
        <v>80</v>
      </c>
      <c r="R8" s="10">
        <v>0.56299999999999994</v>
      </c>
    </row>
    <row r="9" spans="2:18" x14ac:dyDescent="0.2">
      <c r="O9" s="11">
        <v>1.01</v>
      </c>
      <c r="P9" s="9">
        <v>1.25</v>
      </c>
      <c r="Q9" s="9">
        <v>77.11</v>
      </c>
      <c r="R9" s="10">
        <v>0.81399999999999995</v>
      </c>
    </row>
    <row r="10" spans="2:18" x14ac:dyDescent="0.2">
      <c r="B10" s="82" t="s">
        <v>11</v>
      </c>
      <c r="C10" s="83"/>
      <c r="D10" s="84"/>
      <c r="O10" s="11">
        <v>1.26</v>
      </c>
      <c r="P10" s="9">
        <v>1.5</v>
      </c>
      <c r="Q10" s="9">
        <v>58.18</v>
      </c>
      <c r="R10" s="10">
        <v>1.1779999999999999</v>
      </c>
    </row>
    <row r="11" spans="2:18" x14ac:dyDescent="0.2">
      <c r="B11" s="12" t="s">
        <v>12</v>
      </c>
      <c r="C11" s="13" t="s">
        <v>13</v>
      </c>
      <c r="D11" s="14" t="s">
        <v>14</v>
      </c>
      <c r="O11" s="11">
        <v>1.51</v>
      </c>
      <c r="P11" s="9">
        <v>1.75</v>
      </c>
      <c r="Q11" s="9">
        <v>49.23</v>
      </c>
      <c r="R11" s="10">
        <v>1.43</v>
      </c>
    </row>
    <row r="12" spans="2:18" x14ac:dyDescent="0.2">
      <c r="B12" s="15">
        <f>+DATE(2012,4,30)</f>
        <v>41029</v>
      </c>
      <c r="C12" s="16">
        <f>+DATE(2013,4,30)</f>
        <v>41394</v>
      </c>
      <c r="D12" s="17">
        <v>27000</v>
      </c>
      <c r="O12" s="11">
        <v>1.76</v>
      </c>
      <c r="P12" s="9">
        <v>2</v>
      </c>
      <c r="Q12" s="9">
        <v>42.67</v>
      </c>
      <c r="R12" s="10">
        <v>1.615</v>
      </c>
    </row>
    <row r="13" spans="2:18" x14ac:dyDescent="0.2">
      <c r="B13" s="15">
        <f>+DATE(2013,4,30)</f>
        <v>41394</v>
      </c>
      <c r="C13" s="16">
        <f>+DATE(2014,4,30)</f>
        <v>41759</v>
      </c>
      <c r="D13" s="17">
        <v>27000</v>
      </c>
      <c r="O13" s="11">
        <v>2.0099999999999998</v>
      </c>
      <c r="P13" s="9">
        <v>2.25</v>
      </c>
      <c r="Q13" s="9">
        <v>37.65</v>
      </c>
      <c r="R13" s="10">
        <v>1.756</v>
      </c>
    </row>
    <row r="14" spans="2:18" x14ac:dyDescent="0.2">
      <c r="B14" s="15">
        <f>+DATE(2014,4,30)</f>
        <v>41759</v>
      </c>
      <c r="C14" s="16">
        <f>+DATE(2015,4,30)</f>
        <v>42124</v>
      </c>
      <c r="D14" s="17">
        <v>27000</v>
      </c>
      <c r="O14" s="11">
        <v>2.2599999999999998</v>
      </c>
      <c r="P14" s="9">
        <v>2.5</v>
      </c>
      <c r="Q14" s="9">
        <v>33.68</v>
      </c>
      <c r="R14" s="10">
        <v>1.8680000000000001</v>
      </c>
    </row>
    <row r="15" spans="2:18" x14ac:dyDescent="0.2">
      <c r="B15" s="15">
        <f>+DATE(2015,4,30)</f>
        <v>42124</v>
      </c>
      <c r="C15" s="16">
        <f>+DATE(2016,4,30)</f>
        <v>42490</v>
      </c>
      <c r="D15" s="17">
        <v>27000</v>
      </c>
      <c r="O15" s="11">
        <v>2.5099999999999998</v>
      </c>
      <c r="P15" s="9">
        <v>2.75</v>
      </c>
      <c r="Q15" s="9">
        <v>30.48</v>
      </c>
      <c r="R15" s="10">
        <v>1.958</v>
      </c>
    </row>
    <row r="16" spans="2:18" x14ac:dyDescent="0.2">
      <c r="B16" s="18">
        <f>+DATE(2016,4,30)</f>
        <v>42490</v>
      </c>
      <c r="C16" s="19">
        <f>+DATE(2017,4,30)</f>
        <v>42855</v>
      </c>
      <c r="D16" s="20">
        <v>27000</v>
      </c>
      <c r="O16" s="11">
        <v>2.76</v>
      </c>
      <c r="P16" s="9">
        <v>3</v>
      </c>
      <c r="Q16" s="9">
        <v>27.83</v>
      </c>
      <c r="R16" s="10">
        <v>2.0329999999999999</v>
      </c>
    </row>
    <row r="17" spans="2:18" x14ac:dyDescent="0.2">
      <c r="O17" s="11">
        <v>3.01</v>
      </c>
      <c r="P17" s="9">
        <v>3.25</v>
      </c>
      <c r="Q17" s="9">
        <v>25.6</v>
      </c>
      <c r="R17" s="10">
        <v>2.0960000000000001</v>
      </c>
    </row>
    <row r="18" spans="2:18" x14ac:dyDescent="0.2">
      <c r="O18" s="11">
        <v>3.26</v>
      </c>
      <c r="P18" s="9">
        <v>3.5</v>
      </c>
      <c r="Q18" s="9">
        <v>23.7</v>
      </c>
      <c r="R18" s="10">
        <v>2.149</v>
      </c>
    </row>
    <row r="19" spans="2:18" x14ac:dyDescent="0.2">
      <c r="O19" s="11">
        <v>3.51</v>
      </c>
      <c r="P19" s="9">
        <v>3.75</v>
      </c>
      <c r="Q19" s="9">
        <v>22.07</v>
      </c>
      <c r="R19" s="10">
        <v>2.1949999999999998</v>
      </c>
    </row>
    <row r="20" spans="2:18" ht="15" x14ac:dyDescent="0.25">
      <c r="B20" s="2" t="s">
        <v>15</v>
      </c>
      <c r="E20" s="21">
        <f>+DAYS360(E5,E6)/360</f>
        <v>60</v>
      </c>
      <c r="O20" s="11">
        <v>3.76</v>
      </c>
      <c r="P20" s="9">
        <v>4</v>
      </c>
      <c r="Q20" s="9">
        <v>20.65</v>
      </c>
      <c r="R20" s="10">
        <v>2.2349999999999999</v>
      </c>
    </row>
    <row r="21" spans="2:18" ht="15" x14ac:dyDescent="0.25">
      <c r="E21" s="22"/>
      <c r="O21" s="11">
        <v>4.01</v>
      </c>
      <c r="P21" s="9">
        <v>4.25</v>
      </c>
      <c r="Q21" s="9">
        <v>19.39</v>
      </c>
      <c r="R21" s="10">
        <v>2.2709999999999999</v>
      </c>
    </row>
    <row r="22" spans="2:18" ht="15" x14ac:dyDescent="0.25">
      <c r="E22" s="22"/>
      <c r="O22" s="11">
        <v>4.26</v>
      </c>
      <c r="P22" s="9">
        <v>4.5</v>
      </c>
      <c r="Q22" s="9">
        <v>18.29</v>
      </c>
      <c r="R22" s="10">
        <v>2.302</v>
      </c>
    </row>
    <row r="23" spans="2:18" x14ac:dyDescent="0.2">
      <c r="B23" s="2" t="s">
        <v>16</v>
      </c>
      <c r="E23" s="23">
        <f>+DAYS360(E7,E6)/360</f>
        <v>35.080555555555556</v>
      </c>
      <c r="O23" s="11">
        <v>4.51</v>
      </c>
      <c r="P23" s="9">
        <v>4.75</v>
      </c>
      <c r="Q23" s="9">
        <v>17.3</v>
      </c>
      <c r="R23" s="10">
        <v>2.33</v>
      </c>
    </row>
    <row r="24" spans="2:18" ht="15" x14ac:dyDescent="0.25">
      <c r="B24" s="2" t="s">
        <v>17</v>
      </c>
      <c r="E24" s="24">
        <f>+E23*52</f>
        <v>1824.1888888888889</v>
      </c>
      <c r="F24" s="2" t="s">
        <v>18</v>
      </c>
      <c r="O24" s="11">
        <v>4.76</v>
      </c>
      <c r="P24" s="9">
        <v>5</v>
      </c>
      <c r="Q24" s="9">
        <v>16.41</v>
      </c>
      <c r="R24" s="10">
        <v>2.355</v>
      </c>
    </row>
    <row r="25" spans="2:18" ht="15" x14ac:dyDescent="0.25">
      <c r="B25" s="2" t="s">
        <v>19</v>
      </c>
      <c r="E25" s="25">
        <f>+E8</f>
        <v>759</v>
      </c>
      <c r="F25" s="2" t="s">
        <v>20</v>
      </c>
      <c r="O25" s="11">
        <v>5.01</v>
      </c>
      <c r="P25" s="9">
        <v>5.25</v>
      </c>
      <c r="Q25" s="9">
        <v>15.61</v>
      </c>
      <c r="R25" s="10">
        <v>2.3769999999999998</v>
      </c>
    </row>
    <row r="26" spans="2:18" x14ac:dyDescent="0.2">
      <c r="B26" s="2" t="s">
        <v>21</v>
      </c>
      <c r="E26" s="26">
        <f>+E24-E25</f>
        <v>1065.1888888888889</v>
      </c>
      <c r="O26" s="11">
        <v>5.26</v>
      </c>
      <c r="P26" s="9">
        <v>5.5</v>
      </c>
      <c r="Q26" s="9">
        <v>14.88</v>
      </c>
      <c r="R26" s="10">
        <v>2.3980000000000001</v>
      </c>
    </row>
    <row r="27" spans="2:18" x14ac:dyDescent="0.2">
      <c r="O27" s="11">
        <v>5.51</v>
      </c>
      <c r="P27" s="9">
        <v>5.75</v>
      </c>
      <c r="Q27" s="9">
        <v>14.22</v>
      </c>
      <c r="R27" s="10">
        <v>2.4159999999999999</v>
      </c>
    </row>
    <row r="28" spans="2:18" x14ac:dyDescent="0.2">
      <c r="B28" s="82" t="s">
        <v>22</v>
      </c>
      <c r="C28" s="83"/>
      <c r="D28" s="83"/>
      <c r="E28" s="83"/>
      <c r="F28" s="83"/>
      <c r="G28" s="83"/>
      <c r="H28" s="84"/>
      <c r="O28" s="11">
        <v>5.76</v>
      </c>
      <c r="P28" s="9">
        <v>6</v>
      </c>
      <c r="Q28" s="9">
        <v>13.62</v>
      </c>
      <c r="R28" s="10">
        <v>2.4329999999999998</v>
      </c>
    </row>
    <row r="29" spans="2:18" ht="28.5" x14ac:dyDescent="0.2">
      <c r="B29" s="12" t="s">
        <v>23</v>
      </c>
      <c r="C29" s="13" t="s">
        <v>24</v>
      </c>
      <c r="D29" s="27" t="s">
        <v>14</v>
      </c>
      <c r="E29" s="27" t="s">
        <v>25</v>
      </c>
      <c r="F29" s="13" t="s">
        <v>26</v>
      </c>
      <c r="G29" s="13" t="s">
        <v>27</v>
      </c>
      <c r="H29" s="14" t="s">
        <v>28</v>
      </c>
      <c r="O29" s="11">
        <v>6.01</v>
      </c>
      <c r="P29" s="9">
        <v>25</v>
      </c>
      <c r="Q29" s="9">
        <v>13</v>
      </c>
      <c r="R29" s="10">
        <v>2.4500000000000002</v>
      </c>
    </row>
    <row r="30" spans="2:18" x14ac:dyDescent="0.2">
      <c r="B30" s="15">
        <f>+DATE(2012,4,30)</f>
        <v>41029</v>
      </c>
      <c r="C30" s="16">
        <f>+DATE(2013,4,30)</f>
        <v>41394</v>
      </c>
      <c r="D30" s="28">
        <f>+IF(D12&gt;H30,H30,D12)</f>
        <v>27000</v>
      </c>
      <c r="E30" s="29">
        <f>+B31-B30</f>
        <v>365</v>
      </c>
      <c r="F30" s="30">
        <f>+D30*E30</f>
        <v>9855000</v>
      </c>
      <c r="G30" s="31">
        <v>62.33</v>
      </c>
      <c r="H30" s="32">
        <f>+G30*30*25</f>
        <v>46747.5</v>
      </c>
      <c r="O30" s="6"/>
      <c r="P30" s="6"/>
      <c r="Q30" s="6"/>
      <c r="R30" s="6"/>
    </row>
    <row r="31" spans="2:18" x14ac:dyDescent="0.2">
      <c r="B31" s="15">
        <f>+DATE(2013,4,30)</f>
        <v>41394</v>
      </c>
      <c r="C31" s="16">
        <f>+DATE(2014,4,30)</f>
        <v>41759</v>
      </c>
      <c r="D31" s="28">
        <f t="shared" ref="D31:D34" si="0">+IF(D13&gt;H31,H31,D13)</f>
        <v>27000</v>
      </c>
      <c r="E31" s="29">
        <f t="shared" ref="E31:E34" si="1">+B32-B31</f>
        <v>365</v>
      </c>
      <c r="F31" s="30">
        <f t="shared" ref="F31:F34" si="2">+D31*E31</f>
        <v>9855000</v>
      </c>
      <c r="G31" s="31">
        <v>64.760000000000005</v>
      </c>
      <c r="H31" s="32">
        <f t="shared" ref="H31:H34" si="3">+G31*30*25</f>
        <v>48570.000000000007</v>
      </c>
      <c r="O31" s="33"/>
      <c r="P31" s="33"/>
      <c r="Q31" s="33"/>
      <c r="R31" s="33"/>
    </row>
    <row r="32" spans="2:18" ht="38.25" x14ac:dyDescent="0.2">
      <c r="B32" s="15">
        <f>+DATE(2014,4,30)</f>
        <v>41759</v>
      </c>
      <c r="C32" s="16">
        <f>+DATE(2015,4,30)</f>
        <v>42124</v>
      </c>
      <c r="D32" s="28">
        <f t="shared" si="0"/>
        <v>27000</v>
      </c>
      <c r="E32" s="29">
        <f t="shared" si="1"/>
        <v>365</v>
      </c>
      <c r="F32" s="30">
        <f t="shared" si="2"/>
        <v>9855000</v>
      </c>
      <c r="G32" s="31">
        <v>67.290000000000006</v>
      </c>
      <c r="H32" s="32">
        <f t="shared" si="3"/>
        <v>50467.500000000007</v>
      </c>
      <c r="O32" s="34" t="s">
        <v>29</v>
      </c>
      <c r="P32" s="34" t="s">
        <v>30</v>
      </c>
      <c r="Q32" s="33"/>
      <c r="R32" s="6"/>
    </row>
    <row r="33" spans="2:18" x14ac:dyDescent="0.2">
      <c r="B33" s="15">
        <f>+DATE(2015,4,30)</f>
        <v>42124</v>
      </c>
      <c r="C33" s="16">
        <f>+DATE(2016,4,30)</f>
        <v>42490</v>
      </c>
      <c r="D33" s="28">
        <f t="shared" si="0"/>
        <v>27000</v>
      </c>
      <c r="E33" s="29">
        <f t="shared" si="1"/>
        <v>366</v>
      </c>
      <c r="F33" s="30">
        <f t="shared" si="2"/>
        <v>9882000</v>
      </c>
      <c r="G33" s="31">
        <v>70.099999999999994</v>
      </c>
      <c r="H33" s="32">
        <f t="shared" si="3"/>
        <v>52575</v>
      </c>
      <c r="O33" s="11">
        <v>60</v>
      </c>
      <c r="P33" s="35">
        <v>0.75</v>
      </c>
      <c r="Q33" s="33"/>
      <c r="R33" s="6"/>
    </row>
    <row r="34" spans="2:18" x14ac:dyDescent="0.2">
      <c r="B34" s="15">
        <f>+DATE(2016,4,30)</f>
        <v>42490</v>
      </c>
      <c r="C34" s="16">
        <f>+DATE(2017,4,30)</f>
        <v>42855</v>
      </c>
      <c r="D34" s="28">
        <f t="shared" si="0"/>
        <v>27000</v>
      </c>
      <c r="E34" s="29">
        <f t="shared" si="1"/>
        <v>365</v>
      </c>
      <c r="F34" s="30">
        <f t="shared" si="2"/>
        <v>9855000</v>
      </c>
      <c r="G34" s="31">
        <v>73.040000000000006</v>
      </c>
      <c r="H34" s="32">
        <f t="shared" si="3"/>
        <v>54780.000000000007</v>
      </c>
      <c r="O34" s="11">
        <v>61</v>
      </c>
      <c r="P34" s="35">
        <v>0.8</v>
      </c>
      <c r="Q34" s="33"/>
      <c r="R34" s="6"/>
    </row>
    <row r="35" spans="2:18" x14ac:dyDescent="0.2">
      <c r="B35" s="15">
        <f>+DATE(2017,4,30)</f>
        <v>42855</v>
      </c>
      <c r="F35" s="30"/>
      <c r="H35" s="36"/>
      <c r="O35" s="11">
        <v>62</v>
      </c>
      <c r="P35" s="35">
        <v>0.85</v>
      </c>
      <c r="Q35" s="33"/>
      <c r="R35" s="6"/>
    </row>
    <row r="36" spans="2:18" x14ac:dyDescent="0.2">
      <c r="B36" s="37"/>
      <c r="E36" s="29">
        <f>+SUM(E30:E34)</f>
        <v>1826</v>
      </c>
      <c r="F36" s="29">
        <f>+SUM(F30:F34)</f>
        <v>49302000</v>
      </c>
      <c r="H36" s="36"/>
      <c r="O36" s="11">
        <v>63</v>
      </c>
      <c r="P36" s="35">
        <v>0.9</v>
      </c>
      <c r="Q36" s="33"/>
      <c r="R36" s="6"/>
    </row>
    <row r="37" spans="2:18" x14ac:dyDescent="0.2">
      <c r="B37" s="37"/>
      <c r="H37" s="36"/>
      <c r="O37" s="11">
        <v>64</v>
      </c>
      <c r="P37" s="35">
        <v>0.95</v>
      </c>
      <c r="Q37" s="33"/>
      <c r="R37" s="6"/>
    </row>
    <row r="38" spans="2:18" ht="15" x14ac:dyDescent="0.25">
      <c r="B38" s="38" t="s">
        <v>31</v>
      </c>
      <c r="C38" s="39"/>
      <c r="D38" s="40">
        <f>+F36/E36</f>
        <v>27000</v>
      </c>
      <c r="E38" s="39"/>
      <c r="F38" s="39"/>
      <c r="G38" s="39"/>
      <c r="H38" s="41"/>
      <c r="O38" s="11">
        <v>65</v>
      </c>
      <c r="P38" s="35">
        <v>1</v>
      </c>
      <c r="Q38" s="33"/>
      <c r="R38" s="6"/>
    </row>
    <row r="39" spans="2:18" x14ac:dyDescent="0.2">
      <c r="O39" s="6"/>
      <c r="P39" s="6"/>
      <c r="Q39" s="6"/>
      <c r="R39" s="6"/>
    </row>
    <row r="40" spans="2:18" x14ac:dyDescent="0.2">
      <c r="B40" s="2" t="s">
        <v>32</v>
      </c>
      <c r="O40" s="6"/>
      <c r="P40" s="6"/>
      <c r="Q40" s="6"/>
      <c r="R40" s="6"/>
    </row>
    <row r="41" spans="2:18" ht="15" thickBot="1" x14ac:dyDescent="0.25">
      <c r="O41" s="6" t="s">
        <v>33</v>
      </c>
      <c r="P41" s="6"/>
      <c r="Q41" s="6"/>
      <c r="R41" s="6"/>
    </row>
    <row r="42" spans="2:18" ht="15" thickBot="1" x14ac:dyDescent="0.25">
      <c r="B42" s="2" t="s">
        <v>34</v>
      </c>
      <c r="F42" s="42">
        <f>+PRODUCT(30,P100)</f>
        <v>4251</v>
      </c>
      <c r="O42" s="43" t="s">
        <v>35</v>
      </c>
      <c r="P42" s="43" t="s">
        <v>36</v>
      </c>
      <c r="Q42" s="43" t="s">
        <v>37</v>
      </c>
      <c r="R42" s="43" t="s">
        <v>38</v>
      </c>
    </row>
    <row r="43" spans="2:18" ht="15.75" thickBot="1" x14ac:dyDescent="0.3">
      <c r="B43" s="2" t="s">
        <v>32</v>
      </c>
      <c r="F43" s="44">
        <f>+D38/F42</f>
        <v>6.3514467184191954</v>
      </c>
      <c r="O43" s="45">
        <v>29952</v>
      </c>
      <c r="P43" s="46">
        <v>280</v>
      </c>
      <c r="Q43" s="46">
        <v>275</v>
      </c>
      <c r="R43" s="46">
        <v>255</v>
      </c>
    </row>
    <row r="44" spans="2:18" ht="15" thickBot="1" x14ac:dyDescent="0.25">
      <c r="O44" s="45">
        <v>30256</v>
      </c>
      <c r="P44" s="46">
        <v>364</v>
      </c>
      <c r="Q44" s="46">
        <v>358</v>
      </c>
      <c r="R44" s="46">
        <v>332</v>
      </c>
    </row>
    <row r="45" spans="2:18" ht="15" thickBot="1" x14ac:dyDescent="0.25">
      <c r="B45" s="2" t="s">
        <v>39</v>
      </c>
      <c r="O45" s="45">
        <v>30317</v>
      </c>
      <c r="P45" s="46">
        <v>455</v>
      </c>
      <c r="Q45" s="46">
        <v>415</v>
      </c>
      <c r="R45" s="46">
        <v>365</v>
      </c>
    </row>
    <row r="46" spans="2:18" ht="15" thickBot="1" x14ac:dyDescent="0.25">
      <c r="O46" s="45">
        <v>30481</v>
      </c>
      <c r="P46" s="46">
        <v>523</v>
      </c>
      <c r="Q46" s="46">
        <v>478</v>
      </c>
      <c r="R46" s="46">
        <v>421</v>
      </c>
    </row>
    <row r="47" spans="2:18" ht="15" thickBot="1" x14ac:dyDescent="0.25">
      <c r="B47" s="47" t="s">
        <v>40</v>
      </c>
      <c r="C47" s="14" t="s">
        <v>41</v>
      </c>
      <c r="O47" s="45">
        <v>30682</v>
      </c>
      <c r="P47" s="46">
        <v>680</v>
      </c>
      <c r="Q47" s="46">
        <v>625</v>
      </c>
      <c r="R47" s="46">
        <v>550</v>
      </c>
    </row>
    <row r="48" spans="2:18" ht="15" thickBot="1" x14ac:dyDescent="0.25">
      <c r="B48" s="48">
        <f>+VLOOKUP(F43,O8:R29,3,1)/100</f>
        <v>0.13</v>
      </c>
      <c r="C48" s="49">
        <f>+VLOOKUP(F43,O8:R29,4,1)/100</f>
        <v>2.4500000000000001E-2</v>
      </c>
      <c r="O48" s="45">
        <v>30844</v>
      </c>
      <c r="P48" s="46">
        <v>816</v>
      </c>
      <c r="Q48" s="46">
        <v>750</v>
      </c>
      <c r="R48" s="46">
        <v>660</v>
      </c>
    </row>
    <row r="49" spans="2:18" ht="15" thickBot="1" x14ac:dyDescent="0.25">
      <c r="O49" s="45">
        <v>31048</v>
      </c>
      <c r="P49" s="46">
        <v>1060</v>
      </c>
      <c r="Q49" s="46">
        <v>975</v>
      </c>
      <c r="R49" s="46">
        <v>860</v>
      </c>
    </row>
    <row r="50" spans="2:18" ht="15" thickBot="1" x14ac:dyDescent="0.25">
      <c r="O50" s="45">
        <v>31202</v>
      </c>
      <c r="P50" s="46">
        <v>1250</v>
      </c>
      <c r="Q50" s="46">
        <v>1150</v>
      </c>
      <c r="R50" s="46">
        <v>1015</v>
      </c>
    </row>
    <row r="51" spans="2:18" ht="15" thickBot="1" x14ac:dyDescent="0.25">
      <c r="B51" s="82" t="s">
        <v>42</v>
      </c>
      <c r="C51" s="83"/>
      <c r="D51" s="84"/>
      <c r="O51" s="45">
        <v>31413</v>
      </c>
      <c r="P51" s="46">
        <v>1650</v>
      </c>
      <c r="Q51" s="46">
        <v>1520</v>
      </c>
      <c r="R51" s="46">
        <v>1340</v>
      </c>
    </row>
    <row r="52" spans="2:18" ht="15" thickBot="1" x14ac:dyDescent="0.25">
      <c r="B52" s="37"/>
      <c r="D52" s="36"/>
      <c r="O52" s="45">
        <v>31564</v>
      </c>
      <c r="P52" s="46">
        <v>2065</v>
      </c>
      <c r="Q52" s="46">
        <v>1900</v>
      </c>
      <c r="R52" s="46">
        <v>1675</v>
      </c>
    </row>
    <row r="53" spans="2:18" ht="15" thickBot="1" x14ac:dyDescent="0.25">
      <c r="B53" s="50" t="s">
        <v>43</v>
      </c>
      <c r="D53" s="51">
        <f>+E25</f>
        <v>759</v>
      </c>
      <c r="O53" s="45">
        <v>31707</v>
      </c>
      <c r="P53" s="46">
        <v>2480</v>
      </c>
      <c r="Q53" s="46">
        <v>2290</v>
      </c>
      <c r="R53" s="46">
        <v>2060</v>
      </c>
    </row>
    <row r="54" spans="2:18" ht="15" thickBot="1" x14ac:dyDescent="0.25">
      <c r="B54" s="50" t="s">
        <v>44</v>
      </c>
      <c r="D54" s="36">
        <v>500</v>
      </c>
      <c r="O54" s="45">
        <v>31778</v>
      </c>
      <c r="P54" s="46">
        <v>3050</v>
      </c>
      <c r="Q54" s="46">
        <v>2820</v>
      </c>
      <c r="R54" s="46">
        <v>2535</v>
      </c>
    </row>
    <row r="55" spans="2:18" ht="15" thickBot="1" x14ac:dyDescent="0.25">
      <c r="B55" s="50" t="s">
        <v>26</v>
      </c>
      <c r="D55" s="51">
        <f>+D53-D54</f>
        <v>259</v>
      </c>
      <c r="O55" s="45">
        <v>31868</v>
      </c>
      <c r="P55" s="46">
        <v>3660</v>
      </c>
      <c r="Q55" s="46">
        <v>3385</v>
      </c>
      <c r="R55" s="46">
        <v>3045</v>
      </c>
    </row>
    <row r="56" spans="2:18" ht="15.75" thickBot="1" x14ac:dyDescent="0.3">
      <c r="B56" s="52" t="s">
        <v>45</v>
      </c>
      <c r="C56" s="39"/>
      <c r="D56" s="44">
        <f>+D55/52</f>
        <v>4.9807692307692308</v>
      </c>
      <c r="O56" s="45">
        <v>31959</v>
      </c>
      <c r="P56" s="46">
        <v>4500</v>
      </c>
      <c r="Q56" s="46">
        <v>4165</v>
      </c>
      <c r="R56" s="46">
        <v>3750</v>
      </c>
    </row>
    <row r="57" spans="2:18" ht="15" thickBot="1" x14ac:dyDescent="0.25">
      <c r="O57" s="45">
        <v>32051</v>
      </c>
      <c r="P57" s="46">
        <v>5625</v>
      </c>
      <c r="Q57" s="46">
        <v>5210</v>
      </c>
      <c r="R57" s="46">
        <v>4690</v>
      </c>
    </row>
    <row r="58" spans="2:18" ht="15" thickBot="1" x14ac:dyDescent="0.25">
      <c r="O58" s="45">
        <v>32127</v>
      </c>
      <c r="P58" s="46">
        <v>6470</v>
      </c>
      <c r="Q58" s="46">
        <v>5990</v>
      </c>
      <c r="R58" s="46">
        <v>5395</v>
      </c>
    </row>
    <row r="59" spans="2:18" ht="15.75" thickBot="1" x14ac:dyDescent="0.3">
      <c r="B59" s="2" t="s">
        <v>46</v>
      </c>
      <c r="E59" s="53">
        <f>+D56*C48</f>
        <v>0.12202884615384615</v>
      </c>
      <c r="O59" s="45">
        <v>32143</v>
      </c>
      <c r="P59" s="46">
        <v>7765</v>
      </c>
      <c r="Q59" s="46">
        <v>7190</v>
      </c>
      <c r="R59" s="46">
        <v>6475</v>
      </c>
    </row>
    <row r="60" spans="2:18" ht="15" thickBot="1" x14ac:dyDescent="0.25">
      <c r="O60" s="45">
        <v>32203</v>
      </c>
      <c r="P60" s="46">
        <v>8000</v>
      </c>
      <c r="Q60" s="46">
        <v>7405</v>
      </c>
      <c r="R60" s="46">
        <v>6670</v>
      </c>
    </row>
    <row r="61" spans="2:18" ht="15.75" thickBot="1" x14ac:dyDescent="0.3">
      <c r="B61" s="2" t="s">
        <v>47</v>
      </c>
      <c r="F61" s="54">
        <f>+B48+E59</f>
        <v>0.25202884615384613</v>
      </c>
      <c r="O61" s="45">
        <v>32509</v>
      </c>
      <c r="P61" s="46">
        <v>8640</v>
      </c>
      <c r="Q61" s="46">
        <v>7995</v>
      </c>
      <c r="R61" s="46">
        <v>7205</v>
      </c>
    </row>
    <row r="62" spans="2:18" ht="15" thickBot="1" x14ac:dyDescent="0.25">
      <c r="O62" s="45">
        <v>32690</v>
      </c>
      <c r="P62" s="46">
        <v>9160</v>
      </c>
      <c r="Q62" s="46">
        <v>8475</v>
      </c>
      <c r="R62" s="46">
        <v>7640</v>
      </c>
    </row>
    <row r="63" spans="2:18" ht="15.75" thickBot="1" x14ac:dyDescent="0.3">
      <c r="B63" s="2" t="s">
        <v>48</v>
      </c>
      <c r="E63" s="40">
        <f>+D38*F61</f>
        <v>6804.7788461538457</v>
      </c>
      <c r="O63" s="45">
        <v>32846</v>
      </c>
      <c r="P63" s="46">
        <v>10080</v>
      </c>
      <c r="Q63" s="46">
        <v>9325</v>
      </c>
      <c r="R63" s="46">
        <v>8405</v>
      </c>
    </row>
    <row r="64" spans="2:18" ht="15" thickBot="1" x14ac:dyDescent="0.25">
      <c r="O64" s="45">
        <v>33193</v>
      </c>
      <c r="P64" s="46">
        <v>11900</v>
      </c>
      <c r="Q64" s="46">
        <v>11000</v>
      </c>
      <c r="R64" s="46">
        <v>9920</v>
      </c>
    </row>
    <row r="65" spans="2:18" ht="15" thickBot="1" x14ac:dyDescent="0.25">
      <c r="O65" s="45">
        <v>33553</v>
      </c>
      <c r="P65" s="46">
        <v>13330</v>
      </c>
      <c r="Q65" s="46">
        <v>12320</v>
      </c>
      <c r="R65" s="46">
        <v>11115</v>
      </c>
    </row>
    <row r="66" spans="2:18" ht="15" thickBot="1" x14ac:dyDescent="0.25">
      <c r="B66" s="2" t="s">
        <v>49</v>
      </c>
      <c r="O66" s="45">
        <v>33970</v>
      </c>
      <c r="P66" s="46">
        <v>14.27</v>
      </c>
      <c r="Q66" s="46">
        <v>13.26</v>
      </c>
      <c r="R66" s="46">
        <v>12.05</v>
      </c>
    </row>
    <row r="67" spans="2:18" ht="15" thickBot="1" x14ac:dyDescent="0.25">
      <c r="O67" s="45">
        <v>34335</v>
      </c>
      <c r="P67" s="46">
        <v>15.27</v>
      </c>
      <c r="Q67" s="46">
        <v>14.19</v>
      </c>
      <c r="R67" s="46">
        <v>12.89</v>
      </c>
    </row>
    <row r="68" spans="2:18" ht="15" thickBot="1" x14ac:dyDescent="0.25">
      <c r="B68" s="55" t="s">
        <v>50</v>
      </c>
      <c r="C68" s="56"/>
      <c r="D68" s="57">
        <f>+E20</f>
        <v>60</v>
      </c>
      <c r="O68" s="45">
        <v>34700</v>
      </c>
      <c r="P68" s="46">
        <v>16.34</v>
      </c>
      <c r="Q68" s="46">
        <v>15.18</v>
      </c>
      <c r="R68" s="46">
        <v>13.79</v>
      </c>
    </row>
    <row r="69" spans="2:18" ht="15" thickBot="1" x14ac:dyDescent="0.25">
      <c r="B69" s="38" t="s">
        <v>51</v>
      </c>
      <c r="C69" s="39"/>
      <c r="D69" s="49">
        <f>+VLOOKUP(D68,O33:P38,2,1)</f>
        <v>0.75</v>
      </c>
      <c r="O69" s="45">
        <v>34790</v>
      </c>
      <c r="P69" s="46">
        <v>18.3</v>
      </c>
      <c r="Q69" s="46">
        <v>17</v>
      </c>
      <c r="R69" s="46">
        <v>15.44</v>
      </c>
    </row>
    <row r="70" spans="2:18" ht="15" thickBot="1" x14ac:dyDescent="0.25">
      <c r="O70" s="45">
        <v>35037</v>
      </c>
      <c r="P70" s="46">
        <v>20.149999999999999</v>
      </c>
      <c r="Q70" s="46">
        <v>18.7</v>
      </c>
      <c r="R70" s="46">
        <v>17</v>
      </c>
    </row>
    <row r="71" spans="2:18" ht="15.75" thickBot="1" x14ac:dyDescent="0.3">
      <c r="B71" s="2" t="s">
        <v>52</v>
      </c>
      <c r="D71" s="40">
        <f>+PRODUCT(D69,E63,1.11)</f>
        <v>5664.9783894230777</v>
      </c>
      <c r="E71" s="2" t="s">
        <v>53</v>
      </c>
      <c r="O71" s="45">
        <v>35156</v>
      </c>
      <c r="P71" s="46">
        <v>22.6</v>
      </c>
      <c r="Q71" s="46">
        <v>20.95</v>
      </c>
      <c r="R71" s="46">
        <v>19.05</v>
      </c>
    </row>
    <row r="72" spans="2:18" ht="15" thickBot="1" x14ac:dyDescent="0.25">
      <c r="O72" s="45">
        <v>35402</v>
      </c>
      <c r="P72" s="46">
        <v>26.45</v>
      </c>
      <c r="Q72" s="46">
        <v>24.5</v>
      </c>
      <c r="R72" s="46">
        <v>22.5</v>
      </c>
    </row>
    <row r="73" spans="2:18" ht="15" thickBot="1" x14ac:dyDescent="0.25">
      <c r="B73" s="2" t="s">
        <v>54</v>
      </c>
      <c r="O73" s="45">
        <v>35796</v>
      </c>
      <c r="P73" s="46">
        <v>30.2</v>
      </c>
      <c r="Q73" s="46">
        <v>28</v>
      </c>
      <c r="R73" s="46">
        <v>26.05</v>
      </c>
    </row>
    <row r="74" spans="2:18" ht="15" thickBot="1" x14ac:dyDescent="0.25">
      <c r="O74" s="45">
        <v>36132</v>
      </c>
      <c r="P74" s="46">
        <v>34.450000000000003</v>
      </c>
      <c r="Q74" s="46">
        <v>31.9</v>
      </c>
      <c r="R74" s="46">
        <v>29.7</v>
      </c>
    </row>
    <row r="75" spans="2:18" ht="15" thickBot="1" x14ac:dyDescent="0.25">
      <c r="B75" s="2" t="s">
        <v>55</v>
      </c>
      <c r="D75" s="58">
        <v>0.15</v>
      </c>
      <c r="O75" s="45">
        <v>36526</v>
      </c>
      <c r="P75" s="46">
        <v>37.9</v>
      </c>
      <c r="Q75" s="46">
        <v>35.1</v>
      </c>
      <c r="R75" s="46">
        <v>32.700000000000003</v>
      </c>
    </row>
    <row r="76" spans="2:18" ht="15" thickBot="1" x14ac:dyDescent="0.25">
      <c r="B76" s="2" t="s">
        <v>56</v>
      </c>
      <c r="D76" s="58">
        <f>+PRODUCT(10%,2)</f>
        <v>0.2</v>
      </c>
      <c r="O76" s="45">
        <v>36892</v>
      </c>
      <c r="P76" s="46">
        <v>40.35</v>
      </c>
      <c r="Q76" s="46">
        <v>37.950000000000003</v>
      </c>
      <c r="R76" s="46">
        <v>35.85</v>
      </c>
    </row>
    <row r="77" spans="2:18" ht="15" thickBot="1" x14ac:dyDescent="0.25">
      <c r="O77" s="45">
        <v>37257</v>
      </c>
      <c r="P77" s="46">
        <v>42.15</v>
      </c>
      <c r="Q77" s="46">
        <v>40.1</v>
      </c>
      <c r="R77" s="46">
        <v>38.299999999999997</v>
      </c>
    </row>
    <row r="78" spans="2:18" ht="15.75" thickBot="1" x14ac:dyDescent="0.3">
      <c r="B78" s="59" t="s">
        <v>57</v>
      </c>
      <c r="C78" s="59"/>
      <c r="D78" s="40">
        <f>+D71*(1+D76+D75)</f>
        <v>7647.7208257211541</v>
      </c>
      <c r="O78" s="45">
        <v>37622</v>
      </c>
      <c r="P78" s="46">
        <v>43.65</v>
      </c>
      <c r="Q78" s="46">
        <v>41.85</v>
      </c>
      <c r="R78" s="46">
        <v>40.299999999999997</v>
      </c>
    </row>
    <row r="79" spans="2:18" ht="15" thickBot="1" x14ac:dyDescent="0.25">
      <c r="O79" s="45">
        <v>37987</v>
      </c>
      <c r="P79" s="46">
        <v>45.24</v>
      </c>
      <c r="Q79" s="46">
        <v>43.73</v>
      </c>
      <c r="R79" s="46">
        <v>42.11</v>
      </c>
    </row>
    <row r="80" spans="2:18" ht="15" thickBot="1" x14ac:dyDescent="0.25">
      <c r="O80" s="45">
        <v>38353</v>
      </c>
      <c r="P80" s="46">
        <v>46.8</v>
      </c>
      <c r="Q80" s="46">
        <v>45.35</v>
      </c>
      <c r="R80" s="46">
        <v>44.05</v>
      </c>
    </row>
    <row r="81" spans="2:18" ht="15" thickBot="1" x14ac:dyDescent="0.25">
      <c r="B81" s="2" t="s">
        <v>58</v>
      </c>
      <c r="O81" s="45">
        <v>38718</v>
      </c>
      <c r="P81" s="46">
        <v>48.67</v>
      </c>
      <c r="Q81" s="46">
        <v>47.16</v>
      </c>
      <c r="R81" s="46">
        <v>45.81</v>
      </c>
    </row>
    <row r="82" spans="2:18" ht="15" thickBot="1" x14ac:dyDescent="0.25">
      <c r="B82" s="2" t="s">
        <v>59</v>
      </c>
      <c r="O82" s="45">
        <v>39083</v>
      </c>
      <c r="P82" s="46">
        <v>50.57</v>
      </c>
      <c r="Q82" s="46">
        <v>49</v>
      </c>
      <c r="R82" s="46">
        <v>47.6</v>
      </c>
    </row>
    <row r="83" spans="2:18" ht="15" thickBot="1" x14ac:dyDescent="0.25">
      <c r="B83" s="2" t="s">
        <v>60</v>
      </c>
      <c r="O83" s="45">
        <v>39448</v>
      </c>
      <c r="P83" s="46">
        <v>52.59</v>
      </c>
      <c r="Q83" s="46">
        <v>50.96</v>
      </c>
      <c r="R83" s="46">
        <v>49.5</v>
      </c>
    </row>
    <row r="84" spans="2:18" ht="15" thickBot="1" x14ac:dyDescent="0.25">
      <c r="B84" s="2" t="s">
        <v>61</v>
      </c>
      <c r="O84" s="45">
        <v>39814</v>
      </c>
      <c r="P84" s="46">
        <v>54.8</v>
      </c>
      <c r="Q84" s="46">
        <v>53.26</v>
      </c>
      <c r="R84" s="46">
        <v>51.95</v>
      </c>
    </row>
    <row r="85" spans="2:18" ht="15" thickBot="1" x14ac:dyDescent="0.25">
      <c r="B85" s="2" t="s">
        <v>62</v>
      </c>
      <c r="O85" s="45">
        <v>40179</v>
      </c>
      <c r="P85" s="60">
        <v>57.46</v>
      </c>
      <c r="Q85" s="60">
        <v>55.84</v>
      </c>
      <c r="R85" s="60">
        <v>54.47</v>
      </c>
    </row>
    <row r="86" spans="2:18" ht="15" thickBot="1" x14ac:dyDescent="0.25">
      <c r="B86" s="2" t="s">
        <v>63</v>
      </c>
      <c r="O86" s="45">
        <v>40544</v>
      </c>
      <c r="P86" s="60">
        <v>59.82</v>
      </c>
      <c r="Q86" s="60">
        <v>58.13</v>
      </c>
      <c r="R86" s="60">
        <v>56.7</v>
      </c>
    </row>
    <row r="87" spans="2:18" ht="15" thickBot="1" x14ac:dyDescent="0.25">
      <c r="O87" s="45">
        <v>40909</v>
      </c>
      <c r="P87" s="60">
        <v>62.33</v>
      </c>
      <c r="Q87" s="60">
        <v>60.57</v>
      </c>
      <c r="R87" s="60">
        <v>59.08</v>
      </c>
    </row>
    <row r="88" spans="2:18" ht="15" thickBot="1" x14ac:dyDescent="0.25">
      <c r="B88" s="2" t="s">
        <v>64</v>
      </c>
      <c r="O88" s="45">
        <v>41240</v>
      </c>
      <c r="P88" s="60">
        <v>62.33</v>
      </c>
      <c r="Q88" s="60">
        <v>59.08</v>
      </c>
      <c r="R88" s="60">
        <v>59.08</v>
      </c>
    </row>
    <row r="89" spans="2:18" ht="15" thickBot="1" x14ac:dyDescent="0.25">
      <c r="B89" s="2" t="s">
        <v>65</v>
      </c>
      <c r="O89" s="45">
        <v>41275</v>
      </c>
      <c r="P89" s="60">
        <v>64.760000000000005</v>
      </c>
      <c r="Q89" s="60">
        <v>61.38</v>
      </c>
      <c r="R89" s="60">
        <v>61.38</v>
      </c>
    </row>
    <row r="90" spans="2:18" ht="15" thickBot="1" x14ac:dyDescent="0.25">
      <c r="B90" s="58">
        <v>0.15</v>
      </c>
      <c r="C90" s="2" t="s">
        <v>66</v>
      </c>
      <c r="O90" s="45">
        <v>41640</v>
      </c>
      <c r="P90" s="60">
        <v>67.290000000000006</v>
      </c>
      <c r="Q90" s="60">
        <v>63.77</v>
      </c>
      <c r="R90" s="60">
        <v>63.77</v>
      </c>
    </row>
    <row r="91" spans="2:18" ht="15" thickBot="1" x14ac:dyDescent="0.25">
      <c r="B91" s="58">
        <v>0.1</v>
      </c>
      <c r="C91" s="2" t="s">
        <v>67</v>
      </c>
      <c r="O91" s="45">
        <v>42005</v>
      </c>
      <c r="P91" s="60">
        <v>70.099999999999994</v>
      </c>
      <c r="Q91" s="60">
        <v>66.45</v>
      </c>
      <c r="R91" s="60">
        <v>66.45</v>
      </c>
    </row>
    <row r="92" spans="2:18" ht="15" thickBot="1" x14ac:dyDescent="0.25">
      <c r="B92" s="58">
        <v>0.1</v>
      </c>
      <c r="C92" s="2" t="s">
        <v>68</v>
      </c>
      <c r="O92" s="45">
        <v>42095</v>
      </c>
      <c r="P92" s="60">
        <v>70.099999999999994</v>
      </c>
      <c r="Q92" s="60">
        <v>68.28</v>
      </c>
      <c r="R92" s="60">
        <v>68.28</v>
      </c>
    </row>
    <row r="93" spans="2:18" ht="15" thickBot="1" x14ac:dyDescent="0.25">
      <c r="B93" s="58">
        <v>0.15</v>
      </c>
      <c r="C93" s="2" t="s">
        <v>69</v>
      </c>
      <c r="O93" s="45">
        <v>42278</v>
      </c>
      <c r="P93" s="60">
        <v>70.099999999999994</v>
      </c>
      <c r="Q93" s="60">
        <v>70.099999999999994</v>
      </c>
      <c r="R93" s="60">
        <v>70.099999999999994</v>
      </c>
    </row>
    <row r="94" spans="2:18" ht="15" thickBot="1" x14ac:dyDescent="0.25">
      <c r="O94" s="45">
        <v>42370</v>
      </c>
      <c r="P94" s="60">
        <v>73.040000000000006</v>
      </c>
      <c r="Q94" s="60">
        <v>73.040000000000006</v>
      </c>
      <c r="R94" s="60">
        <v>73.040000000000006</v>
      </c>
    </row>
    <row r="95" spans="2:18" ht="15" thickBot="1" x14ac:dyDescent="0.25">
      <c r="B95" s="2" t="s">
        <v>70</v>
      </c>
      <c r="O95" s="45">
        <v>42736</v>
      </c>
      <c r="P95" s="60">
        <v>80.040000000000006</v>
      </c>
      <c r="Q95" s="60">
        <v>80.040000000000006</v>
      </c>
      <c r="R95" s="60">
        <v>80.040000000000006</v>
      </c>
    </row>
    <row r="96" spans="2:18" ht="15" thickBot="1" x14ac:dyDescent="0.25">
      <c r="B96" s="2" t="s">
        <v>71</v>
      </c>
      <c r="O96" s="45">
        <v>43070</v>
      </c>
      <c r="P96" s="60">
        <v>88.36</v>
      </c>
      <c r="Q96" s="60">
        <v>88.36</v>
      </c>
      <c r="R96" s="60">
        <v>88.36</v>
      </c>
    </row>
    <row r="97" spans="2:18" ht="15" thickBot="1" x14ac:dyDescent="0.25">
      <c r="O97" s="45">
        <v>43101</v>
      </c>
      <c r="P97" s="60">
        <v>88.36</v>
      </c>
      <c r="Q97" s="60">
        <v>88.36</v>
      </c>
      <c r="R97" s="60">
        <v>88.36</v>
      </c>
    </row>
    <row r="98" spans="2:18" ht="15" thickBot="1" x14ac:dyDescent="0.25">
      <c r="O98" s="45">
        <v>43466</v>
      </c>
      <c r="P98" s="60">
        <v>102.68</v>
      </c>
      <c r="Q98" s="60">
        <v>102.68</v>
      </c>
      <c r="R98" s="60">
        <v>102.68</v>
      </c>
    </row>
    <row r="99" spans="2:18" ht="15" thickBot="1" x14ac:dyDescent="0.25">
      <c r="O99" s="45">
        <v>43831</v>
      </c>
      <c r="P99" s="60">
        <v>123.22</v>
      </c>
      <c r="Q99" s="60">
        <v>123.22</v>
      </c>
      <c r="R99" s="60">
        <v>123.22</v>
      </c>
    </row>
    <row r="100" spans="2:18" ht="15" thickBot="1" x14ac:dyDescent="0.25">
      <c r="B100" s="2" t="s">
        <v>72</v>
      </c>
      <c r="O100" s="45">
        <v>44197</v>
      </c>
      <c r="P100" s="60">
        <v>141.69999999999999</v>
      </c>
      <c r="Q100" s="60">
        <v>141.69999999999999</v>
      </c>
      <c r="R100" s="60">
        <v>141.69999999999999</v>
      </c>
    </row>
    <row r="101" spans="2:18" ht="15" thickBot="1" x14ac:dyDescent="0.25">
      <c r="B101" s="2" t="s">
        <v>73</v>
      </c>
      <c r="O101" s="45"/>
      <c r="P101" s="60"/>
      <c r="Q101" s="60"/>
      <c r="R101" s="60"/>
    </row>
    <row r="102" spans="2:18" x14ac:dyDescent="0.2">
      <c r="B102" s="2" t="s">
        <v>74</v>
      </c>
    </row>
    <row r="104" spans="2:18" x14ac:dyDescent="0.2">
      <c r="B104" s="55" t="s">
        <v>75</v>
      </c>
      <c r="C104" s="61">
        <v>89.62</v>
      </c>
    </row>
    <row r="105" spans="2:18" x14ac:dyDescent="0.2">
      <c r="B105" s="37" t="s">
        <v>76</v>
      </c>
      <c r="C105" s="32">
        <f>+PRODUCT(C104,25)</f>
        <v>2240.5</v>
      </c>
    </row>
    <row r="106" spans="2:18" x14ac:dyDescent="0.2">
      <c r="B106" s="38" t="s">
        <v>77</v>
      </c>
      <c r="C106" s="62">
        <v>0.10075000000000001</v>
      </c>
      <c r="D106" s="2" t="s">
        <v>78</v>
      </c>
    </row>
    <row r="108" spans="2:18" x14ac:dyDescent="0.2">
      <c r="O108" s="82" t="s">
        <v>79</v>
      </c>
      <c r="P108" s="83"/>
      <c r="Q108" s="84"/>
    </row>
    <row r="109" spans="2:18" ht="15" x14ac:dyDescent="0.25">
      <c r="B109" s="63" t="s">
        <v>80</v>
      </c>
      <c r="E109" s="64">
        <f>+PRODUCT(C105,C106,30)</f>
        <v>6771.9112500000001</v>
      </c>
      <c r="O109" s="12" t="s">
        <v>81</v>
      </c>
      <c r="P109" s="13" t="s">
        <v>82</v>
      </c>
      <c r="Q109" s="14" t="s">
        <v>83</v>
      </c>
    </row>
    <row r="110" spans="2:18" x14ac:dyDescent="0.2">
      <c r="O110" s="37">
        <v>1</v>
      </c>
      <c r="P110" s="30">
        <v>89.62</v>
      </c>
      <c r="Q110" s="32">
        <f>+PRODUCT(P110,$C$106,30)</f>
        <v>270.87645000000003</v>
      </c>
    </row>
    <row r="111" spans="2:18" x14ac:dyDescent="0.2">
      <c r="B111" s="2" t="s">
        <v>84</v>
      </c>
      <c r="O111" s="37">
        <v>2</v>
      </c>
      <c r="P111" s="30">
        <f>+$P$110*O111</f>
        <v>179.24</v>
      </c>
      <c r="Q111" s="32">
        <f t="shared" ref="Q111:Q134" si="4">+PRODUCT(P111,$C$106,30)</f>
        <v>541.75290000000007</v>
      </c>
    </row>
    <row r="112" spans="2:18" x14ac:dyDescent="0.2">
      <c r="B112" s="2" t="s">
        <v>85</v>
      </c>
      <c r="O112" s="37">
        <v>3</v>
      </c>
      <c r="P112" s="30">
        <f t="shared" ref="P112:P134" si="5">+$P$110*O112</f>
        <v>268.86</v>
      </c>
      <c r="Q112" s="32">
        <f t="shared" si="4"/>
        <v>812.62935000000004</v>
      </c>
    </row>
    <row r="113" spans="2:17" x14ac:dyDescent="0.2">
      <c r="O113" s="37">
        <v>4</v>
      </c>
      <c r="P113" s="30">
        <f t="shared" si="5"/>
        <v>358.48</v>
      </c>
      <c r="Q113" s="32">
        <f t="shared" si="4"/>
        <v>1083.5058000000001</v>
      </c>
    </row>
    <row r="114" spans="2:17" x14ac:dyDescent="0.2">
      <c r="B114" s="2" t="s">
        <v>86</v>
      </c>
      <c r="O114" s="37">
        <v>5</v>
      </c>
      <c r="P114" s="30">
        <f t="shared" si="5"/>
        <v>448.1</v>
      </c>
      <c r="Q114" s="32">
        <f t="shared" si="4"/>
        <v>1354.3822500000001</v>
      </c>
    </row>
    <row r="115" spans="2:17" x14ac:dyDescent="0.2">
      <c r="B115" s="2" t="s">
        <v>87</v>
      </c>
      <c r="O115" s="37">
        <v>6</v>
      </c>
      <c r="P115" s="30">
        <f t="shared" si="5"/>
        <v>537.72</v>
      </c>
      <c r="Q115" s="32">
        <f t="shared" si="4"/>
        <v>1625.2587000000001</v>
      </c>
    </row>
    <row r="116" spans="2:17" x14ac:dyDescent="0.2">
      <c r="B116" s="2" t="s">
        <v>88</v>
      </c>
      <c r="O116" s="37">
        <v>7</v>
      </c>
      <c r="P116" s="30">
        <f t="shared" si="5"/>
        <v>627.34</v>
      </c>
      <c r="Q116" s="32">
        <f t="shared" si="4"/>
        <v>1896.1351500000001</v>
      </c>
    </row>
    <row r="117" spans="2:17" x14ac:dyDescent="0.2">
      <c r="O117" s="37">
        <v>8</v>
      </c>
      <c r="P117" s="30">
        <f t="shared" si="5"/>
        <v>716.96</v>
      </c>
      <c r="Q117" s="32">
        <f t="shared" si="4"/>
        <v>2167.0116000000003</v>
      </c>
    </row>
    <row r="118" spans="2:17" x14ac:dyDescent="0.2">
      <c r="O118" s="37">
        <v>9</v>
      </c>
      <c r="P118" s="30">
        <f t="shared" si="5"/>
        <v>806.58</v>
      </c>
      <c r="Q118" s="32">
        <f t="shared" si="4"/>
        <v>2437.8880500000005</v>
      </c>
    </row>
    <row r="119" spans="2:17" x14ac:dyDescent="0.2">
      <c r="B119" s="2" t="s">
        <v>89</v>
      </c>
      <c r="O119" s="37">
        <v>10</v>
      </c>
      <c r="P119" s="30">
        <f t="shared" si="5"/>
        <v>896.2</v>
      </c>
      <c r="Q119" s="32">
        <f t="shared" si="4"/>
        <v>2708.7645000000002</v>
      </c>
    </row>
    <row r="120" spans="2:17" x14ac:dyDescent="0.2">
      <c r="O120" s="37">
        <v>11</v>
      </c>
      <c r="P120" s="30">
        <f t="shared" si="5"/>
        <v>985.82</v>
      </c>
      <c r="Q120" s="32">
        <f t="shared" si="4"/>
        <v>2979.6409500000004</v>
      </c>
    </row>
    <row r="121" spans="2:17" x14ac:dyDescent="0.2">
      <c r="B121" s="55" t="s">
        <v>90</v>
      </c>
      <c r="C121" s="65">
        <f>+$P$134*30</f>
        <v>67215</v>
      </c>
      <c r="O121" s="37">
        <v>12</v>
      </c>
      <c r="P121" s="30">
        <f t="shared" si="5"/>
        <v>1075.44</v>
      </c>
      <c r="Q121" s="32">
        <f t="shared" si="4"/>
        <v>3250.5174000000002</v>
      </c>
    </row>
    <row r="122" spans="2:17" x14ac:dyDescent="0.2">
      <c r="B122" s="37" t="s">
        <v>91</v>
      </c>
      <c r="C122" s="17">
        <f t="shared" ref="C122:C125" si="6">+$P$134*30</f>
        <v>67215</v>
      </c>
      <c r="O122" s="37">
        <v>13</v>
      </c>
      <c r="P122" s="30">
        <f t="shared" si="5"/>
        <v>1165.06</v>
      </c>
      <c r="Q122" s="32">
        <f t="shared" si="4"/>
        <v>3521.3938499999999</v>
      </c>
    </row>
    <row r="123" spans="2:17" x14ac:dyDescent="0.2">
      <c r="B123" s="37" t="s">
        <v>92</v>
      </c>
      <c r="C123" s="17">
        <f t="shared" si="6"/>
        <v>67215</v>
      </c>
      <c r="O123" s="37">
        <v>14</v>
      </c>
      <c r="P123" s="30">
        <f t="shared" si="5"/>
        <v>1254.68</v>
      </c>
      <c r="Q123" s="32">
        <f t="shared" si="4"/>
        <v>3792.2703000000001</v>
      </c>
    </row>
    <row r="124" spans="2:17" x14ac:dyDescent="0.2">
      <c r="B124" s="37" t="s">
        <v>93</v>
      </c>
      <c r="C124" s="17">
        <f t="shared" si="6"/>
        <v>67215</v>
      </c>
      <c r="O124" s="37">
        <v>15</v>
      </c>
      <c r="P124" s="30">
        <f t="shared" si="5"/>
        <v>1344.3000000000002</v>
      </c>
      <c r="Q124" s="32">
        <f t="shared" si="4"/>
        <v>4063.1467500000003</v>
      </c>
    </row>
    <row r="125" spans="2:17" x14ac:dyDescent="0.2">
      <c r="B125" s="38" t="s">
        <v>94</v>
      </c>
      <c r="C125" s="20">
        <f t="shared" si="6"/>
        <v>67215</v>
      </c>
      <c r="O125" s="37">
        <v>16</v>
      </c>
      <c r="P125" s="30">
        <f t="shared" si="5"/>
        <v>1433.92</v>
      </c>
      <c r="Q125" s="32">
        <f t="shared" si="4"/>
        <v>4334.0232000000005</v>
      </c>
    </row>
    <row r="126" spans="2:17" x14ac:dyDescent="0.2">
      <c r="O126" s="37">
        <v>17</v>
      </c>
      <c r="P126" s="30">
        <f t="shared" si="5"/>
        <v>1523.54</v>
      </c>
      <c r="Q126" s="32">
        <f t="shared" si="4"/>
        <v>4604.8996500000003</v>
      </c>
    </row>
    <row r="127" spans="2:17" x14ac:dyDescent="0.2">
      <c r="B127" s="12" t="s">
        <v>95</v>
      </c>
      <c r="C127" s="66">
        <f>+SUM(C121:C125)/5</f>
        <v>67215</v>
      </c>
      <c r="O127" s="37">
        <v>18</v>
      </c>
      <c r="P127" s="30">
        <f t="shared" si="5"/>
        <v>1613.16</v>
      </c>
      <c r="Q127" s="32">
        <f t="shared" si="4"/>
        <v>4875.776100000001</v>
      </c>
    </row>
    <row r="128" spans="2:17" x14ac:dyDescent="0.2">
      <c r="O128" s="37">
        <v>19</v>
      </c>
      <c r="P128" s="30">
        <f t="shared" si="5"/>
        <v>1702.7800000000002</v>
      </c>
      <c r="Q128" s="32">
        <f t="shared" si="4"/>
        <v>5146.6525500000007</v>
      </c>
    </row>
    <row r="129" spans="2:17" x14ac:dyDescent="0.2">
      <c r="B129" s="55" t="s">
        <v>96</v>
      </c>
      <c r="C129" s="57">
        <f>+PRODUCT(52,5)</f>
        <v>260</v>
      </c>
      <c r="D129" s="2" t="s">
        <v>97</v>
      </c>
      <c r="O129" s="37">
        <v>20</v>
      </c>
      <c r="P129" s="30">
        <f t="shared" si="5"/>
        <v>1792.4</v>
      </c>
      <c r="Q129" s="32">
        <f t="shared" si="4"/>
        <v>5417.5290000000005</v>
      </c>
    </row>
    <row r="130" spans="2:17" x14ac:dyDescent="0.2">
      <c r="B130" s="38" t="s">
        <v>96</v>
      </c>
      <c r="C130" s="41">
        <v>260</v>
      </c>
      <c r="D130" s="2" t="s">
        <v>98</v>
      </c>
      <c r="O130" s="37">
        <v>21</v>
      </c>
      <c r="P130" s="30">
        <f t="shared" si="5"/>
        <v>1882.02</v>
      </c>
      <c r="Q130" s="32">
        <f t="shared" si="4"/>
        <v>5688.4054500000002</v>
      </c>
    </row>
    <row r="131" spans="2:17" x14ac:dyDescent="0.2">
      <c r="O131" s="37">
        <v>22</v>
      </c>
      <c r="P131" s="30">
        <f t="shared" si="5"/>
        <v>1971.64</v>
      </c>
      <c r="Q131" s="32">
        <f t="shared" si="4"/>
        <v>5959.2819000000009</v>
      </c>
    </row>
    <row r="132" spans="2:17" x14ac:dyDescent="0.2">
      <c r="B132" s="2" t="s">
        <v>99</v>
      </c>
      <c r="O132" s="37">
        <v>23</v>
      </c>
      <c r="P132" s="30">
        <f t="shared" si="5"/>
        <v>2061.2600000000002</v>
      </c>
      <c r="Q132" s="32">
        <f t="shared" si="4"/>
        <v>6230.1583500000006</v>
      </c>
    </row>
    <row r="133" spans="2:17" x14ac:dyDescent="0.2">
      <c r="B133" s="2" t="s">
        <v>100</v>
      </c>
      <c r="O133" s="37">
        <v>24</v>
      </c>
      <c r="P133" s="30">
        <f t="shared" si="5"/>
        <v>2150.88</v>
      </c>
      <c r="Q133" s="32">
        <f t="shared" si="4"/>
        <v>6501.0348000000004</v>
      </c>
    </row>
    <row r="134" spans="2:17" x14ac:dyDescent="0.2">
      <c r="B134" s="2" t="s">
        <v>101</v>
      </c>
      <c r="C134" s="67"/>
      <c r="O134" s="38">
        <v>25</v>
      </c>
      <c r="P134" s="68">
        <f t="shared" si="5"/>
        <v>2240.5</v>
      </c>
      <c r="Q134" s="69">
        <f t="shared" si="4"/>
        <v>6771.9112500000001</v>
      </c>
    </row>
    <row r="135" spans="2:17" x14ac:dyDescent="0.2">
      <c r="B135" s="2" t="s">
        <v>102</v>
      </c>
    </row>
    <row r="137" spans="2:17" x14ac:dyDescent="0.2">
      <c r="B137" s="2" t="s">
        <v>103</v>
      </c>
    </row>
    <row r="139" spans="2:17" x14ac:dyDescent="0.2">
      <c r="B139" s="70" t="s">
        <v>29</v>
      </c>
      <c r="C139" s="71" t="s">
        <v>104</v>
      </c>
      <c r="D139" s="2" t="s">
        <v>105</v>
      </c>
    </row>
    <row r="140" spans="2:17" x14ac:dyDescent="0.2">
      <c r="B140" s="72">
        <v>60</v>
      </c>
      <c r="C140" s="73">
        <v>28281.310066329675</v>
      </c>
    </row>
    <row r="141" spans="2:17" x14ac:dyDescent="0.2">
      <c r="B141" s="72">
        <v>61</v>
      </c>
      <c r="C141" s="73">
        <v>30166.730737418326</v>
      </c>
    </row>
    <row r="142" spans="2:17" x14ac:dyDescent="0.2">
      <c r="B142" s="72">
        <v>62</v>
      </c>
      <c r="C142" s="73">
        <v>32052.151408506968</v>
      </c>
    </row>
    <row r="143" spans="2:17" x14ac:dyDescent="0.2">
      <c r="B143" s="72">
        <v>63</v>
      </c>
      <c r="C143" s="73">
        <v>33937.572079595615</v>
      </c>
    </row>
    <row r="144" spans="2:17" x14ac:dyDescent="0.2">
      <c r="B144" s="72">
        <v>64</v>
      </c>
      <c r="C144" s="73">
        <v>35822.992750684258</v>
      </c>
    </row>
    <row r="145" spans="2:4" x14ac:dyDescent="0.2">
      <c r="B145" s="74">
        <v>65</v>
      </c>
      <c r="C145" s="75">
        <v>37708.413421772908</v>
      </c>
    </row>
    <row r="148" spans="2:4" x14ac:dyDescent="0.2">
      <c r="B148" s="2" t="s">
        <v>106</v>
      </c>
    </row>
    <row r="150" spans="2:4" x14ac:dyDescent="0.2">
      <c r="B150" s="55" t="s">
        <v>75</v>
      </c>
      <c r="C150" s="61">
        <v>89.62</v>
      </c>
    </row>
    <row r="151" spans="2:4" x14ac:dyDescent="0.2">
      <c r="B151" s="38" t="s">
        <v>107</v>
      </c>
      <c r="C151" s="20">
        <f>+Q124</f>
        <v>4063.1467500000003</v>
      </c>
      <c r="D151" s="2" t="s">
        <v>108</v>
      </c>
    </row>
    <row r="153" spans="2:4" x14ac:dyDescent="0.2">
      <c r="B153" s="55" t="s">
        <v>90</v>
      </c>
      <c r="C153" s="65">
        <f>+$P$124*30</f>
        <v>40329.000000000007</v>
      </c>
    </row>
    <row r="154" spans="2:4" x14ac:dyDescent="0.2">
      <c r="B154" s="37" t="s">
        <v>91</v>
      </c>
      <c r="C154" s="17">
        <f t="shared" ref="C154:C157" si="7">+$P$124*30</f>
        <v>40329.000000000007</v>
      </c>
    </row>
    <row r="155" spans="2:4" x14ac:dyDescent="0.2">
      <c r="B155" s="37" t="s">
        <v>92</v>
      </c>
      <c r="C155" s="17">
        <f t="shared" si="7"/>
        <v>40329.000000000007</v>
      </c>
    </row>
    <row r="156" spans="2:4" x14ac:dyDescent="0.2">
      <c r="B156" s="37" t="s">
        <v>93</v>
      </c>
      <c r="C156" s="17">
        <f t="shared" si="7"/>
        <v>40329.000000000007</v>
      </c>
    </row>
    <row r="157" spans="2:4" x14ac:dyDescent="0.2">
      <c r="B157" s="38" t="s">
        <v>94</v>
      </c>
      <c r="C157" s="20">
        <f t="shared" si="7"/>
        <v>40329.000000000007</v>
      </c>
    </row>
    <row r="159" spans="2:4" x14ac:dyDescent="0.2">
      <c r="B159" s="12" t="s">
        <v>95</v>
      </c>
      <c r="C159" s="66">
        <f>+SUM(C153:C157)/5</f>
        <v>40329.000000000007</v>
      </c>
    </row>
    <row r="160" spans="2:4" x14ac:dyDescent="0.2">
      <c r="B160" s="2" t="s">
        <v>109</v>
      </c>
    </row>
    <row r="162" spans="2:3" x14ac:dyDescent="0.2">
      <c r="B162" s="76" t="s">
        <v>29</v>
      </c>
      <c r="C162" s="77" t="s">
        <v>104</v>
      </c>
    </row>
    <row r="163" spans="2:3" x14ac:dyDescent="0.2">
      <c r="B163" s="78">
        <v>60</v>
      </c>
      <c r="C163" s="79">
        <v>22527.710617727167</v>
      </c>
    </row>
    <row r="164" spans="2:3" x14ac:dyDescent="0.2">
      <c r="B164" s="78">
        <v>61</v>
      </c>
      <c r="C164" s="79">
        <v>24029.557992242309</v>
      </c>
    </row>
    <row r="165" spans="2:3" x14ac:dyDescent="0.2">
      <c r="B165" s="78">
        <v>62</v>
      </c>
      <c r="C165" s="79">
        <v>25531.405366757455</v>
      </c>
    </row>
    <row r="166" spans="2:3" x14ac:dyDescent="0.2">
      <c r="B166" s="78">
        <v>63</v>
      </c>
      <c r="C166" s="79">
        <v>27033.252741272601</v>
      </c>
    </row>
    <row r="167" spans="2:3" x14ac:dyDescent="0.2">
      <c r="B167" s="78">
        <v>64</v>
      </c>
      <c r="C167" s="79">
        <v>28535.100115787747</v>
      </c>
    </row>
    <row r="168" spans="2:3" x14ac:dyDescent="0.2">
      <c r="B168" s="80">
        <v>65</v>
      </c>
      <c r="C168" s="81">
        <v>30036.947490302889</v>
      </c>
    </row>
    <row r="171" spans="2:3" x14ac:dyDescent="0.2">
      <c r="B171" s="2" t="s">
        <v>110</v>
      </c>
    </row>
    <row r="172" spans="2:3" x14ac:dyDescent="0.2">
      <c r="B172" s="2" t="s">
        <v>111</v>
      </c>
    </row>
    <row r="173" spans="2:3" x14ac:dyDescent="0.2">
      <c r="B173" s="2" t="s">
        <v>112</v>
      </c>
    </row>
    <row r="174" spans="2:3" x14ac:dyDescent="0.2">
      <c r="B174" s="2" t="s">
        <v>113</v>
      </c>
    </row>
    <row r="175" spans="2:3" x14ac:dyDescent="0.2">
      <c r="B175" s="2" t="s">
        <v>114</v>
      </c>
    </row>
  </sheetData>
  <mergeCells count="7">
    <mergeCell ref="O108:Q108"/>
    <mergeCell ref="O4:P6"/>
    <mergeCell ref="Q4:Q6"/>
    <mergeCell ref="R4:R6"/>
    <mergeCell ref="B10:D10"/>
    <mergeCell ref="B28:H28"/>
    <mergeCell ref="B51:D5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Pensión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Molina Aguilar</dc:creator>
  <cp:lastModifiedBy>Kevin Molina Aguilar</cp:lastModifiedBy>
  <dcterms:created xsi:type="dcterms:W3CDTF">2021-11-12T20:05:28Z</dcterms:created>
  <dcterms:modified xsi:type="dcterms:W3CDTF">2021-11-12T20:15:13Z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087b5d00-5356-44dc-a9bf-26c6157700e5</vt:lpwstr>
  </property>
</Properties>
</file>