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4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7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8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9.xml" ContentType="application/vnd.openxmlformats-officedocument.drawing+xml"/>
  <Override PartName="/xl/charts/chart82.xml" ContentType="application/vnd.openxmlformats-officedocument.drawingml.chart+xml"/>
  <Override PartName="/xl/drawings/drawing10.xml" ContentType="application/vnd.openxmlformats-officedocument.drawing+xml"/>
  <Override PartName="/xl/charts/chart83.xml" ContentType="application/vnd.openxmlformats-officedocument.drawingml.char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m\Documents\GitHub\EngineSystemLibrary_20Sim\EngineModel\"/>
    </mc:Choice>
  </mc:AlternateContent>
  <bookViews>
    <workbookView xWindow="0" yWindow="-12" windowWidth="6780" windowHeight="4596" firstSheet="9" activeTab="13"/>
  </bookViews>
  <sheets>
    <sheet name="Sheet5" sheetId="9" r:id="rId1"/>
    <sheet name="F_glob_p_ac1" sheetId="15" r:id="rId2"/>
    <sheet name="F_glob_p_ac" sheetId="10" r:id="rId3"/>
    <sheet name="F_1_p_ac" sheetId="14" r:id="rId4"/>
    <sheet name="F_1_m_dot_a_1" sheetId="17" r:id="rId5"/>
    <sheet name="F_glob_m_dot_a_1" sheetId="18" r:id="rId6"/>
    <sheet name="Mix_Test" sheetId="16" r:id="rId7"/>
    <sheet name="Sheet1" sheetId="1" r:id="rId8"/>
    <sheet name="EnginePerfCurve" sheetId="11" r:id="rId9"/>
    <sheet name="Sheet2" sheetId="2" r:id="rId10"/>
    <sheet name="avg_meas_new" sheetId="7" r:id="rId11"/>
    <sheet name="Simulation" sheetId="21" r:id="rId12"/>
    <sheet name="Next_order" sheetId="4" r:id="rId13"/>
    <sheet name="Ventury Flowmeter" sheetId="5" r:id="rId14"/>
    <sheet name="fuel data" sheetId="6" r:id="rId15"/>
    <sheet name="Sheet4" sheetId="8" r:id="rId16"/>
    <sheet name="Friction" sheetId="19" r:id="rId17"/>
    <sheet name="Valve" sheetId="20" r:id="rId18"/>
  </sheets>
  <calcPr calcId="171027"/>
</workbook>
</file>

<file path=xl/calcChain.xml><?xml version="1.0" encoding="utf-8"?>
<calcChain xmlns="http://schemas.openxmlformats.org/spreadsheetml/2006/main">
  <c r="C5" i="21" l="1"/>
  <c r="C7" i="21"/>
  <c r="C9" i="21"/>
  <c r="C11" i="21"/>
  <c r="C13" i="21"/>
  <c r="C14" i="21"/>
  <c r="C12" i="21"/>
  <c r="C10" i="21"/>
  <c r="C8" i="21"/>
  <c r="C6" i="21"/>
  <c r="C4" i="21"/>
  <c r="V4" i="21" l="1"/>
  <c r="V12" i="21"/>
  <c r="V10" i="21"/>
  <c r="V14" i="21"/>
  <c r="V8" i="21"/>
  <c r="V6" i="21"/>
  <c r="AJ75" i="14"/>
  <c r="AJ70" i="14"/>
  <c r="AJ69" i="14"/>
  <c r="AJ67" i="14"/>
  <c r="AI67" i="14" s="1"/>
  <c r="AJ62" i="14"/>
  <c r="AJ61" i="14"/>
  <c r="AJ59" i="14"/>
  <c r="AH75" i="14"/>
  <c r="AH74" i="14"/>
  <c r="AH73" i="14"/>
  <c r="AJ73" i="14" s="1"/>
  <c r="AH72" i="14"/>
  <c r="AJ72" i="14" s="1"/>
  <c r="AH71" i="14"/>
  <c r="AH70" i="14"/>
  <c r="AH69" i="14"/>
  <c r="AH68" i="14"/>
  <c r="AJ68" i="14" s="1"/>
  <c r="AH67" i="14"/>
  <c r="AH66" i="14"/>
  <c r="AJ66" i="14" s="1"/>
  <c r="AH65" i="14"/>
  <c r="AJ65" i="14" s="1"/>
  <c r="AH64" i="14"/>
  <c r="AJ64" i="14" s="1"/>
  <c r="AH63" i="14"/>
  <c r="AH62" i="14"/>
  <c r="AH61" i="14"/>
  <c r="AH60" i="14"/>
  <c r="AJ60" i="14" s="1"/>
  <c r="AH59" i="14"/>
  <c r="AH58" i="14"/>
  <c r="AH57" i="14"/>
  <c r="AJ57" i="14" s="1"/>
  <c r="AH56" i="14"/>
  <c r="AJ56" i="14" s="1"/>
  <c r="AI75" i="14"/>
  <c r="X27" i="15"/>
  <c r="X28" i="15"/>
  <c r="X30" i="15"/>
  <c r="X35" i="15"/>
  <c r="X36" i="15"/>
  <c r="X38" i="15"/>
  <c r="X43" i="15"/>
  <c r="X44" i="15"/>
  <c r="V44" i="15"/>
  <c r="V43" i="15"/>
  <c r="V42" i="15"/>
  <c r="X42" i="15" s="1"/>
  <c r="V41" i="15"/>
  <c r="X41" i="15" s="1"/>
  <c r="V40" i="15"/>
  <c r="X40" i="15" s="1"/>
  <c r="V39" i="15"/>
  <c r="X39" i="15" s="1"/>
  <c r="V38" i="15"/>
  <c r="V37" i="15"/>
  <c r="X37" i="15" s="1"/>
  <c r="V36" i="15"/>
  <c r="V35" i="15"/>
  <c r="V34" i="15"/>
  <c r="X34" i="15" s="1"/>
  <c r="W34" i="15" s="1"/>
  <c r="AA34" i="15" s="1"/>
  <c r="V33" i="15"/>
  <c r="X33" i="15" s="1"/>
  <c r="V32" i="15"/>
  <c r="X32" i="15" s="1"/>
  <c r="V31" i="15"/>
  <c r="X31" i="15" s="1"/>
  <c r="V30" i="15"/>
  <c r="V29" i="15"/>
  <c r="X29" i="15" s="1"/>
  <c r="V28" i="15"/>
  <c r="V27" i="15"/>
  <c r="V26" i="15"/>
  <c r="X26" i="15" s="1"/>
  <c r="V25" i="15"/>
  <c r="X25" i="15" s="1"/>
  <c r="W26" i="15" l="1"/>
  <c r="AJ63" i="14"/>
  <c r="AI63" i="14" s="1"/>
  <c r="AN63" i="14" s="1"/>
  <c r="AJ71" i="14"/>
  <c r="AI71" i="14" s="1"/>
  <c r="AN71" i="14" s="1"/>
  <c r="AI58" i="14"/>
  <c r="W42" i="15"/>
  <c r="AA42" i="15" s="1"/>
  <c r="AJ58" i="14"/>
  <c r="AJ74" i="14"/>
  <c r="AI74" i="14" s="1"/>
  <c r="AN74" i="14" s="1"/>
  <c r="AI64" i="14"/>
  <c r="AI72" i="14"/>
  <c r="AN72" i="14" s="1"/>
  <c r="AI59" i="14"/>
  <c r="AI56" i="14"/>
  <c r="AI66" i="14"/>
  <c r="AN66" i="14" s="1"/>
  <c r="AN75" i="14"/>
  <c r="AN67" i="14"/>
  <c r="AN59" i="14"/>
  <c r="AI73" i="14"/>
  <c r="AI60" i="14"/>
  <c r="AI68" i="14"/>
  <c r="AI57" i="14"/>
  <c r="AI65" i="14"/>
  <c r="AI62" i="14"/>
  <c r="AI70" i="14"/>
  <c r="AI61" i="14"/>
  <c r="AI69" i="14"/>
  <c r="W31" i="15"/>
  <c r="AA31" i="15" s="1"/>
  <c r="W38" i="15"/>
  <c r="AA38" i="15" s="1"/>
  <c r="AA26" i="15"/>
  <c r="AB26" i="15"/>
  <c r="AB34" i="15"/>
  <c r="W41" i="15"/>
  <c r="AB41" i="15" s="1"/>
  <c r="W35" i="15"/>
  <c r="W43" i="15"/>
  <c r="W28" i="15"/>
  <c r="W36" i="15"/>
  <c r="W27" i="15"/>
  <c r="AB38" i="15"/>
  <c r="W39" i="15"/>
  <c r="W25" i="15"/>
  <c r="W33" i="15"/>
  <c r="W40" i="15"/>
  <c r="W44" i="15"/>
  <c r="W29" i="15"/>
  <c r="W37" i="15"/>
  <c r="W30" i="15"/>
  <c r="W32" i="15"/>
  <c r="AB42" i="15" l="1"/>
  <c r="AN64" i="14"/>
  <c r="AN56" i="14"/>
  <c r="AN69" i="14"/>
  <c r="AN68" i="14"/>
  <c r="AN61" i="14"/>
  <c r="AN70" i="14"/>
  <c r="AN62" i="14"/>
  <c r="AN73" i="14"/>
  <c r="AN65" i="14"/>
  <c r="AA41" i="15"/>
  <c r="AB31" i="15"/>
  <c r="AA29" i="15"/>
  <c r="AB29" i="15"/>
  <c r="AA44" i="15"/>
  <c r="AB44" i="15"/>
  <c r="AA40" i="15"/>
  <c r="AB40" i="15"/>
  <c r="AA36" i="15"/>
  <c r="AB36" i="15"/>
  <c r="AA28" i="15"/>
  <c r="AB28" i="15"/>
  <c r="AA27" i="15"/>
  <c r="AB27" i="15"/>
  <c r="AA33" i="15"/>
  <c r="AB33" i="15"/>
  <c r="AA32" i="15"/>
  <c r="AB32" i="15"/>
  <c r="AA39" i="15"/>
  <c r="AB39" i="15"/>
  <c r="AA43" i="15"/>
  <c r="AB43" i="15"/>
  <c r="AA37" i="15"/>
  <c r="AB37" i="15"/>
  <c r="AA30" i="15"/>
  <c r="AB30" i="15"/>
  <c r="AA35" i="15"/>
  <c r="AB35" i="15"/>
  <c r="AA25" i="15"/>
  <c r="AB25" i="15"/>
  <c r="BK1" i="14"/>
  <c r="AQ22" i="14" l="1"/>
  <c r="AR22" i="14" s="1"/>
  <c r="AQ21" i="14"/>
  <c r="AR21" i="14" s="1"/>
  <c r="AQ20" i="14"/>
  <c r="AR20" i="14" s="1"/>
  <c r="AQ19" i="14"/>
  <c r="AR19" i="14" s="1"/>
  <c r="AQ18" i="14"/>
  <c r="AR18" i="14" s="1"/>
  <c r="AQ17" i="14"/>
  <c r="AR17" i="14" s="1"/>
  <c r="AQ16" i="14"/>
  <c r="AR16" i="14" s="1"/>
  <c r="AQ15" i="14"/>
  <c r="AR15" i="14" s="1"/>
  <c r="AQ14" i="14"/>
  <c r="AR14" i="14" s="1"/>
  <c r="AQ13" i="14"/>
  <c r="AR13" i="14" s="1"/>
  <c r="AQ12" i="14"/>
  <c r="AR12" i="14" s="1"/>
  <c r="AQ11" i="14"/>
  <c r="AR11" i="14" s="1"/>
  <c r="AQ10" i="14"/>
  <c r="AR10" i="14" s="1"/>
  <c r="AQ9" i="14"/>
  <c r="AR9" i="14" s="1"/>
  <c r="AQ8" i="14"/>
  <c r="AR8" i="14" s="1"/>
  <c r="AQ7" i="14"/>
  <c r="AR7" i="14" s="1"/>
  <c r="AQ6" i="14"/>
  <c r="AR6" i="14" s="1"/>
  <c r="AQ5" i="14"/>
  <c r="AR5" i="14" s="1"/>
  <c r="AQ4" i="14"/>
  <c r="AR4" i="14" s="1"/>
  <c r="AQ3" i="14"/>
  <c r="AR3" i="14" s="1"/>
  <c r="AF47" i="14" l="1"/>
  <c r="AF46" i="14"/>
  <c r="AF45" i="14"/>
  <c r="AF41" i="14"/>
  <c r="AJ46" i="14" l="1"/>
  <c r="AJ45" i="14"/>
  <c r="AJ44" i="14"/>
  <c r="AJ43" i="14"/>
  <c r="AJ42" i="14"/>
  <c r="AJ41" i="14"/>
  <c r="AJ40" i="14"/>
  <c r="AJ39" i="14"/>
  <c r="AJ38" i="14"/>
  <c r="AJ37" i="14"/>
  <c r="AJ36" i="14"/>
  <c r="AJ35" i="14"/>
  <c r="AJ34" i="14"/>
  <c r="AJ33" i="14"/>
  <c r="AJ32" i="14"/>
  <c r="AJ31" i="14"/>
  <c r="AJ30" i="14"/>
  <c r="AJ29" i="14"/>
  <c r="AJ28" i="14"/>
  <c r="AJ27" i="14"/>
  <c r="B24" i="19" l="1"/>
  <c r="C24" i="19" s="1"/>
  <c r="D24" i="19" s="1"/>
  <c r="B23" i="19"/>
  <c r="C23" i="19" s="1"/>
  <c r="D23" i="19" s="1"/>
  <c r="B22" i="19"/>
  <c r="C22" i="19" s="1"/>
  <c r="D22" i="19" s="1"/>
  <c r="B21" i="19"/>
  <c r="C21" i="19" s="1"/>
  <c r="D21" i="19" s="1"/>
  <c r="B20" i="19"/>
  <c r="C20" i="19" s="1"/>
  <c r="D20" i="19" s="1"/>
  <c r="B19" i="19"/>
  <c r="C19" i="19" s="1"/>
  <c r="D19" i="19" s="1"/>
  <c r="B18" i="19"/>
  <c r="C18" i="19" s="1"/>
  <c r="D18" i="19" s="1"/>
  <c r="B17" i="19"/>
  <c r="C17" i="19" s="1"/>
  <c r="D17" i="19" s="1"/>
  <c r="B16" i="19"/>
  <c r="C16" i="19" s="1"/>
  <c r="D16" i="19" s="1"/>
  <c r="B15" i="19"/>
  <c r="C15" i="19" s="1"/>
  <c r="D15" i="19" s="1"/>
  <c r="B14" i="19"/>
  <c r="C14" i="19" s="1"/>
  <c r="D14" i="19" s="1"/>
  <c r="B13" i="19"/>
  <c r="C13" i="19" s="1"/>
  <c r="D13" i="19" s="1"/>
  <c r="B12" i="19"/>
  <c r="C12" i="19" s="1"/>
  <c r="D12" i="19" s="1"/>
  <c r="B11" i="19"/>
  <c r="C11" i="19" s="1"/>
  <c r="D11" i="19" s="1"/>
  <c r="B10" i="19"/>
  <c r="C10" i="19" s="1"/>
  <c r="D10" i="19" s="1"/>
  <c r="B9" i="19"/>
  <c r="C9" i="19" s="1"/>
  <c r="D9" i="19" s="1"/>
  <c r="B8" i="19"/>
  <c r="C8" i="19" s="1"/>
  <c r="D8" i="19" s="1"/>
  <c r="B7" i="19"/>
  <c r="C7" i="19" s="1"/>
  <c r="D7" i="19" s="1"/>
  <c r="B6" i="19"/>
  <c r="C6" i="19" s="1"/>
  <c r="D6" i="19" s="1"/>
  <c r="B5" i="19"/>
  <c r="C5" i="19" s="1"/>
  <c r="D5" i="19" s="1"/>
  <c r="B4" i="19"/>
  <c r="C4" i="19" s="1"/>
  <c r="D4" i="19" s="1"/>
  <c r="BT5" i="18" l="1"/>
  <c r="BR5" i="18"/>
  <c r="BJ5" i="18"/>
  <c r="AZ5" i="18"/>
  <c r="AY5" i="18"/>
  <c r="BT11" i="18"/>
  <c r="BR11" i="18"/>
  <c r="BJ11" i="18"/>
  <c r="AZ11" i="18"/>
  <c r="AY11" i="18"/>
  <c r="BT13" i="18"/>
  <c r="BR13" i="18"/>
  <c r="BJ13" i="18"/>
  <c r="AZ13" i="18"/>
  <c r="AY13" i="18"/>
  <c r="BT16" i="18"/>
  <c r="BR16" i="18"/>
  <c r="BJ16" i="18"/>
  <c r="AZ16" i="18"/>
  <c r="AY16" i="18"/>
  <c r="BT20" i="18"/>
  <c r="BR20" i="18"/>
  <c r="BJ20" i="18"/>
  <c r="AZ20" i="18"/>
  <c r="AY20" i="18"/>
  <c r="BT9" i="18"/>
  <c r="BR9" i="18"/>
  <c r="BJ9" i="18"/>
  <c r="AZ9" i="18"/>
  <c r="AY9" i="18"/>
  <c r="BT15" i="18"/>
  <c r="BR15" i="18"/>
  <c r="BJ15" i="18"/>
  <c r="AZ15" i="18"/>
  <c r="AY15" i="18"/>
  <c r="BT17" i="18"/>
  <c r="BR17" i="18"/>
  <c r="BJ17" i="18"/>
  <c r="AZ17" i="18"/>
  <c r="AY17" i="18"/>
  <c r="BT8" i="18"/>
  <c r="BR8" i="18"/>
  <c r="BJ8" i="18"/>
  <c r="AZ8" i="18"/>
  <c r="AY8" i="18"/>
  <c r="BT6" i="18"/>
  <c r="BR6" i="18"/>
  <c r="BJ6" i="18"/>
  <c r="AZ6" i="18"/>
  <c r="AY6" i="18"/>
  <c r="BT19" i="18"/>
  <c r="BR19" i="18"/>
  <c r="BJ19" i="18"/>
  <c r="AZ19" i="18"/>
  <c r="AY19" i="18"/>
  <c r="BT22" i="18"/>
  <c r="BR22" i="18"/>
  <c r="BJ22" i="18"/>
  <c r="AZ22" i="18"/>
  <c r="AY22" i="18"/>
  <c r="BT7" i="18"/>
  <c r="BR7" i="18"/>
  <c r="BJ7" i="18"/>
  <c r="AZ7" i="18"/>
  <c r="AY7" i="18"/>
  <c r="BT10" i="18"/>
  <c r="BR10" i="18"/>
  <c r="BJ10" i="18"/>
  <c r="AZ10" i="18"/>
  <c r="AY10" i="18"/>
  <c r="BT14" i="18"/>
  <c r="BR14" i="18"/>
  <c r="BJ14" i="18"/>
  <c r="AZ14" i="18"/>
  <c r="AY14" i="18"/>
  <c r="BT18" i="18"/>
  <c r="BR18" i="18"/>
  <c r="BJ18" i="18"/>
  <c r="AZ18" i="18"/>
  <c r="AY18" i="18"/>
  <c r="BT21" i="18"/>
  <c r="BR21" i="18"/>
  <c r="BJ21" i="18"/>
  <c r="AZ21" i="18"/>
  <c r="AY21" i="18"/>
  <c r="BT12" i="18"/>
  <c r="BR12" i="18"/>
  <c r="BJ12" i="18"/>
  <c r="AZ12" i="18"/>
  <c r="AY12" i="18"/>
  <c r="BT4" i="18"/>
  <c r="BR4" i="18"/>
  <c r="BJ4" i="18"/>
  <c r="AZ4" i="18"/>
  <c r="AY4" i="18"/>
  <c r="BT3" i="18"/>
  <c r="BR3" i="18"/>
  <c r="BJ3" i="18"/>
  <c r="AZ3" i="18"/>
  <c r="AY3" i="18"/>
  <c r="AW5" i="18"/>
  <c r="AX5" i="18" s="1"/>
  <c r="AS5" i="18"/>
  <c r="AR5" i="18"/>
  <c r="AM5" i="18"/>
  <c r="S5" i="18"/>
  <c r="F5" i="18"/>
  <c r="AW11" i="18"/>
  <c r="AX11" i="18" s="1"/>
  <c r="AS11" i="18"/>
  <c r="AR11" i="18"/>
  <c r="AM11" i="18"/>
  <c r="S11" i="18"/>
  <c r="F11" i="18"/>
  <c r="AW13" i="18"/>
  <c r="AX13" i="18" s="1"/>
  <c r="AS13" i="18"/>
  <c r="AR13" i="18"/>
  <c r="AM13" i="18"/>
  <c r="S13" i="18"/>
  <c r="F13" i="18"/>
  <c r="AW16" i="18"/>
  <c r="AX16" i="18" s="1"/>
  <c r="AS16" i="18"/>
  <c r="AR16" i="18"/>
  <c r="AM16" i="18"/>
  <c r="S16" i="18"/>
  <c r="F16" i="18"/>
  <c r="AW20" i="18"/>
  <c r="AX20" i="18" s="1"/>
  <c r="AS20" i="18"/>
  <c r="AR20" i="18"/>
  <c r="AM20" i="18"/>
  <c r="S20" i="18"/>
  <c r="F20" i="18"/>
  <c r="AW9" i="18"/>
  <c r="AX9" i="18" s="1"/>
  <c r="AS9" i="18"/>
  <c r="AR9" i="18"/>
  <c r="AM9" i="18"/>
  <c r="S9" i="18"/>
  <c r="F9" i="18"/>
  <c r="AW15" i="18"/>
  <c r="AX15" i="18" s="1"/>
  <c r="AS15" i="18"/>
  <c r="AR15" i="18"/>
  <c r="AM15" i="18"/>
  <c r="S15" i="18"/>
  <c r="F15" i="18"/>
  <c r="AW17" i="18"/>
  <c r="AX17" i="18" s="1"/>
  <c r="AS17" i="18"/>
  <c r="AR17" i="18"/>
  <c r="AM17" i="18"/>
  <c r="S17" i="18"/>
  <c r="F17" i="18"/>
  <c r="AW8" i="18"/>
  <c r="AX8" i="18" s="1"/>
  <c r="AS8" i="18"/>
  <c r="AR8" i="18"/>
  <c r="AM8" i="18"/>
  <c r="S8" i="18"/>
  <c r="F8" i="18"/>
  <c r="AW6" i="18"/>
  <c r="AX6" i="18" s="1"/>
  <c r="AS6" i="18"/>
  <c r="AR6" i="18"/>
  <c r="AM6" i="18"/>
  <c r="S6" i="18"/>
  <c r="F6" i="18"/>
  <c r="AW19" i="18"/>
  <c r="AX19" i="18" s="1"/>
  <c r="AS19" i="18"/>
  <c r="AR19" i="18"/>
  <c r="AM19" i="18"/>
  <c r="S19" i="18"/>
  <c r="F19" i="18"/>
  <c r="AW22" i="18"/>
  <c r="AX22" i="18" s="1"/>
  <c r="AS22" i="18"/>
  <c r="AR22" i="18"/>
  <c r="AM22" i="18"/>
  <c r="S22" i="18"/>
  <c r="F22" i="18"/>
  <c r="AW7" i="18"/>
  <c r="AX7" i="18" s="1"/>
  <c r="AS7" i="18"/>
  <c r="AR7" i="18"/>
  <c r="AM7" i="18"/>
  <c r="S7" i="18"/>
  <c r="F7" i="18"/>
  <c r="AW10" i="18"/>
  <c r="AX10" i="18" s="1"/>
  <c r="AS10" i="18"/>
  <c r="AR10" i="18"/>
  <c r="AM10" i="18"/>
  <c r="S10" i="18"/>
  <c r="F10" i="18"/>
  <c r="AW14" i="18"/>
  <c r="AX14" i="18" s="1"/>
  <c r="AS14" i="18"/>
  <c r="AR14" i="18"/>
  <c r="AM14" i="18"/>
  <c r="S14" i="18"/>
  <c r="F14" i="18"/>
  <c r="AW18" i="18"/>
  <c r="AX18" i="18" s="1"/>
  <c r="AS18" i="18"/>
  <c r="AR18" i="18"/>
  <c r="AM18" i="18"/>
  <c r="S18" i="18"/>
  <c r="F18" i="18"/>
  <c r="AW21" i="18"/>
  <c r="AX21" i="18" s="1"/>
  <c r="AS21" i="18"/>
  <c r="AR21" i="18"/>
  <c r="AM21" i="18"/>
  <c r="S21" i="18"/>
  <c r="F21" i="18"/>
  <c r="AW12" i="18"/>
  <c r="AX12" i="18" s="1"/>
  <c r="AS12" i="18"/>
  <c r="AR12" i="18"/>
  <c r="AM12" i="18"/>
  <c r="S12" i="18"/>
  <c r="F12" i="18"/>
  <c r="AW4" i="18"/>
  <c r="AX4" i="18" s="1"/>
  <c r="AS4" i="18"/>
  <c r="AR4" i="18"/>
  <c r="AM4" i="18"/>
  <c r="S4" i="18"/>
  <c r="F4" i="18"/>
  <c r="AW3" i="18"/>
  <c r="AX3" i="18" s="1"/>
  <c r="AS3" i="18"/>
  <c r="AR3" i="18"/>
  <c r="AM3" i="18"/>
  <c r="S3" i="18"/>
  <c r="F3" i="18"/>
  <c r="I24" i="18"/>
  <c r="BE1" i="18"/>
  <c r="BL11" i="18" s="1"/>
  <c r="BC1" i="18"/>
  <c r="BV5" i="17"/>
  <c r="BT5" i="17"/>
  <c r="BR5" i="17"/>
  <c r="BJ5" i="17"/>
  <c r="AZ5" i="17"/>
  <c r="AY5" i="17"/>
  <c r="BV11" i="17"/>
  <c r="BT11" i="17"/>
  <c r="BR11" i="17"/>
  <c r="BJ11" i="17"/>
  <c r="AZ11" i="17"/>
  <c r="AY11" i="17"/>
  <c r="BV13" i="17"/>
  <c r="BT13" i="17"/>
  <c r="BR13" i="17"/>
  <c r="BJ13" i="17"/>
  <c r="AZ13" i="17"/>
  <c r="AY13" i="17"/>
  <c r="BV16" i="17"/>
  <c r="BT16" i="17"/>
  <c r="BR16" i="17"/>
  <c r="BJ16" i="17"/>
  <c r="AZ16" i="17"/>
  <c r="AY16" i="17"/>
  <c r="BV20" i="17"/>
  <c r="BT20" i="17"/>
  <c r="BR20" i="17"/>
  <c r="BJ20" i="17"/>
  <c r="AZ20" i="17"/>
  <c r="AY20" i="17"/>
  <c r="BV9" i="17"/>
  <c r="BT9" i="17"/>
  <c r="BR9" i="17"/>
  <c r="BJ9" i="17"/>
  <c r="AZ9" i="17"/>
  <c r="AY9" i="17"/>
  <c r="BV15" i="17"/>
  <c r="BT15" i="17"/>
  <c r="BR15" i="17"/>
  <c r="BJ15" i="17"/>
  <c r="AZ15" i="17"/>
  <c r="AY15" i="17"/>
  <c r="BV17" i="17"/>
  <c r="BT17" i="17"/>
  <c r="BR17" i="17"/>
  <c r="BJ17" i="17"/>
  <c r="AZ17" i="17"/>
  <c r="AY17" i="17"/>
  <c r="BV8" i="17"/>
  <c r="BT8" i="17"/>
  <c r="BR8" i="17"/>
  <c r="BJ8" i="17"/>
  <c r="AZ8" i="17"/>
  <c r="AY8" i="17"/>
  <c r="BV6" i="17"/>
  <c r="BT6" i="17"/>
  <c r="BI6" i="17"/>
  <c r="BR6" i="17" s="1"/>
  <c r="BH6" i="17"/>
  <c r="AZ6" i="17"/>
  <c r="AY6" i="17"/>
  <c r="BV19" i="17"/>
  <c r="BT19" i="17"/>
  <c r="BI19" i="17"/>
  <c r="BH19" i="17"/>
  <c r="AZ19" i="17"/>
  <c r="AY19" i="17"/>
  <c r="BV22" i="17"/>
  <c r="BT22" i="17"/>
  <c r="BR22" i="17"/>
  <c r="BJ22" i="17"/>
  <c r="AZ22" i="17"/>
  <c r="AY22" i="17"/>
  <c r="BV7" i="17"/>
  <c r="BT7" i="17"/>
  <c r="BR7" i="17"/>
  <c r="BJ7" i="17"/>
  <c r="AZ7" i="17"/>
  <c r="AY7" i="17"/>
  <c r="BV10" i="17"/>
  <c r="BT10" i="17"/>
  <c r="BR10" i="17"/>
  <c r="BJ10" i="17"/>
  <c r="AZ10" i="17"/>
  <c r="AY10" i="17"/>
  <c r="BV14" i="17"/>
  <c r="BT14" i="17"/>
  <c r="BR14" i="17"/>
  <c r="BJ14" i="17"/>
  <c r="AZ14" i="17"/>
  <c r="AY14" i="17"/>
  <c r="BV18" i="17"/>
  <c r="BT18" i="17"/>
  <c r="BR18" i="17"/>
  <c r="BJ18" i="17"/>
  <c r="AZ18" i="17"/>
  <c r="AY18" i="17"/>
  <c r="BV21" i="17"/>
  <c r="BT21" i="17"/>
  <c r="BR21" i="17"/>
  <c r="BJ21" i="17"/>
  <c r="AZ21" i="17"/>
  <c r="AY21" i="17"/>
  <c r="BV12" i="17"/>
  <c r="BT12" i="17"/>
  <c r="BR12" i="17"/>
  <c r="BJ12" i="17"/>
  <c r="AZ12" i="17"/>
  <c r="AY12" i="17"/>
  <c r="BV4" i="17"/>
  <c r="BT4" i="17"/>
  <c r="BR4" i="17"/>
  <c r="BJ4" i="17"/>
  <c r="AZ4" i="17"/>
  <c r="AY4" i="17"/>
  <c r="BV3" i="17"/>
  <c r="BT3" i="17"/>
  <c r="BR3" i="17"/>
  <c r="BJ3" i="17"/>
  <c r="AZ3" i="17"/>
  <c r="AY3" i="17"/>
  <c r="AW5" i="17"/>
  <c r="AX5" i="17" s="1"/>
  <c r="AS5" i="17"/>
  <c r="AR5" i="17"/>
  <c r="AM5" i="17"/>
  <c r="S5" i="17"/>
  <c r="F5" i="17"/>
  <c r="AW11" i="17"/>
  <c r="AX11" i="17" s="1"/>
  <c r="AS11" i="17"/>
  <c r="AR11" i="17"/>
  <c r="AM11" i="17"/>
  <c r="S11" i="17"/>
  <c r="F11" i="17"/>
  <c r="AW13" i="17"/>
  <c r="AX13" i="17" s="1"/>
  <c r="AS13" i="17"/>
  <c r="AR13" i="17"/>
  <c r="AM13" i="17"/>
  <c r="S13" i="17"/>
  <c r="F13" i="17"/>
  <c r="AW16" i="17"/>
  <c r="AX16" i="17" s="1"/>
  <c r="AS16" i="17"/>
  <c r="AR16" i="17"/>
  <c r="AM16" i="17"/>
  <c r="S16" i="17"/>
  <c r="F16" i="17"/>
  <c r="AW20" i="17"/>
  <c r="AX20" i="17" s="1"/>
  <c r="AS20" i="17"/>
  <c r="AR20" i="17"/>
  <c r="AM20" i="17"/>
  <c r="S20" i="17"/>
  <c r="F20" i="17"/>
  <c r="AW9" i="17"/>
  <c r="AX9" i="17" s="1"/>
  <c r="AS9" i="17"/>
  <c r="AR9" i="17"/>
  <c r="AM9" i="17"/>
  <c r="S9" i="17"/>
  <c r="F9" i="17"/>
  <c r="AW15" i="17"/>
  <c r="AX15" i="17" s="1"/>
  <c r="AS15" i="17"/>
  <c r="AR15" i="17"/>
  <c r="AM15" i="17"/>
  <c r="S15" i="17"/>
  <c r="F15" i="17"/>
  <c r="AW17" i="17"/>
  <c r="AX17" i="17" s="1"/>
  <c r="AS17" i="17"/>
  <c r="AR17" i="17"/>
  <c r="AM17" i="17"/>
  <c r="S17" i="17"/>
  <c r="F17" i="17"/>
  <c r="AW8" i="17"/>
  <c r="AX8" i="17" s="1"/>
  <c r="AS8" i="17"/>
  <c r="AR8" i="17"/>
  <c r="AM8" i="17"/>
  <c r="S8" i="17"/>
  <c r="F8" i="17"/>
  <c r="AW6" i="17"/>
  <c r="AX6" i="17" s="1"/>
  <c r="AS6" i="17"/>
  <c r="AR6" i="17"/>
  <c r="AM6" i="17"/>
  <c r="S6" i="17"/>
  <c r="F6" i="17"/>
  <c r="AW19" i="17"/>
  <c r="AX19" i="17" s="1"/>
  <c r="AS19" i="17"/>
  <c r="AR19" i="17"/>
  <c r="AM19" i="17"/>
  <c r="S19" i="17"/>
  <c r="F19" i="17"/>
  <c r="AW22" i="17"/>
  <c r="AX22" i="17" s="1"/>
  <c r="AS22" i="17"/>
  <c r="AR22" i="17"/>
  <c r="AM22" i="17"/>
  <c r="S22" i="17"/>
  <c r="F22" i="17"/>
  <c r="AW7" i="17"/>
  <c r="AX7" i="17" s="1"/>
  <c r="AS7" i="17"/>
  <c r="AR7" i="17"/>
  <c r="AM7" i="17"/>
  <c r="S7" i="17"/>
  <c r="F7" i="17"/>
  <c r="AW10" i="17"/>
  <c r="AX10" i="17" s="1"/>
  <c r="AS10" i="17"/>
  <c r="AR10" i="17"/>
  <c r="AM10" i="17"/>
  <c r="S10" i="17"/>
  <c r="F10" i="17"/>
  <c r="AW14" i="17"/>
  <c r="AX14" i="17" s="1"/>
  <c r="AS14" i="17"/>
  <c r="AR14" i="17"/>
  <c r="AM14" i="17"/>
  <c r="S14" i="17"/>
  <c r="F14" i="17"/>
  <c r="AW18" i="17"/>
  <c r="AX18" i="17" s="1"/>
  <c r="AS18" i="17"/>
  <c r="AR18" i="17"/>
  <c r="AM18" i="17"/>
  <c r="S18" i="17"/>
  <c r="F18" i="17"/>
  <c r="AW21" i="17"/>
  <c r="AX21" i="17" s="1"/>
  <c r="AS21" i="17"/>
  <c r="AR21" i="17"/>
  <c r="AM21" i="17"/>
  <c r="S21" i="17"/>
  <c r="F21" i="17"/>
  <c r="AW12" i="17"/>
  <c r="AX12" i="17" s="1"/>
  <c r="AS12" i="17"/>
  <c r="AR12" i="17"/>
  <c r="AM12" i="17"/>
  <c r="S12" i="17"/>
  <c r="F12" i="17"/>
  <c r="AW4" i="17"/>
  <c r="AX4" i="17" s="1"/>
  <c r="AS4" i="17"/>
  <c r="AR4" i="17"/>
  <c r="AM4" i="17"/>
  <c r="S4" i="17"/>
  <c r="F4" i="17"/>
  <c r="AW3" i="17"/>
  <c r="AX3" i="17" s="1"/>
  <c r="AS3" i="17"/>
  <c r="AR3" i="17"/>
  <c r="AM3" i="17"/>
  <c r="S3" i="17"/>
  <c r="F3" i="17"/>
  <c r="I24" i="17"/>
  <c r="BE1" i="17"/>
  <c r="BL5" i="17" s="1"/>
  <c r="BK5" i="17" s="1"/>
  <c r="BC1" i="17"/>
  <c r="BL4" i="17" l="1"/>
  <c r="BR19" i="17"/>
  <c r="BL6" i="17"/>
  <c r="BL4" i="18"/>
  <c r="BL3" i="17"/>
  <c r="BK3" i="17" s="1"/>
  <c r="BL22" i="17"/>
  <c r="BK22" i="17" s="1"/>
  <c r="BL19" i="17"/>
  <c r="BL14" i="18"/>
  <c r="BK14" i="18" s="1"/>
  <c r="BL19" i="18"/>
  <c r="BK19" i="18" s="1"/>
  <c r="BL15" i="18"/>
  <c r="BK15" i="18" s="1"/>
  <c r="BL13" i="18"/>
  <c r="BK13" i="18" s="1"/>
  <c r="BL7" i="17"/>
  <c r="BK7" i="17" s="1"/>
  <c r="BL3" i="18"/>
  <c r="BK3" i="18" s="1"/>
  <c r="BK22" i="18"/>
  <c r="BL10" i="17"/>
  <c r="BL18" i="18"/>
  <c r="BK18" i="18" s="1"/>
  <c r="BL22" i="18"/>
  <c r="BL17" i="18"/>
  <c r="BK17" i="18" s="1"/>
  <c r="BL16" i="18"/>
  <c r="BL14" i="17"/>
  <c r="BK14" i="17" s="1"/>
  <c r="BL18" i="17"/>
  <c r="BK18" i="17" s="1"/>
  <c r="BG1" i="18"/>
  <c r="BH1" i="18" s="1"/>
  <c r="BL21" i="18"/>
  <c r="BK21" i="18" s="1"/>
  <c r="BL7" i="18"/>
  <c r="BK7" i="18" s="1"/>
  <c r="BL8" i="18"/>
  <c r="BK8" i="18" s="1"/>
  <c r="BL20" i="18"/>
  <c r="BK20" i="18" s="1"/>
  <c r="BL5" i="18"/>
  <c r="BK5" i="18" s="1"/>
  <c r="BL21" i="17"/>
  <c r="BK21" i="17" s="1"/>
  <c r="BL12" i="18"/>
  <c r="BK12" i="18" s="1"/>
  <c r="BK10" i="18"/>
  <c r="BL12" i="17"/>
  <c r="BL8" i="17"/>
  <c r="BK8" i="17" s="1"/>
  <c r="BL17" i="17"/>
  <c r="BK17" i="17" s="1"/>
  <c r="BL15" i="17"/>
  <c r="BK15" i="17" s="1"/>
  <c r="BL9" i="17"/>
  <c r="BK9" i="17" s="1"/>
  <c r="BL20" i="17"/>
  <c r="BK20" i="17" s="1"/>
  <c r="BL16" i="17"/>
  <c r="BK16" i="17" s="1"/>
  <c r="BL13" i="17"/>
  <c r="BK13" i="17" s="1"/>
  <c r="BL11" i="17"/>
  <c r="BK11" i="17" s="1"/>
  <c r="AN15" i="18"/>
  <c r="BL10" i="18"/>
  <c r="BL6" i="18"/>
  <c r="BK6" i="18" s="1"/>
  <c r="BL9" i="18"/>
  <c r="BK9" i="18" s="1"/>
  <c r="AR24" i="18"/>
  <c r="BK16" i="18"/>
  <c r="BK4" i="18"/>
  <c r="BK11" i="18"/>
  <c r="BK10" i="17"/>
  <c r="BK12" i="17"/>
  <c r="BK4" i="17"/>
  <c r="BJ19" i="17"/>
  <c r="BK19" i="17" s="1"/>
  <c r="BJ6" i="17"/>
  <c r="BK6" i="17" s="1"/>
  <c r="AR24" i="17"/>
  <c r="BG1" i="17"/>
  <c r="AN7" i="17" s="1"/>
  <c r="BT19" i="16"/>
  <c r="BL19" i="16"/>
  <c r="BV18" i="16"/>
  <c r="BT18" i="16"/>
  <c r="BL18" i="16"/>
  <c r="BT17" i="16"/>
  <c r="BL17" i="16"/>
  <c r="BV16" i="16"/>
  <c r="BT16" i="16"/>
  <c r="BL16" i="16"/>
  <c r="BV15" i="16"/>
  <c r="BT15" i="16"/>
  <c r="BL15" i="16"/>
  <c r="BV14" i="16"/>
  <c r="BT14" i="16"/>
  <c r="BL14" i="16"/>
  <c r="BA14" i="16"/>
  <c r="AZ14" i="16"/>
  <c r="AW14" i="16"/>
  <c r="AX14" i="16" s="1"/>
  <c r="AY14" i="16" s="1"/>
  <c r="AS14" i="16"/>
  <c r="AR14" i="16"/>
  <c r="AM14" i="16"/>
  <c r="S14" i="16"/>
  <c r="BB14" i="16" s="1"/>
  <c r="F14" i="16"/>
  <c r="AN13" i="18" l="1"/>
  <c r="AN14" i="18"/>
  <c r="AN19" i="18"/>
  <c r="AN4" i="18"/>
  <c r="AN12" i="18"/>
  <c r="AN19" i="17"/>
  <c r="AN22" i="18"/>
  <c r="AN14" i="17"/>
  <c r="AN5" i="18"/>
  <c r="AN9" i="17"/>
  <c r="AN18" i="18"/>
  <c r="AN20" i="18"/>
  <c r="AN18" i="17"/>
  <c r="AN3" i="18"/>
  <c r="AN11" i="17"/>
  <c r="AN8" i="18"/>
  <c r="AN3" i="17"/>
  <c r="AN16" i="17"/>
  <c r="AN13" i="17"/>
  <c r="AN11" i="18"/>
  <c r="AN21" i="17"/>
  <c r="AN22" i="17"/>
  <c r="AN7" i="18"/>
  <c r="AN8" i="17"/>
  <c r="AN17" i="17"/>
  <c r="AN9" i="18"/>
  <c r="AN21" i="18"/>
  <c r="AN4" i="17"/>
  <c r="AN10" i="17"/>
  <c r="AN6" i="18"/>
  <c r="BI1" i="18"/>
  <c r="AN16" i="18"/>
  <c r="AN6" i="17"/>
  <c r="AN12" i="17"/>
  <c r="AN10" i="18"/>
  <c r="AN5" i="17"/>
  <c r="AN17" i="18"/>
  <c r="AN20" i="17"/>
  <c r="AN15" i="17"/>
  <c r="BH1" i="17"/>
  <c r="BI1" i="17"/>
  <c r="BX13" i="16"/>
  <c r="BV13" i="16"/>
  <c r="BT13" i="16"/>
  <c r="BL13" i="16"/>
  <c r="BX12" i="16"/>
  <c r="BV12" i="16"/>
  <c r="BT12" i="16"/>
  <c r="BL12" i="16"/>
  <c r="BX11" i="16"/>
  <c r="BT11" i="16"/>
  <c r="BL11" i="16"/>
  <c r="BX10" i="16"/>
  <c r="BT10" i="16"/>
  <c r="BL10" i="16"/>
  <c r="BX9" i="16"/>
  <c r="BV9" i="16"/>
  <c r="BT9" i="16"/>
  <c r="BL9" i="16"/>
  <c r="BX8" i="16"/>
  <c r="BV8" i="16"/>
  <c r="BT8" i="16"/>
  <c r="BL8" i="16"/>
  <c r="BX7" i="16"/>
  <c r="BV7" i="16"/>
  <c r="BT7" i="16"/>
  <c r="BL7" i="16"/>
  <c r="BX6" i="16"/>
  <c r="BV6" i="16"/>
  <c r="BT6" i="16"/>
  <c r="BL6" i="16"/>
  <c r="BX4" i="16"/>
  <c r="BV4" i="16"/>
  <c r="BT4" i="16"/>
  <c r="BL4" i="16"/>
  <c r="BA4" i="16"/>
  <c r="AZ4" i="16"/>
  <c r="AW4" i="16"/>
  <c r="AX4" i="16" s="1"/>
  <c r="AY4" i="16" s="1"/>
  <c r="AS4" i="16"/>
  <c r="AR4" i="16"/>
  <c r="AM4" i="16"/>
  <c r="S4" i="16"/>
  <c r="BB4" i="16" s="1"/>
  <c r="F4" i="16"/>
  <c r="BX3" i="16"/>
  <c r="BV3" i="16"/>
  <c r="BT3" i="16"/>
  <c r="BL3" i="16"/>
  <c r="BX5" i="16"/>
  <c r="BV5" i="16"/>
  <c r="BT5" i="16"/>
  <c r="BL5" i="16"/>
  <c r="I23" i="16"/>
  <c r="BG1" i="16"/>
  <c r="AN14" i="16" s="1"/>
  <c r="BE1" i="16"/>
  <c r="BN7" i="16" s="1"/>
  <c r="BW15" i="15"/>
  <c r="BU15" i="15"/>
  <c r="BM15" i="15"/>
  <c r="BW14" i="15"/>
  <c r="BU14" i="15"/>
  <c r="BM14" i="15"/>
  <c r="BW13" i="15"/>
  <c r="BU13" i="15"/>
  <c r="BM13" i="15"/>
  <c r="BW11" i="15"/>
  <c r="BW12" i="15"/>
  <c r="BU12" i="15"/>
  <c r="BM12" i="15"/>
  <c r="BU11" i="15"/>
  <c r="BM11" i="15"/>
  <c r="BW9" i="15"/>
  <c r="BU9" i="15"/>
  <c r="BM9" i="15"/>
  <c r="BW8" i="15"/>
  <c r="BU8" i="15"/>
  <c r="BM8" i="15"/>
  <c r="BW3" i="15"/>
  <c r="BT3" i="10"/>
  <c r="BW7" i="15"/>
  <c r="BU7" i="15"/>
  <c r="BM7" i="15"/>
  <c r="BW6" i="15"/>
  <c r="BU6" i="15"/>
  <c r="BM6" i="15"/>
  <c r="BW5" i="15"/>
  <c r="BU5" i="15"/>
  <c r="BM5" i="15"/>
  <c r="I25" i="15"/>
  <c r="BA22" i="15"/>
  <c r="AZ22" i="15"/>
  <c r="AW22" i="15"/>
  <c r="AX22" i="15" s="1"/>
  <c r="AY22" i="15" s="1"/>
  <c r="AS22" i="15"/>
  <c r="AR22" i="15"/>
  <c r="AM22" i="15"/>
  <c r="S22" i="15"/>
  <c r="BB22" i="15" s="1"/>
  <c r="F22" i="15"/>
  <c r="BA21" i="15"/>
  <c r="AZ21" i="15"/>
  <c r="AW21" i="15"/>
  <c r="AX21" i="15" s="1"/>
  <c r="AY21" i="15" s="1"/>
  <c r="AS21" i="15"/>
  <c r="AR21" i="15"/>
  <c r="AM21" i="15"/>
  <c r="S21" i="15"/>
  <c r="BB21" i="15" s="1"/>
  <c r="F21" i="15"/>
  <c r="BA20" i="15"/>
  <c r="AZ20" i="15"/>
  <c r="AW20" i="15"/>
  <c r="AX20" i="15" s="1"/>
  <c r="AY20" i="15" s="1"/>
  <c r="AS20" i="15"/>
  <c r="AR20" i="15"/>
  <c r="AM20" i="15"/>
  <c r="S20" i="15"/>
  <c r="BB20" i="15" s="1"/>
  <c r="F20" i="15"/>
  <c r="BA19" i="15"/>
  <c r="AZ19" i="15"/>
  <c r="AW19" i="15"/>
  <c r="AX19" i="15" s="1"/>
  <c r="AY19" i="15" s="1"/>
  <c r="AS19" i="15"/>
  <c r="AR19" i="15"/>
  <c r="AM19" i="15"/>
  <c r="S19" i="15"/>
  <c r="BB19" i="15" s="1"/>
  <c r="F19" i="15"/>
  <c r="BA18" i="15"/>
  <c r="AZ18" i="15"/>
  <c r="AW18" i="15"/>
  <c r="AX18" i="15" s="1"/>
  <c r="AY18" i="15" s="1"/>
  <c r="AS18" i="15"/>
  <c r="AR18" i="15"/>
  <c r="AM18" i="15"/>
  <c r="S18" i="15"/>
  <c r="BB18" i="15" s="1"/>
  <c r="F18" i="15"/>
  <c r="BA17" i="15"/>
  <c r="AZ17" i="15"/>
  <c r="AW17" i="15"/>
  <c r="AX17" i="15" s="1"/>
  <c r="AY17" i="15" s="1"/>
  <c r="AS17" i="15"/>
  <c r="AR17" i="15"/>
  <c r="AM17" i="15"/>
  <c r="S17" i="15"/>
  <c r="BB17" i="15" s="1"/>
  <c r="F17" i="15"/>
  <c r="BA16" i="15"/>
  <c r="AZ16" i="15"/>
  <c r="AW16" i="15"/>
  <c r="AX16" i="15" s="1"/>
  <c r="AY16" i="15" s="1"/>
  <c r="AS16" i="15"/>
  <c r="AR16" i="15"/>
  <c r="AM16" i="15"/>
  <c r="S16" i="15"/>
  <c r="BB16" i="15" s="1"/>
  <c r="F16" i="15"/>
  <c r="BA15" i="15"/>
  <c r="AZ15" i="15"/>
  <c r="AW15" i="15"/>
  <c r="AX15" i="15" s="1"/>
  <c r="AY15" i="15" s="1"/>
  <c r="AS15" i="15"/>
  <c r="AR15" i="15"/>
  <c r="AM15" i="15"/>
  <c r="S15" i="15"/>
  <c r="BB15" i="15" s="1"/>
  <c r="F15" i="15"/>
  <c r="BA14" i="15"/>
  <c r="AZ14" i="15"/>
  <c r="AW14" i="15"/>
  <c r="AX14" i="15" s="1"/>
  <c r="AY14" i="15" s="1"/>
  <c r="AS14" i="15"/>
  <c r="AR14" i="15"/>
  <c r="AM14" i="15"/>
  <c r="S14" i="15"/>
  <c r="BB14" i="15" s="1"/>
  <c r="F14" i="15"/>
  <c r="BA13" i="15"/>
  <c r="AZ13" i="15"/>
  <c r="AW13" i="15"/>
  <c r="AX13" i="15" s="1"/>
  <c r="AY13" i="15" s="1"/>
  <c r="AS13" i="15"/>
  <c r="AR13" i="15"/>
  <c r="AM13" i="15"/>
  <c r="S13" i="15"/>
  <c r="BB13" i="15" s="1"/>
  <c r="F13" i="15"/>
  <c r="BA12" i="15"/>
  <c r="AZ12" i="15"/>
  <c r="AW12" i="15"/>
  <c r="AX12" i="15" s="1"/>
  <c r="AY12" i="15" s="1"/>
  <c r="AS12" i="15"/>
  <c r="AR12" i="15"/>
  <c r="AM12" i="15"/>
  <c r="S12" i="15"/>
  <c r="BB12" i="15" s="1"/>
  <c r="F12" i="15"/>
  <c r="BA11" i="15"/>
  <c r="AZ11" i="15"/>
  <c r="AW11" i="15"/>
  <c r="AX11" i="15" s="1"/>
  <c r="AY11" i="15" s="1"/>
  <c r="AS11" i="15"/>
  <c r="AR11" i="15"/>
  <c r="AM11" i="15"/>
  <c r="S11" i="15"/>
  <c r="BB11" i="15" s="1"/>
  <c r="F11" i="15"/>
  <c r="BA10" i="15"/>
  <c r="AZ10" i="15"/>
  <c r="AW10" i="15"/>
  <c r="AX10" i="15" s="1"/>
  <c r="AY10" i="15" s="1"/>
  <c r="AS10" i="15"/>
  <c r="AR10" i="15"/>
  <c r="AM10" i="15"/>
  <c r="S10" i="15"/>
  <c r="BB10" i="15" s="1"/>
  <c r="F10" i="15"/>
  <c r="BA9" i="15"/>
  <c r="AZ9" i="15"/>
  <c r="AW9" i="15"/>
  <c r="AX9" i="15" s="1"/>
  <c r="AY9" i="15" s="1"/>
  <c r="AS9" i="15"/>
  <c r="AR9" i="15"/>
  <c r="AM9" i="15"/>
  <c r="S9" i="15"/>
  <c r="BB9" i="15" s="1"/>
  <c r="F9" i="15"/>
  <c r="BA8" i="15"/>
  <c r="AZ8" i="15"/>
  <c r="AW8" i="15"/>
  <c r="AX8" i="15" s="1"/>
  <c r="AY8" i="15" s="1"/>
  <c r="AS8" i="15"/>
  <c r="AR8" i="15"/>
  <c r="AM8" i="15"/>
  <c r="S8" i="15"/>
  <c r="BB8" i="15" s="1"/>
  <c r="F8" i="15"/>
  <c r="BA7" i="15"/>
  <c r="AZ7" i="15"/>
  <c r="AW7" i="15"/>
  <c r="AX7" i="15" s="1"/>
  <c r="AY7" i="15" s="1"/>
  <c r="AS7" i="15"/>
  <c r="AR7" i="15"/>
  <c r="AM7" i="15"/>
  <c r="S7" i="15"/>
  <c r="BB7" i="15" s="1"/>
  <c r="F7" i="15"/>
  <c r="BA6" i="15"/>
  <c r="AZ6" i="15"/>
  <c r="AW6" i="15"/>
  <c r="AX6" i="15" s="1"/>
  <c r="AY6" i="15" s="1"/>
  <c r="AS6" i="15"/>
  <c r="AR6" i="15"/>
  <c r="AM6" i="15"/>
  <c r="S6" i="15"/>
  <c r="BB6" i="15" s="1"/>
  <c r="F6" i="15"/>
  <c r="BA5" i="15"/>
  <c r="AZ5" i="15"/>
  <c r="AW5" i="15"/>
  <c r="AX5" i="15" s="1"/>
  <c r="AY5" i="15" s="1"/>
  <c r="AS5" i="15"/>
  <c r="AR5" i="15"/>
  <c r="AM5" i="15"/>
  <c r="AN5" i="15" s="1"/>
  <c r="S5" i="15"/>
  <c r="BB5" i="15" s="1"/>
  <c r="F5" i="15"/>
  <c r="BA4" i="15"/>
  <c r="AZ4" i="15"/>
  <c r="AW4" i="15"/>
  <c r="AX4" i="15" s="1"/>
  <c r="AY4" i="15" s="1"/>
  <c r="AS4" i="15"/>
  <c r="AR4" i="15"/>
  <c r="AM4" i="15"/>
  <c r="AN4" i="15" s="1"/>
  <c r="S4" i="15"/>
  <c r="BB4" i="15" s="1"/>
  <c r="F4" i="15"/>
  <c r="BU3" i="15"/>
  <c r="BM3" i="15"/>
  <c r="BA3" i="15"/>
  <c r="AZ3" i="15"/>
  <c r="AW3" i="15"/>
  <c r="AX3" i="15" s="1"/>
  <c r="AY3" i="15" s="1"/>
  <c r="AS3" i="15"/>
  <c r="AR3" i="15"/>
  <c r="AM3" i="15"/>
  <c r="AN3" i="15" s="1"/>
  <c r="S3" i="15"/>
  <c r="BB3" i="15" s="1"/>
  <c r="F3" i="15"/>
  <c r="BH1" i="15"/>
  <c r="BF1" i="15"/>
  <c r="BO7" i="15" s="1"/>
  <c r="CB11" i="14"/>
  <c r="BZ11" i="14"/>
  <c r="BR11" i="14"/>
  <c r="CB5" i="14"/>
  <c r="BZ5" i="14"/>
  <c r="BR5" i="14"/>
  <c r="BR6" i="14"/>
  <c r="CB7" i="14"/>
  <c r="BZ7" i="14"/>
  <c r="BR7" i="14"/>
  <c r="BZ4" i="14"/>
  <c r="BR4" i="14"/>
  <c r="BR3" i="14"/>
  <c r="BN4" i="16" l="1"/>
  <c r="BM4" i="16" s="1"/>
  <c r="AN9" i="15"/>
  <c r="AN10" i="15"/>
  <c r="AN4" i="16"/>
  <c r="BM7" i="16"/>
  <c r="BN10" i="16"/>
  <c r="BN12" i="16"/>
  <c r="BM12" i="16" s="1"/>
  <c r="BM10" i="16"/>
  <c r="BN7" i="15"/>
  <c r="AN17" i="15"/>
  <c r="BN19" i="16"/>
  <c r="BM19" i="16" s="1"/>
  <c r="BN17" i="16"/>
  <c r="BM17" i="16" s="1"/>
  <c r="BN16" i="16"/>
  <c r="BM16" i="16" s="1"/>
  <c r="BN14" i="16"/>
  <c r="BM14" i="16" s="1"/>
  <c r="BN15" i="16"/>
  <c r="BM15" i="16" s="1"/>
  <c r="BN18" i="16"/>
  <c r="BM18" i="16" s="1"/>
  <c r="BN3" i="16"/>
  <c r="BM3" i="16" s="1"/>
  <c r="BN9" i="16"/>
  <c r="BM9" i="16" s="1"/>
  <c r="BN6" i="16"/>
  <c r="BM6" i="16" s="1"/>
  <c r="BN11" i="16"/>
  <c r="BM11" i="16" s="1"/>
  <c r="BO8" i="15"/>
  <c r="BN13" i="16"/>
  <c r="BM13" i="16" s="1"/>
  <c r="BN8" i="16"/>
  <c r="BM8" i="16"/>
  <c r="BN5" i="16"/>
  <c r="BM5" i="16" s="1"/>
  <c r="AR23" i="16"/>
  <c r="BI1" i="16"/>
  <c r="BJ1" i="16" s="1"/>
  <c r="AN13" i="15"/>
  <c r="AN14" i="15"/>
  <c r="AN15" i="15"/>
  <c r="AN18" i="15"/>
  <c r="AN19" i="15"/>
  <c r="AN20" i="15"/>
  <c r="AN21" i="15"/>
  <c r="BO15" i="15"/>
  <c r="BN15" i="15" s="1"/>
  <c r="BO13" i="15"/>
  <c r="BN13" i="15" s="1"/>
  <c r="BN8" i="15"/>
  <c r="BO11" i="15"/>
  <c r="BN11" i="15" s="1"/>
  <c r="BO12" i="15"/>
  <c r="BN12" i="15" s="1"/>
  <c r="BO9" i="15"/>
  <c r="BN9" i="15" s="1"/>
  <c r="BO14" i="15"/>
  <c r="BN14" i="15" s="1"/>
  <c r="AN16" i="15"/>
  <c r="AN6" i="15"/>
  <c r="AN7" i="15"/>
  <c r="BO6" i="15"/>
  <c r="BN6" i="15" s="1"/>
  <c r="AN11" i="15"/>
  <c r="AN12" i="15"/>
  <c r="AN22" i="15"/>
  <c r="BO5" i="15"/>
  <c r="BN5" i="15" s="1"/>
  <c r="BJ1" i="15"/>
  <c r="BK1" i="15" s="1"/>
  <c r="BO3" i="15"/>
  <c r="BN3" i="15" s="1"/>
  <c r="AN8" i="15"/>
  <c r="CB13" i="14"/>
  <c r="BZ13" i="14"/>
  <c r="BR13" i="14"/>
  <c r="CB16" i="14"/>
  <c r="BZ16" i="14"/>
  <c r="BR16" i="14"/>
  <c r="CB20" i="14"/>
  <c r="BZ20" i="14"/>
  <c r="BR20" i="14"/>
  <c r="CB9" i="14"/>
  <c r="BZ9" i="14"/>
  <c r="BR9" i="14"/>
  <c r="CB15" i="14"/>
  <c r="BZ15" i="14"/>
  <c r="BR15" i="14"/>
  <c r="CB17" i="14"/>
  <c r="BZ17" i="14"/>
  <c r="BR17" i="14"/>
  <c r="CB8" i="14"/>
  <c r="BZ8" i="14"/>
  <c r="BR8" i="14"/>
  <c r="CB6" i="14"/>
  <c r="BZ6" i="14"/>
  <c r="CB19" i="14"/>
  <c r="BZ19" i="14"/>
  <c r="BR19" i="14"/>
  <c r="CB22" i="14"/>
  <c r="BQ22" i="14"/>
  <c r="BR22" i="14" s="1"/>
  <c r="CB10" i="14"/>
  <c r="BZ10" i="14"/>
  <c r="BR10" i="14"/>
  <c r="CB14" i="14"/>
  <c r="BZ14" i="14"/>
  <c r="BR14" i="14"/>
  <c r="CB18" i="14"/>
  <c r="BZ18" i="14"/>
  <c r="BR18" i="14"/>
  <c r="CB21" i="14"/>
  <c r="BZ21" i="14"/>
  <c r="BR21" i="14"/>
  <c r="CB12" i="14"/>
  <c r="BZ12" i="14"/>
  <c r="BR12" i="14"/>
  <c r="CB3" i="14"/>
  <c r="I24" i="14"/>
  <c r="BG22" i="14"/>
  <c r="BF22" i="14"/>
  <c r="BC22" i="14"/>
  <c r="BD22" i="14" s="1"/>
  <c r="BE22" i="14" s="1"/>
  <c r="AX22" i="14"/>
  <c r="AS22" i="14"/>
  <c r="W22" i="14"/>
  <c r="F22" i="14"/>
  <c r="K22" i="14" s="1"/>
  <c r="L22" i="14" s="1"/>
  <c r="M22" i="14" s="1"/>
  <c r="N22" i="14" s="1"/>
  <c r="AM75" i="14" s="1"/>
  <c r="BG21" i="14"/>
  <c r="BF21" i="14"/>
  <c r="BC21" i="14"/>
  <c r="BD21" i="14" s="1"/>
  <c r="BE21" i="14" s="1"/>
  <c r="AX21" i="14"/>
  <c r="AS21" i="14"/>
  <c r="W21" i="14"/>
  <c r="F21" i="14"/>
  <c r="K21" i="14" s="1"/>
  <c r="L21" i="14" s="1"/>
  <c r="M21" i="14" s="1"/>
  <c r="N21" i="14" s="1"/>
  <c r="AM74" i="14" s="1"/>
  <c r="BG20" i="14"/>
  <c r="BF20" i="14"/>
  <c r="BC20" i="14"/>
  <c r="BD20" i="14" s="1"/>
  <c r="BE20" i="14" s="1"/>
  <c r="AX20" i="14"/>
  <c r="AS20" i="14"/>
  <c r="W20" i="14"/>
  <c r="F20" i="14"/>
  <c r="K20" i="14" s="1"/>
  <c r="L20" i="14" s="1"/>
  <c r="M20" i="14" s="1"/>
  <c r="N20" i="14" s="1"/>
  <c r="AM73" i="14" s="1"/>
  <c r="BG19" i="14"/>
  <c r="BF19" i="14"/>
  <c r="BC19" i="14"/>
  <c r="BD19" i="14" s="1"/>
  <c r="BE19" i="14" s="1"/>
  <c r="AX19" i="14"/>
  <c r="AS19" i="14"/>
  <c r="W19" i="14"/>
  <c r="F19" i="14"/>
  <c r="K19" i="14" s="1"/>
  <c r="L19" i="14" s="1"/>
  <c r="M19" i="14" s="1"/>
  <c r="N19" i="14" s="1"/>
  <c r="AM72" i="14" s="1"/>
  <c r="BG18" i="14"/>
  <c r="BF18" i="14"/>
  <c r="BC18" i="14"/>
  <c r="BD18" i="14" s="1"/>
  <c r="BE18" i="14" s="1"/>
  <c r="AX18" i="14"/>
  <c r="AS18" i="14"/>
  <c r="W18" i="14"/>
  <c r="F18" i="14"/>
  <c r="K18" i="14" s="1"/>
  <c r="L18" i="14" s="1"/>
  <c r="M18" i="14" s="1"/>
  <c r="N18" i="14" s="1"/>
  <c r="AM71" i="14" s="1"/>
  <c r="BG17" i="14"/>
  <c r="BF17" i="14"/>
  <c r="BC17" i="14"/>
  <c r="BD17" i="14" s="1"/>
  <c r="BE17" i="14" s="1"/>
  <c r="AX17" i="14"/>
  <c r="AS17" i="14"/>
  <c r="W17" i="14"/>
  <c r="F17" i="14"/>
  <c r="K17" i="14" s="1"/>
  <c r="L17" i="14" s="1"/>
  <c r="M17" i="14" s="1"/>
  <c r="N17" i="14" s="1"/>
  <c r="AM70" i="14" s="1"/>
  <c r="BG16" i="14"/>
  <c r="BF16" i="14"/>
  <c r="BC16" i="14"/>
  <c r="BD16" i="14" s="1"/>
  <c r="BE16" i="14" s="1"/>
  <c r="AX16" i="14"/>
  <c r="AS16" i="14"/>
  <c r="W16" i="14"/>
  <c r="F16" i="14"/>
  <c r="K16" i="14" s="1"/>
  <c r="L16" i="14" s="1"/>
  <c r="M16" i="14" s="1"/>
  <c r="N16" i="14" s="1"/>
  <c r="AM69" i="14" s="1"/>
  <c r="BG15" i="14"/>
  <c r="BF15" i="14"/>
  <c r="BC15" i="14"/>
  <c r="BD15" i="14" s="1"/>
  <c r="BE15" i="14" s="1"/>
  <c r="AX15" i="14"/>
  <c r="AS15" i="14"/>
  <c r="W15" i="14"/>
  <c r="F15" i="14"/>
  <c r="K15" i="14" s="1"/>
  <c r="L15" i="14" s="1"/>
  <c r="M15" i="14" s="1"/>
  <c r="N15" i="14" s="1"/>
  <c r="AM68" i="14" s="1"/>
  <c r="BG14" i="14"/>
  <c r="BF14" i="14"/>
  <c r="BC14" i="14"/>
  <c r="BD14" i="14" s="1"/>
  <c r="BE14" i="14" s="1"/>
  <c r="AX14" i="14"/>
  <c r="AS14" i="14"/>
  <c r="W14" i="14"/>
  <c r="F14" i="14"/>
  <c r="K14" i="14" s="1"/>
  <c r="L14" i="14" s="1"/>
  <c r="M14" i="14" s="1"/>
  <c r="N14" i="14" s="1"/>
  <c r="AM67" i="14" s="1"/>
  <c r="BG13" i="14"/>
  <c r="BF13" i="14"/>
  <c r="BC13" i="14"/>
  <c r="BD13" i="14" s="1"/>
  <c r="BE13" i="14" s="1"/>
  <c r="AX13" i="14"/>
  <c r="AS13" i="14"/>
  <c r="W13" i="14"/>
  <c r="F13" i="14"/>
  <c r="K13" i="14" s="1"/>
  <c r="L13" i="14" s="1"/>
  <c r="M13" i="14" s="1"/>
  <c r="N13" i="14" s="1"/>
  <c r="AM66" i="14" s="1"/>
  <c r="BG12" i="14"/>
  <c r="BF12" i="14"/>
  <c r="BC12" i="14"/>
  <c r="BD12" i="14" s="1"/>
  <c r="BE12" i="14" s="1"/>
  <c r="AX12" i="14"/>
  <c r="AS12" i="14"/>
  <c r="W12" i="14"/>
  <c r="F12" i="14"/>
  <c r="K12" i="14" s="1"/>
  <c r="L12" i="14" s="1"/>
  <c r="M12" i="14" s="1"/>
  <c r="N12" i="14" s="1"/>
  <c r="AM65" i="14" s="1"/>
  <c r="BG11" i="14"/>
  <c r="BF11" i="14"/>
  <c r="BC11" i="14"/>
  <c r="BD11" i="14" s="1"/>
  <c r="BE11" i="14" s="1"/>
  <c r="AX11" i="14"/>
  <c r="AS11" i="14"/>
  <c r="W11" i="14"/>
  <c r="F11" i="14"/>
  <c r="K11" i="14" s="1"/>
  <c r="L11" i="14" s="1"/>
  <c r="M11" i="14" s="1"/>
  <c r="N11" i="14" s="1"/>
  <c r="AM64" i="14" s="1"/>
  <c r="BG10" i="14"/>
  <c r="BF10" i="14"/>
  <c r="BC10" i="14"/>
  <c r="BD10" i="14" s="1"/>
  <c r="BE10" i="14" s="1"/>
  <c r="AX10" i="14"/>
  <c r="AS10" i="14"/>
  <c r="W10" i="14"/>
  <c r="F10" i="14"/>
  <c r="K10" i="14" s="1"/>
  <c r="L10" i="14" s="1"/>
  <c r="M10" i="14" s="1"/>
  <c r="N10" i="14" s="1"/>
  <c r="AM63" i="14" s="1"/>
  <c r="BG9" i="14"/>
  <c r="BF9" i="14"/>
  <c r="BC9" i="14"/>
  <c r="BD9" i="14" s="1"/>
  <c r="BE9" i="14" s="1"/>
  <c r="AX9" i="14"/>
  <c r="AS9" i="14"/>
  <c r="W9" i="14"/>
  <c r="F9" i="14"/>
  <c r="K9" i="14" s="1"/>
  <c r="L9" i="14" s="1"/>
  <c r="M9" i="14" s="1"/>
  <c r="N9" i="14" s="1"/>
  <c r="AM62" i="14" s="1"/>
  <c r="BG8" i="14"/>
  <c r="BF8" i="14"/>
  <c r="BC8" i="14"/>
  <c r="BD8" i="14" s="1"/>
  <c r="BE8" i="14" s="1"/>
  <c r="AX8" i="14"/>
  <c r="AS8" i="14"/>
  <c r="W8" i="14"/>
  <c r="F8" i="14"/>
  <c r="K8" i="14" s="1"/>
  <c r="L8" i="14" s="1"/>
  <c r="M8" i="14" s="1"/>
  <c r="N8" i="14" s="1"/>
  <c r="AM61" i="14" s="1"/>
  <c r="BG7" i="14"/>
  <c r="BF7" i="14"/>
  <c r="BC7" i="14"/>
  <c r="BD7" i="14" s="1"/>
  <c r="BE7" i="14" s="1"/>
  <c r="AX7" i="14"/>
  <c r="AS7" i="14"/>
  <c r="W7" i="14"/>
  <c r="F7" i="14"/>
  <c r="K7" i="14" s="1"/>
  <c r="L7" i="14" s="1"/>
  <c r="M7" i="14" s="1"/>
  <c r="N7" i="14" s="1"/>
  <c r="BG6" i="14"/>
  <c r="BF6" i="14"/>
  <c r="BC6" i="14"/>
  <c r="BD6" i="14" s="1"/>
  <c r="BE6" i="14" s="1"/>
  <c r="AX6" i="14"/>
  <c r="AS6" i="14"/>
  <c r="W6" i="14"/>
  <c r="F6" i="14"/>
  <c r="K6" i="14" s="1"/>
  <c r="L6" i="14" s="1"/>
  <c r="M6" i="14" s="1"/>
  <c r="N6" i="14" s="1"/>
  <c r="AM59" i="14" s="1"/>
  <c r="BG5" i="14"/>
  <c r="BF5" i="14"/>
  <c r="BC5" i="14"/>
  <c r="BD5" i="14" s="1"/>
  <c r="BE5" i="14" s="1"/>
  <c r="AX5" i="14"/>
  <c r="AS5" i="14"/>
  <c r="W5" i="14"/>
  <c r="F5" i="14"/>
  <c r="K5" i="14" s="1"/>
  <c r="L5" i="14" s="1"/>
  <c r="M5" i="14" s="1"/>
  <c r="N5" i="14" s="1"/>
  <c r="BG4" i="14"/>
  <c r="BF4" i="14"/>
  <c r="BC4" i="14"/>
  <c r="BD4" i="14" s="1"/>
  <c r="BE4" i="14" s="1"/>
  <c r="AX4" i="14"/>
  <c r="AS4" i="14"/>
  <c r="W4" i="14"/>
  <c r="F4" i="14"/>
  <c r="K4" i="14" s="1"/>
  <c r="L4" i="14" s="1"/>
  <c r="M4" i="14" s="1"/>
  <c r="N4" i="14" s="1"/>
  <c r="CD3" i="14"/>
  <c r="BZ3" i="14"/>
  <c r="BG3" i="14"/>
  <c r="BF3" i="14"/>
  <c r="BC3" i="14"/>
  <c r="BD3" i="14" s="1"/>
  <c r="BE3" i="14" s="1"/>
  <c r="AX3" i="14"/>
  <c r="AS3" i="14"/>
  <c r="W3" i="14"/>
  <c r="F3" i="14"/>
  <c r="K3" i="14" s="1"/>
  <c r="L3" i="14" s="1"/>
  <c r="BM1" i="14"/>
  <c r="BT10" i="14"/>
  <c r="BH3" i="14" l="1"/>
  <c r="T23" i="14"/>
  <c r="BH5" i="14"/>
  <c r="T25" i="14"/>
  <c r="BH13" i="14"/>
  <c r="T33" i="14"/>
  <c r="BH21" i="14"/>
  <c r="T41" i="14"/>
  <c r="BH14" i="14"/>
  <c r="T34" i="14"/>
  <c r="BH22" i="14"/>
  <c r="T42" i="14"/>
  <c r="BH12" i="14"/>
  <c r="T32" i="14"/>
  <c r="BH11" i="14"/>
  <c r="T31" i="14"/>
  <c r="BH19" i="14"/>
  <c r="T39" i="14"/>
  <c r="BH6" i="14"/>
  <c r="T26" i="14"/>
  <c r="BH4" i="14"/>
  <c r="T24" i="14"/>
  <c r="BH10" i="14"/>
  <c r="T30" i="14"/>
  <c r="BH18" i="14"/>
  <c r="T38" i="14"/>
  <c r="BH9" i="14"/>
  <c r="T29" i="14"/>
  <c r="BH17" i="14"/>
  <c r="T37" i="14"/>
  <c r="BH8" i="14"/>
  <c r="T28" i="14"/>
  <c r="BH16" i="14"/>
  <c r="T36" i="14"/>
  <c r="BH20" i="14"/>
  <c r="T40" i="14"/>
  <c r="BH7" i="14"/>
  <c r="T27" i="14"/>
  <c r="BH15" i="14"/>
  <c r="T35" i="14"/>
  <c r="AU8" i="14"/>
  <c r="AY8" i="14"/>
  <c r="AU3" i="14"/>
  <c r="AY3" i="14"/>
  <c r="AU5" i="14"/>
  <c r="AY5" i="14"/>
  <c r="AU13" i="14"/>
  <c r="AY13" i="14"/>
  <c r="AU21" i="14"/>
  <c r="AY21" i="14"/>
  <c r="AU12" i="14"/>
  <c r="AY12" i="14"/>
  <c r="AU20" i="14"/>
  <c r="AY20" i="14"/>
  <c r="AU4" i="14"/>
  <c r="AY4" i="14"/>
  <c r="AU11" i="14"/>
  <c r="AY11" i="14"/>
  <c r="AU19" i="14"/>
  <c r="AY19" i="14"/>
  <c r="AU10" i="14"/>
  <c r="AY10" i="14"/>
  <c r="AU18" i="14"/>
  <c r="AY18" i="14"/>
  <c r="AU9" i="14"/>
  <c r="AY9" i="14"/>
  <c r="AU17" i="14"/>
  <c r="AY17" i="14"/>
  <c r="AU16" i="14"/>
  <c r="AY16" i="14"/>
  <c r="AU7" i="14"/>
  <c r="AY7" i="14"/>
  <c r="AU15" i="14"/>
  <c r="AY15" i="14"/>
  <c r="AU6" i="14"/>
  <c r="AY6" i="14"/>
  <c r="AU14" i="14"/>
  <c r="AY14" i="14"/>
  <c r="AU22" i="14"/>
  <c r="AY22" i="14"/>
  <c r="AT3" i="14"/>
  <c r="BT21" i="14"/>
  <c r="BS21" i="14" s="1"/>
  <c r="BT14" i="14"/>
  <c r="BS14" i="14" s="1"/>
  <c r="BT22" i="14"/>
  <c r="BS22" i="14" s="1"/>
  <c r="BT8" i="14"/>
  <c r="BS8" i="14" s="1"/>
  <c r="BT15" i="14"/>
  <c r="BS15" i="14" s="1"/>
  <c r="BT20" i="14"/>
  <c r="BS20" i="14" s="1"/>
  <c r="BT13" i="14"/>
  <c r="BS13" i="14" s="1"/>
  <c r="AT4" i="14"/>
  <c r="AT9" i="14"/>
  <c r="AT10" i="14"/>
  <c r="AT11" i="14"/>
  <c r="AT13" i="14"/>
  <c r="AT15" i="14"/>
  <c r="AT18" i="14"/>
  <c r="AT20" i="14"/>
  <c r="AT22" i="14"/>
  <c r="BT19" i="14"/>
  <c r="BS19" i="14" s="1"/>
  <c r="BT12" i="14"/>
  <c r="BS12" i="14" s="1"/>
  <c r="BT18" i="14"/>
  <c r="BS18" i="14" s="1"/>
  <c r="BT5" i="14"/>
  <c r="BS5" i="14" s="1"/>
  <c r="BT4" i="14"/>
  <c r="BS4" i="14" s="1"/>
  <c r="BT11" i="14"/>
  <c r="BS11" i="14" s="1"/>
  <c r="BT7" i="14"/>
  <c r="BS7" i="14" s="1"/>
  <c r="BT6" i="14"/>
  <c r="BS6" i="14" s="1"/>
  <c r="BT17" i="14"/>
  <c r="BS17" i="14" s="1"/>
  <c r="BT9" i="14"/>
  <c r="BS9" i="14" s="1"/>
  <c r="BT16" i="14"/>
  <c r="BS16" i="14" s="1"/>
  <c r="BK1" i="16"/>
  <c r="AX24" i="14"/>
  <c r="BS10" i="14"/>
  <c r="BL1" i="15"/>
  <c r="BZ22" i="14"/>
  <c r="AT5" i="14"/>
  <c r="AT14" i="14"/>
  <c r="AT21" i="14"/>
  <c r="AT7" i="14"/>
  <c r="AT6" i="14"/>
  <c r="AT17" i="14"/>
  <c r="AT19" i="14"/>
  <c r="BO1" i="14"/>
  <c r="BP1" i="14" s="1"/>
  <c r="BT3" i="14"/>
  <c r="BS3" i="14" s="1"/>
  <c r="AT8" i="14"/>
  <c r="AT12" i="14"/>
  <c r="AT16" i="14"/>
  <c r="BQ1" i="14" l="1"/>
  <c r="AQ9" i="10" l="1"/>
  <c r="AQ8" i="10"/>
  <c r="AQ7" i="10"/>
  <c r="AQ6" i="10"/>
  <c r="AQ5" i="10"/>
  <c r="AQ4" i="10"/>
  <c r="AQ3" i="10"/>
  <c r="C38" i="1"/>
  <c r="C44" i="1"/>
  <c r="C43" i="1"/>
  <c r="C42" i="1"/>
  <c r="C41" i="1"/>
  <c r="C40" i="1"/>
  <c r="C39" i="1"/>
  <c r="C31" i="1"/>
  <c r="C32" i="1"/>
  <c r="C33" i="1"/>
  <c r="C35" i="1"/>
  <c r="C30" i="1" l="1"/>
  <c r="C6" i="8" l="1"/>
  <c r="C5" i="8"/>
  <c r="C4" i="8"/>
  <c r="C3" i="8"/>
  <c r="C4" i="7"/>
  <c r="C5" i="7"/>
  <c r="C6" i="7"/>
  <c r="C7" i="7"/>
  <c r="C8" i="7"/>
  <c r="C9" i="7"/>
  <c r="BK8" i="10" l="1"/>
  <c r="BL8" i="10" s="1"/>
  <c r="BJ8" i="10"/>
  <c r="BT8" i="10"/>
  <c r="BR8" i="10"/>
  <c r="AY8" i="10"/>
  <c r="AX8" i="10"/>
  <c r="AU8" i="10"/>
  <c r="AV8" i="10" s="1"/>
  <c r="AW8" i="10" s="1"/>
  <c r="AP8" i="10"/>
  <c r="S8" i="10"/>
  <c r="AZ8" i="10" s="1"/>
  <c r="F8" i="10"/>
  <c r="BT9" i="10"/>
  <c r="BK3" i="10"/>
  <c r="BR9" i="10" l="1"/>
  <c r="BK9" i="10"/>
  <c r="BL9" i="10" s="1"/>
  <c r="BJ9" i="10"/>
  <c r="BJ3" i="10"/>
  <c r="AX3" i="10" l="1"/>
  <c r="AX4" i="10"/>
  <c r="AX5" i="10"/>
  <c r="AX6" i="10"/>
  <c r="AX7" i="10"/>
  <c r="AX9" i="10"/>
  <c r="BR7" i="10" l="1"/>
  <c r="BK7" i="10"/>
  <c r="BL7" i="10" s="1"/>
  <c r="BJ7" i="10"/>
  <c r="BK6" i="10" l="1"/>
  <c r="BR6" i="10" l="1"/>
  <c r="BL6" i="10"/>
  <c r="BJ6" i="10"/>
  <c r="BK5" i="10" l="1"/>
  <c r="BL5" i="10" s="1"/>
  <c r="BJ5" i="10"/>
  <c r="BJ4" i="10"/>
  <c r="BR5" i="10"/>
  <c r="BR4" i="10"/>
  <c r="AP9" i="10"/>
  <c r="AP7" i="10"/>
  <c r="AP6" i="10"/>
  <c r="AP5" i="10"/>
  <c r="AP4" i="10"/>
  <c r="AP3" i="10"/>
  <c r="BK4" i="10"/>
  <c r="BL4" i="10" s="1"/>
  <c r="BR3" i="10" l="1"/>
  <c r="BL3" i="10"/>
  <c r="S9" i="10"/>
  <c r="AZ9" i="10" s="1"/>
  <c r="S7" i="10"/>
  <c r="AZ7" i="10" s="1"/>
  <c r="S6" i="10"/>
  <c r="AZ6" i="10" s="1"/>
  <c r="S5" i="10"/>
  <c r="AZ5" i="10" s="1"/>
  <c r="S4" i="10"/>
  <c r="AZ4" i="10" s="1"/>
  <c r="S3" i="10"/>
  <c r="AZ3" i="10" s="1"/>
  <c r="AY9" i="10" l="1"/>
  <c r="AY7" i="10"/>
  <c r="AY6" i="10"/>
  <c r="AY5" i="10"/>
  <c r="AY4" i="10"/>
  <c r="AY3" i="10"/>
  <c r="C22" i="9"/>
  <c r="E77" i="11" l="1"/>
  <c r="B78" i="11" s="1"/>
  <c r="B79" i="11" s="1"/>
  <c r="E72" i="11"/>
  <c r="B73" i="11" s="1"/>
  <c r="B74" i="11" s="1"/>
  <c r="B75" i="11" s="1"/>
  <c r="E67" i="11"/>
  <c r="B68" i="11" s="1"/>
  <c r="B69" i="11" s="1"/>
  <c r="B70" i="11" s="1"/>
  <c r="B71" i="11" s="1"/>
  <c r="E62" i="11"/>
  <c r="B63" i="11" s="1"/>
  <c r="B64" i="11" s="1"/>
  <c r="B65" i="11" s="1"/>
  <c r="B66" i="11" s="1"/>
  <c r="E57" i="11"/>
  <c r="B58" i="11" s="1"/>
  <c r="B59" i="11" s="1"/>
  <c r="B60" i="11" s="1"/>
  <c r="B61" i="11" s="1"/>
  <c r="E52" i="11"/>
  <c r="B53" i="11" s="1"/>
  <c r="B54" i="11" s="1"/>
  <c r="B55" i="11" s="1"/>
  <c r="B56" i="11" s="1"/>
  <c r="E47" i="11"/>
  <c r="B48" i="11" s="1"/>
  <c r="E42" i="11"/>
  <c r="B43" i="11" s="1"/>
  <c r="B44" i="11" s="1"/>
  <c r="B45" i="11" s="1"/>
  <c r="B46" i="11" s="1"/>
  <c r="E37" i="11"/>
  <c r="B38" i="11" s="1"/>
  <c r="B39" i="11" s="1"/>
  <c r="B40" i="11" s="1"/>
  <c r="B41" i="11" s="1"/>
  <c r="E32" i="11"/>
  <c r="B29" i="11"/>
  <c r="E27" i="11"/>
  <c r="B28" i="11" s="1"/>
  <c r="E22" i="11"/>
  <c r="B23" i="11" s="1"/>
  <c r="E17" i="11"/>
  <c r="B18" i="11" s="1"/>
  <c r="B19" i="11" s="1"/>
  <c r="E12" i="11"/>
  <c r="B13" i="11" s="1"/>
  <c r="E7" i="11"/>
  <c r="B8" i="11" s="1"/>
  <c r="E2" i="11"/>
  <c r="B3" i="11" s="1"/>
  <c r="D52" i="11"/>
  <c r="F52" i="11" s="1"/>
  <c r="G52" i="11" s="1"/>
  <c r="D51" i="11"/>
  <c r="D50" i="11"/>
  <c r="D49" i="11"/>
  <c r="D48" i="11"/>
  <c r="D47" i="11"/>
  <c r="F47" i="11" s="1"/>
  <c r="G47" i="11" s="1"/>
  <c r="D46" i="11"/>
  <c r="D45" i="11"/>
  <c r="D44" i="11"/>
  <c r="D43" i="11"/>
  <c r="D42" i="11"/>
  <c r="F42" i="11" s="1"/>
  <c r="G42" i="11" s="1"/>
  <c r="D41" i="11"/>
  <c r="D40" i="11"/>
  <c r="D39" i="11"/>
  <c r="F39" i="11" s="1"/>
  <c r="G39" i="11" s="1"/>
  <c r="D38" i="11"/>
  <c r="D37" i="11"/>
  <c r="F37" i="11" s="1"/>
  <c r="G37" i="11" s="1"/>
  <c r="D36" i="11"/>
  <c r="F36" i="11" s="1"/>
  <c r="G36" i="11" s="1"/>
  <c r="D35" i="11"/>
  <c r="F35" i="11" s="1"/>
  <c r="G35" i="11" s="1"/>
  <c r="D34" i="11"/>
  <c r="F34" i="11" s="1"/>
  <c r="G34" i="11" s="1"/>
  <c r="D33" i="11"/>
  <c r="F33" i="11" s="1"/>
  <c r="G33" i="11" s="1"/>
  <c r="D32" i="11"/>
  <c r="F32" i="11" s="1"/>
  <c r="G32" i="11" s="1"/>
  <c r="D31" i="11"/>
  <c r="D30" i="11"/>
  <c r="D29" i="11"/>
  <c r="D28" i="11"/>
  <c r="D27" i="11"/>
  <c r="F27" i="11" s="1"/>
  <c r="G27" i="11" s="1"/>
  <c r="D26" i="11"/>
  <c r="D25" i="11"/>
  <c r="D24" i="11"/>
  <c r="D23" i="11"/>
  <c r="D22" i="11"/>
  <c r="F22" i="11" s="1"/>
  <c r="G22" i="11" s="1"/>
  <c r="D21" i="11"/>
  <c r="D20" i="11"/>
  <c r="D19" i="11"/>
  <c r="D18" i="11"/>
  <c r="D17" i="11"/>
  <c r="F17" i="11" s="1"/>
  <c r="G17" i="11" s="1"/>
  <c r="D16" i="11"/>
  <c r="D15" i="11"/>
  <c r="D14" i="11"/>
  <c r="D13" i="11"/>
  <c r="D12" i="11"/>
  <c r="F12" i="11" s="1"/>
  <c r="G12" i="11" s="1"/>
  <c r="D11" i="11"/>
  <c r="D2" i="11"/>
  <c r="F2" i="11" s="1"/>
  <c r="G2" i="11" s="1"/>
  <c r="C53" i="11"/>
  <c r="C54" i="11" s="1"/>
  <c r="C3" i="11"/>
  <c r="C4" i="11" s="1"/>
  <c r="D4" i="11" s="1"/>
  <c r="F41" i="11" l="1"/>
  <c r="G41" i="11" s="1"/>
  <c r="F13" i="11"/>
  <c r="G13" i="11" s="1"/>
  <c r="F46" i="11"/>
  <c r="G46" i="11" s="1"/>
  <c r="F38" i="11"/>
  <c r="G38" i="11" s="1"/>
  <c r="F48" i="11"/>
  <c r="G48" i="11" s="1"/>
  <c r="D3" i="11"/>
  <c r="F3" i="11" s="1"/>
  <c r="G3" i="11" s="1"/>
  <c r="B49" i="11"/>
  <c r="F49" i="11" s="1"/>
  <c r="G49" i="11" s="1"/>
  <c r="F29" i="11"/>
  <c r="G29" i="11" s="1"/>
  <c r="C5" i="11"/>
  <c r="B20" i="11"/>
  <c r="F19" i="11"/>
  <c r="G19" i="11" s="1"/>
  <c r="B4" i="11"/>
  <c r="B9" i="11"/>
  <c r="F23" i="11"/>
  <c r="G23" i="11" s="1"/>
  <c r="B24" i="11"/>
  <c r="B80" i="11"/>
  <c r="B14" i="11"/>
  <c r="B30" i="11"/>
  <c r="B76" i="11"/>
  <c r="F18" i="11"/>
  <c r="G18" i="11" s="1"/>
  <c r="C55" i="11"/>
  <c r="D54" i="11"/>
  <c r="F54" i="11" s="1"/>
  <c r="G54" i="11" s="1"/>
  <c r="F28" i="11"/>
  <c r="G28" i="11" s="1"/>
  <c r="B50" i="11"/>
  <c r="F43" i="11"/>
  <c r="G43" i="11" s="1"/>
  <c r="D53" i="11"/>
  <c r="F44" i="11"/>
  <c r="G44" i="11" s="1"/>
  <c r="F45" i="11"/>
  <c r="G45" i="11" s="1"/>
  <c r="F53" i="11"/>
  <c r="G53" i="11" s="1"/>
  <c r="F40" i="11"/>
  <c r="G40" i="11" s="1"/>
  <c r="F9" i="10"/>
  <c r="F7" i="10"/>
  <c r="F6" i="10"/>
  <c r="F5" i="10"/>
  <c r="F4" i="10"/>
  <c r="F3" i="10"/>
  <c r="AU3" i="10"/>
  <c r="AV3" i="10" s="1"/>
  <c r="AW3" i="10" s="1"/>
  <c r="AU9" i="10"/>
  <c r="AV9" i="10" s="1"/>
  <c r="AW9" i="10" s="1"/>
  <c r="AU7" i="10"/>
  <c r="AV7" i="10" s="1"/>
  <c r="AW7" i="10" s="1"/>
  <c r="AU6" i="10"/>
  <c r="AV6" i="10" s="1"/>
  <c r="AW6" i="10" s="1"/>
  <c r="AU5" i="10"/>
  <c r="AV5" i="10" s="1"/>
  <c r="AW5" i="10" s="1"/>
  <c r="AU4" i="10"/>
  <c r="AV4" i="10" s="1"/>
  <c r="AW4" i="10" s="1"/>
  <c r="B10" i="11" l="1"/>
  <c r="F30" i="11"/>
  <c r="G30" i="11" s="1"/>
  <c r="B31" i="11"/>
  <c r="F31" i="11" s="1"/>
  <c r="G31" i="11" s="1"/>
  <c r="F14" i="11"/>
  <c r="G14" i="11" s="1"/>
  <c r="B15" i="11"/>
  <c r="B5" i="11"/>
  <c r="F4" i="11"/>
  <c r="G4" i="11" s="1"/>
  <c r="B51" i="11"/>
  <c r="F51" i="11" s="1"/>
  <c r="G51" i="11" s="1"/>
  <c r="F50" i="11"/>
  <c r="G50" i="11" s="1"/>
  <c r="C56" i="11"/>
  <c r="D55" i="11"/>
  <c r="F55" i="11" s="1"/>
  <c r="G55" i="11" s="1"/>
  <c r="B81" i="11"/>
  <c r="F20" i="11"/>
  <c r="G20" i="11" s="1"/>
  <c r="B21" i="11"/>
  <c r="F21" i="11" s="1"/>
  <c r="G21" i="11" s="1"/>
  <c r="F24" i="11"/>
  <c r="G24" i="11" s="1"/>
  <c r="B25" i="11"/>
  <c r="D5" i="11"/>
  <c r="C6" i="11"/>
  <c r="I11" i="10"/>
  <c r="B26" i="11" l="1"/>
  <c r="F26" i="11" s="1"/>
  <c r="G26" i="11" s="1"/>
  <c r="F25" i="11"/>
  <c r="G25" i="11" s="1"/>
  <c r="B11" i="11"/>
  <c r="F11" i="11" s="1"/>
  <c r="G11" i="11" s="1"/>
  <c r="B6" i="11"/>
  <c r="F5" i="11"/>
  <c r="G5" i="11" s="1"/>
  <c r="F15" i="11"/>
  <c r="G15" i="11" s="1"/>
  <c r="B16" i="11"/>
  <c r="F16" i="11" s="1"/>
  <c r="G16" i="11" s="1"/>
  <c r="D6" i="11"/>
  <c r="C7" i="11"/>
  <c r="C57" i="11"/>
  <c r="D56" i="11"/>
  <c r="F56" i="11" s="1"/>
  <c r="G56" i="11" s="1"/>
  <c r="C4" i="9"/>
  <c r="C13" i="9"/>
  <c r="C8" i="11" l="1"/>
  <c r="D7" i="11"/>
  <c r="F7" i="11" s="1"/>
  <c r="G7" i="11" s="1"/>
  <c r="F6" i="11"/>
  <c r="G6" i="11" s="1"/>
  <c r="C58" i="11"/>
  <c r="D57" i="11"/>
  <c r="F57" i="11" s="1"/>
  <c r="G57" i="11" s="1"/>
  <c r="E14" i="1"/>
  <c r="D8" i="11" l="1"/>
  <c r="F8" i="11" s="1"/>
  <c r="G8" i="11" s="1"/>
  <c r="C9" i="11"/>
  <c r="C59" i="11"/>
  <c r="D58" i="11"/>
  <c r="F58" i="11" s="1"/>
  <c r="G58" i="11" s="1"/>
  <c r="H12" i="7" l="1"/>
  <c r="H15" i="7"/>
  <c r="J11" i="7"/>
  <c r="C60" i="11"/>
  <c r="D59" i="11"/>
  <c r="F59" i="11" s="1"/>
  <c r="G59" i="11" s="1"/>
  <c r="D9" i="11"/>
  <c r="F9" i="11" s="1"/>
  <c r="G9" i="11" s="1"/>
  <c r="C10" i="11"/>
  <c r="D10" i="11" s="1"/>
  <c r="F10" i="11" s="1"/>
  <c r="G10" i="11" s="1"/>
  <c r="G15" i="7"/>
  <c r="D12" i="7"/>
  <c r="M6" i="7"/>
  <c r="F11" i="7"/>
  <c r="H11" i="7"/>
  <c r="J13" i="7"/>
  <c r="J15" i="7"/>
  <c r="M9" i="7"/>
  <c r="I14" i="7"/>
  <c r="I12" i="7"/>
  <c r="G13" i="7"/>
  <c r="F14" i="7"/>
  <c r="E10" i="7"/>
  <c r="M5" i="7"/>
  <c r="H13" i="7"/>
  <c r="G14" i="7"/>
  <c r="M4" i="7"/>
  <c r="G10" i="7"/>
  <c r="I10" i="7"/>
  <c r="F12" i="7"/>
  <c r="D13" i="7"/>
  <c r="M7" i="7"/>
  <c r="K14" i="7"/>
  <c r="M8" i="7"/>
  <c r="F6" i="6"/>
  <c r="F7" i="6"/>
  <c r="C31" i="6" l="1"/>
  <c r="C30" i="6"/>
  <c r="C29" i="6"/>
  <c r="C28" i="6"/>
  <c r="C27" i="6"/>
  <c r="C9" i="6"/>
  <c r="E9" i="6" s="1"/>
  <c r="C10" i="6"/>
  <c r="E10" i="6" s="1"/>
  <c r="C8" i="6"/>
  <c r="E8" i="6" s="1"/>
  <c r="E29" i="6" s="1"/>
  <c r="C61" i="11"/>
  <c r="D60" i="11"/>
  <c r="F60" i="11" s="1"/>
  <c r="G60" i="11" s="1"/>
  <c r="J10" i="7"/>
  <c r="N5" i="7"/>
  <c r="N6" i="7" s="1"/>
  <c r="C6" i="6"/>
  <c r="E6" i="6" s="1"/>
  <c r="C7" i="6"/>
  <c r="E7" i="6" s="1"/>
  <c r="G11" i="5"/>
  <c r="B12" i="5"/>
  <c r="C9" i="5"/>
  <c r="C8" i="5"/>
  <c r="C7" i="5"/>
  <c r="C6" i="5"/>
  <c r="C5" i="5"/>
  <c r="C4" i="5"/>
  <c r="C3" i="5"/>
  <c r="C2" i="5"/>
  <c r="D2" i="5"/>
  <c r="D3" i="5"/>
  <c r="D4" i="5"/>
  <c r="D5" i="5"/>
  <c r="D6" i="5"/>
  <c r="D7" i="5"/>
  <c r="D8" i="5"/>
  <c r="C1" i="5"/>
  <c r="E31" i="6" l="1"/>
  <c r="E28" i="6"/>
  <c r="E30" i="6"/>
  <c r="B17" i="6"/>
  <c r="E27" i="6"/>
  <c r="B18" i="6"/>
  <c r="B15" i="6"/>
  <c r="B16" i="6"/>
  <c r="C62" i="11"/>
  <c r="D61" i="11"/>
  <c r="F61" i="11" s="1"/>
  <c r="G61" i="11" s="1"/>
  <c r="C10" i="4"/>
  <c r="M10" i="4" s="1"/>
  <c r="C9" i="4"/>
  <c r="C8" i="4"/>
  <c r="M8" i="4" s="1"/>
  <c r="C7" i="4"/>
  <c r="M7" i="4" s="1"/>
  <c r="C6" i="4"/>
  <c r="C5" i="4"/>
  <c r="C63" i="11" l="1"/>
  <c r="D62" i="11"/>
  <c r="F62" i="11" s="1"/>
  <c r="G62" i="11" s="1"/>
  <c r="M5" i="4"/>
  <c r="E5" i="4"/>
  <c r="E12" i="4" s="1"/>
  <c r="M6" i="4"/>
  <c r="M9" i="4"/>
  <c r="C64" i="11" l="1"/>
  <c r="D63" i="11"/>
  <c r="F63" i="11" s="1"/>
  <c r="G63" i="11" s="1"/>
  <c r="C65" i="11" l="1"/>
  <c r="D64" i="11"/>
  <c r="F64" i="11" s="1"/>
  <c r="G64" i="11" s="1"/>
  <c r="C66" i="11" l="1"/>
  <c r="D65" i="11"/>
  <c r="F65" i="11" s="1"/>
  <c r="G65" i="11" s="1"/>
  <c r="B24" i="2"/>
  <c r="B23" i="2"/>
  <c r="B22" i="2"/>
  <c r="B21" i="2"/>
  <c r="B20" i="2"/>
  <c r="B19" i="2"/>
  <c r="B18" i="2"/>
  <c r="B16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67" i="11" l="1"/>
  <c r="D66" i="11"/>
  <c r="F66" i="11" s="1"/>
  <c r="G66" i="11" s="1"/>
  <c r="C11" i="1"/>
  <c r="C15" i="1"/>
  <c r="B15" i="2" s="1"/>
  <c r="C16" i="1"/>
  <c r="C17" i="1" s="1"/>
  <c r="B17" i="2" s="1"/>
  <c r="C4" i="1"/>
  <c r="C2" i="1" s="1"/>
  <c r="B1" i="2" s="1"/>
  <c r="H4" i="21" l="1"/>
  <c r="O14" i="21"/>
  <c r="O20" i="21" s="1"/>
  <c r="G14" i="21"/>
  <c r="P13" i="21"/>
  <c r="H13" i="21"/>
  <c r="Q12" i="21"/>
  <c r="Q19" i="21" s="1"/>
  <c r="I12" i="21"/>
  <c r="R11" i="21"/>
  <c r="J11" i="21"/>
  <c r="S10" i="21"/>
  <c r="K10" i="21"/>
  <c r="Q9" i="21"/>
  <c r="N8" i="21"/>
  <c r="N17" i="21" s="1"/>
  <c r="F8" i="21"/>
  <c r="F17" i="21" s="1"/>
  <c r="O7" i="21"/>
  <c r="G7" i="21"/>
  <c r="P6" i="21"/>
  <c r="P16" i="21" s="1"/>
  <c r="H6" i="21"/>
  <c r="P5" i="21"/>
  <c r="P4" i="21"/>
  <c r="P15" i="21" s="1"/>
  <c r="N14" i="21"/>
  <c r="N20" i="21" s="1"/>
  <c r="F14" i="21"/>
  <c r="O13" i="21"/>
  <c r="G13" i="21"/>
  <c r="P12" i="21"/>
  <c r="P19" i="21" s="1"/>
  <c r="H12" i="21"/>
  <c r="Q11" i="21"/>
  <c r="I11" i="21"/>
  <c r="R10" i="21"/>
  <c r="J10" i="21"/>
  <c r="I9" i="21"/>
  <c r="M8" i="21"/>
  <c r="M17" i="21" s="1"/>
  <c r="E8" i="21"/>
  <c r="N7" i="21"/>
  <c r="F7" i="21"/>
  <c r="O6" i="21"/>
  <c r="O16" i="21" s="1"/>
  <c r="G6" i="21"/>
  <c r="K5" i="21"/>
  <c r="O4" i="21"/>
  <c r="O15" i="21" s="1"/>
  <c r="F4" i="21"/>
  <c r="M14" i="21"/>
  <c r="N13" i="21"/>
  <c r="F13" i="21"/>
  <c r="O12" i="21"/>
  <c r="O19" i="21" s="1"/>
  <c r="G12" i="21"/>
  <c r="H11" i="21"/>
  <c r="Q10" i="21"/>
  <c r="Q18" i="21" s="1"/>
  <c r="T8" i="21"/>
  <c r="T17" i="21" s="1"/>
  <c r="L8" i="21"/>
  <c r="L17" i="21" s="1"/>
  <c r="M7" i="21"/>
  <c r="N6" i="21"/>
  <c r="N16" i="21" s="1"/>
  <c r="J5" i="21"/>
  <c r="N4" i="21"/>
  <c r="N15" i="21" s="1"/>
  <c r="R14" i="21"/>
  <c r="S13" i="21"/>
  <c r="L12" i="21"/>
  <c r="L19" i="21" s="1"/>
  <c r="M11" i="21"/>
  <c r="N10" i="21"/>
  <c r="N18" i="21" s="1"/>
  <c r="R7" i="21"/>
  <c r="K6" i="21"/>
  <c r="K4" i="21"/>
  <c r="I14" i="21"/>
  <c r="S12" i="21"/>
  <c r="T11" i="21"/>
  <c r="E10" i="21"/>
  <c r="Q7" i="21"/>
  <c r="J6" i="21"/>
  <c r="J4" i="21"/>
  <c r="H14" i="21"/>
  <c r="R12" i="21"/>
  <c r="K11" i="21"/>
  <c r="D10" i="21"/>
  <c r="P7" i="21"/>
  <c r="I6" i="21"/>
  <c r="I4" i="21"/>
  <c r="E14" i="21"/>
  <c r="P11" i="21"/>
  <c r="I10" i="21"/>
  <c r="D8" i="21"/>
  <c r="E7" i="21"/>
  <c r="F6" i="21"/>
  <c r="E4" i="21"/>
  <c r="L4" i="21"/>
  <c r="L15" i="21" s="1"/>
  <c r="T12" i="21"/>
  <c r="T19" i="21" s="1"/>
  <c r="Q8" i="21"/>
  <c r="Q17" i="21" s="1"/>
  <c r="S6" i="21"/>
  <c r="S4" i="21"/>
  <c r="Q14" i="21"/>
  <c r="Q20" i="21" s="1"/>
  <c r="J13" i="21"/>
  <c r="D11" i="21"/>
  <c r="P8" i="21"/>
  <c r="P17" i="21" s="1"/>
  <c r="I7" i="21"/>
  <c r="S5" i="21"/>
  <c r="Q13" i="21"/>
  <c r="S11" i="21"/>
  <c r="L10" i="21"/>
  <c r="L18" i="21" s="1"/>
  <c r="G8" i="21"/>
  <c r="Q6" i="21"/>
  <c r="Q16" i="21" s="1"/>
  <c r="Q4" i="21"/>
  <c r="G4" i="21"/>
  <c r="L14" i="21"/>
  <c r="D14" i="21"/>
  <c r="M13" i="21"/>
  <c r="E13" i="21"/>
  <c r="N12" i="21"/>
  <c r="N19" i="21" s="1"/>
  <c r="F12" i="21"/>
  <c r="O11" i="21"/>
  <c r="G11" i="21"/>
  <c r="P10" i="21"/>
  <c r="P18" i="21" s="1"/>
  <c r="H10" i="21"/>
  <c r="S8" i="21"/>
  <c r="K8" i="21"/>
  <c r="T7" i="21"/>
  <c r="L7" i="21"/>
  <c r="D7" i="21"/>
  <c r="M6" i="21"/>
  <c r="M16" i="21" s="1"/>
  <c r="E6" i="21"/>
  <c r="H5" i="21"/>
  <c r="M4" i="21"/>
  <c r="M15" i="21" s="1"/>
  <c r="D4" i="21"/>
  <c r="S14" i="21"/>
  <c r="K14" i="21"/>
  <c r="T13" i="21"/>
  <c r="L13" i="21"/>
  <c r="D13" i="21"/>
  <c r="M12" i="21"/>
  <c r="M19" i="21" s="1"/>
  <c r="E12" i="21"/>
  <c r="N11" i="21"/>
  <c r="F11" i="21"/>
  <c r="O10" i="21"/>
  <c r="O18" i="21" s="1"/>
  <c r="G10" i="21"/>
  <c r="R8" i="21"/>
  <c r="J8" i="21"/>
  <c r="S7" i="21"/>
  <c r="K7" i="21"/>
  <c r="T6" i="21"/>
  <c r="T16" i="21" s="1"/>
  <c r="L6" i="21"/>
  <c r="L16" i="21" s="1"/>
  <c r="D6" i="21"/>
  <c r="T4" i="21"/>
  <c r="J14" i="21"/>
  <c r="K13" i="21"/>
  <c r="D12" i="21"/>
  <c r="E11" i="21"/>
  <c r="F10" i="21"/>
  <c r="F18" i="21" s="1"/>
  <c r="I8" i="21"/>
  <c r="J7" i="21"/>
  <c r="T5" i="21"/>
  <c r="R13" i="21"/>
  <c r="K12" i="21"/>
  <c r="L11" i="21"/>
  <c r="M10" i="21"/>
  <c r="M18" i="21" s="1"/>
  <c r="H8" i="21"/>
  <c r="R6" i="21"/>
  <c r="R4" i="21"/>
  <c r="P14" i="21"/>
  <c r="P20" i="21" s="1"/>
  <c r="I13" i="21"/>
  <c r="J12" i="21"/>
  <c r="T10" i="21"/>
  <c r="T18" i="21" s="1"/>
  <c r="O8" i="21"/>
  <c r="O17" i="21" s="1"/>
  <c r="H7" i="21"/>
  <c r="R5" i="21"/>
  <c r="Q5" i="21"/>
  <c r="J9" i="21"/>
  <c r="M9" i="21"/>
  <c r="L9" i="21"/>
  <c r="H9" i="21"/>
  <c r="P9" i="21"/>
  <c r="E5" i="21"/>
  <c r="R9" i="21"/>
  <c r="F9" i="21"/>
  <c r="T14" i="21"/>
  <c r="T20" i="21" s="1"/>
  <c r="N9" i="21"/>
  <c r="T9" i="21"/>
  <c r="M5" i="21"/>
  <c r="S9" i="21"/>
  <c r="G9" i="21"/>
  <c r="N5" i="21"/>
  <c r="L5" i="21"/>
  <c r="D5" i="21"/>
  <c r="D9" i="21"/>
  <c r="O9" i="21"/>
  <c r="O5" i="21"/>
  <c r="F5" i="21"/>
  <c r="K9" i="21"/>
  <c r="I5" i="21"/>
  <c r="G5" i="21"/>
  <c r="E9" i="21"/>
  <c r="K7" i="7"/>
  <c r="K13" i="7" s="1"/>
  <c r="J8" i="7"/>
  <c r="J14" i="7" s="1"/>
  <c r="K5" i="7"/>
  <c r="K11" i="7" s="1"/>
  <c r="I7" i="7"/>
  <c r="I13" i="7" s="1"/>
  <c r="K4" i="7"/>
  <c r="F7" i="7"/>
  <c r="F13" i="7" s="1"/>
  <c r="I9" i="7"/>
  <c r="I15" i="7" s="1"/>
  <c r="H4" i="7"/>
  <c r="H10" i="7" s="1"/>
  <c r="K9" i="7"/>
  <c r="K15" i="7" s="1"/>
  <c r="F4" i="7"/>
  <c r="F10" i="7" s="1"/>
  <c r="K6" i="7"/>
  <c r="K12" i="7" s="1"/>
  <c r="J6" i="7"/>
  <c r="J12" i="7" s="1"/>
  <c r="I5" i="7"/>
  <c r="I11" i="7" s="1"/>
  <c r="G6" i="7"/>
  <c r="G12" i="7" s="1"/>
  <c r="G5" i="7"/>
  <c r="G11" i="7" s="1"/>
  <c r="E5" i="7"/>
  <c r="E11" i="7" s="1"/>
  <c r="H8" i="7"/>
  <c r="H14" i="7" s="1"/>
  <c r="H8" i="4"/>
  <c r="H15" i="4" s="1"/>
  <c r="E7" i="4"/>
  <c r="E14" i="4" s="1"/>
  <c r="H3" i="4"/>
  <c r="F8" i="4"/>
  <c r="F15" i="4" s="1"/>
  <c r="D7" i="4"/>
  <c r="D14" i="4" s="1"/>
  <c r="G3" i="4"/>
  <c r="E8" i="4"/>
  <c r="E15" i="4" s="1"/>
  <c r="F3" i="4"/>
  <c r="J6" i="4"/>
  <c r="J13" i="4" s="1"/>
  <c r="E3" i="4"/>
  <c r="I6" i="4"/>
  <c r="I13" i="4" s="1"/>
  <c r="D3" i="4"/>
  <c r="J7" i="4"/>
  <c r="J14" i="4" s="1"/>
  <c r="H7" i="4"/>
  <c r="H14" i="4" s="1"/>
  <c r="J8" i="4"/>
  <c r="J15" i="4" s="1"/>
  <c r="G7" i="4"/>
  <c r="G14" i="4" s="1"/>
  <c r="I3" i="4"/>
  <c r="H6" i="4"/>
  <c r="H13" i="4" s="1"/>
  <c r="I7" i="4"/>
  <c r="I14" i="4" s="1"/>
  <c r="H10" i="4"/>
  <c r="H17" i="4" s="1"/>
  <c r="K5" i="4"/>
  <c r="K12" i="4" s="1"/>
  <c r="I9" i="4"/>
  <c r="I16" i="4" s="1"/>
  <c r="I5" i="4"/>
  <c r="I12" i="4" s="1"/>
  <c r="G8" i="4"/>
  <c r="G15" i="4" s="1"/>
  <c r="F5" i="4"/>
  <c r="F12" i="4" s="1"/>
  <c r="J10" i="4"/>
  <c r="J17" i="4" s="1"/>
  <c r="H5" i="4"/>
  <c r="H12" i="4" s="1"/>
  <c r="F9" i="4"/>
  <c r="F16" i="4" s="1"/>
  <c r="E6" i="4"/>
  <c r="E13" i="4" s="1"/>
  <c r="G6" i="4"/>
  <c r="G13" i="4" s="1"/>
  <c r="J9" i="4"/>
  <c r="J16" i="4" s="1"/>
  <c r="E9" i="4"/>
  <c r="E16" i="4" s="1"/>
  <c r="K6" i="4"/>
  <c r="K13" i="4" s="1"/>
  <c r="K9" i="4"/>
  <c r="K16" i="4" s="1"/>
  <c r="K8" i="4"/>
  <c r="K15" i="4" s="1"/>
  <c r="G5" i="4"/>
  <c r="G12" i="4" s="1"/>
  <c r="F7" i="4"/>
  <c r="F14" i="4" s="1"/>
  <c r="G10" i="4"/>
  <c r="G17" i="4" s="1"/>
  <c r="K7" i="4"/>
  <c r="K14" i="4" s="1"/>
  <c r="D8" i="4"/>
  <c r="D15" i="4" s="1"/>
  <c r="G9" i="4"/>
  <c r="G16" i="4" s="1"/>
  <c r="J5" i="4"/>
  <c r="J12" i="4" s="1"/>
  <c r="I8" i="4"/>
  <c r="I15" i="4" s="1"/>
  <c r="K10" i="4"/>
  <c r="K17" i="4" s="1"/>
  <c r="H9" i="4"/>
  <c r="H16" i="4" s="1"/>
  <c r="I10" i="4"/>
  <c r="I17" i="4" s="1"/>
  <c r="F6" i="4"/>
  <c r="F13" i="4" s="1"/>
  <c r="C68" i="11"/>
  <c r="D67" i="11"/>
  <c r="F67" i="11" s="1"/>
  <c r="G67" i="11" s="1"/>
  <c r="T15" i="21" l="1"/>
  <c r="W4" i="21"/>
  <c r="W6" i="21"/>
  <c r="W8" i="21" s="1"/>
  <c r="Q15" i="21"/>
  <c r="K10" i="7"/>
  <c r="N4" i="7"/>
  <c r="C69" i="11"/>
  <c r="D68" i="11"/>
  <c r="F68" i="11" s="1"/>
  <c r="G68" i="11" s="1"/>
  <c r="C70" i="11" l="1"/>
  <c r="D69" i="11"/>
  <c r="F69" i="11" s="1"/>
  <c r="G69" i="11" s="1"/>
  <c r="C71" i="11" l="1"/>
  <c r="D70" i="11"/>
  <c r="F70" i="11" s="1"/>
  <c r="G70" i="11" s="1"/>
  <c r="C72" i="11" l="1"/>
  <c r="D71" i="11"/>
  <c r="F71" i="11" s="1"/>
  <c r="G71" i="11" s="1"/>
  <c r="C73" i="11" l="1"/>
  <c r="D72" i="11"/>
  <c r="F72" i="11" s="1"/>
  <c r="G72" i="11" s="1"/>
  <c r="C74" i="11" l="1"/>
  <c r="D73" i="11"/>
  <c r="F73" i="11" s="1"/>
  <c r="G73" i="11" s="1"/>
  <c r="C75" i="11" l="1"/>
  <c r="D74" i="11"/>
  <c r="F74" i="11" s="1"/>
  <c r="G74" i="11" s="1"/>
  <c r="C76" i="11" l="1"/>
  <c r="D75" i="11"/>
  <c r="F75" i="11" s="1"/>
  <c r="G75" i="11" s="1"/>
  <c r="C77" i="11" l="1"/>
  <c r="D76" i="11"/>
  <c r="F76" i="11" s="1"/>
  <c r="G76" i="11" s="1"/>
  <c r="C78" i="11" l="1"/>
  <c r="D77" i="11"/>
  <c r="F77" i="11" s="1"/>
  <c r="G77" i="11" s="1"/>
  <c r="C79" i="11" l="1"/>
  <c r="D78" i="11"/>
  <c r="F78" i="11" s="1"/>
  <c r="G78" i="11" s="1"/>
  <c r="C80" i="11" l="1"/>
  <c r="D79" i="11"/>
  <c r="F79" i="11" s="1"/>
  <c r="G79" i="11" s="1"/>
  <c r="C81" i="11" l="1"/>
  <c r="D80" i="11"/>
  <c r="F80" i="11" s="1"/>
  <c r="G80" i="11" s="1"/>
  <c r="C82" i="11" l="1"/>
  <c r="D82" i="11" s="1"/>
  <c r="F82" i="11" s="1"/>
  <c r="G82" i="11" s="1"/>
  <c r="D81" i="11"/>
  <c r="F81" i="11" s="1"/>
  <c r="G81" i="11" s="1"/>
  <c r="E8" i="7" l="1"/>
  <c r="E14" i="7" s="1"/>
  <c r="E7" i="7"/>
  <c r="E13" i="7" s="1"/>
  <c r="E6" i="7"/>
  <c r="E12" i="7" s="1"/>
  <c r="M3" i="14"/>
  <c r="N3" i="14" s="1"/>
  <c r="AM56" i="14" s="1"/>
</calcChain>
</file>

<file path=xl/sharedStrings.xml><?xml version="1.0" encoding="utf-8"?>
<sst xmlns="http://schemas.openxmlformats.org/spreadsheetml/2006/main" count="782" uniqueCount="304">
  <si>
    <t>alam</t>
    <phoneticPr fontId="1" type="noConversion"/>
  </si>
  <si>
    <t>Ratio of crank arm to stroke</t>
    <phoneticPr fontId="1" type="noConversion"/>
  </si>
  <si>
    <t>Coolfac</t>
    <phoneticPr fontId="1" type="noConversion"/>
  </si>
  <si>
    <t>Engine dimension</t>
    <phoneticPr fontId="1" type="noConversion"/>
  </si>
  <si>
    <t>Intercooler performance</t>
    <phoneticPr fontId="1" type="noConversion"/>
  </si>
  <si>
    <t>Diameter</t>
  </si>
  <si>
    <t>dPk_cooler</t>
  </si>
  <si>
    <t>Fuel</t>
  </si>
  <si>
    <t>fs</t>
  </si>
  <si>
    <t>hn</t>
  </si>
  <si>
    <t>J_engine</t>
  </si>
  <si>
    <t>Turbocharger</t>
  </si>
  <si>
    <t>J_turb</t>
  </si>
  <si>
    <t>Moment of inertia of the turbine</t>
  </si>
  <si>
    <t>m</t>
  </si>
  <si>
    <t>n</t>
  </si>
  <si>
    <t>k</t>
  </si>
  <si>
    <t>l</t>
  </si>
  <si>
    <t>Number of hydrogen in the fuel</t>
  </si>
  <si>
    <t>Number of carbon in the fuel</t>
  </si>
  <si>
    <t>Number of oxygen in the fuel</t>
  </si>
  <si>
    <t>Number of nitrogen in the fuel</t>
  </si>
  <si>
    <t>n_cyl</t>
  </si>
  <si>
    <t>Number of cylinder</t>
  </si>
  <si>
    <t>n_stroke</t>
  </si>
  <si>
    <t>Number of stroke per cycle (4 or 2)</t>
  </si>
  <si>
    <t>Engine performance</t>
  </si>
  <si>
    <t>ommax</t>
  </si>
  <si>
    <t>Rated engine speed(rad/s)</t>
  </si>
  <si>
    <t>Environment</t>
  </si>
  <si>
    <t>Pamb</t>
  </si>
  <si>
    <t>Ambient pressure (bar abs)</t>
  </si>
  <si>
    <t>pemax</t>
  </si>
  <si>
    <t>pfi0</t>
  </si>
  <si>
    <t>Initial crank angles of cylinders</t>
  </si>
  <si>
    <t>Stroke</t>
  </si>
  <si>
    <t>Length of the stroke (m)</t>
  </si>
  <si>
    <t>Cylinder Diameter (m)</t>
  </si>
  <si>
    <t>Moment of inertia of the engine (kg m2)</t>
  </si>
  <si>
    <t>Tamb</t>
  </si>
  <si>
    <t>Ambient temperature(K)</t>
  </si>
  <si>
    <t>Engine temperature</t>
  </si>
  <si>
    <t>T_liner</t>
  </si>
  <si>
    <t>T_pist</t>
  </si>
  <si>
    <t>T_top</t>
  </si>
  <si>
    <t>Temperature of cylinder wall (K)</t>
  </si>
  <si>
    <t>Temperature of piston wall (K)</t>
  </si>
  <si>
    <t>Temperature of cylinder head wall (K)</t>
  </si>
  <si>
    <t>Stoichiometric ratio of fuel to air</t>
  </si>
  <si>
    <t>Veps</t>
  </si>
  <si>
    <t>Compression ratio</t>
  </si>
  <si>
    <t>V_AP</t>
  </si>
  <si>
    <t>Volume of the air pipe</t>
  </si>
  <si>
    <t>Tw</t>
  </si>
  <si>
    <t>Temperature of the cooling water (K)</t>
  </si>
  <si>
    <t>fiinj</t>
  </si>
  <si>
    <t>CA at start of the fuel injection (deg)</t>
  </si>
  <si>
    <t>LHV of fuel (J/kg)</t>
  </si>
  <si>
    <t>mqf_max</t>
  </si>
  <si>
    <t xml:space="preserve">Maximum mass of injected </t>
  </si>
  <si>
    <t>Heat transfer model</t>
  </si>
  <si>
    <t>Cylhead</t>
  </si>
  <si>
    <t>???</t>
  </si>
  <si>
    <t>enthalpy change proportional to the delta_T (T_air - Tw) (J/kg/K)</t>
  </si>
  <si>
    <t>Flow factor proportional to pressure drop (kg/s/Pa)</t>
  </si>
  <si>
    <t>Air pipe</t>
  </si>
  <si>
    <t>Exh receiver</t>
  </si>
  <si>
    <t>V_AR</t>
  </si>
  <si>
    <t>V_ER</t>
  </si>
  <si>
    <t>aturb</t>
  </si>
  <si>
    <t>rturb</t>
  </si>
  <si>
    <t>Intake and Exhaust Valve profile</t>
  </si>
  <si>
    <t>R</t>
  </si>
  <si>
    <t>Crank arm radius(m)</t>
  </si>
  <si>
    <t>Pe</t>
  </si>
  <si>
    <t>Rated power (kW)</t>
  </si>
  <si>
    <t>RPM</t>
  </si>
  <si>
    <t>Rated engine speed(RPM)</t>
  </si>
  <si>
    <t>Vd</t>
  </si>
  <si>
    <t>Displacement Volume</t>
  </si>
  <si>
    <t>Rated indicated mean effective pressure (bar)</t>
  </si>
  <si>
    <t>Can be measured</t>
  </si>
  <si>
    <t>eff</t>
  </si>
  <si>
    <t>Heat exchanger effectiveness</t>
  </si>
  <si>
    <t>Can not be measured. Use it to calibrate the output</t>
  </si>
  <si>
    <t>Can be estimated by the measurement</t>
  </si>
  <si>
    <t>Can be measured?</t>
  </si>
  <si>
    <t>Can be measured.</t>
  </si>
  <si>
    <t>Can be estimated.</t>
  </si>
  <si>
    <t>Turbocharger performance map</t>
  </si>
  <si>
    <t>Impossible to get from the manufacturer. Can be measured?</t>
  </si>
  <si>
    <t>At least cam profile and rocker arm dimension</t>
  </si>
  <si>
    <t>F0_AR</t>
  </si>
  <si>
    <t>T0_AR</t>
  </si>
  <si>
    <t>P0_AR</t>
  </si>
  <si>
    <t>F0_ER</t>
  </si>
  <si>
    <t>T0_ER</t>
  </si>
  <si>
    <t>P0_ER</t>
  </si>
  <si>
    <t>CylHead</t>
  </si>
  <si>
    <t>Tw_cooler</t>
  </si>
  <si>
    <t>F0_AP</t>
  </si>
  <si>
    <t>T0_AP</t>
  </si>
  <si>
    <t>P0_AP</t>
  </si>
  <si>
    <t>T_Top</t>
  </si>
  <si>
    <t>T_Pist</t>
  </si>
  <si>
    <t>nstroke</t>
  </si>
  <si>
    <t>ncyl</t>
  </si>
  <si>
    <t>Cooling factor</t>
  </si>
  <si>
    <t>lambda(r/S)</t>
  </si>
  <si>
    <t>Experiment Table</t>
  </si>
  <si>
    <t>P_me</t>
  </si>
  <si>
    <t>Max. Tq</t>
  </si>
  <si>
    <t>Max. Power</t>
  </si>
  <si>
    <t>Pme(bar)</t>
  </si>
  <si>
    <t>lambda</t>
  </si>
  <si>
    <t>cCO</t>
  </si>
  <si>
    <t>cHC</t>
  </si>
  <si>
    <t>cCO2</t>
  </si>
  <si>
    <t>beta</t>
  </si>
  <si>
    <t>alpha</t>
  </si>
  <si>
    <t>gamma</t>
  </si>
  <si>
    <t>delta</t>
  </si>
  <si>
    <t>epsilon</t>
  </si>
  <si>
    <t>(Viscosity 1 - 5,5)</t>
  </si>
  <si>
    <t>Hydrogen (%)</t>
  </si>
  <si>
    <t>Nitrogen (%)</t>
  </si>
  <si>
    <t>Density at 15 oC (kg/m3)</t>
  </si>
  <si>
    <t>Effective heating value (MJ/kg)</t>
  </si>
  <si>
    <t>Carbon (%)</t>
  </si>
  <si>
    <t>Sulphur (%)</t>
  </si>
  <si>
    <t>Oxygen (%)</t>
  </si>
  <si>
    <t>Viscosity at 50 oC (mm2/s)</t>
  </si>
  <si>
    <t>CnHmOlNkSj</t>
  </si>
  <si>
    <t>j</t>
  </si>
  <si>
    <t>corrected</t>
  </si>
  <si>
    <r>
      <t>Marine Gas Oil (MGO)</t>
    </r>
    <r>
      <rPr>
        <vertAlign val="superscript"/>
        <sz val="11"/>
        <color theme="1"/>
        <rFont val="Calibri"/>
        <family val="2"/>
        <scheme val="minor"/>
      </rPr>
      <t>1</t>
    </r>
  </si>
  <si>
    <t>1. Whall, C., D. Cooper, et al. (2002). Quantification of emissions from ships associated with ship movements between ports in the European Community. Entec UK Limited, European Commission.</t>
  </si>
  <si>
    <t>Ignition start</t>
  </si>
  <si>
    <t>Jm</t>
  </si>
  <si>
    <t>Moment of inertia of the engine</t>
  </si>
  <si>
    <t>From VOLVO PENTA TAD943VE</t>
  </si>
  <si>
    <t>Checklist</t>
  </si>
  <si>
    <t>1. Input dimension of the cylinder and crank mechanism</t>
  </si>
  <si>
    <t>firing order</t>
  </si>
  <si>
    <t>Variable location</t>
  </si>
  <si>
    <t>CYL_1\Cyl</t>
  </si>
  <si>
    <t>1-5-3-6-2-4</t>
  </si>
  <si>
    <t>[0;480;240;600;120;360]</t>
  </si>
  <si>
    <t>In the load model</t>
  </si>
  <si>
    <t>for reference</t>
  </si>
  <si>
    <t>2. Modify the cylinder no</t>
  </si>
  <si>
    <t>i_cyl</t>
  </si>
  <si>
    <t>According to the cyl. #</t>
  </si>
  <si>
    <t>Cylinder no.</t>
  </si>
  <si>
    <t>CYL_#\Cyl, Cyl_#\Qsensor4</t>
  </si>
  <si>
    <t>Var. name</t>
  </si>
  <si>
    <t>Value</t>
  </si>
  <si>
    <t>What</t>
  </si>
  <si>
    <t>3. Make a valve profile file - Need to update both "valviub.dat" and "valveub.dat"</t>
  </si>
  <si>
    <t>4. Modify the ROHR code in dll and ROHR#</t>
  </si>
  <si>
    <t>Time</t>
  </si>
  <si>
    <t>T_amb</t>
  </si>
  <si>
    <t>??</t>
  </si>
  <si>
    <t>T_cw_engine</t>
  </si>
  <si>
    <t>T_exh_AT</t>
  </si>
  <si>
    <t>T_exh_man1</t>
  </si>
  <si>
    <t>T_exh_man2</t>
  </si>
  <si>
    <t>T_f</t>
  </si>
  <si>
    <t>T_cw_bcc</t>
  </si>
  <si>
    <t>T_cw_acc</t>
  </si>
  <si>
    <t>T_cw_engout</t>
  </si>
  <si>
    <t>Humidity</t>
  </si>
  <si>
    <t>Tq</t>
  </si>
  <si>
    <t>V_f_dot</t>
  </si>
  <si>
    <t>p_ac_g</t>
  </si>
  <si>
    <t>p_exh_g</t>
  </si>
  <si>
    <t>a_v_head</t>
  </si>
  <si>
    <t>m_cw_dot</t>
  </si>
  <si>
    <t>c_HC</t>
  </si>
  <si>
    <t>c_NOx</t>
  </si>
  <si>
    <t>c_CO2</t>
  </si>
  <si>
    <t>c_O2</t>
  </si>
  <si>
    <t>c_CO</t>
  </si>
  <si>
    <t>p_amb</t>
  </si>
  <si>
    <t>Throttle</t>
  </si>
  <si>
    <t>TaACool</t>
  </si>
  <si>
    <t>T_a_Acomp</t>
  </si>
  <si>
    <t>SFC</t>
  </si>
  <si>
    <t>NOx factor</t>
  </si>
  <si>
    <t>m_a_dot(kg/s)</t>
  </si>
  <si>
    <t>m_e_dot(kg/s)</t>
  </si>
  <si>
    <t>m_f_dot(g/h)</t>
  </si>
  <si>
    <t>m_f_cyc</t>
  </si>
  <si>
    <t>m_e_dot1(kg/s)</t>
  </si>
  <si>
    <t>p_max</t>
  </si>
  <si>
    <t>BMEP</t>
  </si>
  <si>
    <t>[0;</t>
  </si>
  <si>
    <t>p_manifold</t>
  </si>
  <si>
    <t>p_exh</t>
  </si>
  <si>
    <t>T_exh_avg</t>
  </si>
  <si>
    <t>5. Insert propoer fuel injection amount</t>
  </si>
  <si>
    <t>6. Calculate the max valve area and input the area ratio to the reference value</t>
  </si>
  <si>
    <t>BSEC</t>
  </si>
  <si>
    <t>Torque</t>
  </si>
  <si>
    <t>Power</t>
  </si>
  <si>
    <t>Fuel consumption(g/s)</t>
  </si>
  <si>
    <t>p_a</t>
  </si>
  <si>
    <t>p_comp</t>
  </si>
  <si>
    <t>power</t>
  </si>
  <si>
    <t>Simulation</t>
  </si>
  <si>
    <t>Fiinj</t>
  </si>
  <si>
    <t>Nox factor</t>
  </si>
  <si>
    <t>F</t>
  </si>
  <si>
    <t>m_a_dot</t>
  </si>
  <si>
    <t>m_exh_dot</t>
  </si>
  <si>
    <t>Tq_eng</t>
  </si>
  <si>
    <t>Tq_shaft</t>
  </si>
  <si>
    <t>Power_shaft</t>
  </si>
  <si>
    <t>Power_eng</t>
  </si>
  <si>
    <t>pfi_p_max</t>
  </si>
  <si>
    <t>IMEP</t>
  </si>
  <si>
    <t>ISFC</t>
  </si>
  <si>
    <t>BSFC</t>
  </si>
  <si>
    <t>m_f_dot</t>
  </si>
  <si>
    <t>m_f_dot(kg/s)</t>
  </si>
  <si>
    <t>eta_m</t>
  </si>
  <si>
    <t>mean_it_no</t>
  </si>
  <si>
    <t>T_head</t>
  </si>
  <si>
    <t>T_piston</t>
  </si>
  <si>
    <t>Model</t>
  </si>
  <si>
    <t>Specifications</t>
  </si>
  <si>
    <t>Scania DC1102</t>
  </si>
  <si>
    <t>Cylinder configuration</t>
  </si>
  <si>
    <t>In-line engine</t>
  </si>
  <si>
    <t>Number of cylinders</t>
  </si>
  <si>
    <t>Cylinder bore</t>
  </si>
  <si>
    <t>127.0 mm</t>
  </si>
  <si>
    <t>140 mm</t>
  </si>
  <si>
    <t>Discplacement Volume</t>
  </si>
  <si>
    <t>10.64 dm3</t>
  </si>
  <si>
    <t>Firing sequence</t>
  </si>
  <si>
    <t>Injection</t>
  </si>
  <si>
    <t>4-stroke</t>
  </si>
  <si>
    <t>Principle of opration</t>
  </si>
  <si>
    <t>Maximum power</t>
  </si>
  <si>
    <t>Maximum torque</t>
  </si>
  <si>
    <t>1750 Nm</t>
  </si>
  <si>
    <t>Maimum speed</t>
  </si>
  <si>
    <t>1800 RPM</t>
  </si>
  <si>
    <t>Speed for maximum torque</t>
  </si>
  <si>
    <t>1080 ~ 1500 RPM</t>
  </si>
  <si>
    <t>280 kW at 1800 RPM</t>
  </si>
  <si>
    <t>Minimum BSFC</t>
  </si>
  <si>
    <t>191g/kWh at 1300 RPM</t>
  </si>
  <si>
    <t>Torque (Nm)</t>
  </si>
  <si>
    <t>BMEP (bar)</t>
  </si>
  <si>
    <t>Composition</t>
  </si>
  <si>
    <t xml:space="preserve">Carbon </t>
  </si>
  <si>
    <t>Hydrogen</t>
  </si>
  <si>
    <t xml:space="preserve">Sulphur </t>
  </si>
  <si>
    <t>Nitrogen</t>
  </si>
  <si>
    <t>Oxygen</t>
  </si>
  <si>
    <t>Wt%(%)</t>
  </si>
  <si>
    <t>MW(g/mol)</t>
  </si>
  <si>
    <t>Mol%</t>
  </si>
  <si>
    <t>Air composition</t>
  </si>
  <si>
    <t>O2</t>
  </si>
  <si>
    <t>Mole Ratio to O2</t>
  </si>
  <si>
    <t>N2</t>
  </si>
  <si>
    <t>Ar</t>
  </si>
  <si>
    <t>CO2</t>
  </si>
  <si>
    <t>Mole fraction</t>
  </si>
  <si>
    <t>Mix start</t>
  </si>
  <si>
    <t>Mix duration</t>
  </si>
  <si>
    <t>Pipe to intake valve</t>
  </si>
  <si>
    <t>Flow split to valve</t>
  </si>
  <si>
    <t>Pipe to each inlet of split</t>
  </si>
  <si>
    <t>Manifold bend</t>
  </si>
  <si>
    <t>Pipe from intercooler to manifold</t>
  </si>
  <si>
    <t>Pipe from exh valve</t>
  </si>
  <si>
    <t>Flow split from valve</t>
  </si>
  <si>
    <t>Manifold srtaight</t>
  </si>
  <si>
    <t>Pipe from each inlet of split</t>
  </si>
  <si>
    <t>Pipe from manifold to turbine</t>
  </si>
  <si>
    <t>m_a_dot(kg/cyc)</t>
  </si>
  <si>
    <t>Expected p_a</t>
  </si>
  <si>
    <t>Vd_c</t>
  </si>
  <si>
    <t>Vc</t>
  </si>
  <si>
    <t>Max T</t>
  </si>
  <si>
    <t>n_eff</t>
  </si>
  <si>
    <t>a</t>
  </si>
  <si>
    <t>b</t>
  </si>
  <si>
    <t>c</t>
  </si>
  <si>
    <t>m_a_ideal</t>
  </si>
  <si>
    <t>Vol_eff</t>
  </si>
  <si>
    <t>pAR</t>
  </si>
  <si>
    <t>pER</t>
  </si>
  <si>
    <t>Ratio</t>
  </si>
  <si>
    <t>TER</t>
  </si>
  <si>
    <t>dmE</t>
  </si>
  <si>
    <t>dmCorr</t>
  </si>
  <si>
    <t>ER</t>
  </si>
  <si>
    <t>=</t>
  </si>
  <si>
    <t>T_exh_ideal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</si>
</sst>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2" fillId="0" borderId="0" xfId="0" applyFont="1" applyAlignment="1"/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4" borderId="8" xfId="0" applyFill="1" applyBorder="1">
      <alignment vertical="center"/>
    </xf>
    <xf numFmtId="0" fontId="4" fillId="4" borderId="8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0" borderId="9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Border="1">
      <alignment vertical="center"/>
    </xf>
    <xf numFmtId="0" fontId="2" fillId="4" borderId="0" xfId="0" applyFont="1" applyFill="1">
      <alignment vertical="center"/>
    </xf>
    <xf numFmtId="0" fontId="0" fillId="4" borderId="0" xfId="0" applyFill="1" applyBorder="1" applyAlignment="1"/>
    <xf numFmtId="0" fontId="6" fillId="4" borderId="0" xfId="0" applyFont="1" applyFill="1">
      <alignment vertical="center"/>
    </xf>
    <xf numFmtId="11" fontId="2" fillId="0" borderId="0" xfId="0" applyNumberFormat="1" applyFont="1">
      <alignment vertical="center"/>
    </xf>
    <xf numFmtId="0" fontId="2" fillId="3" borderId="0" xfId="0" applyFont="1" applyFill="1">
      <alignment vertical="center"/>
    </xf>
    <xf numFmtId="11" fontId="2" fillId="4" borderId="0" xfId="0" applyNumberFormat="1" applyFont="1" applyFill="1">
      <alignment vertical="center"/>
    </xf>
    <xf numFmtId="0" fontId="0" fillId="3" borderId="0" xfId="0" applyFill="1" applyBorder="1" applyAlignment="1"/>
    <xf numFmtId="11" fontId="2" fillId="3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4" borderId="13" xfId="0" applyFont="1" applyFill="1" applyBorder="1">
      <alignment vertical="center"/>
    </xf>
    <xf numFmtId="0" fontId="3" fillId="0" borderId="12" xfId="0" applyFont="1" applyBorder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2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1" fontId="2" fillId="3" borderId="0" xfId="0" applyNumberFormat="1" applyFont="1" applyFill="1">
      <alignment vertical="center"/>
    </xf>
    <xf numFmtId="1" fontId="2" fillId="4" borderId="0" xfId="0" applyNumberFormat="1" applyFont="1" applyFill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textRotation="90"/>
    </xf>
    <xf numFmtId="0" fontId="3" fillId="0" borderId="13" xfId="0" applyFont="1" applyBorder="1" applyAlignment="1">
      <alignment vertical="center" textRotation="90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Power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val>
            <c:numRef>
              <c:f>F_glob_p_ac1!$BB$3:$BB$22</c:f>
              <c:numCache>
                <c:formatCode>General</c:formatCode>
                <c:ptCount val="20"/>
                <c:pt idx="0">
                  <c:v>45901.521973421448</c:v>
                </c:pt>
                <c:pt idx="1">
                  <c:v>74621.721806644404</c:v>
                </c:pt>
                <c:pt idx="2">
                  <c:v>81932.488554717027</c:v>
                </c:pt>
                <c:pt idx="3">
                  <c:v>103855.30674568612</c:v>
                </c:pt>
                <c:pt idx="4">
                  <c:v>147923.74427595307</c:v>
                </c:pt>
                <c:pt idx="5">
                  <c:v>105995.26710523145</c:v>
                </c:pt>
                <c:pt idx="6">
                  <c:v>111181.91135573952</c:v>
                </c:pt>
                <c:pt idx="7">
                  <c:v>110329.5332277261</c:v>
                </c:pt>
                <c:pt idx="8">
                  <c:v>198520.15219741678</c:v>
                </c:pt>
                <c:pt idx="9">
                  <c:v>205850.7160015683</c:v>
                </c:pt>
                <c:pt idx="10">
                  <c:v>75762.846430481499</c:v>
                </c:pt>
                <c:pt idx="11">
                  <c:v>69539.056260394806</c:v>
                </c:pt>
                <c:pt idx="12">
                  <c:v>91934.633847076897</c:v>
                </c:pt>
                <c:pt idx="13">
                  <c:v>182270.90967782619</c:v>
                </c:pt>
                <c:pt idx="14">
                  <c:v>175094.36949241027</c:v>
                </c:pt>
                <c:pt idx="15">
                  <c:v>266584.4081817214</c:v>
                </c:pt>
                <c:pt idx="16">
                  <c:v>260731.39077533732</c:v>
                </c:pt>
                <c:pt idx="17">
                  <c:v>227152.00718177127</c:v>
                </c:pt>
                <c:pt idx="18">
                  <c:v>196206.63292054541</c:v>
                </c:pt>
                <c:pt idx="19">
                  <c:v>127876.11593975827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F-4F6B-A162-2A0D09E70759}"/>
            </c:ext>
          </c:extLst>
        </c:ser>
        <c:ser>
          <c:idx val="1"/>
          <c:order val="1"/>
          <c:tx>
            <c:v>Sim</c:v>
          </c:tx>
          <c:spPr>
            <a:ln>
              <a:prstDash val="sysDash"/>
            </a:ln>
          </c:spPr>
          <c:val>
            <c:numRef>
              <c:f>F_glob_p_ac1!$BH$3:$BH$22</c:f>
              <c:numCache>
                <c:formatCode>General</c:formatCode>
                <c:ptCount val="20"/>
                <c:pt idx="0">
                  <c:v>45901.257562188897</c:v>
                </c:pt>
                <c:pt idx="2">
                  <c:v>81933.002052798605</c:v>
                </c:pt>
                <c:pt idx="3">
                  <c:v>103855.47790789</c:v>
                </c:pt>
                <c:pt idx="4">
                  <c:v>147924.603622219</c:v>
                </c:pt>
                <c:pt idx="5">
                  <c:v>105995.04905653</c:v>
                </c:pt>
                <c:pt idx="6">
                  <c:v>111181.840172321</c:v>
                </c:pt>
                <c:pt idx="8">
                  <c:v>198519.796447439</c:v>
                </c:pt>
                <c:pt idx="9">
                  <c:v>205850.31410957599</c:v>
                </c:pt>
                <c:pt idx="10">
                  <c:v>75762.218432125999</c:v>
                </c:pt>
                <c:pt idx="11">
                  <c:v>69539.231226180898</c:v>
                </c:pt>
                <c:pt idx="12">
                  <c:v>91934.991037884101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F-4F6B-A162-2A0D09E7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65760"/>
        <c:axId val="257767296"/>
      </c:lineChart>
      <c:catAx>
        <c:axId val="25776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67296"/>
        <c:crosses val="autoZero"/>
        <c:auto val="1"/>
        <c:lblAlgn val="ctr"/>
        <c:lblOffset val="100"/>
        <c:noMultiLvlLbl val="0"/>
      </c:catAx>
      <c:valAx>
        <c:axId val="2577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7657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902668416447944E-2"/>
                <c:y val="0.3708449985418489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nb-NO"/>
                    <a:t>kW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06522473072609"/>
          <c:h val="0.16603424099701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SNOx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F_glob_p_ac1!$AK$3:$AK$22</c:f>
              <c:numCache>
                <c:formatCode>General</c:formatCode>
                <c:ptCount val="20"/>
                <c:pt idx="0">
                  <c:v>26.080648202178399</c:v>
                </c:pt>
                <c:pt idx="1">
                  <c:v>20.092822099140999</c:v>
                </c:pt>
                <c:pt idx="2">
                  <c:v>17.154445204327999</c:v>
                </c:pt>
                <c:pt idx="3">
                  <c:v>10.178784333447799</c:v>
                </c:pt>
                <c:pt idx="4">
                  <c:v>12.6776579173644</c:v>
                </c:pt>
                <c:pt idx="5">
                  <c:v>15.332289777212299</c:v>
                </c:pt>
                <c:pt idx="6">
                  <c:v>15.776137827685201</c:v>
                </c:pt>
                <c:pt idx="7">
                  <c:v>13.9563834844504</c:v>
                </c:pt>
                <c:pt idx="8">
                  <c:v>7.5785762774711198</c:v>
                </c:pt>
                <c:pt idx="9">
                  <c:v>9.9698984204067997</c:v>
                </c:pt>
                <c:pt idx="10">
                  <c:v>18.022496701598499</c:v>
                </c:pt>
                <c:pt idx="11">
                  <c:v>18.840311038509999</c:v>
                </c:pt>
                <c:pt idx="12">
                  <c:v>17.0040516067873</c:v>
                </c:pt>
                <c:pt idx="13">
                  <c:v>11.108865831055301</c:v>
                </c:pt>
                <c:pt idx="14">
                  <c:v>10.408117403068101</c:v>
                </c:pt>
                <c:pt idx="15">
                  <c:v>6.1327204655111798</c:v>
                </c:pt>
                <c:pt idx="16">
                  <c:v>7.8372215194376098</c:v>
                </c:pt>
                <c:pt idx="17">
                  <c:v>8.9705567218154503</c:v>
                </c:pt>
                <c:pt idx="18">
                  <c:v>9.5272937071187993</c:v>
                </c:pt>
                <c:pt idx="19">
                  <c:v>11.6467794266444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0-4843-93B0-6A32E80E8A4C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F_glob_p_ac1!$BV$3:$BV$22</c:f>
              <c:numCache>
                <c:formatCode>General</c:formatCode>
                <c:ptCount val="20"/>
                <c:pt idx="0">
                  <c:v>28.4439739803571</c:v>
                </c:pt>
                <c:pt idx="2" formatCode="0.00E+00">
                  <c:v>1.60428121504481</c:v>
                </c:pt>
                <c:pt idx="3" formatCode="0.00E+00">
                  <c:v>0.17705791871113599</c:v>
                </c:pt>
                <c:pt idx="4">
                  <c:v>6.3713019221511402</c:v>
                </c:pt>
                <c:pt idx="5">
                  <c:v>10.293602390910999</c:v>
                </c:pt>
                <c:pt idx="6">
                  <c:v>28.887202652331698</c:v>
                </c:pt>
                <c:pt idx="8">
                  <c:v>5.1971834423827801</c:v>
                </c:pt>
                <c:pt idx="9">
                  <c:v>18.767308916670601</c:v>
                </c:pt>
                <c:pt idx="10">
                  <c:v>27.8332141926963</c:v>
                </c:pt>
                <c:pt idx="11">
                  <c:v>4.96820155430966</c:v>
                </c:pt>
                <c:pt idx="12" formatCode="0.00E+00">
                  <c:v>0.77307930587046203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0-4843-93B0-6A32E80E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83296"/>
        <c:axId val="274184832"/>
      </c:lineChart>
      <c:catAx>
        <c:axId val="2741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84832"/>
        <c:crosses val="autoZero"/>
        <c:auto val="1"/>
        <c:lblAlgn val="ctr"/>
        <c:lblOffset val="100"/>
        <c:noMultiLvlLbl val="0"/>
      </c:catAx>
      <c:valAx>
        <c:axId val="27418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183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p_max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F_glob_p_ac1!$AU$3:$AU$22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81.115624999999994</c:v>
                </c:pt>
                <c:pt idx="3">
                  <c:v>74.965000000000003</c:v>
                </c:pt>
                <c:pt idx="4">
                  <c:v>101.45215</c:v>
                </c:pt>
                <c:pt idx="5">
                  <c:v>92.127799999999993</c:v>
                </c:pt>
                <c:pt idx="6">
                  <c:v>96.520899999999997</c:v>
                </c:pt>
                <c:pt idx="7">
                  <c:v>95.019499999999994</c:v>
                </c:pt>
                <c:pt idx="8">
                  <c:v>102.411725</c:v>
                </c:pt>
                <c:pt idx="9">
                  <c:v>117.9863</c:v>
                </c:pt>
                <c:pt idx="10">
                  <c:v>81.675150000000002</c:v>
                </c:pt>
                <c:pt idx="11">
                  <c:v>76.446550000000002</c:v>
                </c:pt>
                <c:pt idx="12">
                  <c:v>79.253349999999998</c:v>
                </c:pt>
                <c:pt idx="13">
                  <c:v>117.66334999999999</c:v>
                </c:pt>
                <c:pt idx="14">
                  <c:v>113.8982</c:v>
                </c:pt>
                <c:pt idx="15">
                  <c:v>115.62935</c:v>
                </c:pt>
                <c:pt idx="16">
                  <c:v>130.25885</c:v>
                </c:pt>
                <c:pt idx="17">
                  <c:v>128.60759999999999</c:v>
                </c:pt>
                <c:pt idx="18">
                  <c:v>118.84175</c:v>
                </c:pt>
                <c:pt idx="19">
                  <c:v>104.4314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E-4A85-9230-311802E35247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F_glob_p_ac1!$BW$3:$BW$22</c:f>
              <c:numCache>
                <c:formatCode>General</c:formatCode>
                <c:ptCount val="20"/>
                <c:pt idx="0">
                  <c:v>90.052462127448891</c:v>
                </c:pt>
                <c:pt idx="2">
                  <c:v>84.644088219461111</c:v>
                </c:pt>
                <c:pt idx="3">
                  <c:v>83.585237604897301</c:v>
                </c:pt>
                <c:pt idx="4">
                  <c:v>104.65612558732801</c:v>
                </c:pt>
                <c:pt idx="5">
                  <c:v>98.930457380412506</c:v>
                </c:pt>
                <c:pt idx="6">
                  <c:v>123.76110263858</c:v>
                </c:pt>
                <c:pt idx="8">
                  <c:v>114.381622491908</c:v>
                </c:pt>
                <c:pt idx="9">
                  <c:v>120.190142210651</c:v>
                </c:pt>
                <c:pt idx="10">
                  <c:v>108.088194435318</c:v>
                </c:pt>
                <c:pt idx="11">
                  <c:v>88.044596792576797</c:v>
                </c:pt>
                <c:pt idx="12">
                  <c:v>96.393074373729604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E-4A85-9230-311802E35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223104"/>
        <c:axId val="274224640"/>
      </c:lineChart>
      <c:catAx>
        <c:axId val="27422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224640"/>
        <c:crosses val="autoZero"/>
        <c:auto val="1"/>
        <c:lblAlgn val="ctr"/>
        <c:lblOffset val="100"/>
        <c:noMultiLvlLbl val="0"/>
      </c:catAx>
      <c:valAx>
        <c:axId val="27422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22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F_glob_p_ac1!$AA$24:$AA$44</c:f>
              <c:numCache>
                <c:formatCode>General</c:formatCode>
                <c:ptCount val="21"/>
                <c:pt idx="0">
                  <c:v>1</c:v>
                </c:pt>
                <c:pt idx="1">
                  <c:v>1.0282474452978958</c:v>
                </c:pt>
                <c:pt idx="2">
                  <c:v>1.1174961982817682</c:v>
                </c:pt>
                <c:pt idx="3">
                  <c:v>1.2089791877190759</c:v>
                </c:pt>
                <c:pt idx="4">
                  <c:v>1.3732617456385265</c:v>
                </c:pt>
                <c:pt idx="5">
                  <c:v>1.5698536381107144</c:v>
                </c:pt>
                <c:pt idx="6">
                  <c:v>1.3311637618529368</c:v>
                </c:pt>
                <c:pt idx="7">
                  <c:v>1.3411869998028949</c:v>
                </c:pt>
                <c:pt idx="8">
                  <c:v>1.3234961329702362</c:v>
                </c:pt>
                <c:pt idx="9">
                  <c:v>1.8914688632272993</c:v>
                </c:pt>
                <c:pt idx="10">
                  <c:v>1.8983550188783411</c:v>
                </c:pt>
                <c:pt idx="11">
                  <c:v>1.1678007870436651</c:v>
                </c:pt>
                <c:pt idx="12">
                  <c:v>1.1435480437618009</c:v>
                </c:pt>
                <c:pt idx="13">
                  <c:v>1.2716488384877516</c:v>
                </c:pt>
                <c:pt idx="14">
                  <c:v>1.7496312617298686</c:v>
                </c:pt>
                <c:pt idx="15">
                  <c:v>1.7031256497329568</c:v>
                </c:pt>
                <c:pt idx="16">
                  <c:v>2.2908908779078065</c:v>
                </c:pt>
                <c:pt idx="17">
                  <c:v>2.2421446438232202</c:v>
                </c:pt>
                <c:pt idx="18">
                  <c:v>2.0577960240634035</c:v>
                </c:pt>
                <c:pt idx="19">
                  <c:v>1.8654685768854706</c:v>
                </c:pt>
                <c:pt idx="20">
                  <c:v>1.4477626959858561</c:v>
                </c:pt>
              </c:numCache>
            </c:numRef>
          </c:xVal>
          <c:yVal>
            <c:numRef>
              <c:f>F_glob_p_ac1!$AB$24:$AB$44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3.9562427194286279E-2</c:v>
                </c:pt>
                <c:pt idx="2">
                  <c:v>4.4532246893049694E-2</c:v>
                </c:pt>
                <c:pt idx="3">
                  <c:v>5.0447061190997795E-2</c:v>
                </c:pt>
                <c:pt idx="4">
                  <c:v>5.4743572180163375E-2</c:v>
                </c:pt>
                <c:pt idx="5">
                  <c:v>5.1843823815622893E-2</c:v>
                </c:pt>
                <c:pt idx="6">
                  <c:v>5.0840338430879185E-2</c:v>
                </c:pt>
                <c:pt idx="7">
                  <c:v>4.9287005492695588E-2</c:v>
                </c:pt>
                <c:pt idx="8">
                  <c:v>4.8022785530279805E-2</c:v>
                </c:pt>
                <c:pt idx="9">
                  <c:v>5.2692413056153325E-2</c:v>
                </c:pt>
                <c:pt idx="10">
                  <c:v>5.0533954208883729E-2</c:v>
                </c:pt>
                <c:pt idx="11">
                  <c:v>4.5683680034475586E-2</c:v>
                </c:pt>
                <c:pt idx="12">
                  <c:v>4.8479400914572333E-2</c:v>
                </c:pt>
                <c:pt idx="13">
                  <c:v>5.3151955525121995E-2</c:v>
                </c:pt>
                <c:pt idx="14">
                  <c:v>5.0351556270388668E-2</c:v>
                </c:pt>
                <c:pt idx="15">
                  <c:v>4.9412157459391204E-2</c:v>
                </c:pt>
                <c:pt idx="16">
                  <c:v>5.0618872038970641E-2</c:v>
                </c:pt>
                <c:pt idx="17">
                  <c:v>4.8117656054247088E-2</c:v>
                </c:pt>
                <c:pt idx="18">
                  <c:v>4.6906827860488838E-2</c:v>
                </c:pt>
                <c:pt idx="19">
                  <c:v>4.6382626375992414E-2</c:v>
                </c:pt>
                <c:pt idx="20">
                  <c:v>4.6532549796001889E-2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1-4421-A3F3-3B145AC7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044816"/>
        <c:axId val="1732046896"/>
      </c:scatterChart>
      <c:valAx>
        <c:axId val="173204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6896"/>
        <c:crosses val="autoZero"/>
        <c:crossBetween val="midCat"/>
      </c:valAx>
      <c:valAx>
        <c:axId val="17320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04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Power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val>
            <c:numRef>
              <c:f>F_glob_p_ac!$AZ$3:$AZ$9</c:f>
              <c:numCache>
                <c:formatCode>General</c:formatCode>
                <c:ptCount val="7"/>
                <c:pt idx="0">
                  <c:v>45901.521973421448</c:v>
                </c:pt>
                <c:pt idx="1">
                  <c:v>74621.721806644404</c:v>
                </c:pt>
                <c:pt idx="2">
                  <c:v>103855.30674568612</c:v>
                </c:pt>
                <c:pt idx="3">
                  <c:v>105995.26710523145</c:v>
                </c:pt>
                <c:pt idx="4">
                  <c:v>110329.5332277261</c:v>
                </c:pt>
                <c:pt idx="5">
                  <c:v>266584.4081817214</c:v>
                </c:pt>
                <c:pt idx="6">
                  <c:v>260731.39077533732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0-435D-8BD4-275F9E5CF56D}"/>
            </c:ext>
          </c:extLst>
        </c:ser>
        <c:ser>
          <c:idx val="1"/>
          <c:order val="1"/>
          <c:tx>
            <c:v>Sim</c:v>
          </c:tx>
          <c:spPr>
            <a:ln>
              <a:prstDash val="sysDash"/>
            </a:ln>
          </c:spPr>
          <c:val>
            <c:numRef>
              <c:f>F_glob_p_ac!$BE$3:$BE$9</c:f>
              <c:numCache>
                <c:formatCode>General</c:formatCode>
                <c:ptCount val="7"/>
                <c:pt idx="0">
                  <c:v>45902.2689697323</c:v>
                </c:pt>
                <c:pt idx="1">
                  <c:v>74574.024103617805</c:v>
                </c:pt>
                <c:pt idx="2">
                  <c:v>103855.57317643501</c:v>
                </c:pt>
                <c:pt idx="3">
                  <c:v>105995.867166068</c:v>
                </c:pt>
                <c:pt idx="4">
                  <c:v>110329.697131169</c:v>
                </c:pt>
                <c:pt idx="5">
                  <c:v>266584.73620346899</c:v>
                </c:pt>
                <c:pt idx="6">
                  <c:v>260732.199271438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0-435D-8BD4-275F9E5C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61344"/>
        <c:axId val="274379520"/>
      </c:lineChart>
      <c:catAx>
        <c:axId val="27436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79520"/>
        <c:crosses val="autoZero"/>
        <c:auto val="1"/>
        <c:lblAlgn val="ctr"/>
        <c:lblOffset val="100"/>
        <c:noMultiLvlLbl val="0"/>
      </c:catAx>
      <c:valAx>
        <c:axId val="27437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436134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902668416447944E-2"/>
                <c:y val="0.3708449985418489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nb-NO"/>
                    <a:t>kW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06522473072609"/>
          <c:h val="0.16603424099701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RPM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F_glob_p_ac!$R$3:$R$9</c:f>
              <c:numCache>
                <c:formatCode>General</c:formatCode>
                <c:ptCount val="7"/>
                <c:pt idx="0">
                  <c:v>798.91023827144102</c:v>
                </c:pt>
                <c:pt idx="1">
                  <c:v>799.42451451373495</c:v>
                </c:pt>
                <c:pt idx="2">
                  <c:v>1799.203633074</c:v>
                </c:pt>
                <c:pt idx="3">
                  <c:v>1401.14707538216</c:v>
                </c:pt>
                <c:pt idx="4">
                  <c:v>999.10263269117695</c:v>
                </c:pt>
                <c:pt idx="5">
                  <c:v>1796.8961723278701</c:v>
                </c:pt>
                <c:pt idx="6">
                  <c:v>1598.5223451975301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C-4356-9F63-4F866BD0D542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F_glob_p_ac!$BG$3:$BG$9</c:f>
              <c:numCache>
                <c:formatCode>General</c:formatCode>
                <c:ptCount val="7"/>
                <c:pt idx="0">
                  <c:v>798.92323965021899</c:v>
                </c:pt>
                <c:pt idx="1">
                  <c:v>798.91352775524501</c:v>
                </c:pt>
                <c:pt idx="2">
                  <c:v>1799.203633074</c:v>
                </c:pt>
                <c:pt idx="3">
                  <c:v>1401.15500763566</c:v>
                </c:pt>
                <c:pt idx="4">
                  <c:v>999.10464344882905</c:v>
                </c:pt>
                <c:pt idx="5">
                  <c:v>1796.8983830684199</c:v>
                </c:pt>
                <c:pt idx="6">
                  <c:v>1598.52730232362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C-4356-9F63-4F866BD0D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97056"/>
        <c:axId val="274398592"/>
      </c:lineChart>
      <c:catAx>
        <c:axId val="27439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398592"/>
        <c:crosses val="autoZero"/>
        <c:auto val="1"/>
        <c:lblAlgn val="ctr"/>
        <c:lblOffset val="100"/>
        <c:noMultiLvlLbl val="0"/>
      </c:catAx>
      <c:valAx>
        <c:axId val="27439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397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Torque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F_glob_p_ac!$T$3:$T$9</c:f>
              <c:numCache>
                <c:formatCode>General</c:formatCode>
                <c:ptCount val="7"/>
                <c:pt idx="0">
                  <c:v>548.65643980112395</c:v>
                </c:pt>
                <c:pt idx="1">
                  <c:v>891.37240642012</c:v>
                </c:pt>
                <c:pt idx="2">
                  <c:v>551.21338566865302</c:v>
                </c:pt>
                <c:pt idx="3">
                  <c:v>722.39400133817605</c:v>
                </c:pt>
                <c:pt idx="4">
                  <c:v>1054.5157228691901</c:v>
                </c:pt>
                <c:pt idx="5">
                  <c:v>1416.7171247868901</c:v>
                </c:pt>
                <c:pt idx="6">
                  <c:v>1557.5643262962999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0-4EA5-A09C-DAD44F1835B6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F_glob_p_ac!$BH$3:$BH$9</c:f>
              <c:numCache>
                <c:formatCode>General</c:formatCode>
                <c:ptCount val="7"/>
                <c:pt idx="0">
                  <c:v>548.65735422673799</c:v>
                </c:pt>
                <c:pt idx="1">
                  <c:v>891.38132012612198</c:v>
                </c:pt>
                <c:pt idx="2">
                  <c:v>551.21889783377196</c:v>
                </c:pt>
                <c:pt idx="3">
                  <c:v>722.40122523806201</c:v>
                </c:pt>
                <c:pt idx="4">
                  <c:v>1054.5262681583499</c:v>
                </c:pt>
                <c:pt idx="5">
                  <c:v>1416.7194861932001</c:v>
                </c:pt>
                <c:pt idx="6">
                  <c:v>1557.56692193867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0-4EA5-A09C-DAD44F18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94208"/>
        <c:axId val="274495744"/>
      </c:lineChart>
      <c:catAx>
        <c:axId val="27449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95744"/>
        <c:crosses val="autoZero"/>
        <c:auto val="1"/>
        <c:lblAlgn val="ctr"/>
        <c:lblOffset val="100"/>
        <c:noMultiLvlLbl val="0"/>
      </c:catAx>
      <c:valAx>
        <c:axId val="27449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494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BMEP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F_glob_p_ac!$AT$3:$AT$9</c:f>
              <c:numCache>
                <c:formatCode>General</c:formatCode>
                <c:ptCount val="7"/>
                <c:pt idx="0">
                  <c:v>6.47938424784844</c:v>
                </c:pt>
                <c:pt idx="1">
                  <c:v>10.5267047101804</c:v>
                </c:pt>
                <c:pt idx="2">
                  <c:v>6.5095806213434297</c:v>
                </c:pt>
                <c:pt idx="3">
                  <c:v>8.5311462209528095</c:v>
                </c:pt>
                <c:pt idx="4">
                  <c:v>12.453353443447799</c:v>
                </c:pt>
                <c:pt idx="5">
                  <c:v>16.730788078107</c:v>
                </c:pt>
                <c:pt idx="6">
                  <c:v>18.394129784520601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7-4877-9A5D-90F61150E9EC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F_glob_p_ac!$BL$3:$BL$9</c:f>
              <c:numCache>
                <c:formatCode>General</c:formatCode>
                <c:ptCount val="7"/>
                <c:pt idx="0">
                  <c:v>7.3111459120455065</c:v>
                </c:pt>
                <c:pt idx="1">
                  <c:v>12.081320212358889</c:v>
                </c:pt>
                <c:pt idx="2">
                  <c:v>6.9175404773585987</c:v>
                </c:pt>
                <c:pt idx="3">
                  <c:v>9.2990410125854357</c:v>
                </c:pt>
                <c:pt idx="4">
                  <c:v>13.812021410257907</c:v>
                </c:pt>
                <c:pt idx="5">
                  <c:v>17.386436130825061</c:v>
                </c:pt>
                <c:pt idx="6">
                  <c:v>19.32408164106338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97-4877-9A5D-90F61150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00000"/>
        <c:axId val="274801792"/>
      </c:lineChart>
      <c:catAx>
        <c:axId val="27480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01792"/>
        <c:crosses val="autoZero"/>
        <c:auto val="1"/>
        <c:lblAlgn val="ctr"/>
        <c:lblOffset val="100"/>
        <c:noMultiLvlLbl val="0"/>
      </c:catAx>
      <c:valAx>
        <c:axId val="27480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800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8313566613301"/>
          <c:y val="0.67091243802857981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Air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F_glob_p_ac!$AL$3:$AL$9</c:f>
              <c:numCache>
                <c:formatCode>General</c:formatCode>
                <c:ptCount val="7"/>
                <c:pt idx="0">
                  <c:v>0.154902739869792</c:v>
                </c:pt>
                <c:pt idx="1">
                  <c:v>0.16540304676033599</c:v>
                </c:pt>
                <c:pt idx="2">
                  <c:v>0.280240739027799</c:v>
                </c:pt>
                <c:pt idx="3">
                  <c:v>0.244913413657215</c:v>
                </c:pt>
                <c:pt idx="4">
                  <c:v>0.20695536341332299</c:v>
                </c:pt>
                <c:pt idx="5">
                  <c:v>0.36640092812706598</c:v>
                </c:pt>
                <c:pt idx="6">
                  <c:v>0.34215245354194102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B-4249-BA70-D0D77E4F0DC6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F_glob_p_ac!$BM$3:$BM$9</c:f>
              <c:numCache>
                <c:formatCode>General</c:formatCode>
                <c:ptCount val="7"/>
                <c:pt idx="0">
                  <c:v>7.7864636050330796E-2</c:v>
                </c:pt>
                <c:pt idx="1">
                  <c:v>0.110980134702235</c:v>
                </c:pt>
                <c:pt idx="2">
                  <c:v>0.27552872240360798</c:v>
                </c:pt>
                <c:pt idx="3">
                  <c:v>0.211954597423995</c:v>
                </c:pt>
                <c:pt idx="4">
                  <c:v>0.160004193016515</c:v>
                </c:pt>
                <c:pt idx="5">
                  <c:v>0.43596734317838198</c:v>
                </c:pt>
                <c:pt idx="6">
                  <c:v>0.37629451975950401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B-4249-BA70-D0D77E4F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23424"/>
        <c:axId val="274829312"/>
      </c:lineChart>
      <c:catAx>
        <c:axId val="2748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29312"/>
        <c:crosses val="autoZero"/>
        <c:auto val="1"/>
        <c:lblAlgn val="ctr"/>
        <c:lblOffset val="100"/>
        <c:noMultiLvlLbl val="0"/>
      </c:catAx>
      <c:valAx>
        <c:axId val="27482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82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01262284710152"/>
          <c:y val="1.6451444863858345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F_glob_p_ac!$AM$3:$AM$9</c:f>
              <c:numCache>
                <c:formatCode>General</c:formatCode>
                <c:ptCount val="7"/>
                <c:pt idx="0">
                  <c:v>0.15767956125669599</c:v>
                </c:pt>
                <c:pt idx="1">
                  <c:v>0.17010676835114899</c:v>
                </c:pt>
                <c:pt idx="2">
                  <c:v>0.286740232707968</c:v>
                </c:pt>
                <c:pt idx="3">
                  <c:v>0.251061542473418</c:v>
                </c:pt>
                <c:pt idx="4">
                  <c:v>0.213589762069505</c:v>
                </c:pt>
                <c:pt idx="5">
                  <c:v>0.38234623964234499</c:v>
                </c:pt>
                <c:pt idx="6">
                  <c:v>0.35696694637201498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3-4C4C-9C71-E8CD1B7AB17C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F_glob_p_ac!$BN$3:$BN$9</c:f>
              <c:numCache>
                <c:formatCode>General</c:formatCode>
                <c:ptCount val="7"/>
                <c:pt idx="0">
                  <c:v>7.8385015694950697E-2</c:v>
                </c:pt>
                <c:pt idx="1">
                  <c:v>0.113673963891428</c:v>
                </c:pt>
                <c:pt idx="2">
                  <c:v>0.27469452982870401</c:v>
                </c:pt>
                <c:pt idx="3">
                  <c:v>0.206928413326813</c:v>
                </c:pt>
                <c:pt idx="4">
                  <c:v>0.155726723357031</c:v>
                </c:pt>
                <c:pt idx="5">
                  <c:v>0.451097802879111</c:v>
                </c:pt>
                <c:pt idx="6">
                  <c:v>0.39025963500637501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3-4C4C-9C71-E8CD1B7A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17472"/>
        <c:axId val="274619008"/>
      </c:lineChart>
      <c:catAx>
        <c:axId val="27461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19008"/>
        <c:crosses val="autoZero"/>
        <c:auto val="1"/>
        <c:lblAlgn val="ctr"/>
        <c:lblOffset val="100"/>
        <c:noMultiLvlLbl val="0"/>
      </c:catAx>
      <c:valAx>
        <c:axId val="27461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617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fuel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F_glob_p_ac!$AP$3:$AP$9</c:f>
              <c:numCache>
                <c:formatCode>General</c:formatCode>
                <c:ptCount val="7"/>
                <c:pt idx="0">
                  <c:v>2.7768213869041303E-3</c:v>
                </c:pt>
                <c:pt idx="1">
                  <c:v>4.7037215908127773E-3</c:v>
                </c:pt>
                <c:pt idx="2">
                  <c:v>6.4994936801690828E-3</c:v>
                </c:pt>
                <c:pt idx="3">
                  <c:v>6.1481288162029725E-3</c:v>
                </c:pt>
                <c:pt idx="4">
                  <c:v>6.6343986561823607E-3</c:v>
                </c:pt>
                <c:pt idx="5">
                  <c:v>1.5945311515278691E-2</c:v>
                </c:pt>
                <c:pt idx="6">
                  <c:v>1.4814492830074083E-2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E-41A5-96BB-2069F0D3106B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F_glob_p_ac!$BO$3:$BO$9</c:f>
              <c:numCache>
                <c:formatCode>General</c:formatCode>
                <c:ptCount val="7"/>
                <c:pt idx="0">
                  <c:v>3.49327589158926E-3</c:v>
                </c:pt>
                <c:pt idx="1">
                  <c:v>5.1830917042012901E-3</c:v>
                </c:pt>
                <c:pt idx="2">
                  <c:v>6.4883805415739699E-3</c:v>
                </c:pt>
                <c:pt idx="3">
                  <c:v>6.8007608526709897E-3</c:v>
                </c:pt>
                <c:pt idx="4">
                  <c:v>7.2272900677427003E-3</c:v>
                </c:pt>
                <c:pt idx="5">
                  <c:v>1.5709699567534399E-2</c:v>
                </c:pt>
                <c:pt idx="6">
                  <c:v>1.5759660201573999E-2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E-41A5-96BB-2069F0D31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40896"/>
        <c:axId val="274642432"/>
      </c:lineChart>
      <c:catAx>
        <c:axId val="27464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42432"/>
        <c:crosses val="autoZero"/>
        <c:auto val="1"/>
        <c:lblAlgn val="ctr"/>
        <c:lblOffset val="100"/>
        <c:noMultiLvlLbl val="0"/>
      </c:catAx>
      <c:valAx>
        <c:axId val="274642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640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RPM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F_glob_p_ac1!$R$3:$R$22</c:f>
              <c:numCache>
                <c:formatCode>General</c:formatCode>
                <c:ptCount val="20"/>
                <c:pt idx="0">
                  <c:v>798.91023827144102</c:v>
                </c:pt>
                <c:pt idx="1">
                  <c:v>799.42451451373495</c:v>
                </c:pt>
                <c:pt idx="2">
                  <c:v>1398.8489351595499</c:v>
                </c:pt>
                <c:pt idx="3">
                  <c:v>1799.203633074</c:v>
                </c:pt>
                <c:pt idx="4">
                  <c:v>1599.1848142056899</c:v>
                </c:pt>
                <c:pt idx="5">
                  <c:v>1401.14707538216</c:v>
                </c:pt>
                <c:pt idx="6">
                  <c:v>1198.8876409949</c:v>
                </c:pt>
                <c:pt idx="7">
                  <c:v>999.10263269117695</c:v>
                </c:pt>
                <c:pt idx="8">
                  <c:v>1799.3838367568401</c:v>
                </c:pt>
                <c:pt idx="9">
                  <c:v>1599.27545799473</c:v>
                </c:pt>
                <c:pt idx="10">
                  <c:v>999.04963235227297</c:v>
                </c:pt>
                <c:pt idx="11">
                  <c:v>1198.6672809069801</c:v>
                </c:pt>
                <c:pt idx="12">
                  <c:v>1598.7568733023199</c:v>
                </c:pt>
                <c:pt idx="13">
                  <c:v>1403.59711227907</c:v>
                </c:pt>
                <c:pt idx="14">
                  <c:v>1198.8645007073201</c:v>
                </c:pt>
                <c:pt idx="15">
                  <c:v>1796.8961723278701</c:v>
                </c:pt>
                <c:pt idx="16">
                  <c:v>1598.5223451975301</c:v>
                </c:pt>
                <c:pt idx="17">
                  <c:v>1400.3606147804901</c:v>
                </c:pt>
                <c:pt idx="18">
                  <c:v>1198.96357746988</c:v>
                </c:pt>
                <c:pt idx="19">
                  <c:v>999.006887780488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E-456F-B2A6-E4D4A0DC4F39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F_glob_p_ac1!$BJ$3:$BJ$22</c:f>
              <c:numCache>
                <c:formatCode>General</c:formatCode>
                <c:ptCount val="20"/>
                <c:pt idx="0">
                  <c:v>798.90563622872696</c:v>
                </c:pt>
                <c:pt idx="2">
                  <c:v>1398.8577021604301</c:v>
                </c:pt>
                <c:pt idx="3">
                  <c:v>1799.20659820938</c:v>
                </c:pt>
                <c:pt idx="4">
                  <c:v>1599.1941045098799</c:v>
                </c:pt>
                <c:pt idx="5">
                  <c:v>1401.1441930794299</c:v>
                </c:pt>
                <c:pt idx="6">
                  <c:v>1198.88687340716</c:v>
                </c:pt>
                <c:pt idx="8">
                  <c:v>1799.3806119191099</c:v>
                </c:pt>
                <c:pt idx="9">
                  <c:v>1599.2723360074599</c:v>
                </c:pt>
                <c:pt idx="10">
                  <c:v>999.04135120006697</c:v>
                </c:pt>
                <c:pt idx="11">
                  <c:v>1198.67029683894</c:v>
                </c:pt>
                <c:pt idx="12">
                  <c:v>1598.7630848829101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E-456F-B2A6-E4D4A0DC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780736"/>
        <c:axId val="257794816"/>
      </c:lineChart>
      <c:catAx>
        <c:axId val="25778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57794816"/>
        <c:crosses val="autoZero"/>
        <c:auto val="1"/>
        <c:lblAlgn val="ctr"/>
        <c:lblOffset val="100"/>
        <c:noMultiLvlLbl val="0"/>
      </c:catAx>
      <c:valAx>
        <c:axId val="25779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78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Temperature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F_glob_p_ac!$F$3:$F$9</c:f>
              <c:numCache>
                <c:formatCode>General</c:formatCode>
                <c:ptCount val="7"/>
                <c:pt idx="0">
                  <c:v>392.44542618346554</c:v>
                </c:pt>
                <c:pt idx="1">
                  <c:v>582.70094985777155</c:v>
                </c:pt>
                <c:pt idx="2">
                  <c:v>414.22802482323999</c:v>
                </c:pt>
                <c:pt idx="3">
                  <c:v>453.49025404411299</c:v>
                </c:pt>
                <c:pt idx="4">
                  <c:v>612.33087253382348</c:v>
                </c:pt>
                <c:pt idx="5">
                  <c:v>646.70650941803297</c:v>
                </c:pt>
                <c:pt idx="6">
                  <c:v>640.290305407407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F-4944-83F1-F74ACF925FCE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F_glob_p_ac!$BP$3:$BP$9</c:f>
              <c:numCache>
                <c:formatCode>General</c:formatCode>
                <c:ptCount val="7"/>
                <c:pt idx="0">
                  <c:v>579.87864884732096</c:v>
                </c:pt>
                <c:pt idx="1">
                  <c:v>370.08712499691302</c:v>
                </c:pt>
                <c:pt idx="2">
                  <c:v>403.00483125283898</c:v>
                </c:pt>
                <c:pt idx="3">
                  <c:v>410.13701758505198</c:v>
                </c:pt>
                <c:pt idx="4">
                  <c:v>416.88195126431202</c:v>
                </c:pt>
                <c:pt idx="5">
                  <c:v>719.18719980921003</c:v>
                </c:pt>
                <c:pt idx="6">
                  <c:v>732.31115059618605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F-4944-83F1-F74ACF925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64064"/>
        <c:axId val="274669952"/>
      </c:lineChart>
      <c:catAx>
        <c:axId val="274664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69952"/>
        <c:crosses val="autoZero"/>
        <c:auto val="1"/>
        <c:lblAlgn val="ctr"/>
        <c:lblOffset val="100"/>
        <c:noMultiLvlLbl val="0"/>
      </c:catAx>
      <c:valAx>
        <c:axId val="27466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664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F_glob_p_ac!$AJ$3:$AJ$9</c:f>
              <c:numCache>
                <c:formatCode>General</c:formatCode>
                <c:ptCount val="7"/>
                <c:pt idx="0">
                  <c:v>217.782691359193</c:v>
                </c:pt>
                <c:pt idx="1">
                  <c:v>226.92317085369399</c:v>
                </c:pt>
                <c:pt idx="2">
                  <c:v>225.295923547792</c:v>
                </c:pt>
                <c:pt idx="3">
                  <c:v>208.81369841124001</c:v>
                </c:pt>
                <c:pt idx="4">
                  <c:v>216.47726101549799</c:v>
                </c:pt>
                <c:pt idx="5">
                  <c:v>215.32812757703999</c:v>
                </c:pt>
                <c:pt idx="6">
                  <c:v>204.548343909311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7-4A62-87A4-DC12B35C902F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F_glob_p_ac!$BR$3:$BR$9</c:f>
              <c:numCache>
                <c:formatCode>General</c:formatCode>
                <c:ptCount val="7"/>
                <c:pt idx="0">
                  <c:v>237.53100154574054</c:v>
                </c:pt>
                <c:pt idx="1">
                  <c:v>217.91026988954374</c:v>
                </c:pt>
                <c:pt idx="2">
                  <c:v>212.01462047948223</c:v>
                </c:pt>
                <c:pt idx="3">
                  <c:v>212.19953210518281</c:v>
                </c:pt>
                <c:pt idx="4">
                  <c:v>212.87501503850424</c:v>
                </c:pt>
                <c:pt idx="5">
                  <c:v>204.28460402991777</c:v>
                </c:pt>
                <c:pt idx="6">
                  <c:v>207.45014275140278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7-4A62-87A4-DC12B35C9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695680"/>
        <c:axId val="274697216"/>
      </c:lineChart>
      <c:catAx>
        <c:axId val="27469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74697216"/>
        <c:crosses val="autoZero"/>
        <c:auto val="1"/>
        <c:lblAlgn val="ctr"/>
        <c:lblOffset val="100"/>
        <c:noMultiLvlLbl val="0"/>
      </c:catAx>
      <c:valAx>
        <c:axId val="274697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695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6207349081366"/>
          <c:y val="2.7100111949588782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SNOx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F_glob_p_ac!$AK$3:$AK$9</c:f>
              <c:numCache>
                <c:formatCode>General</c:formatCode>
                <c:ptCount val="7"/>
                <c:pt idx="0">
                  <c:v>26.080648202178399</c:v>
                </c:pt>
                <c:pt idx="1">
                  <c:v>20.092822099140999</c:v>
                </c:pt>
                <c:pt idx="2">
                  <c:v>10.178784333447799</c:v>
                </c:pt>
                <c:pt idx="3">
                  <c:v>15.332289777212299</c:v>
                </c:pt>
                <c:pt idx="4">
                  <c:v>13.9563834844504</c:v>
                </c:pt>
                <c:pt idx="5">
                  <c:v>6.1327204655111798</c:v>
                </c:pt>
                <c:pt idx="6">
                  <c:v>7.8372215194376098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D-4DAE-A578-7107FDDA4ADA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F_glob_p_ac!$BS$3:$BS$9</c:f>
              <c:numCache>
                <c:formatCode>General</c:formatCode>
                <c:ptCount val="7"/>
                <c:pt idx="0">
                  <c:v>28</c:v>
                </c:pt>
                <c:pt idx="1">
                  <c:v>1.9928788518565701</c:v>
                </c:pt>
                <c:pt idx="2" formatCode="0.00E+00">
                  <c:v>-4.0771574348619499E-13</c:v>
                </c:pt>
                <c:pt idx="3">
                  <c:v>3.3979699978007899E-2</c:v>
                </c:pt>
                <c:pt idx="4">
                  <c:v>1.6776571996339</c:v>
                </c:pt>
                <c:pt idx="5">
                  <c:v>2.5570554947874902</c:v>
                </c:pt>
                <c:pt idx="6">
                  <c:v>10.3164583048599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D-4DAE-A578-7107FDDA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62464"/>
        <c:axId val="274864000"/>
      </c:lineChart>
      <c:catAx>
        <c:axId val="27486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64000"/>
        <c:crosses val="autoZero"/>
        <c:auto val="1"/>
        <c:lblAlgn val="ctr"/>
        <c:lblOffset val="100"/>
        <c:noMultiLvlLbl val="0"/>
      </c:catAx>
      <c:valAx>
        <c:axId val="274864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862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p_max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F_glob_p_ac!$AS$3:$AS$9</c:f>
              <c:numCache>
                <c:formatCode>General</c:formatCode>
                <c:ptCount val="7"/>
                <c:pt idx="0">
                  <c:v>76.517399999999995</c:v>
                </c:pt>
                <c:pt idx="1">
                  <c:v>89.9071</c:v>
                </c:pt>
                <c:pt idx="2">
                  <c:v>74.965000000000003</c:v>
                </c:pt>
                <c:pt idx="3">
                  <c:v>92.127799999999993</c:v>
                </c:pt>
                <c:pt idx="4">
                  <c:v>95.019499999999994</c:v>
                </c:pt>
                <c:pt idx="5">
                  <c:v>115.62935</c:v>
                </c:pt>
                <c:pt idx="6">
                  <c:v>130.25885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51-4385-890A-62E96BEADDFA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F_glob_p_ac!$BT$3:$BT$9</c:f>
              <c:numCache>
                <c:formatCode>General</c:formatCode>
                <c:ptCount val="7"/>
                <c:pt idx="0">
                  <c:v>90.052462127448891</c:v>
                </c:pt>
                <c:pt idx="1">
                  <c:v>111.576243529359</c:v>
                </c:pt>
                <c:pt idx="2">
                  <c:v>72.078276472049509</c:v>
                </c:pt>
                <c:pt idx="3">
                  <c:v>97.871112873379403</c:v>
                </c:pt>
                <c:pt idx="4">
                  <c:v>112.264054812574</c:v>
                </c:pt>
                <c:pt idx="5">
                  <c:v>139.96713917116099</c:v>
                </c:pt>
                <c:pt idx="6">
                  <c:v>158.46504626836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51-4385-890A-62E96BEAD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893824"/>
        <c:axId val="274899712"/>
      </c:lineChart>
      <c:catAx>
        <c:axId val="27489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899712"/>
        <c:crosses val="autoZero"/>
        <c:auto val="1"/>
        <c:lblAlgn val="ctr"/>
        <c:lblOffset val="100"/>
        <c:noMultiLvlLbl val="0"/>
      </c:catAx>
      <c:valAx>
        <c:axId val="27489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89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Power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val>
            <c:numRef>
              <c:f>F_1_p_ac!$BH$3:$BH$22</c:f>
              <c:numCache>
                <c:formatCode>General</c:formatCode>
                <c:ptCount val="20"/>
                <c:pt idx="0">
                  <c:v>45901.521973421448</c:v>
                </c:pt>
                <c:pt idx="1">
                  <c:v>74621.721806644404</c:v>
                </c:pt>
                <c:pt idx="2">
                  <c:v>127876.11593975827</c:v>
                </c:pt>
                <c:pt idx="3">
                  <c:v>75762.846430481499</c:v>
                </c:pt>
                <c:pt idx="4">
                  <c:v>110329.5332277261</c:v>
                </c:pt>
                <c:pt idx="5">
                  <c:v>69539.056260394806</c:v>
                </c:pt>
                <c:pt idx="6">
                  <c:v>175094.36949241027</c:v>
                </c:pt>
                <c:pt idx="7">
                  <c:v>111181.91135573952</c:v>
                </c:pt>
                <c:pt idx="8">
                  <c:v>196206.63292054541</c:v>
                </c:pt>
                <c:pt idx="9">
                  <c:v>81932.488554717027</c:v>
                </c:pt>
                <c:pt idx="10">
                  <c:v>227152.00718177127</c:v>
                </c:pt>
                <c:pt idx="11">
                  <c:v>105995.26710523145</c:v>
                </c:pt>
                <c:pt idx="12">
                  <c:v>182270.90967782619</c:v>
                </c:pt>
                <c:pt idx="13">
                  <c:v>260731.39077533732</c:v>
                </c:pt>
                <c:pt idx="14">
                  <c:v>91934.633847076897</c:v>
                </c:pt>
                <c:pt idx="15">
                  <c:v>147923.74427595307</c:v>
                </c:pt>
                <c:pt idx="16">
                  <c:v>205850.7160015683</c:v>
                </c:pt>
                <c:pt idx="17">
                  <c:v>266584.4081817214</c:v>
                </c:pt>
                <c:pt idx="18">
                  <c:v>103855.30674568612</c:v>
                </c:pt>
                <c:pt idx="19">
                  <c:v>198520.15219741678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0-4FBF-8445-72112BA23A1D}"/>
            </c:ext>
          </c:extLst>
        </c:ser>
        <c:ser>
          <c:idx val="1"/>
          <c:order val="1"/>
          <c:tx>
            <c:v>Sim</c:v>
          </c:tx>
          <c:spPr>
            <a:ln>
              <a:prstDash val="sysDash"/>
            </a:ln>
          </c:spPr>
          <c:val>
            <c:numRef>
              <c:f>F_1_p_ac!$BM$3:$BM$22</c:f>
              <c:numCache>
                <c:formatCode>General</c:formatCode>
                <c:ptCount val="20"/>
                <c:pt idx="0">
                  <c:v>45902.607044317898</c:v>
                </c:pt>
                <c:pt idx="1">
                  <c:v>74610.641499064906</c:v>
                </c:pt>
                <c:pt idx="2">
                  <c:v>127876.054465546</c:v>
                </c:pt>
                <c:pt idx="3">
                  <c:v>75762.928771078601</c:v>
                </c:pt>
                <c:pt idx="4">
                  <c:v>110329.525424619</c:v>
                </c:pt>
                <c:pt idx="5">
                  <c:v>69539.158007221195</c:v>
                </c:pt>
                <c:pt idx="6">
                  <c:v>175095.92992260199</c:v>
                </c:pt>
                <c:pt idx="7">
                  <c:v>111181.688739882</c:v>
                </c:pt>
                <c:pt idx="8">
                  <c:v>196206.93055374501</c:v>
                </c:pt>
                <c:pt idx="9">
                  <c:v>81932.847958978498</c:v>
                </c:pt>
                <c:pt idx="10">
                  <c:v>227153.51144737899</c:v>
                </c:pt>
                <c:pt idx="11">
                  <c:v>105995.32776751</c:v>
                </c:pt>
                <c:pt idx="12">
                  <c:v>182271.40383312901</c:v>
                </c:pt>
                <c:pt idx="13">
                  <c:v>260732.155034036</c:v>
                </c:pt>
                <c:pt idx="14">
                  <c:v>91934.697125202802</c:v>
                </c:pt>
                <c:pt idx="15">
                  <c:v>147923.63392223799</c:v>
                </c:pt>
                <c:pt idx="16">
                  <c:v>205850.66241216799</c:v>
                </c:pt>
                <c:pt idx="17">
                  <c:v>266585.62396618299</c:v>
                </c:pt>
                <c:pt idx="18">
                  <c:v>103855.577131421</c:v>
                </c:pt>
                <c:pt idx="19">
                  <c:v>198520.33157645099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0-4FBF-8445-72112BA23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87168"/>
        <c:axId val="258101248"/>
      </c:lineChart>
      <c:catAx>
        <c:axId val="25808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01248"/>
        <c:crosses val="autoZero"/>
        <c:auto val="1"/>
        <c:lblAlgn val="ctr"/>
        <c:lblOffset val="100"/>
        <c:noMultiLvlLbl val="0"/>
      </c:catAx>
      <c:valAx>
        <c:axId val="2581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808716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902668416447944E-2"/>
                <c:y val="0.3708449985418489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nb-NO"/>
                    <a:t>kW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06522473072609"/>
          <c:h val="0.16603424099701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RPM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F_1_p_ac!$V$3:$V$22</c:f>
              <c:numCache>
                <c:formatCode>General</c:formatCode>
                <c:ptCount val="20"/>
                <c:pt idx="0">
                  <c:v>798.91023827144102</c:v>
                </c:pt>
                <c:pt idx="1">
                  <c:v>799.42451451373495</c:v>
                </c:pt>
                <c:pt idx="2">
                  <c:v>999.006887780488</c:v>
                </c:pt>
                <c:pt idx="3">
                  <c:v>999.04963235227297</c:v>
                </c:pt>
                <c:pt idx="4">
                  <c:v>999.10263269117695</c:v>
                </c:pt>
                <c:pt idx="5">
                  <c:v>1198.6672809069801</c:v>
                </c:pt>
                <c:pt idx="6">
                  <c:v>1198.8645007073201</c:v>
                </c:pt>
                <c:pt idx="7">
                  <c:v>1198.8876409949</c:v>
                </c:pt>
                <c:pt idx="8">
                  <c:v>1198.96357746988</c:v>
                </c:pt>
                <c:pt idx="9">
                  <c:v>1398.8489351595499</c:v>
                </c:pt>
                <c:pt idx="10">
                  <c:v>1400.3606147804901</c:v>
                </c:pt>
                <c:pt idx="11">
                  <c:v>1401.14707538216</c:v>
                </c:pt>
                <c:pt idx="12">
                  <c:v>1403.59711227907</c:v>
                </c:pt>
                <c:pt idx="13">
                  <c:v>1598.5223451975301</c:v>
                </c:pt>
                <c:pt idx="14">
                  <c:v>1598.7568733023199</c:v>
                </c:pt>
                <c:pt idx="15">
                  <c:v>1599.1848142056899</c:v>
                </c:pt>
                <c:pt idx="16">
                  <c:v>1599.27545799473</c:v>
                </c:pt>
                <c:pt idx="17">
                  <c:v>1796.8961723278701</c:v>
                </c:pt>
                <c:pt idx="18">
                  <c:v>1799.203633074</c:v>
                </c:pt>
                <c:pt idx="19">
                  <c:v>1799.3838367568401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1-4330-95C9-7AC52F11B2BE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F_1_p_ac!$BO$3:$BO$22</c:f>
              <c:numCache>
                <c:formatCode>General</c:formatCode>
                <c:ptCount val="20"/>
                <c:pt idx="0">
                  <c:v>798.92912379611403</c:v>
                </c:pt>
                <c:pt idx="1">
                  <c:v>799.30581089842201</c:v>
                </c:pt>
                <c:pt idx="2">
                  <c:v>999.00640750529794</c:v>
                </c:pt>
                <c:pt idx="3">
                  <c:v>999.05071811150003</c:v>
                </c:pt>
                <c:pt idx="4">
                  <c:v>999.10256190523705</c:v>
                </c:pt>
                <c:pt idx="5">
                  <c:v>1198.6690347399301</c:v>
                </c:pt>
                <c:pt idx="6">
                  <c:v>1198.87518522798</c:v>
                </c:pt>
                <c:pt idx="7">
                  <c:v>1198.88524049329</c:v>
                </c:pt>
                <c:pt idx="8">
                  <c:v>1198.9653961025899</c:v>
                </c:pt>
                <c:pt idx="9">
                  <c:v>1398.8550712874201</c:v>
                </c:pt>
                <c:pt idx="10">
                  <c:v>1400.3698887442199</c:v>
                </c:pt>
                <c:pt idx="11">
                  <c:v>1401.14787734836</c:v>
                </c:pt>
                <c:pt idx="12">
                  <c:v>1403.6009174312901</c:v>
                </c:pt>
                <c:pt idx="13">
                  <c:v>1598.52703110786</c:v>
                </c:pt>
                <c:pt idx="14">
                  <c:v>1598.7579736979901</c:v>
                </c:pt>
                <c:pt idx="15">
                  <c:v>1599.18362120646</c:v>
                </c:pt>
                <c:pt idx="16">
                  <c:v>1599.27504200621</c:v>
                </c:pt>
                <c:pt idx="17">
                  <c:v>1796.90436697939</c:v>
                </c:pt>
                <c:pt idx="18">
                  <c:v>1799.20831717136</c:v>
                </c:pt>
                <c:pt idx="19">
                  <c:v>1799.3854623208099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1-4330-95C9-7AC52F11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131072"/>
        <c:axId val="258132608"/>
      </c:lineChart>
      <c:catAx>
        <c:axId val="25813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58132608"/>
        <c:crosses val="autoZero"/>
        <c:auto val="1"/>
        <c:lblAlgn val="ctr"/>
        <c:lblOffset val="100"/>
        <c:noMultiLvlLbl val="0"/>
      </c:catAx>
      <c:valAx>
        <c:axId val="258132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13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Torque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F_1_p_ac!$X$3:$X$22</c:f>
              <c:numCache>
                <c:formatCode>General</c:formatCode>
                <c:ptCount val="20"/>
                <c:pt idx="0">
                  <c:v>548.65643980112395</c:v>
                </c:pt>
                <c:pt idx="1">
                  <c:v>891.37240642012</c:v>
                </c:pt>
                <c:pt idx="2">
                  <c:v>1222.3408789756099</c:v>
                </c:pt>
                <c:pt idx="3">
                  <c:v>724.17011857954606</c:v>
                </c:pt>
                <c:pt idx="4">
                  <c:v>1054.5157228691901</c:v>
                </c:pt>
                <c:pt idx="5">
                  <c:v>553.98948739534899</c:v>
                </c:pt>
                <c:pt idx="6">
                  <c:v>1394.6764323658499</c:v>
                </c:pt>
                <c:pt idx="7">
                  <c:v>885.57843969364001</c:v>
                </c:pt>
                <c:pt idx="8">
                  <c:v>1562.7124668433701</c:v>
                </c:pt>
                <c:pt idx="9">
                  <c:v>559.31531528024698</c:v>
                </c:pt>
                <c:pt idx="10">
                  <c:v>1548.9880704146301</c:v>
                </c:pt>
                <c:pt idx="11">
                  <c:v>722.39400133817605</c:v>
                </c:pt>
                <c:pt idx="12">
                  <c:v>1240.07021687209</c:v>
                </c:pt>
                <c:pt idx="13">
                  <c:v>1557.5643262962999</c:v>
                </c:pt>
                <c:pt idx="14">
                  <c:v>549.12107009302304</c:v>
                </c:pt>
                <c:pt idx="15">
                  <c:v>883.30485231150794</c:v>
                </c:pt>
                <c:pt idx="16">
                  <c:v>1229.13756327136</c:v>
                </c:pt>
                <c:pt idx="17">
                  <c:v>1416.7171247868901</c:v>
                </c:pt>
                <c:pt idx="18">
                  <c:v>551.21338566865302</c:v>
                </c:pt>
                <c:pt idx="19">
                  <c:v>1053.54275880974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E82-81D2-E6302CED27BC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F_1_p_ac!$BP$3:$BP$22</c:f>
              <c:numCache>
                <c:formatCode>General</c:formatCode>
                <c:ptCount val="20"/>
                <c:pt idx="0">
                  <c:v>548.65735422673799</c:v>
                </c:pt>
                <c:pt idx="1">
                  <c:v>891.37389202273505</c:v>
                </c:pt>
                <c:pt idx="2">
                  <c:v>1222.34291623381</c:v>
                </c:pt>
                <c:pt idx="3">
                  <c:v>724.17132555096396</c:v>
                </c:pt>
                <c:pt idx="4">
                  <c:v>1054.51748052733</c:v>
                </c:pt>
                <c:pt idx="5">
                  <c:v>553.99041071481599</c:v>
                </c:pt>
                <c:pt idx="6">
                  <c:v>1394.67875645768</c:v>
                </c:pt>
                <c:pt idx="7">
                  <c:v>885.57991566549697</c:v>
                </c:pt>
                <c:pt idx="8">
                  <c:v>1562.71507152258</c:v>
                </c:pt>
                <c:pt idx="9">
                  <c:v>559.316247492961</c:v>
                </c:pt>
                <c:pt idx="10">
                  <c:v>1548.9906516501101</c:v>
                </c:pt>
                <c:pt idx="11">
                  <c:v>722.39520528805099</c:v>
                </c:pt>
                <c:pt idx="12">
                  <c:v>1240.0722837866001</c:v>
                </c:pt>
                <c:pt idx="13">
                  <c:v>1557.56692193867</c:v>
                </c:pt>
                <c:pt idx="14">
                  <c:v>549.12198530087801</c:v>
                </c:pt>
                <c:pt idx="15">
                  <c:v>883.30632447314099</c:v>
                </c:pt>
                <c:pt idx="16">
                  <c:v>1229.1396115628199</c:v>
                </c:pt>
                <c:pt idx="17">
                  <c:v>1416.7194861932001</c:v>
                </c:pt>
                <c:pt idx="18">
                  <c:v>551.21430438889104</c:v>
                </c:pt>
                <c:pt idx="19">
                  <c:v>1053.5445149048601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C-4E82-81D2-E6302CED2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79296"/>
        <c:axId val="276280832"/>
      </c:lineChart>
      <c:catAx>
        <c:axId val="276279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280832"/>
        <c:crosses val="autoZero"/>
        <c:auto val="1"/>
        <c:lblAlgn val="ctr"/>
        <c:lblOffset val="100"/>
        <c:noMultiLvlLbl val="0"/>
      </c:catAx>
      <c:valAx>
        <c:axId val="27628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279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BMEP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F_1_p_ac!$BB$3:$BB$22</c:f>
              <c:numCache>
                <c:formatCode>General</c:formatCode>
                <c:ptCount val="20"/>
                <c:pt idx="0">
                  <c:v>6.47938424784844</c:v>
                </c:pt>
                <c:pt idx="1">
                  <c:v>10.5267047101804</c:v>
                </c:pt>
                <c:pt idx="2">
                  <c:v>14.4352925842019</c:v>
                </c:pt>
                <c:pt idx="3">
                  <c:v>8.5521213617535494</c:v>
                </c:pt>
                <c:pt idx="4">
                  <c:v>12.453353443447799</c:v>
                </c:pt>
                <c:pt idx="5">
                  <c:v>6.5423651263515197</c:v>
                </c:pt>
                <c:pt idx="6">
                  <c:v>16.470497475601199</c:v>
                </c:pt>
                <c:pt idx="7">
                  <c:v>10.4582805853242</c:v>
                </c:pt>
                <c:pt idx="8">
                  <c:v>18.454926994480498</c:v>
                </c:pt>
                <c:pt idx="9">
                  <c:v>6.6052607433548802</c:v>
                </c:pt>
                <c:pt idx="10">
                  <c:v>18.292848083926099</c:v>
                </c:pt>
                <c:pt idx="11">
                  <c:v>8.5311462209528095</c:v>
                </c:pt>
                <c:pt idx="12">
                  <c:v>14.6446680409684</c:v>
                </c:pt>
                <c:pt idx="13">
                  <c:v>18.394129784520601</c:v>
                </c:pt>
                <c:pt idx="14">
                  <c:v>6.4848713213173896</c:v>
                </c:pt>
                <c:pt idx="15">
                  <c:v>10.431430547301799</c:v>
                </c:pt>
                <c:pt idx="16">
                  <c:v>14.515558349749901</c:v>
                </c:pt>
                <c:pt idx="17">
                  <c:v>16.730788078107</c:v>
                </c:pt>
                <c:pt idx="18">
                  <c:v>6.5095806213434297</c:v>
                </c:pt>
                <c:pt idx="19">
                  <c:v>12.4418631782414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7-4F29-A5F3-0241D018310B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F_1_p_ac!$BT$3:$BT$22</c:f>
              <c:numCache>
                <c:formatCode>General</c:formatCode>
                <c:ptCount val="20"/>
                <c:pt idx="0">
                  <c:v>6.479384247834771</c:v>
                </c:pt>
                <c:pt idx="1">
                  <c:v>10.526704709942441</c:v>
                </c:pt>
                <c:pt idx="2">
                  <c:v>14.435292584491666</c:v>
                </c:pt>
                <c:pt idx="3">
                  <c:v>8.5521213619946312</c:v>
                </c:pt>
                <c:pt idx="4">
                  <c:v>12.453353444992723</c:v>
                </c:pt>
                <c:pt idx="5">
                  <c:v>6.5423651264067351</c:v>
                </c:pt>
                <c:pt idx="6">
                  <c:v>16.470497471282179</c:v>
                </c:pt>
                <c:pt idx="7">
                  <c:v>10.45828058539924</c:v>
                </c:pt>
                <c:pt idx="8">
                  <c:v>18.454926996329142</c:v>
                </c:pt>
                <c:pt idx="9">
                  <c:v>6.6052607435878228</c:v>
                </c:pt>
                <c:pt idx="10">
                  <c:v>18.292848079028509</c:v>
                </c:pt>
                <c:pt idx="11">
                  <c:v>8.531146220502027</c:v>
                </c:pt>
                <c:pt idx="12">
                  <c:v>14.644668042479548</c:v>
                </c:pt>
                <c:pt idx="13">
                  <c:v>18.394129781020425</c:v>
                </c:pt>
                <c:pt idx="14">
                  <c:v>6.4848713213997051</c:v>
                </c:pt>
                <c:pt idx="15">
                  <c:v>10.431430547166281</c:v>
                </c:pt>
                <c:pt idx="16">
                  <c:v>14.515558346545394</c:v>
                </c:pt>
                <c:pt idx="17">
                  <c:v>16.730788080625945</c:v>
                </c:pt>
                <c:pt idx="18">
                  <c:v>6.5095806217136936</c:v>
                </c:pt>
                <c:pt idx="19">
                  <c:v>12.441863180488911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7-4F29-A5F3-0241D018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90176"/>
        <c:axId val="276304256"/>
      </c:lineChart>
      <c:catAx>
        <c:axId val="276290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04256"/>
        <c:crosses val="autoZero"/>
        <c:auto val="1"/>
        <c:lblAlgn val="ctr"/>
        <c:lblOffset val="100"/>
        <c:noMultiLvlLbl val="0"/>
      </c:catAx>
      <c:valAx>
        <c:axId val="27630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29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23480453101254"/>
          <c:y val="0.2542457713619131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F_1_p_ac!$AN$3:$AN$22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215.60103924952699</c:v>
                </c:pt>
                <c:pt idx="3">
                  <c:v>211.85434127243801</c:v>
                </c:pt>
                <c:pt idx="4">
                  <c:v>216.47726101549799</c:v>
                </c:pt>
                <c:pt idx="5">
                  <c:v>215.02336268526301</c:v>
                </c:pt>
                <c:pt idx="6">
                  <c:v>208.81352710642199</c:v>
                </c:pt>
                <c:pt idx="7">
                  <c:v>207.819037016268</c:v>
                </c:pt>
                <c:pt idx="8">
                  <c:v>207.43253021548</c:v>
                </c:pt>
                <c:pt idx="9">
                  <c:v>214.15285296164501</c:v>
                </c:pt>
                <c:pt idx="10">
                  <c:v>202.52630887090501</c:v>
                </c:pt>
                <c:pt idx="11">
                  <c:v>208.81369841124001</c:v>
                </c:pt>
                <c:pt idx="12">
                  <c:v>203.25293433570101</c:v>
                </c:pt>
                <c:pt idx="13">
                  <c:v>204.548343909311</c:v>
                </c:pt>
                <c:pt idx="14">
                  <c:v>217.302383013129</c:v>
                </c:pt>
                <c:pt idx="15">
                  <c:v>206.231816616619</c:v>
                </c:pt>
                <c:pt idx="16">
                  <c:v>202.800485757817</c:v>
                </c:pt>
                <c:pt idx="17">
                  <c:v>215.32812757703999</c:v>
                </c:pt>
                <c:pt idx="18">
                  <c:v>225.295923547792</c:v>
                </c:pt>
                <c:pt idx="19">
                  <c:v>211.276927200317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A8C-A0FE-759582428F89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F_1_p_ac!$BZ$3:$BZ$22</c:f>
              <c:numCache>
                <c:formatCode>General</c:formatCode>
                <c:ptCount val="20"/>
                <c:pt idx="0">
                  <c:v>240.30868266546676</c:v>
                </c:pt>
                <c:pt idx="1">
                  <c:v>249.7269520546642</c:v>
                </c:pt>
                <c:pt idx="2">
                  <c:v>240.16270380606417</c:v>
                </c:pt>
                <c:pt idx="3">
                  <c:v>235.18831955879534</c:v>
                </c:pt>
                <c:pt idx="4">
                  <c:v>240.91791562227061</c:v>
                </c:pt>
                <c:pt idx="5">
                  <c:v>225.82374207986652</c:v>
                </c:pt>
                <c:pt idx="6">
                  <c:v>229.18524379470944</c:v>
                </c:pt>
                <c:pt idx="7">
                  <c:v>228.09777211668305</c:v>
                </c:pt>
                <c:pt idx="8">
                  <c:v>228.86532003754931</c:v>
                </c:pt>
                <c:pt idx="9">
                  <c:v>220.12125619561215</c:v>
                </c:pt>
                <c:pt idx="10">
                  <c:v>219.45006712471613</c:v>
                </c:pt>
                <c:pt idx="11">
                  <c:v>219.19714428221451</c:v>
                </c:pt>
                <c:pt idx="12">
                  <c:v>217.54346437784736</c:v>
                </c:pt>
                <c:pt idx="13">
                  <c:v>207.9710746265026</c:v>
                </c:pt>
                <c:pt idx="14">
                  <c:v>211.37817970162217</c:v>
                </c:pt>
                <c:pt idx="15">
                  <c:v>209.75106304513693</c:v>
                </c:pt>
                <c:pt idx="16">
                  <c:v>208.97742444255815</c:v>
                </c:pt>
                <c:pt idx="17">
                  <c:v>206.65377325542337</c:v>
                </c:pt>
                <c:pt idx="18">
                  <c:v>210.9876911304795</c:v>
                </c:pt>
                <c:pt idx="19">
                  <c:v>208.19018513410563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A8C-A0FE-759582428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38176"/>
        <c:axId val="276339712"/>
      </c:lineChart>
      <c:catAx>
        <c:axId val="27633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39712"/>
        <c:crosses val="autoZero"/>
        <c:auto val="1"/>
        <c:lblAlgn val="ctr"/>
        <c:lblOffset val="100"/>
        <c:noMultiLvlLbl val="0"/>
      </c:catAx>
      <c:valAx>
        <c:axId val="276339712"/>
        <c:scaling>
          <c:orientation val="minMax"/>
          <c:max val="270"/>
          <c:min val="1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338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6207349081366"/>
          <c:y val="2.7100111949588782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SNOx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F_1_p_ac!$AO$3:$AO$22</c:f>
              <c:numCache>
                <c:formatCode>General</c:formatCode>
                <c:ptCount val="20"/>
                <c:pt idx="0">
                  <c:v>10.2453545989788</c:v>
                </c:pt>
                <c:pt idx="1">
                  <c:v>8.4685523214266407</c:v>
                </c:pt>
                <c:pt idx="2">
                  <c:v>6.4618412218254901</c:v>
                </c:pt>
                <c:pt idx="3">
                  <c:v>8.8366798552297592</c:v>
                </c:pt>
                <c:pt idx="4">
                  <c:v>7.4701253612224301</c:v>
                </c:pt>
                <c:pt idx="5">
                  <c:v>10.105446637395399</c:v>
                </c:pt>
                <c:pt idx="6">
                  <c:v>7.2148734341513601</c:v>
                </c:pt>
                <c:pt idx="7">
                  <c:v>9.3441035523619504</c:v>
                </c:pt>
                <c:pt idx="8">
                  <c:v>6.7060049982314798</c:v>
                </c:pt>
                <c:pt idx="9">
                  <c:v>10.299742070359301</c:v>
                </c:pt>
                <c:pt idx="10">
                  <c:v>7.2090549467427998</c:v>
                </c:pt>
                <c:pt idx="11">
                  <c:v>9.80650325424571</c:v>
                </c:pt>
                <c:pt idx="12">
                  <c:v>8.4721632528882704</c:v>
                </c:pt>
                <c:pt idx="13">
                  <c:v>7.0580835676811198</c:v>
                </c:pt>
                <c:pt idx="14">
                  <c:v>11.3675340932671</c:v>
                </c:pt>
                <c:pt idx="15">
                  <c:v>9.52270345366348</c:v>
                </c:pt>
                <c:pt idx="16">
                  <c:v>8.3289560913665692</c:v>
                </c:pt>
                <c:pt idx="17">
                  <c:v>5.9162327272112396</c:v>
                </c:pt>
                <c:pt idx="18">
                  <c:v>7.4984180199449</c:v>
                </c:pt>
                <c:pt idx="19">
                  <c:v>6.6973183888131897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5-4C7C-8FB2-63487D3B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75040"/>
        <c:axId val="276376576"/>
      </c:lineChart>
      <c:lineChart>
        <c:grouping val="standard"/>
        <c:varyColors val="0"/>
        <c:ser>
          <c:idx val="1"/>
          <c:order val="1"/>
          <c:spPr>
            <a:ln>
              <a:prstDash val="sysDash"/>
            </a:ln>
          </c:spPr>
          <c:val>
            <c:numRef>
              <c:f>F_1_p_ac!$CA$3:$CA$22</c:f>
              <c:numCache>
                <c:formatCode>General</c:formatCode>
                <c:ptCount val="20"/>
                <c:pt idx="0">
                  <c:v>9.8224634882857007</c:v>
                </c:pt>
                <c:pt idx="1">
                  <c:v>10.0131081706201</c:v>
                </c:pt>
                <c:pt idx="2">
                  <c:v>8.8737359978178194</c:v>
                </c:pt>
                <c:pt idx="3">
                  <c:v>8.72454117917178</c:v>
                </c:pt>
                <c:pt idx="4">
                  <c:v>9.3415727528153205</c:v>
                </c:pt>
                <c:pt idx="5">
                  <c:v>9.2456589665089002</c:v>
                </c:pt>
                <c:pt idx="6">
                  <c:v>7.84942026050925</c:v>
                </c:pt>
                <c:pt idx="7">
                  <c:v>8.9835134031233697</c:v>
                </c:pt>
                <c:pt idx="8">
                  <c:v>6.72205391457695</c:v>
                </c:pt>
                <c:pt idx="9" formatCode="0.00E+00">
                  <c:v>9.2002989895944491</c:v>
                </c:pt>
                <c:pt idx="10">
                  <c:v>7.0849466021311898</c:v>
                </c:pt>
                <c:pt idx="11">
                  <c:v>9.2841827276958</c:v>
                </c:pt>
                <c:pt idx="12">
                  <c:v>8.1751220796039004</c:v>
                </c:pt>
                <c:pt idx="13">
                  <c:v>7.18904264650826</c:v>
                </c:pt>
                <c:pt idx="14" formatCode="0.00E+00">
                  <c:v>9.3242918890402393</c:v>
                </c:pt>
                <c:pt idx="15">
                  <c:v>9.0202846564393599</c:v>
                </c:pt>
                <c:pt idx="16">
                  <c:v>8.3187133084721498</c:v>
                </c:pt>
                <c:pt idx="17">
                  <c:v>6.8289731213847897</c:v>
                </c:pt>
                <c:pt idx="18" formatCode="0.00E+00">
                  <c:v>9.0689832026891004</c:v>
                </c:pt>
                <c:pt idx="19">
                  <c:v>8.0886307218130504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5-4C7C-8FB2-63487D3B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384384"/>
        <c:axId val="276382848"/>
      </c:lineChart>
      <c:catAx>
        <c:axId val="27637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376576"/>
        <c:crosses val="autoZero"/>
        <c:auto val="1"/>
        <c:lblAlgn val="ctr"/>
        <c:lblOffset val="100"/>
        <c:noMultiLvlLbl val="0"/>
      </c:catAx>
      <c:valAx>
        <c:axId val="276376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375040"/>
        <c:crosses val="autoZero"/>
        <c:crossBetween val="between"/>
      </c:valAx>
      <c:valAx>
        <c:axId val="276382848"/>
        <c:scaling>
          <c:orientation val="minMax"/>
          <c:max val="10.5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276384384"/>
        <c:crosses val="max"/>
        <c:crossBetween val="between"/>
      </c:valAx>
      <c:catAx>
        <c:axId val="276384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763828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Torque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F_glob_p_ac1!$T$3:$T$22</c:f>
              <c:numCache>
                <c:formatCode>General</c:formatCode>
                <c:ptCount val="20"/>
                <c:pt idx="0">
                  <c:v>548.65643980112395</c:v>
                </c:pt>
                <c:pt idx="1">
                  <c:v>891.37240642012</c:v>
                </c:pt>
                <c:pt idx="2">
                  <c:v>559.31531528024698</c:v>
                </c:pt>
                <c:pt idx="3">
                  <c:v>551.21338566865302</c:v>
                </c:pt>
                <c:pt idx="4">
                  <c:v>883.30485231150794</c:v>
                </c:pt>
                <c:pt idx="5">
                  <c:v>722.39400133817605</c:v>
                </c:pt>
                <c:pt idx="6">
                  <c:v>885.57843969364001</c:v>
                </c:pt>
                <c:pt idx="7">
                  <c:v>1054.5157228691901</c:v>
                </c:pt>
                <c:pt idx="8">
                  <c:v>1053.54275880974</c:v>
                </c:pt>
                <c:pt idx="9">
                  <c:v>1229.13756327136</c:v>
                </c:pt>
                <c:pt idx="10">
                  <c:v>724.17011857954606</c:v>
                </c:pt>
                <c:pt idx="11">
                  <c:v>553.98948739534899</c:v>
                </c:pt>
                <c:pt idx="12">
                  <c:v>549.12107009302304</c:v>
                </c:pt>
                <c:pt idx="13">
                  <c:v>1240.07021687209</c:v>
                </c:pt>
                <c:pt idx="14">
                  <c:v>1394.6764323658499</c:v>
                </c:pt>
                <c:pt idx="15">
                  <c:v>1416.7171247868901</c:v>
                </c:pt>
                <c:pt idx="16">
                  <c:v>1557.5643262962999</c:v>
                </c:pt>
                <c:pt idx="17">
                  <c:v>1548.9880704146301</c:v>
                </c:pt>
                <c:pt idx="18">
                  <c:v>1562.7124668433701</c:v>
                </c:pt>
                <c:pt idx="19">
                  <c:v>1222.3408789756099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AF-4342-BFE9-992CF5B71D3A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F_glob_p_ac1!$BK$3:$BK$22</c:f>
              <c:numCache>
                <c:formatCode>General</c:formatCode>
                <c:ptCount val="20"/>
                <c:pt idx="0">
                  <c:v>548.65735422673799</c:v>
                </c:pt>
                <c:pt idx="2">
                  <c:v>559.316247492961</c:v>
                </c:pt>
                <c:pt idx="3">
                  <c:v>551.21430438889104</c:v>
                </c:pt>
                <c:pt idx="4">
                  <c:v>883.30632447314099</c:v>
                </c:pt>
                <c:pt idx="5">
                  <c:v>722.39520528805099</c:v>
                </c:pt>
                <c:pt idx="6">
                  <c:v>885.57991566549697</c:v>
                </c:pt>
                <c:pt idx="8">
                  <c:v>1053.5445149048601</c:v>
                </c:pt>
                <c:pt idx="9">
                  <c:v>1229.1396115628199</c:v>
                </c:pt>
                <c:pt idx="10">
                  <c:v>724.17132555096396</c:v>
                </c:pt>
                <c:pt idx="11">
                  <c:v>553.99041071481599</c:v>
                </c:pt>
                <c:pt idx="12">
                  <c:v>549.12198530087801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F-4342-BFE9-992CF5B71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680128"/>
        <c:axId val="259681664"/>
      </c:lineChart>
      <c:catAx>
        <c:axId val="2596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59681664"/>
        <c:crosses val="autoZero"/>
        <c:auto val="1"/>
        <c:lblAlgn val="ctr"/>
        <c:lblOffset val="100"/>
        <c:noMultiLvlLbl val="0"/>
      </c:catAx>
      <c:valAx>
        <c:axId val="25968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680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p_max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F_1_p_ac!$BA$3:$BA$22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104.4314</c:v>
                </c:pt>
                <c:pt idx="3">
                  <c:v>81.675150000000002</c:v>
                </c:pt>
                <c:pt idx="4">
                  <c:v>95.019499999999994</c:v>
                </c:pt>
                <c:pt idx="5">
                  <c:v>76.446550000000002</c:v>
                </c:pt>
                <c:pt idx="6">
                  <c:v>113.8982</c:v>
                </c:pt>
                <c:pt idx="7">
                  <c:v>96.520899999999997</c:v>
                </c:pt>
                <c:pt idx="8">
                  <c:v>118.84175</c:v>
                </c:pt>
                <c:pt idx="9">
                  <c:v>81.115624999999994</c:v>
                </c:pt>
                <c:pt idx="10">
                  <c:v>128.60759999999999</c:v>
                </c:pt>
                <c:pt idx="11">
                  <c:v>92.127799999999993</c:v>
                </c:pt>
                <c:pt idx="12">
                  <c:v>117.66334999999999</c:v>
                </c:pt>
                <c:pt idx="13">
                  <c:v>130.25885</c:v>
                </c:pt>
                <c:pt idx="14">
                  <c:v>79.253349999999998</c:v>
                </c:pt>
                <c:pt idx="15">
                  <c:v>101.45215</c:v>
                </c:pt>
                <c:pt idx="16">
                  <c:v>117.9863</c:v>
                </c:pt>
                <c:pt idx="17">
                  <c:v>115.62935</c:v>
                </c:pt>
                <c:pt idx="18">
                  <c:v>74.965000000000003</c:v>
                </c:pt>
                <c:pt idx="19">
                  <c:v>102.411725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B-48DB-AA2A-03272C5BA740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F_1_p_ac!$CB$3:$CB$22</c:f>
              <c:numCache>
                <c:formatCode>General</c:formatCode>
                <c:ptCount val="20"/>
                <c:pt idx="0">
                  <c:v>89.872474692253689</c:v>
                </c:pt>
                <c:pt idx="1">
                  <c:v>113.843186220322</c:v>
                </c:pt>
                <c:pt idx="2">
                  <c:v>132.09925250513101</c:v>
                </c:pt>
                <c:pt idx="3">
                  <c:v>97.50741062342459</c:v>
                </c:pt>
                <c:pt idx="4">
                  <c:v>120.65137100025899</c:v>
                </c:pt>
                <c:pt idx="5">
                  <c:v>84.013101975217793</c:v>
                </c:pt>
                <c:pt idx="6">
                  <c:v>144.54235442491799</c:v>
                </c:pt>
                <c:pt idx="7">
                  <c:v>115.759925632632</c:v>
                </c:pt>
                <c:pt idx="8">
                  <c:v>148.26275598386201</c:v>
                </c:pt>
                <c:pt idx="9">
                  <c:v>87.385962730924092</c:v>
                </c:pt>
                <c:pt idx="10">
                  <c:v>153.726289091718</c:v>
                </c:pt>
                <c:pt idx="11">
                  <c:v>103.015672288427</c:v>
                </c:pt>
                <c:pt idx="12">
                  <c:v>141.47011388533599</c:v>
                </c:pt>
                <c:pt idx="13">
                  <c:v>158.617886444421</c:v>
                </c:pt>
                <c:pt idx="14">
                  <c:v>87.842333557596504</c:v>
                </c:pt>
                <c:pt idx="15">
                  <c:v>116.425104982503</c:v>
                </c:pt>
                <c:pt idx="16">
                  <c:v>142.61810135740902</c:v>
                </c:pt>
                <c:pt idx="17">
                  <c:v>139.91356770170299</c:v>
                </c:pt>
                <c:pt idx="18">
                  <c:v>78.280649100680805</c:v>
                </c:pt>
                <c:pt idx="19">
                  <c:v>118.17972532931199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B-48DB-AA2A-03272C5B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409728"/>
        <c:axId val="276419712"/>
      </c:lineChart>
      <c:catAx>
        <c:axId val="276409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419712"/>
        <c:crosses val="autoZero"/>
        <c:auto val="1"/>
        <c:lblAlgn val="ctr"/>
        <c:lblOffset val="100"/>
        <c:noMultiLvlLbl val="0"/>
      </c:catAx>
      <c:valAx>
        <c:axId val="276419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409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06777623522276"/>
          <c:y val="3.2476693101534337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F_1_p_ac!$BG$3:$BG$22</c:f>
              <c:numCache>
                <c:formatCode>General</c:formatCode>
                <c:ptCount val="20"/>
                <c:pt idx="0">
                  <c:v>45901.521973421448</c:v>
                </c:pt>
                <c:pt idx="1">
                  <c:v>74621.721806644404</c:v>
                </c:pt>
                <c:pt idx="2">
                  <c:v>127876.11593975825</c:v>
                </c:pt>
                <c:pt idx="3">
                  <c:v>75762.846430481499</c:v>
                </c:pt>
                <c:pt idx="4">
                  <c:v>110329.5332277261</c:v>
                </c:pt>
                <c:pt idx="5">
                  <c:v>69539.05626039482</c:v>
                </c:pt>
                <c:pt idx="6">
                  <c:v>175094.36949241027</c:v>
                </c:pt>
                <c:pt idx="7">
                  <c:v>111181.9113557395</c:v>
                </c:pt>
                <c:pt idx="8">
                  <c:v>196206.63292054541</c:v>
                </c:pt>
                <c:pt idx="9">
                  <c:v>81932.488554717027</c:v>
                </c:pt>
                <c:pt idx="10">
                  <c:v>227152.00718177127</c:v>
                </c:pt>
                <c:pt idx="11">
                  <c:v>105995.26710523145</c:v>
                </c:pt>
                <c:pt idx="12">
                  <c:v>182270.90967782622</c:v>
                </c:pt>
                <c:pt idx="13">
                  <c:v>260731.39077533732</c:v>
                </c:pt>
                <c:pt idx="14">
                  <c:v>91934.633847076897</c:v>
                </c:pt>
                <c:pt idx="15">
                  <c:v>147923.74427595307</c:v>
                </c:pt>
                <c:pt idx="16">
                  <c:v>205850.7160015683</c:v>
                </c:pt>
                <c:pt idx="17">
                  <c:v>266584.4081817214</c:v>
                </c:pt>
                <c:pt idx="18">
                  <c:v>103855.30674568612</c:v>
                </c:pt>
                <c:pt idx="19">
                  <c:v>198520.15219741678</c:v>
                </c:pt>
              </c:numCache>
            </c:numRef>
          </c:xVal>
          <c:yVal>
            <c:numRef>
              <c:f>F_1_p_ac!$BC$3:$BC$22</c:f>
              <c:numCache>
                <c:formatCode>General</c:formatCode>
                <c:ptCount val="20"/>
                <c:pt idx="0">
                  <c:v>1.0867049342553998</c:v>
                </c:pt>
                <c:pt idx="1">
                  <c:v>1.1865025807831331</c:v>
                </c:pt>
                <c:pt idx="2">
                  <c:v>1.5646469999999999</c:v>
                </c:pt>
                <c:pt idx="3">
                  <c:v>1.2431869318181821</c:v>
                </c:pt>
                <c:pt idx="4">
                  <c:v>1.4206770017507</c:v>
                </c:pt>
                <c:pt idx="5">
                  <c:v>1.215818837209302</c:v>
                </c:pt>
                <c:pt idx="6">
                  <c:v>1.8673532073170729</c:v>
                </c:pt>
                <c:pt idx="7">
                  <c:v>1.4410452867821548</c:v>
                </c:pt>
                <c:pt idx="8">
                  <c:v>2.0649196506024099</c:v>
                </c:pt>
                <c:pt idx="9">
                  <c:v>1.289825246550472</c:v>
                </c:pt>
                <c:pt idx="10">
                  <c:v>2.30455448780488</c:v>
                </c:pt>
                <c:pt idx="11">
                  <c:v>1.4294999542868752</c:v>
                </c:pt>
                <c:pt idx="12">
                  <c:v>1.923526255813953</c:v>
                </c:pt>
                <c:pt idx="13">
                  <c:v>2.5403592345678998</c:v>
                </c:pt>
                <c:pt idx="14">
                  <c:v>1.361221953488372</c:v>
                </c:pt>
                <c:pt idx="15">
                  <c:v>1.7081882502204588</c:v>
                </c:pt>
                <c:pt idx="16">
                  <c:v>2.1054553344541098</c:v>
                </c:pt>
                <c:pt idx="17">
                  <c:v>2.6037735737704901</c:v>
                </c:pt>
                <c:pt idx="18">
                  <c:v>1.478081465631929</c:v>
                </c:pt>
                <c:pt idx="19">
                  <c:v>2.0969528018077597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5-4E5F-8597-FF753BBC406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F_1_p_ac!$BH$3:$BH$22</c:f>
              <c:numCache>
                <c:formatCode>General</c:formatCode>
                <c:ptCount val="20"/>
                <c:pt idx="0">
                  <c:v>45901.521973421448</c:v>
                </c:pt>
                <c:pt idx="1">
                  <c:v>74621.721806644404</c:v>
                </c:pt>
                <c:pt idx="2">
                  <c:v>127876.11593975827</c:v>
                </c:pt>
                <c:pt idx="3">
                  <c:v>75762.846430481499</c:v>
                </c:pt>
                <c:pt idx="4">
                  <c:v>110329.5332277261</c:v>
                </c:pt>
                <c:pt idx="5">
                  <c:v>69539.056260394806</c:v>
                </c:pt>
                <c:pt idx="6">
                  <c:v>175094.36949241027</c:v>
                </c:pt>
                <c:pt idx="7">
                  <c:v>111181.91135573952</c:v>
                </c:pt>
                <c:pt idx="8">
                  <c:v>196206.63292054541</c:v>
                </c:pt>
                <c:pt idx="9">
                  <c:v>81932.488554717027</c:v>
                </c:pt>
                <c:pt idx="10">
                  <c:v>227152.00718177127</c:v>
                </c:pt>
                <c:pt idx="11">
                  <c:v>105995.26710523145</c:v>
                </c:pt>
                <c:pt idx="12">
                  <c:v>182270.90967782619</c:v>
                </c:pt>
                <c:pt idx="13">
                  <c:v>260731.39077533732</c:v>
                </c:pt>
                <c:pt idx="14">
                  <c:v>91934.633847076897</c:v>
                </c:pt>
                <c:pt idx="15">
                  <c:v>147923.74427595307</c:v>
                </c:pt>
                <c:pt idx="16">
                  <c:v>205850.7160015683</c:v>
                </c:pt>
                <c:pt idx="17">
                  <c:v>266584.4081817214</c:v>
                </c:pt>
                <c:pt idx="18">
                  <c:v>103855.30674568612</c:v>
                </c:pt>
                <c:pt idx="19">
                  <c:v>198520.15219741678</c:v>
                </c:pt>
              </c:numCache>
            </c:numRef>
          </c:xVal>
          <c:yVal>
            <c:numRef>
              <c:f>F_1_p_ac!$AT$3:$AT$22</c:f>
              <c:numCache>
                <c:formatCode>General</c:formatCode>
                <c:ptCount val="20"/>
                <c:pt idx="0">
                  <c:v>0.74957468486454959</c:v>
                </c:pt>
                <c:pt idx="1">
                  <c:v>0.86394394261938157</c:v>
                </c:pt>
                <c:pt idx="2">
                  <c:v>1.220805170390636</c:v>
                </c:pt>
                <c:pt idx="3">
                  <c:v>0.92899055733994174</c:v>
                </c:pt>
                <c:pt idx="4">
                  <c:v>1.1383070173447183</c:v>
                </c:pt>
                <c:pt idx="5">
                  <c:v>0.92534518892661377</c:v>
                </c:pt>
                <c:pt idx="6">
                  <c:v>1.568451224370637</c:v>
                </c:pt>
                <c:pt idx="7">
                  <c:v>1.1703895762594134</c:v>
                </c:pt>
                <c:pt idx="8">
                  <c:v>1.5833518318696838</c:v>
                </c:pt>
                <c:pt idx="9">
                  <c:v>0.99476345052769788</c:v>
                </c:pt>
                <c:pt idx="10">
                  <c:v>1.8085475426434989</c:v>
                </c:pt>
                <c:pt idx="11">
                  <c:v>1.1730513666770788</c:v>
                </c:pt>
                <c:pt idx="12">
                  <c:v>1.6274749595912517</c:v>
                </c:pt>
                <c:pt idx="13">
                  <c:v>1.9343639465205802</c:v>
                </c:pt>
                <c:pt idx="14">
                  <c:v>1.0829508384193274</c:v>
                </c:pt>
                <c:pt idx="15">
                  <c:v>1.3955228451594222</c:v>
                </c:pt>
                <c:pt idx="16">
                  <c:v>1.7085453786241918</c:v>
                </c:pt>
                <c:pt idx="17">
                  <c:v>1.9624199860401184</c:v>
                </c:pt>
                <c:pt idx="18">
                  <c:v>1.1895388982908699</c:v>
                </c:pt>
                <c:pt idx="19">
                  <c:v>1.724927413034669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5-4E5F-8597-FF753BBC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59904"/>
        <c:axId val="276461440"/>
      </c:scatte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xVal>
            <c:numRef>
              <c:f>F_1_p_ac!$BH$3:$BH$22</c:f>
              <c:numCache>
                <c:formatCode>General</c:formatCode>
                <c:ptCount val="20"/>
                <c:pt idx="0">
                  <c:v>45901.521973421448</c:v>
                </c:pt>
                <c:pt idx="1">
                  <c:v>74621.721806644404</c:v>
                </c:pt>
                <c:pt idx="2">
                  <c:v>127876.11593975827</c:v>
                </c:pt>
                <c:pt idx="3">
                  <c:v>75762.846430481499</c:v>
                </c:pt>
                <c:pt idx="4">
                  <c:v>110329.5332277261</c:v>
                </c:pt>
                <c:pt idx="5">
                  <c:v>69539.056260394806</c:v>
                </c:pt>
                <c:pt idx="6">
                  <c:v>175094.36949241027</c:v>
                </c:pt>
                <c:pt idx="7">
                  <c:v>111181.91135573952</c:v>
                </c:pt>
                <c:pt idx="8">
                  <c:v>196206.63292054541</c:v>
                </c:pt>
                <c:pt idx="9">
                  <c:v>81932.488554717027</c:v>
                </c:pt>
                <c:pt idx="10">
                  <c:v>227152.00718177127</c:v>
                </c:pt>
                <c:pt idx="11">
                  <c:v>105995.26710523145</c:v>
                </c:pt>
                <c:pt idx="12">
                  <c:v>182270.90967782619</c:v>
                </c:pt>
                <c:pt idx="13">
                  <c:v>260731.39077533732</c:v>
                </c:pt>
                <c:pt idx="14">
                  <c:v>91934.633847076897</c:v>
                </c:pt>
                <c:pt idx="15">
                  <c:v>147923.74427595307</c:v>
                </c:pt>
                <c:pt idx="16">
                  <c:v>205850.7160015683</c:v>
                </c:pt>
                <c:pt idx="17">
                  <c:v>266584.4081817214</c:v>
                </c:pt>
                <c:pt idx="18">
                  <c:v>103855.30674568612</c:v>
                </c:pt>
                <c:pt idx="19">
                  <c:v>198520.15219741678</c:v>
                </c:pt>
              </c:numCache>
            </c:numRef>
          </c:xVal>
          <c:yVal>
            <c:numRef>
              <c:f>F_1_p_ac!$AS$3:$AS$22</c:f>
              <c:numCache>
                <c:formatCode>General</c:formatCode>
                <c:ptCount val="20"/>
                <c:pt idx="0">
                  <c:v>1.5229521137921007E-3</c:v>
                </c:pt>
                <c:pt idx="1">
                  <c:v>1.7434288174997719E-3</c:v>
                </c:pt>
                <c:pt idx="2">
                  <c:v>2.377143330147461E-3</c:v>
                </c:pt>
                <c:pt idx="3">
                  <c:v>1.8703647272314665E-3</c:v>
                </c:pt>
                <c:pt idx="4">
                  <c:v>2.2168570101101679E-3</c:v>
                </c:pt>
                <c:pt idx="5">
                  <c:v>1.8556822191988368E-3</c:v>
                </c:pt>
                <c:pt idx="6">
                  <c:v>3.0570022010711312E-3</c:v>
                </c:pt>
                <c:pt idx="7">
                  <c:v>2.2495590570278412E-3</c:v>
                </c:pt>
                <c:pt idx="8">
                  <c:v>3.1493839120829668E-3</c:v>
                </c:pt>
                <c:pt idx="9">
                  <c:v>1.9799355896117413E-3</c:v>
                </c:pt>
                <c:pt idx="10">
                  <c:v>3.522714680068784E-3</c:v>
                </c:pt>
                <c:pt idx="11">
                  <c:v>2.2356721408298527E-3</c:v>
                </c:pt>
                <c:pt idx="12">
                  <c:v>3.147924698605285E-3</c:v>
                </c:pt>
                <c:pt idx="13">
                  <c:v>3.8551041710997418E-3</c:v>
                </c:pt>
                <c:pt idx="14">
                  <c:v>2.1359631063813016E-3</c:v>
                </c:pt>
                <c:pt idx="15">
                  <c:v>2.6818565807632967E-3</c:v>
                </c:pt>
                <c:pt idx="16">
                  <c:v>3.3252768807595389E-3</c:v>
                </c:pt>
                <c:pt idx="17">
                  <c:v>3.934134177925732E-3</c:v>
                </c:pt>
                <c:pt idx="18">
                  <c:v>2.2946726921487235E-3</c:v>
                </c:pt>
                <c:pt idx="19">
                  <c:v>3.2993147986565365E-3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45-4E5F-8597-FF753BBC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64768"/>
        <c:axId val="276462976"/>
      </c:scatterChart>
      <c:valAx>
        <c:axId val="2764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6461440"/>
        <c:crosses val="autoZero"/>
        <c:crossBetween val="midCat"/>
      </c:valAx>
      <c:valAx>
        <c:axId val="27646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6459904"/>
        <c:crosses val="autoZero"/>
        <c:crossBetween val="midCat"/>
      </c:valAx>
      <c:valAx>
        <c:axId val="27646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6464768"/>
        <c:crosses val="max"/>
        <c:crossBetween val="midCat"/>
      </c:valAx>
      <c:valAx>
        <c:axId val="27646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6462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19531933508316"/>
          <c:y val="0.19888196267133276"/>
          <c:w val="0.128582458442694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Air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F_1_p_ac!$AP$3:$AP$22</c:f>
              <c:numCache>
                <c:formatCode>General</c:formatCode>
                <c:ptCount val="20"/>
                <c:pt idx="0">
                  <c:v>6.08351018052821E-2</c:v>
                </c:pt>
                <c:pt idx="1">
                  <c:v>6.9686986800950507E-2</c:v>
                </c:pt>
                <c:pt idx="2">
                  <c:v>0.118739128002938</c:v>
                </c:pt>
                <c:pt idx="3">
                  <c:v>9.3429359655262806E-2</c:v>
                </c:pt>
                <c:pt idx="4">
                  <c:v>0.110743383755048</c:v>
                </c:pt>
                <c:pt idx="5">
                  <c:v>0.11121727799572501</c:v>
                </c:pt>
                <c:pt idx="6">
                  <c:v>0.183246570872416</c:v>
                </c:pt>
                <c:pt idx="7">
                  <c:v>0.13484842755794099</c:v>
                </c:pt>
                <c:pt idx="8">
                  <c:v>0.188799830102854</c:v>
                </c:pt>
                <c:pt idx="9">
                  <c:v>0.13848153956064399</c:v>
                </c:pt>
                <c:pt idx="10">
                  <c:v>0.246653544753869</c:v>
                </c:pt>
                <c:pt idx="11">
                  <c:v>0.156625274081856</c:v>
                </c:pt>
                <c:pt idx="12">
                  <c:v>0.220920900831717</c:v>
                </c:pt>
                <c:pt idx="13">
                  <c:v>0.30812350802835697</c:v>
                </c:pt>
                <c:pt idx="14">
                  <c:v>0.17074428487236401</c:v>
                </c:pt>
                <c:pt idx="15">
                  <c:v>0.214439215891713</c:v>
                </c:pt>
                <c:pt idx="16">
                  <c:v>0.26590168532179997</c:v>
                </c:pt>
                <c:pt idx="17">
                  <c:v>0.35346153228694999</c:v>
                </c:pt>
                <c:pt idx="18">
                  <c:v>0.20642917222148399</c:v>
                </c:pt>
                <c:pt idx="19">
                  <c:v>0.29683668605376101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0-45BB-BCAB-EC74F2C87834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F_1_p_ac!$BU$3:$BU$22</c:f>
              <c:numCache>
                <c:formatCode>General</c:formatCode>
                <c:ptCount val="20"/>
                <c:pt idx="0">
                  <c:v>7.5501553241951097E-2</c:v>
                </c:pt>
                <c:pt idx="1">
                  <c:v>8.3528197577657198E-2</c:v>
                </c:pt>
                <c:pt idx="2">
                  <c:v>0.13745610722167501</c:v>
                </c:pt>
                <c:pt idx="3">
                  <c:v>0.110182643868258</c:v>
                </c:pt>
                <c:pt idx="4">
                  <c:v>0.123178594827739</c:v>
                </c:pt>
                <c:pt idx="5">
                  <c:v>0.12988597283904499</c:v>
                </c:pt>
                <c:pt idx="6">
                  <c:v>0.197313846063704</c:v>
                </c:pt>
                <c:pt idx="7">
                  <c:v>0.148820488548842</c:v>
                </c:pt>
                <c:pt idx="8">
                  <c:v>0.22603839698341099</c:v>
                </c:pt>
                <c:pt idx="9">
                  <c:v>0.16194936222828399</c:v>
                </c:pt>
                <c:pt idx="10">
                  <c:v>0.28818653343307399</c:v>
                </c:pt>
                <c:pt idx="11">
                  <c:v>0.17243105903463299</c:v>
                </c:pt>
                <c:pt idx="12">
                  <c:v>0.238772170777238</c:v>
                </c:pt>
                <c:pt idx="13">
                  <c:v>0.37174556251955698</c:v>
                </c:pt>
                <c:pt idx="14">
                  <c:v>0.19483162953451599</c:v>
                </c:pt>
                <c:pt idx="15">
                  <c:v>0.23989333208695701</c:v>
                </c:pt>
                <c:pt idx="16">
                  <c:v>0.300925972025543</c:v>
                </c:pt>
                <c:pt idx="17">
                  <c:v>0.43262668709869401</c:v>
                </c:pt>
                <c:pt idx="18">
                  <c:v>0.23413982882602399</c:v>
                </c:pt>
                <c:pt idx="19">
                  <c:v>0.33276216311374701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0-45BB-BCAB-EC74F2C87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63456"/>
        <c:axId val="276565376"/>
      </c:lineChart>
      <c:catAx>
        <c:axId val="27656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565376"/>
        <c:crosses val="autoZero"/>
        <c:auto val="1"/>
        <c:lblAlgn val="ctr"/>
        <c:lblOffset val="100"/>
        <c:noMultiLvlLbl val="0"/>
      </c:catAx>
      <c:valAx>
        <c:axId val="27656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563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F_1_p_ac!$AU$3:$AU$22</c:f>
              <c:numCache>
                <c:formatCode>General</c:formatCode>
                <c:ptCount val="20"/>
                <c:pt idx="0">
                  <c:v>6.3611923192186226E-2</c:v>
                </c:pt>
                <c:pt idx="1">
                  <c:v>7.4390708391763288E-2</c:v>
                </c:pt>
                <c:pt idx="2">
                  <c:v>0.12639752341732824</c:v>
                </c:pt>
                <c:pt idx="3">
                  <c:v>9.7887884078444606E-2</c:v>
                </c:pt>
                <c:pt idx="4">
                  <c:v>0.11737778241123036</c:v>
                </c:pt>
                <c:pt idx="5">
                  <c:v>0.11537075624991106</c:v>
                </c:pt>
                <c:pt idx="6">
                  <c:v>0.19340270222524528</c:v>
                </c:pt>
                <c:pt idx="7">
                  <c:v>0.14126668248893481</c:v>
                </c:pt>
                <c:pt idx="8">
                  <c:v>0.20010528518945642</c:v>
                </c:pt>
                <c:pt idx="9">
                  <c:v>0.14335544960904398</c:v>
                </c:pt>
                <c:pt idx="10">
                  <c:v>0.25943250518918609</c:v>
                </c:pt>
                <c:pt idx="11">
                  <c:v>0.16277340289805897</c:v>
                </c:pt>
                <c:pt idx="12">
                  <c:v>0.23121176117506584</c:v>
                </c:pt>
                <c:pt idx="13">
                  <c:v>0.32293800085843105</c:v>
                </c:pt>
                <c:pt idx="14">
                  <c:v>0.17629362237692214</c:v>
                </c:pt>
                <c:pt idx="15">
                  <c:v>0.22291326658692465</c:v>
                </c:pt>
                <c:pt idx="16">
                  <c:v>0.27749797009922006</c:v>
                </c:pt>
                <c:pt idx="17">
                  <c:v>0.36940684380222866</c:v>
                </c:pt>
                <c:pt idx="18">
                  <c:v>0.21292866590165307</c:v>
                </c:pt>
                <c:pt idx="19">
                  <c:v>0.30848744376031922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36B-8224-3994AEACB8FA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F_1_p_ac!$BV$3:$BV$22</c:f>
              <c:numCache>
                <c:formatCode>General</c:formatCode>
                <c:ptCount val="20"/>
                <c:pt idx="0">
                  <c:v>7.7468125475425198E-2</c:v>
                </c:pt>
                <c:pt idx="1">
                  <c:v>8.74268048991515E-2</c:v>
                </c:pt>
                <c:pt idx="2">
                  <c:v>0.14756459208716999</c:v>
                </c:pt>
                <c:pt idx="3">
                  <c:v>0.11491955834657901</c:v>
                </c:pt>
                <c:pt idx="4">
                  <c:v>0.13123047118203801</c:v>
                </c:pt>
                <c:pt idx="5">
                  <c:v>0.13398127102862301</c:v>
                </c:pt>
                <c:pt idx="6">
                  <c:v>0.205553686907919</c:v>
                </c:pt>
                <c:pt idx="7">
                  <c:v>0.15554537553235701</c:v>
                </c:pt>
                <c:pt idx="8">
                  <c:v>0.229765176859414</c:v>
                </c:pt>
                <c:pt idx="9">
                  <c:v>0.166059106282017</c:v>
                </c:pt>
                <c:pt idx="10">
                  <c:v>0.29979442846229898</c:v>
                </c:pt>
                <c:pt idx="11">
                  <c:v>0.178712034520916</c:v>
                </c:pt>
                <c:pt idx="12">
                  <c:v>0.248595329748793</c:v>
                </c:pt>
                <c:pt idx="13">
                  <c:v>0.387677816429572</c:v>
                </c:pt>
                <c:pt idx="14">
                  <c:v>0.19941538008382301</c:v>
                </c:pt>
                <c:pt idx="15">
                  <c:v>0.24787363059645801</c:v>
                </c:pt>
                <c:pt idx="16">
                  <c:v>0.31241986782801301</c:v>
                </c:pt>
                <c:pt idx="17">
                  <c:v>0.447889251663322</c:v>
                </c:pt>
                <c:pt idx="18">
                  <c:v>0.23957016982665699</c:v>
                </c:pt>
                <c:pt idx="19">
                  <c:v>0.34408018338067797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E-436B-8224-3994AEAC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591360"/>
        <c:axId val="276593280"/>
      </c:lineChart>
      <c:catAx>
        <c:axId val="276591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593280"/>
        <c:crosses val="autoZero"/>
        <c:auto val="1"/>
        <c:lblAlgn val="ctr"/>
        <c:lblOffset val="100"/>
        <c:noMultiLvlLbl val="0"/>
      </c:catAx>
      <c:valAx>
        <c:axId val="27659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591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Fuel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F_1_p_ac!$AX$3:$AX$22</c:f>
              <c:numCache>
                <c:formatCode>General</c:formatCode>
                <c:ptCount val="20"/>
                <c:pt idx="0">
                  <c:v>2.7768213869041303E-3</c:v>
                </c:pt>
                <c:pt idx="1">
                  <c:v>4.7037215908127773E-3</c:v>
                </c:pt>
                <c:pt idx="2">
                  <c:v>7.6583954143902497E-3</c:v>
                </c:pt>
                <c:pt idx="3">
                  <c:v>4.4585244231818057E-3</c:v>
                </c:pt>
                <c:pt idx="4">
                  <c:v>6.6343986561823607E-3</c:v>
                </c:pt>
                <c:pt idx="5">
                  <c:v>4.1534782541860563E-3</c:v>
                </c:pt>
                <c:pt idx="6">
                  <c:v>1.0156131352829278E-2</c:v>
                </c:pt>
                <c:pt idx="7">
                  <c:v>6.4182549309938332E-3</c:v>
                </c:pt>
                <c:pt idx="8">
                  <c:v>1.1305455086602417E-2</c:v>
                </c:pt>
                <c:pt idx="9">
                  <c:v>4.8739100483999997E-3</c:v>
                </c:pt>
                <c:pt idx="10">
                  <c:v>1.2778960435317085E-2</c:v>
                </c:pt>
                <c:pt idx="11">
                  <c:v>6.1481288162029725E-3</c:v>
                </c:pt>
                <c:pt idx="12">
                  <c:v>1.0290860343348834E-2</c:v>
                </c:pt>
                <c:pt idx="13">
                  <c:v>1.4814492830074083E-2</c:v>
                </c:pt>
                <c:pt idx="14">
                  <c:v>5.5493375045581397E-3</c:v>
                </c:pt>
                <c:pt idx="15">
                  <c:v>8.4740506952116386E-3</c:v>
                </c:pt>
                <c:pt idx="16">
                  <c:v>1.1596284777420085E-2</c:v>
                </c:pt>
                <c:pt idx="17">
                  <c:v>1.5945311515278691E-2</c:v>
                </c:pt>
                <c:pt idx="18">
                  <c:v>6.4994936801690828E-3</c:v>
                </c:pt>
                <c:pt idx="19">
                  <c:v>1.1650757706558195E-2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F-4476-BB1A-E3D4EDC310EE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F_1_p_ac!$BW$3:$BW$22</c:f>
              <c:numCache>
                <c:formatCode>General</c:formatCode>
                <c:ptCount val="20"/>
                <c:pt idx="0">
                  <c:v>3.5209589308852398E-3</c:v>
                </c:pt>
                <c:pt idx="1">
                  <c:v>5.9974298612432897E-3</c:v>
                </c:pt>
                <c:pt idx="2">
                  <c:v>9.3908217651485892E-3</c:v>
                </c:pt>
                <c:pt idx="3">
                  <c:v>5.4733990871404297E-3</c:v>
                </c:pt>
                <c:pt idx="4">
                  <c:v>8.14981750630101E-3</c:v>
                </c:pt>
                <c:pt idx="5">
                  <c:v>4.7450084861780598E-3</c:v>
                </c:pt>
                <c:pt idx="6">
                  <c:v>1.1970537190903199E-2</c:v>
                </c:pt>
                <c:pt idx="7">
                  <c:v>7.69960980018771E-3</c:v>
                </c:pt>
                <c:pt idx="8">
                  <c:v>1.32759005818036E-2</c:v>
                </c:pt>
                <c:pt idx="9">
                  <c:v>5.3370784343972702E-3</c:v>
                </c:pt>
                <c:pt idx="10">
                  <c:v>1.4587098578017E-2</c:v>
                </c:pt>
                <c:pt idx="11">
                  <c:v>6.9704353463618399E-3</c:v>
                </c:pt>
                <c:pt idx="12">
                  <c:v>1.17519873894599E-2</c:v>
                </c:pt>
                <c:pt idx="13">
                  <c:v>1.5765885345263301E-2</c:v>
                </c:pt>
                <c:pt idx="14">
                  <c:v>5.7544415979342498E-3</c:v>
                </c:pt>
                <c:pt idx="15">
                  <c:v>9.14590111475104E-3</c:v>
                </c:pt>
                <c:pt idx="16">
                  <c:v>1.2563959003704999E-2</c:v>
                </c:pt>
                <c:pt idx="17">
                  <c:v>1.57682191755186E-2</c:v>
                </c:pt>
                <c:pt idx="18">
                  <c:v>6.3115648182594398E-3</c:v>
                </c:pt>
                <c:pt idx="19">
                  <c:v>1.1896277721032199E-2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F-4476-BB1A-E3D4EDC31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23360"/>
        <c:axId val="276625280"/>
      </c:lineChart>
      <c:catAx>
        <c:axId val="2766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625280"/>
        <c:crosses val="autoZero"/>
        <c:auto val="1"/>
        <c:lblAlgn val="ctr"/>
        <c:lblOffset val="100"/>
        <c:noMultiLvlLbl val="0"/>
      </c:catAx>
      <c:valAx>
        <c:axId val="276625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62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F_1_p_ac!$AN$3:$AN$22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215.60103924952699</c:v>
                </c:pt>
                <c:pt idx="3">
                  <c:v>211.85434127243801</c:v>
                </c:pt>
                <c:pt idx="4">
                  <c:v>216.47726101549799</c:v>
                </c:pt>
                <c:pt idx="5">
                  <c:v>215.02336268526301</c:v>
                </c:pt>
                <c:pt idx="6">
                  <c:v>208.81352710642199</c:v>
                </c:pt>
                <c:pt idx="7">
                  <c:v>207.819037016268</c:v>
                </c:pt>
                <c:pt idx="8">
                  <c:v>207.43253021548</c:v>
                </c:pt>
                <c:pt idx="9">
                  <c:v>214.15285296164501</c:v>
                </c:pt>
                <c:pt idx="10">
                  <c:v>202.52630887090501</c:v>
                </c:pt>
                <c:pt idx="11">
                  <c:v>208.81369841124001</c:v>
                </c:pt>
                <c:pt idx="12">
                  <c:v>203.25293433570101</c:v>
                </c:pt>
                <c:pt idx="13">
                  <c:v>204.548343909311</c:v>
                </c:pt>
                <c:pt idx="14">
                  <c:v>217.302383013129</c:v>
                </c:pt>
                <c:pt idx="15">
                  <c:v>206.231816616619</c:v>
                </c:pt>
                <c:pt idx="16">
                  <c:v>202.800485757817</c:v>
                </c:pt>
                <c:pt idx="17">
                  <c:v>215.32812757703999</c:v>
                </c:pt>
                <c:pt idx="18">
                  <c:v>225.295923547792</c:v>
                </c:pt>
                <c:pt idx="19">
                  <c:v>211.276927200317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D-4E99-B0DE-ECDA0F92F91A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F_1_p_ac!$BZ$3:$BZ$22</c:f>
              <c:numCache>
                <c:formatCode>General</c:formatCode>
                <c:ptCount val="20"/>
                <c:pt idx="0">
                  <c:v>240.30868266546676</c:v>
                </c:pt>
                <c:pt idx="1">
                  <c:v>249.7269520546642</c:v>
                </c:pt>
                <c:pt idx="2">
                  <c:v>240.16270380606417</c:v>
                </c:pt>
                <c:pt idx="3">
                  <c:v>235.18831955879534</c:v>
                </c:pt>
                <c:pt idx="4">
                  <c:v>240.91791562227061</c:v>
                </c:pt>
                <c:pt idx="5">
                  <c:v>225.82374207986652</c:v>
                </c:pt>
                <c:pt idx="6">
                  <c:v>229.18524379470944</c:v>
                </c:pt>
                <c:pt idx="7">
                  <c:v>228.09777211668305</c:v>
                </c:pt>
                <c:pt idx="8">
                  <c:v>228.86532003754931</c:v>
                </c:pt>
                <c:pt idx="9">
                  <c:v>220.12125619561215</c:v>
                </c:pt>
                <c:pt idx="10">
                  <c:v>219.45006712471613</c:v>
                </c:pt>
                <c:pt idx="11">
                  <c:v>219.19714428221451</c:v>
                </c:pt>
                <c:pt idx="12">
                  <c:v>217.54346437784736</c:v>
                </c:pt>
                <c:pt idx="13">
                  <c:v>207.9710746265026</c:v>
                </c:pt>
                <c:pt idx="14">
                  <c:v>211.37817970162217</c:v>
                </c:pt>
                <c:pt idx="15">
                  <c:v>209.75106304513693</c:v>
                </c:pt>
                <c:pt idx="16">
                  <c:v>208.97742444255815</c:v>
                </c:pt>
                <c:pt idx="17">
                  <c:v>206.65377325542337</c:v>
                </c:pt>
                <c:pt idx="18">
                  <c:v>210.9876911304795</c:v>
                </c:pt>
                <c:pt idx="19">
                  <c:v>208.19018513410563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D-4E99-B0DE-ECDA0F92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655104"/>
        <c:axId val="276665472"/>
      </c:lineChart>
      <c:catAx>
        <c:axId val="27665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665472"/>
        <c:crosses val="autoZero"/>
        <c:auto val="1"/>
        <c:lblAlgn val="ctr"/>
        <c:lblOffset val="100"/>
        <c:noMultiLvlLbl val="0"/>
      </c:catAx>
      <c:valAx>
        <c:axId val="276665472"/>
        <c:scaling>
          <c:orientation val="minMax"/>
          <c:min val="1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65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90771313044385"/>
          <c:y val="8.3976637619053968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NOx</a:t>
            </a:r>
            <a:r>
              <a:rPr lang="nb-NO" baseline="0"/>
              <a:t> factor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F_1_p_ac!$AO$3:$AO$22</c:f>
              <c:numCache>
                <c:formatCode>General</c:formatCode>
                <c:ptCount val="20"/>
                <c:pt idx="0">
                  <c:v>10.2453545989788</c:v>
                </c:pt>
                <c:pt idx="1">
                  <c:v>8.4685523214266407</c:v>
                </c:pt>
                <c:pt idx="2">
                  <c:v>6.4618412218254901</c:v>
                </c:pt>
                <c:pt idx="3">
                  <c:v>8.8366798552297592</c:v>
                </c:pt>
                <c:pt idx="4">
                  <c:v>7.4701253612224301</c:v>
                </c:pt>
                <c:pt idx="5">
                  <c:v>10.105446637395399</c:v>
                </c:pt>
                <c:pt idx="6">
                  <c:v>7.2148734341513601</c:v>
                </c:pt>
                <c:pt idx="7">
                  <c:v>9.3441035523619504</c:v>
                </c:pt>
                <c:pt idx="8">
                  <c:v>6.7060049982314798</c:v>
                </c:pt>
                <c:pt idx="9">
                  <c:v>10.299742070359301</c:v>
                </c:pt>
                <c:pt idx="10">
                  <c:v>7.2090549467427998</c:v>
                </c:pt>
                <c:pt idx="11">
                  <c:v>9.80650325424571</c:v>
                </c:pt>
                <c:pt idx="12">
                  <c:v>8.4721632528882704</c:v>
                </c:pt>
                <c:pt idx="13">
                  <c:v>7.0580835676811198</c:v>
                </c:pt>
                <c:pt idx="14">
                  <c:v>11.3675340932671</c:v>
                </c:pt>
                <c:pt idx="15">
                  <c:v>9.52270345366348</c:v>
                </c:pt>
                <c:pt idx="16">
                  <c:v>8.3289560913665692</c:v>
                </c:pt>
                <c:pt idx="17">
                  <c:v>5.9162327272112396</c:v>
                </c:pt>
                <c:pt idx="18">
                  <c:v>7.4984180199449</c:v>
                </c:pt>
                <c:pt idx="19">
                  <c:v>6.6973183888131897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DAB-99AC-0F01003F0753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F_1_p_ac!$CA$3:$CA$22</c:f>
              <c:numCache>
                <c:formatCode>General</c:formatCode>
                <c:ptCount val="20"/>
                <c:pt idx="0">
                  <c:v>9.8224634882857007</c:v>
                </c:pt>
                <c:pt idx="1">
                  <c:v>10.0131081706201</c:v>
                </c:pt>
                <c:pt idx="2">
                  <c:v>8.8737359978178194</c:v>
                </c:pt>
                <c:pt idx="3">
                  <c:v>8.72454117917178</c:v>
                </c:pt>
                <c:pt idx="4">
                  <c:v>9.3415727528153205</c:v>
                </c:pt>
                <c:pt idx="5">
                  <c:v>9.2456589665089002</c:v>
                </c:pt>
                <c:pt idx="6">
                  <c:v>7.84942026050925</c:v>
                </c:pt>
                <c:pt idx="7">
                  <c:v>8.9835134031233697</c:v>
                </c:pt>
                <c:pt idx="8">
                  <c:v>6.72205391457695</c:v>
                </c:pt>
                <c:pt idx="9" formatCode="0.00E+00">
                  <c:v>9.2002989895944491</c:v>
                </c:pt>
                <c:pt idx="10">
                  <c:v>7.0849466021311898</c:v>
                </c:pt>
                <c:pt idx="11">
                  <c:v>9.2841827276958</c:v>
                </c:pt>
                <c:pt idx="12">
                  <c:v>8.1751220796039004</c:v>
                </c:pt>
                <c:pt idx="13">
                  <c:v>7.18904264650826</c:v>
                </c:pt>
                <c:pt idx="14" formatCode="0.00E+00">
                  <c:v>9.3242918890402393</c:v>
                </c:pt>
                <c:pt idx="15">
                  <c:v>9.0202846564393599</c:v>
                </c:pt>
                <c:pt idx="16">
                  <c:v>8.3187133084721498</c:v>
                </c:pt>
                <c:pt idx="17">
                  <c:v>6.8289731213847897</c:v>
                </c:pt>
                <c:pt idx="18" formatCode="0.00E+00">
                  <c:v>9.0689832026891004</c:v>
                </c:pt>
                <c:pt idx="19">
                  <c:v>8.0886307218130504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DAB-99AC-0F01003F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764928"/>
        <c:axId val="276767104"/>
      </c:lineChart>
      <c:catAx>
        <c:axId val="2767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767104"/>
        <c:crosses val="autoZero"/>
        <c:auto val="1"/>
        <c:lblAlgn val="ctr"/>
        <c:lblOffset val="100"/>
        <c:noMultiLvlLbl val="0"/>
      </c:catAx>
      <c:valAx>
        <c:axId val="276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76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7800947533975807E-2"/>
          <c:y val="0.60884497281292227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Maximum Cylinder Pressure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F_1_p_ac!$BA$3:$BA$22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104.4314</c:v>
                </c:pt>
                <c:pt idx="3">
                  <c:v>81.675150000000002</c:v>
                </c:pt>
                <c:pt idx="4">
                  <c:v>95.019499999999994</c:v>
                </c:pt>
                <c:pt idx="5">
                  <c:v>76.446550000000002</c:v>
                </c:pt>
                <c:pt idx="6">
                  <c:v>113.8982</c:v>
                </c:pt>
                <c:pt idx="7">
                  <c:v>96.520899999999997</c:v>
                </c:pt>
                <c:pt idx="8">
                  <c:v>118.84175</c:v>
                </c:pt>
                <c:pt idx="9">
                  <c:v>81.115624999999994</c:v>
                </c:pt>
                <c:pt idx="10">
                  <c:v>128.60759999999999</c:v>
                </c:pt>
                <c:pt idx="11">
                  <c:v>92.127799999999993</c:v>
                </c:pt>
                <c:pt idx="12">
                  <c:v>117.66334999999999</c:v>
                </c:pt>
                <c:pt idx="13">
                  <c:v>130.25885</c:v>
                </c:pt>
                <c:pt idx="14">
                  <c:v>79.253349999999998</c:v>
                </c:pt>
                <c:pt idx="15">
                  <c:v>101.45215</c:v>
                </c:pt>
                <c:pt idx="16">
                  <c:v>117.9863</c:v>
                </c:pt>
                <c:pt idx="17">
                  <c:v>115.62935</c:v>
                </c:pt>
                <c:pt idx="18">
                  <c:v>74.965000000000003</c:v>
                </c:pt>
                <c:pt idx="19">
                  <c:v>102.411725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4-4D5C-AD77-EA7AD1121536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F_1_p_ac!$CB$3:$CB$22</c:f>
              <c:numCache>
                <c:formatCode>General</c:formatCode>
                <c:ptCount val="20"/>
                <c:pt idx="0">
                  <c:v>89.872474692253689</c:v>
                </c:pt>
                <c:pt idx="1">
                  <c:v>113.843186220322</c:v>
                </c:pt>
                <c:pt idx="2">
                  <c:v>132.09925250513101</c:v>
                </c:pt>
                <c:pt idx="3">
                  <c:v>97.50741062342459</c:v>
                </c:pt>
                <c:pt idx="4">
                  <c:v>120.65137100025899</c:v>
                </c:pt>
                <c:pt idx="5">
                  <c:v>84.013101975217793</c:v>
                </c:pt>
                <c:pt idx="6">
                  <c:v>144.54235442491799</c:v>
                </c:pt>
                <c:pt idx="7">
                  <c:v>115.759925632632</c:v>
                </c:pt>
                <c:pt idx="8">
                  <c:v>148.26275598386201</c:v>
                </c:pt>
                <c:pt idx="9">
                  <c:v>87.385962730924092</c:v>
                </c:pt>
                <c:pt idx="10">
                  <c:v>153.726289091718</c:v>
                </c:pt>
                <c:pt idx="11">
                  <c:v>103.015672288427</c:v>
                </c:pt>
                <c:pt idx="12">
                  <c:v>141.47011388533599</c:v>
                </c:pt>
                <c:pt idx="13">
                  <c:v>158.617886444421</c:v>
                </c:pt>
                <c:pt idx="14">
                  <c:v>87.842333557596504</c:v>
                </c:pt>
                <c:pt idx="15">
                  <c:v>116.425104982503</c:v>
                </c:pt>
                <c:pt idx="16">
                  <c:v>142.61810135740902</c:v>
                </c:pt>
                <c:pt idx="17">
                  <c:v>139.91356770170299</c:v>
                </c:pt>
                <c:pt idx="18">
                  <c:v>78.280649100680805</c:v>
                </c:pt>
                <c:pt idx="19">
                  <c:v>118.17972532931199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4-4D5C-AD77-EA7AD112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805120"/>
        <c:axId val="276807040"/>
      </c:lineChart>
      <c:catAx>
        <c:axId val="2768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6807040"/>
        <c:crosses val="autoZero"/>
        <c:auto val="1"/>
        <c:lblAlgn val="ctr"/>
        <c:lblOffset val="100"/>
        <c:noMultiLvlLbl val="0"/>
      </c:catAx>
      <c:valAx>
        <c:axId val="276807040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80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5364367429312"/>
          <c:y val="0.6670158918378498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25193159688785"/>
          <c:y val="6.969446035968567E-2"/>
          <c:w val="0.84358646985198349"/>
          <c:h val="0.816644886527554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5"/>
            <c:spPr>
              <a:ln w="1270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1.2137435914099447E-2"/>
                  <c:y val="-1.7825306939153351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C6-4F24-B857-5D3FAC42871C}"/>
                </c:ext>
              </c:extLst>
            </c:dLbl>
            <c:dLbl>
              <c:idx val="1"/>
              <c:layout>
                <c:manualLayout>
                  <c:x val="-1.517179489262431E-2"/>
                  <c:y val="-2.495542971481470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C6-4F24-B857-5D3FAC42871C}"/>
                </c:ext>
              </c:extLst>
            </c:dLbl>
            <c:dLbl>
              <c:idx val="2"/>
              <c:layout>
                <c:manualLayout>
                  <c:x val="-1.8206153871149173E-2"/>
                  <c:y val="-1.426024555132270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C6-4F24-B857-5D3FAC42871C}"/>
                </c:ext>
              </c:extLst>
            </c:dLbl>
            <c:dLbl>
              <c:idx val="3"/>
              <c:layout>
                <c:manualLayout>
                  <c:x val="-1.517179489262431E-2"/>
                  <c:y val="-2.852049110264541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C6-4F24-B857-5D3FAC42871C}"/>
                </c:ext>
              </c:extLst>
            </c:dLbl>
            <c:dLbl>
              <c:idx val="4"/>
              <c:layout>
                <c:manualLayout>
                  <c:x val="-1.517179489262431E-2"/>
                  <c:y val="-1.782530693915338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C6-4F24-B857-5D3FAC42871C}"/>
                </c:ext>
              </c:extLst>
            </c:dLbl>
            <c:dLbl>
              <c:idx val="5"/>
              <c:layout>
                <c:manualLayout>
                  <c:x val="-1.8206153871149173E-2"/>
                  <c:y val="-2.852049110264541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C6-4F24-B857-5D3FAC42871C}"/>
                </c:ext>
              </c:extLst>
            </c:dLbl>
            <c:dLbl>
              <c:idx val="6"/>
              <c:layout>
                <c:manualLayout>
                  <c:x val="-6.0687179570497237E-3"/>
                  <c:y val="-1.782530693915338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C6-4F24-B857-5D3FAC42871C}"/>
                </c:ext>
              </c:extLst>
            </c:dLbl>
            <c:dLbl>
              <c:idx val="7"/>
              <c:layout>
                <c:manualLayout>
                  <c:x val="-2.4274871828198895E-2"/>
                  <c:y val="-2.8520491102645415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C6-4F24-B857-5D3FAC42871C}"/>
                </c:ext>
              </c:extLst>
            </c:dLbl>
            <c:dLbl>
              <c:idx val="8"/>
              <c:layout>
                <c:manualLayout>
                  <c:x val="-1.8206153871149173E-2"/>
                  <c:y val="-2.49554297148147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C6-4F24-B857-5D3FAC42871C}"/>
                </c:ext>
              </c:extLst>
            </c:dLbl>
            <c:dLbl>
              <c:idx val="9"/>
              <c:layout>
                <c:manualLayout>
                  <c:x val="-1.2137435914099447E-2"/>
                  <c:y val="-1.426024555132270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C6-4F24-B857-5D3FAC42871C}"/>
                </c:ext>
              </c:extLst>
            </c:dLbl>
            <c:dLbl>
              <c:idx val="10"/>
              <c:layout>
                <c:manualLayout>
                  <c:x val="-1.517179489262431E-2"/>
                  <c:y val="-1.782530693915338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C6-4F24-B857-5D3FAC42871C}"/>
                </c:ext>
              </c:extLst>
            </c:dLbl>
            <c:dLbl>
              <c:idx val="11"/>
              <c:layout>
                <c:manualLayout>
                  <c:x val="-2.7309230806723758E-2"/>
                  <c:y val="-2.49554297148147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C6-4F24-B857-5D3FAC42871C}"/>
                </c:ext>
              </c:extLst>
            </c:dLbl>
            <c:dLbl>
              <c:idx val="12"/>
              <c:layout>
                <c:manualLayout>
                  <c:x val="-1.517179489262431E-2"/>
                  <c:y val="-2.139036832698412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C6-4F24-B857-5D3FAC42871C}"/>
                </c:ext>
              </c:extLst>
            </c:dLbl>
            <c:dLbl>
              <c:idx val="13"/>
              <c:layout>
                <c:manualLayout>
                  <c:x val="-1.8206153871149173E-2"/>
                  <c:y val="-3.208555249047609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C6-4F24-B857-5D3FAC42871C}"/>
                </c:ext>
              </c:extLst>
            </c:dLbl>
            <c:dLbl>
              <c:idx val="14"/>
              <c:layout>
                <c:manualLayout>
                  <c:x val="-1.8206153871149062E-2"/>
                  <c:y val="-7.1301227756613537E-3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C6-4F24-B857-5D3FAC42871C}"/>
                </c:ext>
              </c:extLst>
            </c:dLbl>
            <c:dLbl>
              <c:idx val="15"/>
              <c:layout>
                <c:manualLayout>
                  <c:x val="-2.1240512849674032E-2"/>
                  <c:y val="-1.7825306939153386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C6-4F24-B857-5D3FAC42871C}"/>
                </c:ext>
              </c:extLst>
            </c:dLbl>
            <c:dLbl>
              <c:idx val="16"/>
              <c:layout>
                <c:manualLayout>
                  <c:x val="-4.2481025699348064E-2"/>
                  <c:y val="-3.5650613878306703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FC6-4F24-B857-5D3FAC42871C}"/>
                </c:ext>
              </c:extLst>
            </c:dLbl>
            <c:dLbl>
              <c:idx val="17"/>
              <c:layout>
                <c:manualLayout>
                  <c:x val="-1.517179489262431E-2"/>
                  <c:y val="-2.49554297148147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C6-4F24-B857-5D3FAC42871C}"/>
                </c:ext>
              </c:extLst>
            </c:dLbl>
            <c:dLbl>
              <c:idx val="18"/>
              <c:layout>
                <c:manualLayout>
                  <c:x val="-1.517179489262431E-2"/>
                  <c:y val="-1.4260245551322707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19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C6-4F24-B857-5D3FAC42871C}"/>
                </c:ext>
              </c:extLst>
            </c:dLbl>
            <c:dLbl>
              <c:idx val="19"/>
              <c:layout>
                <c:manualLayout>
                  <c:x val="-2.1240512849674032E-2"/>
                  <c:y val="-3.208555249047609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20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C6-4F24-B857-5D3FAC4287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F_1_p_ac!$AH$27:$AH$46</c:f>
              <c:numCache>
                <c:formatCode>General</c:formatCode>
                <c:ptCount val="20"/>
                <c:pt idx="0">
                  <c:v>10.2453545989788</c:v>
                </c:pt>
                <c:pt idx="1">
                  <c:v>8.4685523214266407</c:v>
                </c:pt>
                <c:pt idx="2">
                  <c:v>6.4618412218254901</c:v>
                </c:pt>
                <c:pt idx="3">
                  <c:v>8.8366798552297592</c:v>
                </c:pt>
                <c:pt idx="4">
                  <c:v>7.4701253612224301</c:v>
                </c:pt>
                <c:pt idx="5">
                  <c:v>10.105446637395399</c:v>
                </c:pt>
                <c:pt idx="6">
                  <c:v>7.2148734341513601</c:v>
                </c:pt>
                <c:pt idx="7">
                  <c:v>9.3441035523619504</c:v>
                </c:pt>
                <c:pt idx="8">
                  <c:v>6.7060049982314798</c:v>
                </c:pt>
                <c:pt idx="9">
                  <c:v>10.299742070359301</c:v>
                </c:pt>
                <c:pt idx="10">
                  <c:v>7.2090549467427998</c:v>
                </c:pt>
                <c:pt idx="11">
                  <c:v>9.80650325424571</c:v>
                </c:pt>
                <c:pt idx="12">
                  <c:v>8.4721632528882704</c:v>
                </c:pt>
                <c:pt idx="13">
                  <c:v>7.0580835676811198</c:v>
                </c:pt>
                <c:pt idx="14">
                  <c:v>11.3675340932671</c:v>
                </c:pt>
                <c:pt idx="15">
                  <c:v>9.52270345366348</c:v>
                </c:pt>
                <c:pt idx="16">
                  <c:v>8.3289560913665692</c:v>
                </c:pt>
                <c:pt idx="17">
                  <c:v>5.9162327272112396</c:v>
                </c:pt>
                <c:pt idx="18">
                  <c:v>7.4984180199449</c:v>
                </c:pt>
                <c:pt idx="19">
                  <c:v>6.6973183888131897</c:v>
                </c:pt>
              </c:numCache>
            </c:numRef>
          </c:xVal>
          <c:yVal>
            <c:numRef>
              <c:f>F_1_p_ac!$AI$27:$AI$46</c:f>
              <c:numCache>
                <c:formatCode>General</c:formatCode>
                <c:ptCount val="20"/>
                <c:pt idx="0">
                  <c:v>9.8224634882857007</c:v>
                </c:pt>
                <c:pt idx="1">
                  <c:v>10.0131081706201</c:v>
                </c:pt>
                <c:pt idx="2">
                  <c:v>8.8737359978178194</c:v>
                </c:pt>
                <c:pt idx="3">
                  <c:v>8.72454117917178</c:v>
                </c:pt>
                <c:pt idx="4">
                  <c:v>9.3415727528153205</c:v>
                </c:pt>
                <c:pt idx="5">
                  <c:v>9.2456589665089002</c:v>
                </c:pt>
                <c:pt idx="6">
                  <c:v>7.84942026050925</c:v>
                </c:pt>
                <c:pt idx="7">
                  <c:v>8.9835134031233697</c:v>
                </c:pt>
                <c:pt idx="8">
                  <c:v>6.72205391457695</c:v>
                </c:pt>
                <c:pt idx="9" formatCode="0.00E+00">
                  <c:v>9.2002989895944491</c:v>
                </c:pt>
                <c:pt idx="10">
                  <c:v>7.0849466021311898</c:v>
                </c:pt>
                <c:pt idx="11">
                  <c:v>9.2841827276958</c:v>
                </c:pt>
                <c:pt idx="12">
                  <c:v>8.1751220796039004</c:v>
                </c:pt>
                <c:pt idx="13">
                  <c:v>7.18904264650826</c:v>
                </c:pt>
                <c:pt idx="14" formatCode="0.00E+00">
                  <c:v>9.3242918890402393</c:v>
                </c:pt>
                <c:pt idx="15">
                  <c:v>9.0202846564393599</c:v>
                </c:pt>
                <c:pt idx="16">
                  <c:v>8.3187133084721498</c:v>
                </c:pt>
                <c:pt idx="17">
                  <c:v>6.8289731213847897</c:v>
                </c:pt>
                <c:pt idx="18" formatCode="0.00E+00">
                  <c:v>9.0689832026891004</c:v>
                </c:pt>
                <c:pt idx="19">
                  <c:v>8.0886307218130504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C6-4F24-B857-5D3FAC42871C}"/>
            </c:ext>
          </c:extLst>
        </c:ser>
        <c:ser>
          <c:idx val="1"/>
          <c:order val="1"/>
          <c:tx>
            <c:strRef>
              <c:f>F_1_p_ac!$AE$38:$AE$39</c:f>
              <c:strCache>
                <c:ptCount val="2"/>
                <c:pt idx="0">
                  <c:v>5</c:v>
                </c:pt>
                <c:pt idx="1">
                  <c:v>12</c:v>
                </c:pt>
              </c:strCache>
            </c:strRef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rgbClr val="00B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BFC6-4F24-B857-5D3FAC42871C}"/>
              </c:ext>
            </c:extLst>
          </c:dPt>
          <c:xVal>
            <c:numRef>
              <c:f>F_1_p_ac!$AE$38:$AE$39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xVal>
          <c:yVal>
            <c:numRef>
              <c:f>F_1_p_ac!$AF$38:$AF$39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FC6-4F24-B857-5D3FAC42871C}"/>
            </c:ext>
          </c:extLst>
        </c:ser>
        <c:ser>
          <c:idx val="2"/>
          <c:order val="2"/>
          <c:spPr>
            <a:ln w="9525">
              <a:solidFill>
                <a:srgbClr val="00B0F0"/>
              </a:solidFill>
              <a:prstDash val="sysDash"/>
            </a:ln>
          </c:spPr>
          <c:marker>
            <c:symbol val="none"/>
          </c:marker>
          <c:xVal>
            <c:numRef>
              <c:f>F_1_p_ac!$AE$40:$AE$41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xVal>
          <c:yVal>
            <c:numRef>
              <c:f>F_1_p_ac!$AF$40:$AF$41</c:f>
              <c:numCache>
                <c:formatCode>General</c:formatCode>
                <c:ptCount val="2"/>
                <c:pt idx="0">
                  <c:v>4.5</c:v>
                </c:pt>
                <c:pt idx="1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FC6-4F24-B857-5D3FAC42871C}"/>
            </c:ext>
          </c:extLst>
        </c:ser>
        <c:ser>
          <c:idx val="3"/>
          <c:order val="3"/>
          <c:tx>
            <c:strRef>
              <c:f>F_1_p_ac!$AE$42:$AE$43</c:f>
              <c:strCache>
                <c:ptCount val="2"/>
                <c:pt idx="0">
                  <c:v>5</c:v>
                </c:pt>
                <c:pt idx="1">
                  <c:v>12</c:v>
                </c:pt>
              </c:strCache>
            </c:strRef>
          </c:tx>
          <c:spPr>
            <a:ln w="9525"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F_1_p_ac!$AE$42:$AE$43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xVal>
          <c:yVal>
            <c:numRef>
              <c:f>F_1_p_ac!$AF$42:$AF$43</c:f>
              <c:numCache>
                <c:formatCode>General</c:formatCode>
                <c:ptCount val="2"/>
                <c:pt idx="0">
                  <c:v>5.5</c:v>
                </c:pt>
                <c:pt idx="1">
                  <c:v>13.2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FC6-4F24-B857-5D3FAC42871C}"/>
            </c:ext>
          </c:extLst>
        </c:ser>
        <c:ser>
          <c:idx val="4"/>
          <c:order val="4"/>
          <c:spPr>
            <a:ln w="6350">
              <a:solidFill>
                <a:srgbClr val="0070C0"/>
              </a:solidFill>
              <a:prstDash val="dash"/>
            </a:ln>
          </c:spPr>
          <c:marker>
            <c:symbol val="none"/>
          </c:marker>
          <c:xVal>
            <c:numRef>
              <c:f>F_1_p_ac!$AE$44:$AE$45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xVal>
          <c:yVal>
            <c:numRef>
              <c:f>F_1_p_ac!$AF$44:$AF$45</c:f>
              <c:numCache>
                <c:formatCode>General</c:formatCode>
                <c:ptCount val="2"/>
                <c:pt idx="0">
                  <c:v>4</c:v>
                </c:pt>
                <c:pt idx="1">
                  <c:v>9.6000000000000014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FC6-4F24-B857-5D3FAC42871C}"/>
            </c:ext>
          </c:extLst>
        </c:ser>
        <c:ser>
          <c:idx val="5"/>
          <c:order val="5"/>
          <c:spPr>
            <a:ln w="28575">
              <a:noFill/>
            </a:ln>
          </c:spPr>
          <c:marker>
            <c:symbol val="none"/>
          </c:marker>
          <c:xVal>
            <c:numRef>
              <c:f>F_1_p_ac!$AE$46:$AE$47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xVal>
          <c:yVal>
            <c:numRef>
              <c:f>F_1_p_ac!$AF$46:$AF$47</c:f>
              <c:numCache>
                <c:formatCode>General</c:formatCode>
                <c:ptCount val="2"/>
                <c:pt idx="0">
                  <c:v>6</c:v>
                </c:pt>
                <c:pt idx="1">
                  <c:v>14.399999999999999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FC6-4F24-B857-5D3FAC42871C}"/>
            </c:ext>
          </c:extLst>
        </c:ser>
        <c:ser>
          <c:idx val="6"/>
          <c:order val="6"/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F_1_p_ac!$AE$46:$AE$47</c:f>
              <c:numCache>
                <c:formatCode>General</c:formatCode>
                <c:ptCount val="2"/>
                <c:pt idx="0">
                  <c:v>5</c:v>
                </c:pt>
                <c:pt idx="1">
                  <c:v>12</c:v>
                </c:pt>
              </c:numCache>
            </c:numRef>
          </c:xVal>
          <c:yVal>
            <c:numRef>
              <c:f>F_1_p_ac!$AF$46:$AF$47</c:f>
              <c:numCache>
                <c:formatCode>General</c:formatCode>
                <c:ptCount val="2"/>
                <c:pt idx="0">
                  <c:v>6</c:v>
                </c:pt>
                <c:pt idx="1">
                  <c:v>14.399999999999999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FC6-4F24-B857-5D3FAC428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50880"/>
        <c:axId val="277052800"/>
      </c:scatterChart>
      <c:valAx>
        <c:axId val="277050880"/>
        <c:scaling>
          <c:orientation val="minMax"/>
          <c:max val="12"/>
          <c:min val="5"/>
        </c:scaling>
        <c:delete val="0"/>
        <c:axPos val="b"/>
        <c:majorGridlines>
          <c:spPr>
            <a:ln w="317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Measured NOx</a:t>
                </a:r>
                <a:r>
                  <a:rPr lang="nb-NO" baseline="0"/>
                  <a:t> factor (g/kWh)</a:t>
                </a:r>
                <a:endParaRPr lang="nb-NO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77052800"/>
        <c:crosses val="autoZero"/>
        <c:crossBetween val="midCat"/>
        <c:minorUnit val="0.4"/>
      </c:valAx>
      <c:valAx>
        <c:axId val="277052800"/>
        <c:scaling>
          <c:orientation val="minMax"/>
          <c:max val="12"/>
          <c:min val="5"/>
        </c:scaling>
        <c:delete val="0"/>
        <c:axPos val="l"/>
        <c:majorGridlines>
          <c:spPr>
            <a:ln w="317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Nox factor (g/kWh)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77050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168270910057652E-2"/>
          <c:y val="6.6953160092770969E-2"/>
          <c:w val="0.79873248219590487"/>
          <c:h val="0.8496734551159571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F_1_p_ac!$AM$27:$AM$46</c:f>
              <c:numCache>
                <c:formatCode>General</c:formatCode>
                <c:ptCount val="20"/>
                <c:pt idx="0">
                  <c:v>0.68126943322265932</c:v>
                </c:pt>
                <c:pt idx="1">
                  <c:v>1.0074305560578449</c:v>
                </c:pt>
                <c:pt idx="2">
                  <c:v>0.96265157991707218</c:v>
                </c:pt>
                <c:pt idx="3">
                  <c:v>0.71225084802083538</c:v>
                </c:pt>
                <c:pt idx="4">
                  <c:v>0.89414710033090083</c:v>
                </c:pt>
                <c:pt idx="5">
                  <c:v>0.55739732050831592</c:v>
                </c:pt>
                <c:pt idx="6">
                  <c:v>0.82721356978498251</c:v>
                </c:pt>
                <c:pt idx="7">
                  <c:v>0.71038907498691606</c:v>
                </c:pt>
                <c:pt idx="8">
                  <c:v>0.89374092936951666</c:v>
                </c:pt>
                <c:pt idx="9">
                  <c:v>0.52530414036641926</c:v>
                </c:pt>
                <c:pt idx="10">
                  <c:v>0.77327391729258665</c:v>
                </c:pt>
                <c:pt idx="11">
                  <c:v>0.58587681456690266</c:v>
                </c:pt>
                <c:pt idx="12">
                  <c:v>0.69524852523909586</c:v>
                </c:pt>
                <c:pt idx="13">
                  <c:v>0.71760780181802486</c:v>
                </c:pt>
                <c:pt idx="14">
                  <c:v>0.48508758560069792</c:v>
                </c:pt>
                <c:pt idx="15">
                  <c:v>0.5898098818320483</c:v>
                </c:pt>
                <c:pt idx="16">
                  <c:v>0.65091305106044295</c:v>
                </c:pt>
                <c:pt idx="17">
                  <c:v>0.67331152719450793</c:v>
                </c:pt>
                <c:pt idx="18">
                  <c:v>0.46993052055961593</c:v>
                </c:pt>
                <c:pt idx="19">
                  <c:v>0.58581676133029814</c:v>
                </c:pt>
              </c:numCache>
            </c:numRef>
          </c:xVal>
          <c:yVal>
            <c:numRef>
              <c:f>F_1_p_ac!$AJ$27:$AJ$46</c:f>
              <c:numCache>
                <c:formatCode>General</c:formatCode>
                <c:ptCount val="20"/>
                <c:pt idx="0">
                  <c:v>0.958723623803587</c:v>
                </c:pt>
                <c:pt idx="1">
                  <c:v>1.1823872358071772</c:v>
                </c:pt>
                <c:pt idx="2">
                  <c:v>1.3732519406149941</c:v>
                </c:pt>
                <c:pt idx="3">
                  <c:v>0.98730986321841085</c:v>
                </c:pt>
                <c:pt idx="4">
                  <c:v>1.2505242283225408</c:v>
                </c:pt>
                <c:pt idx="5">
                  <c:v>0.91491838988047902</c:v>
                </c:pt>
                <c:pt idx="6">
                  <c:v>1.087949820901124</c:v>
                </c:pt>
                <c:pt idx="7">
                  <c:v>0.96140987230953445</c:v>
                </c:pt>
                <c:pt idx="8">
                  <c:v>1.0023932156850022</c:v>
                </c:pt>
                <c:pt idx="9">
                  <c:v>0.89325528025319778</c:v>
                </c:pt>
                <c:pt idx="10">
                  <c:v>0.98278438081989028</c:v>
                </c:pt>
                <c:pt idx="11">
                  <c:v>0.94673733205321964</c:v>
                </c:pt>
                <c:pt idx="12">
                  <c:v>0.96493915846308731</c:v>
                </c:pt>
                <c:pt idx="13">
                  <c:v>1.0185544811946972</c:v>
                </c:pt>
                <c:pt idx="14">
                  <c:v>0.82025633814135146</c:v>
                </c:pt>
                <c:pt idx="15">
                  <c:v>0.94723989887232762</c:v>
                </c:pt>
                <c:pt idx="16">
                  <c:v>0.99877022008736049</c:v>
                </c:pt>
                <c:pt idx="17">
                  <c:v>1.1542772971008177</c:v>
                </c:pt>
                <c:pt idx="18">
                  <c:v>1.2094528710678285</c:v>
                </c:pt>
                <c:pt idx="19">
                  <c:v>1.2077417038024991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F-45C2-B8DB-D4CC4095A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79552"/>
        <c:axId val="277081088"/>
      </c:scatterChart>
      <c:valAx>
        <c:axId val="2770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081088"/>
        <c:crosses val="autoZero"/>
        <c:crossBetween val="midCat"/>
      </c:valAx>
      <c:valAx>
        <c:axId val="2770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07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BMEP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F_glob_p_ac1!$AV$3:$AV$22</c:f>
              <c:numCache>
                <c:formatCode>General</c:formatCode>
                <c:ptCount val="20"/>
                <c:pt idx="0">
                  <c:v>6.47938424784844</c:v>
                </c:pt>
                <c:pt idx="1">
                  <c:v>10.5267047101804</c:v>
                </c:pt>
                <c:pt idx="2">
                  <c:v>6.6052607433548802</c:v>
                </c:pt>
                <c:pt idx="3">
                  <c:v>6.5095806213434297</c:v>
                </c:pt>
                <c:pt idx="4">
                  <c:v>10.431430547301799</c:v>
                </c:pt>
                <c:pt idx="5">
                  <c:v>8.5311462209528095</c:v>
                </c:pt>
                <c:pt idx="6">
                  <c:v>10.4582805853242</c:v>
                </c:pt>
                <c:pt idx="7">
                  <c:v>12.453353443447799</c:v>
                </c:pt>
                <c:pt idx="8">
                  <c:v>12.4418631782414</c:v>
                </c:pt>
                <c:pt idx="9">
                  <c:v>14.515558349749901</c:v>
                </c:pt>
                <c:pt idx="10">
                  <c:v>8.5521213617535494</c:v>
                </c:pt>
                <c:pt idx="11">
                  <c:v>6.5423651263515197</c:v>
                </c:pt>
                <c:pt idx="12">
                  <c:v>6.4848713213173896</c:v>
                </c:pt>
                <c:pt idx="13">
                  <c:v>14.6446680409684</c:v>
                </c:pt>
                <c:pt idx="14">
                  <c:v>16.470497475601199</c:v>
                </c:pt>
                <c:pt idx="15">
                  <c:v>16.730788078107</c:v>
                </c:pt>
                <c:pt idx="16">
                  <c:v>18.394129784520601</c:v>
                </c:pt>
                <c:pt idx="17">
                  <c:v>18.292848083926099</c:v>
                </c:pt>
                <c:pt idx="18">
                  <c:v>18.454926994480498</c:v>
                </c:pt>
                <c:pt idx="19">
                  <c:v>14.4352925842019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C-4FBE-A717-05108C781165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F_glob_p_ac1!$BO$3:$BO$22</c:f>
              <c:numCache>
                <c:formatCode>General</c:formatCode>
                <c:ptCount val="20"/>
                <c:pt idx="0">
                  <c:v>6.4793842478349992</c:v>
                </c:pt>
                <c:pt idx="2">
                  <c:v>6.6052607435880173</c:v>
                </c:pt>
                <c:pt idx="3">
                  <c:v>6.5095806217132148</c:v>
                </c:pt>
                <c:pt idx="4">
                  <c:v>10.431430547165828</c:v>
                </c:pt>
                <c:pt idx="5">
                  <c:v>8.5311462205017268</c:v>
                </c:pt>
                <c:pt idx="6">
                  <c:v>10.4582805853988</c:v>
                </c:pt>
                <c:pt idx="8">
                  <c:v>12.441863180488532</c:v>
                </c:pt>
                <c:pt idx="9">
                  <c:v>14.515558346545074</c:v>
                </c:pt>
                <c:pt idx="10">
                  <c:v>8.5521213619949723</c:v>
                </c:pt>
                <c:pt idx="11">
                  <c:v>6.5423651264065228</c:v>
                </c:pt>
                <c:pt idx="12">
                  <c:v>6.4848713213999361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C-4FBE-A717-05108C781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709184"/>
        <c:axId val="259710976"/>
      </c:lineChart>
      <c:catAx>
        <c:axId val="2597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9710976"/>
        <c:crosses val="autoZero"/>
        <c:auto val="1"/>
        <c:lblAlgn val="ctr"/>
        <c:lblOffset val="100"/>
        <c:noMultiLvlLbl val="0"/>
      </c:catAx>
      <c:valAx>
        <c:axId val="25971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70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8313566613301"/>
          <c:y val="0.67091243802857981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F_1_p_ac!$AM$56:$AM$75</c:f>
              <c:numCache>
                <c:formatCode>General</c:formatCode>
                <c:ptCount val="20"/>
                <c:pt idx="0">
                  <c:v>1.0613414613337906</c:v>
                </c:pt>
                <c:pt idx="3">
                  <c:v>1.082167083874416</c:v>
                </c:pt>
                <c:pt idx="5">
                  <c:v>1.2998052802023816</c:v>
                </c:pt>
                <c:pt idx="6">
                  <c:v>1.3132104338079047</c:v>
                </c:pt>
                <c:pt idx="7">
                  <c:v>1.15240681599985</c:v>
                </c:pt>
                <c:pt idx="8">
                  <c:v>1.4241822582152321</c:v>
                </c:pt>
                <c:pt idx="9">
                  <c:v>1.2524708940887153</c:v>
                </c:pt>
                <c:pt idx="10">
                  <c:v>1.7600058310196436</c:v>
                </c:pt>
                <c:pt idx="11">
                  <c:v>1.2694226320241757</c:v>
                </c:pt>
                <c:pt idx="12">
                  <c:v>1.510471204898723</c:v>
                </c:pt>
                <c:pt idx="13">
                  <c:v>2.2270314847288195</c:v>
                </c:pt>
                <c:pt idx="14">
                  <c:v>1.3883840317176677</c:v>
                </c:pt>
                <c:pt idx="15">
                  <c:v>1.5650980051950028</c:v>
                </c:pt>
                <c:pt idx="16">
                  <c:v>1.8598329373980211</c:v>
                </c:pt>
                <c:pt idx="17">
                  <c:v>2.4300536977477205</c:v>
                </c:pt>
                <c:pt idx="18">
                  <c:v>1.5347689576555779</c:v>
                </c:pt>
                <c:pt idx="19">
                  <c:v>2.0167842593208496</c:v>
                </c:pt>
              </c:numCache>
            </c:numRef>
          </c:xVal>
          <c:yVal>
            <c:numRef>
              <c:f>F_1_p_ac!$AN$56:$AN$75</c:f>
              <c:numCache>
                <c:formatCode>0.00E+00</c:formatCode>
                <c:ptCount val="20"/>
                <c:pt idx="0">
                  <c:v>1.5469998995556788E-2</c:v>
                </c:pt>
                <c:pt idx="3">
                  <c:v>2.1296340189044253E-2</c:v>
                </c:pt>
                <c:pt idx="5">
                  <c:v>2.6355128472051632E-2</c:v>
                </c:pt>
                <c:pt idx="6">
                  <c:v>3.1040053038100694E-2</c:v>
                </c:pt>
                <c:pt idx="7">
                  <c:v>3.0364210166427846E-2</c:v>
                </c:pt>
                <c:pt idx="8">
                  <c:v>2.9771428173907575E-2</c:v>
                </c:pt>
                <c:pt idx="9">
                  <c:v>3.3410498809924305E-2</c:v>
                </c:pt>
                <c:pt idx="10">
                  <c:v>3.3361779063964536E-2</c:v>
                </c:pt>
                <c:pt idx="11">
                  <c:v>3.1045959161040616E-2</c:v>
                </c:pt>
                <c:pt idx="12">
                  <c:v>3.3131920596534192E-2</c:v>
                </c:pt>
                <c:pt idx="13">
                  <c:v>4.0905524774584902E-2</c:v>
                </c:pt>
                <c:pt idx="14">
                  <c:v>4.1172160291559436E-2</c:v>
                </c:pt>
                <c:pt idx="15">
                  <c:v>4.1704828988574881E-2</c:v>
                </c:pt>
                <c:pt idx="16">
                  <c:v>4.2757021867485742E-2</c:v>
                </c:pt>
                <c:pt idx="17">
                  <c:v>4.7075322200508286E-2</c:v>
                </c:pt>
                <c:pt idx="18">
                  <c:v>4.6485342684557548E-2</c:v>
                </c:pt>
                <c:pt idx="19">
                  <c:v>4.7957563505809722E-2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7-4FF8-81AD-C40B6B88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4800"/>
        <c:axId val="1714605216"/>
      </c:scatterChart>
      <c:valAx>
        <c:axId val="1714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5216"/>
        <c:crosses val="autoZero"/>
        <c:crossBetween val="midCat"/>
      </c:valAx>
      <c:valAx>
        <c:axId val="1714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Power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val>
            <c:numRef>
              <c:f>F_1_m_dot_a_1!$AZ$3:$AZ$22</c:f>
              <c:numCache>
                <c:formatCode>General</c:formatCode>
                <c:ptCount val="20"/>
                <c:pt idx="0">
                  <c:v>868.55134187724354</c:v>
                </c:pt>
                <c:pt idx="1">
                  <c:v>1221.4751504067597</c:v>
                </c:pt>
                <c:pt idx="2">
                  <c:v>1788.8891662246672</c:v>
                </c:pt>
                <c:pt idx="3">
                  <c:v>1193.8340553510764</c:v>
                </c:pt>
                <c:pt idx="4">
                  <c:v>1829.1388999612038</c:v>
                </c:pt>
                <c:pt idx="5">
                  <c:v>1683.2116781817417</c:v>
                </c:pt>
                <c:pt idx="6">
                  <c:v>2338.7958635820214</c:v>
                </c:pt>
                <c:pt idx="7">
                  <c:v>2195.392345400674</c:v>
                </c:pt>
                <c:pt idx="8">
                  <c:v>2062.1745516930132</c:v>
                </c:pt>
                <c:pt idx="9">
                  <c:v>1809.565493776938</c:v>
                </c:pt>
                <c:pt idx="10">
                  <c:v>2205.948149108619</c:v>
                </c:pt>
                <c:pt idx="11">
                  <c:v>2619.5092577748164</c:v>
                </c:pt>
                <c:pt idx="12">
                  <c:v>2680.1638385905808</c:v>
                </c:pt>
                <c:pt idx="13">
                  <c:v>2341.2143775294417</c:v>
                </c:pt>
                <c:pt idx="14">
                  <c:v>2403.6237679387386</c:v>
                </c:pt>
                <c:pt idx="15">
                  <c:v>2921.8575665564454</c:v>
                </c:pt>
                <c:pt idx="16">
                  <c:v>2507.8501173236327</c:v>
                </c:pt>
                <c:pt idx="17">
                  <c:v>2554.3171306198501</c:v>
                </c:pt>
                <c:pt idx="18">
                  <c:v>3280.6368071973056</c:v>
                </c:pt>
                <c:pt idx="19">
                  <c:v>2879.7537371374901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7-4DA7-844F-F0C08B64180C}"/>
            </c:ext>
          </c:extLst>
        </c:ser>
        <c:ser>
          <c:idx val="1"/>
          <c:order val="1"/>
          <c:tx>
            <c:v>Sim</c:v>
          </c:tx>
          <c:spPr>
            <a:ln>
              <a:prstDash val="sysDash"/>
            </a:ln>
          </c:spPr>
          <c:val>
            <c:numRef>
              <c:f>F_1_m_dot_a_1!$BE$3:$BE$22</c:f>
              <c:numCache>
                <c:formatCode>General</c:formatCode>
                <c:ptCount val="20"/>
                <c:pt idx="0">
                  <c:v>45901.092622397002</c:v>
                </c:pt>
                <c:pt idx="1">
                  <c:v>74624.204025709696</c:v>
                </c:pt>
                <c:pt idx="2">
                  <c:v>127875.05051327099</c:v>
                </c:pt>
                <c:pt idx="3">
                  <c:v>75762.510037150103</c:v>
                </c:pt>
                <c:pt idx="4">
                  <c:v>110328.93106334801</c:v>
                </c:pt>
                <c:pt idx="5">
                  <c:v>69539.038812812694</c:v>
                </c:pt>
                <c:pt idx="6">
                  <c:v>175096.26050672299</c:v>
                </c:pt>
                <c:pt idx="7">
                  <c:v>111182.748079105</c:v>
                </c:pt>
                <c:pt idx="8">
                  <c:v>196206.797498264</c:v>
                </c:pt>
                <c:pt idx="9">
                  <c:v>81933.202688995298</c:v>
                </c:pt>
                <c:pt idx="10">
                  <c:v>227151.86212171</c:v>
                </c:pt>
                <c:pt idx="11">
                  <c:v>105994.913445689</c:v>
                </c:pt>
                <c:pt idx="12">
                  <c:v>182270.78012035499</c:v>
                </c:pt>
                <c:pt idx="13">
                  <c:v>260730.69873483299</c:v>
                </c:pt>
                <c:pt idx="14">
                  <c:v>91934.665808453705</c:v>
                </c:pt>
                <c:pt idx="15">
                  <c:v>147923.98675000001</c:v>
                </c:pt>
                <c:pt idx="16">
                  <c:v>205850.56984718799</c:v>
                </c:pt>
                <c:pt idx="17">
                  <c:v>266584.29303284601</c:v>
                </c:pt>
                <c:pt idx="18">
                  <c:v>103855.673259684</c:v>
                </c:pt>
                <c:pt idx="19">
                  <c:v>198520.544311609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7-4DA7-844F-F0C08B64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76192"/>
        <c:axId val="275977728"/>
      </c:lineChart>
      <c:catAx>
        <c:axId val="27597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5977728"/>
        <c:crosses val="autoZero"/>
        <c:auto val="1"/>
        <c:lblAlgn val="ctr"/>
        <c:lblOffset val="100"/>
        <c:noMultiLvlLbl val="0"/>
      </c:catAx>
      <c:valAx>
        <c:axId val="2759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7619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902668416447944E-2"/>
                <c:y val="0.3708449985418489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nb-NO"/>
                    <a:t>kW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06522473072609"/>
          <c:h val="0.16603424099701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RPM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F_1_m_dot_a_1!$R$3:$R$22</c:f>
              <c:numCache>
                <c:formatCode>General</c:formatCode>
                <c:ptCount val="20"/>
                <c:pt idx="0">
                  <c:v>798.91023827144102</c:v>
                </c:pt>
                <c:pt idx="1">
                  <c:v>799.42451451373495</c:v>
                </c:pt>
                <c:pt idx="2">
                  <c:v>999.006887780488</c:v>
                </c:pt>
                <c:pt idx="3">
                  <c:v>999.04963235227297</c:v>
                </c:pt>
                <c:pt idx="4">
                  <c:v>999.10263269117695</c:v>
                </c:pt>
                <c:pt idx="5">
                  <c:v>1198.6672809069801</c:v>
                </c:pt>
                <c:pt idx="6">
                  <c:v>1198.8645007073201</c:v>
                </c:pt>
                <c:pt idx="7">
                  <c:v>1198.8876409949</c:v>
                </c:pt>
                <c:pt idx="8">
                  <c:v>1198.96357746988</c:v>
                </c:pt>
                <c:pt idx="9">
                  <c:v>1398.8489351595499</c:v>
                </c:pt>
                <c:pt idx="10">
                  <c:v>1400.3606147804901</c:v>
                </c:pt>
                <c:pt idx="11">
                  <c:v>1401.14707538216</c:v>
                </c:pt>
                <c:pt idx="12">
                  <c:v>1403.59711227907</c:v>
                </c:pt>
                <c:pt idx="13">
                  <c:v>1598.5223451975301</c:v>
                </c:pt>
                <c:pt idx="14">
                  <c:v>1598.7568733023199</c:v>
                </c:pt>
                <c:pt idx="15">
                  <c:v>1599.1848142056899</c:v>
                </c:pt>
                <c:pt idx="16">
                  <c:v>1599.27545799473</c:v>
                </c:pt>
                <c:pt idx="17">
                  <c:v>1796.8961723278701</c:v>
                </c:pt>
                <c:pt idx="18">
                  <c:v>1799.203633074</c:v>
                </c:pt>
                <c:pt idx="19">
                  <c:v>1799.3838367568401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A-4403-85FA-8BC063A7E702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F_1_m_dot_a_1!$BG$3:$BG$22</c:f>
              <c:numCache>
                <c:formatCode>General</c:formatCode>
                <c:ptCount val="20"/>
                <c:pt idx="0">
                  <c:v>798.90276547225994</c:v>
                </c:pt>
                <c:pt idx="1">
                  <c:v>799.45110661147396</c:v>
                </c:pt>
                <c:pt idx="2">
                  <c:v>998.99856432664296</c:v>
                </c:pt>
                <c:pt idx="3">
                  <c:v>999.04519646073004</c:v>
                </c:pt>
                <c:pt idx="4">
                  <c:v>999.09717959371403</c:v>
                </c:pt>
                <c:pt idx="5">
                  <c:v>1198.6669801472999</c:v>
                </c:pt>
                <c:pt idx="6">
                  <c:v>1198.87744872499</c:v>
                </c:pt>
                <c:pt idx="7">
                  <c:v>1198.8966634728199</c:v>
                </c:pt>
                <c:pt idx="8">
                  <c:v>1198.9645830378699</c:v>
                </c:pt>
                <c:pt idx="9">
                  <c:v>1398.8611276602101</c:v>
                </c:pt>
                <c:pt idx="10">
                  <c:v>1400.35972088018</c:v>
                </c:pt>
                <c:pt idx="11">
                  <c:v>1401.1424004451801</c:v>
                </c:pt>
                <c:pt idx="12">
                  <c:v>1403.59611446286</c:v>
                </c:pt>
                <c:pt idx="13">
                  <c:v>1598.5181026591799</c:v>
                </c:pt>
                <c:pt idx="14">
                  <c:v>1598.75742909513</c:v>
                </c:pt>
                <c:pt idx="15">
                  <c:v>1599.1874355825901</c:v>
                </c:pt>
                <c:pt idx="16">
                  <c:v>1599.2743228592999</c:v>
                </c:pt>
                <c:pt idx="17">
                  <c:v>1796.8953959036201</c:v>
                </c:pt>
                <c:pt idx="18">
                  <c:v>1799.20998251066</c:v>
                </c:pt>
                <c:pt idx="19">
                  <c:v>1799.3873905492501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A-4403-85FA-8BC063A7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916096"/>
        <c:axId val="276013440"/>
      </c:lineChart>
      <c:catAx>
        <c:axId val="25691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6013440"/>
        <c:crosses val="autoZero"/>
        <c:auto val="1"/>
        <c:lblAlgn val="ctr"/>
        <c:lblOffset val="100"/>
        <c:noMultiLvlLbl val="0"/>
      </c:catAx>
      <c:valAx>
        <c:axId val="27601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6916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Torque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F_1_m_dot_a_1!$T$3:$T$22</c:f>
              <c:numCache>
                <c:formatCode>General</c:formatCode>
                <c:ptCount val="20"/>
                <c:pt idx="0">
                  <c:v>548.65643980112395</c:v>
                </c:pt>
                <c:pt idx="1">
                  <c:v>891.37240642012</c:v>
                </c:pt>
                <c:pt idx="2">
                  <c:v>1222.3408789756099</c:v>
                </c:pt>
                <c:pt idx="3">
                  <c:v>724.17011857954606</c:v>
                </c:pt>
                <c:pt idx="4">
                  <c:v>1054.5157228691901</c:v>
                </c:pt>
                <c:pt idx="5">
                  <c:v>553.98948739534899</c:v>
                </c:pt>
                <c:pt idx="6">
                  <c:v>1394.6764323658499</c:v>
                </c:pt>
                <c:pt idx="7">
                  <c:v>885.57843969364001</c:v>
                </c:pt>
                <c:pt idx="8">
                  <c:v>1562.7124668433701</c:v>
                </c:pt>
                <c:pt idx="9">
                  <c:v>559.31531528024698</c:v>
                </c:pt>
                <c:pt idx="10">
                  <c:v>1548.9880704146301</c:v>
                </c:pt>
                <c:pt idx="11">
                  <c:v>722.39400133817605</c:v>
                </c:pt>
                <c:pt idx="12">
                  <c:v>1240.07021687209</c:v>
                </c:pt>
                <c:pt idx="13">
                  <c:v>1557.5643262962999</c:v>
                </c:pt>
                <c:pt idx="14">
                  <c:v>549.12107009302304</c:v>
                </c:pt>
                <c:pt idx="15">
                  <c:v>883.30485231150794</c:v>
                </c:pt>
                <c:pt idx="16">
                  <c:v>1229.13756327136</c:v>
                </c:pt>
                <c:pt idx="17">
                  <c:v>1416.7171247868901</c:v>
                </c:pt>
                <c:pt idx="18">
                  <c:v>551.21338566865302</c:v>
                </c:pt>
                <c:pt idx="19">
                  <c:v>1053.54275880974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6-46D9-B834-227763B96F1E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F_1_m_dot_a_1!$BH$3:$BH$22</c:f>
              <c:numCache>
                <c:formatCode>General</c:formatCode>
                <c:ptCount val="20"/>
                <c:pt idx="0">
                  <c:v>548.65735422673799</c:v>
                </c:pt>
                <c:pt idx="1">
                  <c:v>891.37389202273505</c:v>
                </c:pt>
                <c:pt idx="2">
                  <c:v>1222.34291623381</c:v>
                </c:pt>
                <c:pt idx="3">
                  <c:v>724.17011859997922</c:v>
                </c:pt>
                <c:pt idx="4">
                  <c:v>1054.51748052733</c:v>
                </c:pt>
                <c:pt idx="5">
                  <c:v>553.99041071481599</c:v>
                </c:pt>
                <c:pt idx="6">
                  <c:v>1394.67875645768</c:v>
                </c:pt>
                <c:pt idx="7">
                  <c:v>885.57991566549697</c:v>
                </c:pt>
                <c:pt idx="8">
                  <c:v>1562.71507152258</c:v>
                </c:pt>
                <c:pt idx="9">
                  <c:v>559.316247492961</c:v>
                </c:pt>
                <c:pt idx="10">
                  <c:v>1548.9906516501101</c:v>
                </c:pt>
                <c:pt idx="11">
                  <c:v>722.39520528805099</c:v>
                </c:pt>
                <c:pt idx="12">
                  <c:v>1240.0722837866001</c:v>
                </c:pt>
                <c:pt idx="13">
                  <c:v>1557.56692193867</c:v>
                </c:pt>
                <c:pt idx="14">
                  <c:v>549.12198530087801</c:v>
                </c:pt>
                <c:pt idx="15">
                  <c:v>883.30632447314099</c:v>
                </c:pt>
                <c:pt idx="16">
                  <c:v>1229.1375630000318</c:v>
                </c:pt>
                <c:pt idx="17">
                  <c:v>1416.7194861932001</c:v>
                </c:pt>
                <c:pt idx="18">
                  <c:v>551.21430438889104</c:v>
                </c:pt>
                <c:pt idx="19">
                  <c:v>1053.5445149048601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6-46D9-B834-227763B9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095936"/>
        <c:axId val="277097472"/>
      </c:lineChart>
      <c:catAx>
        <c:axId val="27709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097472"/>
        <c:crosses val="autoZero"/>
        <c:auto val="1"/>
        <c:lblAlgn val="ctr"/>
        <c:lblOffset val="100"/>
        <c:noMultiLvlLbl val="0"/>
      </c:catAx>
      <c:valAx>
        <c:axId val="2770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0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BMEP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F_1_m_dot_a_1!$AV$3:$AV$22</c:f>
              <c:numCache>
                <c:formatCode>General</c:formatCode>
                <c:ptCount val="20"/>
                <c:pt idx="0">
                  <c:v>6.47938424784844</c:v>
                </c:pt>
                <c:pt idx="1">
                  <c:v>10.5267047101804</c:v>
                </c:pt>
                <c:pt idx="2">
                  <c:v>14.4352925842019</c:v>
                </c:pt>
                <c:pt idx="3">
                  <c:v>8.5521213617535494</c:v>
                </c:pt>
                <c:pt idx="4">
                  <c:v>12.453353443447799</c:v>
                </c:pt>
                <c:pt idx="5">
                  <c:v>6.5423651263515197</c:v>
                </c:pt>
                <c:pt idx="6">
                  <c:v>16.470497475601199</c:v>
                </c:pt>
                <c:pt idx="7">
                  <c:v>10.4582805853242</c:v>
                </c:pt>
                <c:pt idx="8">
                  <c:v>18.454926994480498</c:v>
                </c:pt>
                <c:pt idx="9">
                  <c:v>6.6052607433548802</c:v>
                </c:pt>
                <c:pt idx="10">
                  <c:v>18.292848083926099</c:v>
                </c:pt>
                <c:pt idx="11">
                  <c:v>8.5311462209528095</c:v>
                </c:pt>
                <c:pt idx="12">
                  <c:v>14.6446680409684</c:v>
                </c:pt>
                <c:pt idx="13">
                  <c:v>18.394129784520601</c:v>
                </c:pt>
                <c:pt idx="14">
                  <c:v>6.4848713213173896</c:v>
                </c:pt>
                <c:pt idx="15">
                  <c:v>10.431430547301799</c:v>
                </c:pt>
                <c:pt idx="16">
                  <c:v>14.515558349749901</c:v>
                </c:pt>
                <c:pt idx="17">
                  <c:v>16.730788078107</c:v>
                </c:pt>
                <c:pt idx="18">
                  <c:v>6.5095806213434297</c:v>
                </c:pt>
                <c:pt idx="19">
                  <c:v>12.4418631782414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C-46C3-A909-E16B25A50446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F_1_m_dot_a_1!$BL$3:$BL$22</c:f>
              <c:numCache>
                <c:formatCode>General</c:formatCode>
                <c:ptCount val="20"/>
                <c:pt idx="0">
                  <c:v>6.535078269488837</c:v>
                </c:pt>
                <c:pt idx="1">
                  <c:v>10.617187770929268</c:v>
                </c:pt>
                <c:pt idx="2">
                  <c:v>14.559372198697483</c:v>
                </c:pt>
                <c:pt idx="3">
                  <c:v>8.6256317472566</c:v>
                </c:pt>
                <c:pt idx="4">
                  <c:v>12.560397156231145</c:v>
                </c:pt>
                <c:pt idx="5">
                  <c:v>6.598600504812258</c:v>
                </c:pt>
                <c:pt idx="6">
                  <c:v>16.612070838088822</c:v>
                </c:pt>
                <c:pt idx="7">
                  <c:v>10.548175501814674</c:v>
                </c:pt>
                <c:pt idx="8">
                  <c:v>18.613557672399384</c:v>
                </c:pt>
                <c:pt idx="9">
                  <c:v>6.6620367458764616</c:v>
                </c:pt>
                <c:pt idx="10">
                  <c:v>18.450085593899171</c:v>
                </c:pt>
                <c:pt idx="11">
                  <c:v>8.6044763123999353</c:v>
                </c:pt>
                <c:pt idx="12">
                  <c:v>14.770547358763043</c:v>
                </c:pt>
                <c:pt idx="13">
                  <c:v>18.5522378701754</c:v>
                </c:pt>
                <c:pt idx="14">
                  <c:v>6.5406125075954593</c:v>
                </c:pt>
                <c:pt idx="15">
                  <c:v>10.52109467211204</c:v>
                </c:pt>
                <c:pt idx="16">
                  <c:v>14.640327890987061</c:v>
                </c:pt>
                <c:pt idx="17">
                  <c:v>16.874598794418752</c:v>
                </c:pt>
                <c:pt idx="18">
                  <c:v>6.5655341985092619</c:v>
                </c:pt>
                <c:pt idx="19">
                  <c:v>12.548808126316795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C-46C3-A909-E16B25A5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97760"/>
        <c:axId val="276199296"/>
      </c:lineChart>
      <c:catAx>
        <c:axId val="27619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6199296"/>
        <c:crosses val="autoZero"/>
        <c:auto val="1"/>
        <c:lblAlgn val="ctr"/>
        <c:lblOffset val="100"/>
        <c:noMultiLvlLbl val="0"/>
      </c:catAx>
      <c:valAx>
        <c:axId val="27619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19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23480453101254"/>
          <c:y val="0.2542457713619131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F_1_m_dot_a_1!$AJ$3:$AJ$22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215.60103924952699</c:v>
                </c:pt>
                <c:pt idx="3">
                  <c:v>211.85434127243801</c:v>
                </c:pt>
                <c:pt idx="4">
                  <c:v>216.47726101549799</c:v>
                </c:pt>
                <c:pt idx="5">
                  <c:v>215.02336268526301</c:v>
                </c:pt>
                <c:pt idx="6">
                  <c:v>208.81352710642199</c:v>
                </c:pt>
                <c:pt idx="7">
                  <c:v>207.819037016268</c:v>
                </c:pt>
                <c:pt idx="8">
                  <c:v>207.43253021548</c:v>
                </c:pt>
                <c:pt idx="9">
                  <c:v>214.15285296164501</c:v>
                </c:pt>
                <c:pt idx="10">
                  <c:v>202.52630887090501</c:v>
                </c:pt>
                <c:pt idx="11">
                  <c:v>208.81369841124001</c:v>
                </c:pt>
                <c:pt idx="12">
                  <c:v>203.25293433570101</c:v>
                </c:pt>
                <c:pt idx="13">
                  <c:v>204.548343909311</c:v>
                </c:pt>
                <c:pt idx="14">
                  <c:v>217.302383013129</c:v>
                </c:pt>
                <c:pt idx="15">
                  <c:v>206.231816616619</c:v>
                </c:pt>
                <c:pt idx="16">
                  <c:v>202.800485757817</c:v>
                </c:pt>
                <c:pt idx="17">
                  <c:v>215.32812757703999</c:v>
                </c:pt>
                <c:pt idx="18">
                  <c:v>225.295923547792</c:v>
                </c:pt>
                <c:pt idx="19">
                  <c:v>211.276927200317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1-4AD2-AFE8-7FDE51FC1045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F_1_m_dot_a_1!$BR$3:$BR$22</c:f>
              <c:numCache>
                <c:formatCode>General</c:formatCode>
                <c:ptCount val="20"/>
                <c:pt idx="0">
                  <c:v>220.04603934328861</c:v>
                </c:pt>
                <c:pt idx="1">
                  <c:v>218.81317882836953</c:v>
                </c:pt>
                <c:pt idx="2">
                  <c:v>222.24121440778836</c:v>
                </c:pt>
                <c:pt idx="3">
                  <c:v>218.81423484512476</c:v>
                </c:pt>
                <c:pt idx="4">
                  <c:v>220.29518079769349</c:v>
                </c:pt>
                <c:pt idx="5">
                  <c:v>217.73080097554038</c:v>
                </c:pt>
                <c:pt idx="6">
                  <c:v>219.73333727423449</c:v>
                </c:pt>
                <c:pt idx="7">
                  <c:v>214.7226317732094</c:v>
                </c:pt>
                <c:pt idx="8">
                  <c:v>214.35467373298675</c:v>
                </c:pt>
                <c:pt idx="9">
                  <c:v>213.11711002943019</c:v>
                </c:pt>
                <c:pt idx="10">
                  <c:v>216.65646848611382</c:v>
                </c:pt>
                <c:pt idx="11">
                  <c:v>211.80046241577543</c:v>
                </c:pt>
                <c:pt idx="12">
                  <c:v>213.93419542842196</c:v>
                </c:pt>
                <c:pt idx="13">
                  <c:v>204.47243849942225</c:v>
                </c:pt>
                <c:pt idx="14">
                  <c:v>208.05277572083477</c:v>
                </c:pt>
                <c:pt idx="15">
                  <c:v>207.97610846746716</c:v>
                </c:pt>
                <c:pt idx="16">
                  <c:v>210.60782481197077</c:v>
                </c:pt>
                <c:pt idx="17">
                  <c:v>216.18466987169003</c:v>
                </c:pt>
                <c:pt idx="18">
                  <c:v>210.08138610269171</c:v>
                </c:pt>
                <c:pt idx="19">
                  <c:v>210.72383591348134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1-4AD2-AFE8-7FDE51FC1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20928"/>
        <c:axId val="276222720"/>
      </c:lineChart>
      <c:catAx>
        <c:axId val="27622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76222720"/>
        <c:crosses val="autoZero"/>
        <c:auto val="1"/>
        <c:lblAlgn val="ctr"/>
        <c:lblOffset val="100"/>
        <c:noMultiLvlLbl val="0"/>
      </c:catAx>
      <c:valAx>
        <c:axId val="276222720"/>
        <c:scaling>
          <c:orientation val="minMax"/>
          <c:max val="270"/>
          <c:min val="1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622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6207349081366"/>
          <c:y val="2.7100111949588782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SNOx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F_1_m_dot_a_1!$AK$3:$AK$22</c:f>
              <c:numCache>
                <c:formatCode>General</c:formatCode>
                <c:ptCount val="20"/>
                <c:pt idx="0">
                  <c:v>26.080648202178399</c:v>
                </c:pt>
                <c:pt idx="1">
                  <c:v>20.092822099140999</c:v>
                </c:pt>
                <c:pt idx="2">
                  <c:v>11.6467794266444</c:v>
                </c:pt>
                <c:pt idx="3">
                  <c:v>18.022496701598499</c:v>
                </c:pt>
                <c:pt idx="4">
                  <c:v>13.9563834844504</c:v>
                </c:pt>
                <c:pt idx="5">
                  <c:v>18.840311038509999</c:v>
                </c:pt>
                <c:pt idx="6">
                  <c:v>10.408117403068101</c:v>
                </c:pt>
                <c:pt idx="7">
                  <c:v>15.776137827685201</c:v>
                </c:pt>
                <c:pt idx="8">
                  <c:v>9.5272937071187993</c:v>
                </c:pt>
                <c:pt idx="9">
                  <c:v>17.154445204327999</c:v>
                </c:pt>
                <c:pt idx="10">
                  <c:v>8.9705567218154503</c:v>
                </c:pt>
                <c:pt idx="11">
                  <c:v>15.332289777212299</c:v>
                </c:pt>
                <c:pt idx="12">
                  <c:v>11.108865831055301</c:v>
                </c:pt>
                <c:pt idx="13">
                  <c:v>7.8372215194376098</c:v>
                </c:pt>
                <c:pt idx="14">
                  <c:v>17.0040516067873</c:v>
                </c:pt>
                <c:pt idx="15">
                  <c:v>12.6776579173644</c:v>
                </c:pt>
                <c:pt idx="16">
                  <c:v>9.9698984204067997</c:v>
                </c:pt>
                <c:pt idx="17">
                  <c:v>6.1327204655111798</c:v>
                </c:pt>
                <c:pt idx="18">
                  <c:v>10.178784333447799</c:v>
                </c:pt>
                <c:pt idx="19">
                  <c:v>7.5785762774711198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B-4B06-9B05-0C81B600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40832"/>
        <c:axId val="277246720"/>
      </c:lineChart>
      <c:lineChart>
        <c:grouping val="standard"/>
        <c:varyColors val="0"/>
        <c:ser>
          <c:idx val="1"/>
          <c:order val="1"/>
          <c:spPr>
            <a:ln>
              <a:prstDash val="sysDash"/>
            </a:ln>
          </c:spPr>
          <c:val>
            <c:numRef>
              <c:f>F_1_m_dot_a_1!$BS$3:$BS$22</c:f>
              <c:numCache>
                <c:formatCode>General</c:formatCode>
                <c:ptCount val="20"/>
                <c:pt idx="0">
                  <c:v>8.2607305914453395</c:v>
                </c:pt>
                <c:pt idx="1">
                  <c:v>7.5297210325686503</c:v>
                </c:pt>
                <c:pt idx="2">
                  <c:v>7.1256585916582198</c:v>
                </c:pt>
                <c:pt idx="3">
                  <c:v>7.6247572019204197</c:v>
                </c:pt>
                <c:pt idx="4">
                  <c:v>7.42445951406867</c:v>
                </c:pt>
                <c:pt idx="5">
                  <c:v>8.6874724955871692</c:v>
                </c:pt>
                <c:pt idx="6">
                  <c:v>7.2235625528357703</c:v>
                </c:pt>
                <c:pt idx="7">
                  <c:v>8.2423754375431706</c:v>
                </c:pt>
                <c:pt idx="8">
                  <c:v>6.3024080451709201</c:v>
                </c:pt>
                <c:pt idx="9" formatCode="0.00E+00">
                  <c:v>8.6186073856261896</c:v>
                </c:pt>
                <c:pt idx="10">
                  <c:v>6.7572215827653199</c:v>
                </c:pt>
                <c:pt idx="11">
                  <c:v>8.7692422066606301</c:v>
                </c:pt>
                <c:pt idx="12">
                  <c:v>7.7797691785279897</c:v>
                </c:pt>
                <c:pt idx="13">
                  <c:v>6.9322275910489104</c:v>
                </c:pt>
                <c:pt idx="14" formatCode="0.00E+00">
                  <c:v>8.7939846465281395</c:v>
                </c:pt>
                <c:pt idx="15">
                  <c:v>8.8699999999999992</c:v>
                </c:pt>
                <c:pt idx="16">
                  <c:v>8.1695225790879196</c:v>
                </c:pt>
                <c:pt idx="17">
                  <c:v>6.6555751055186603</c:v>
                </c:pt>
                <c:pt idx="18" formatCode="0.00E+00">
                  <c:v>8.3500220838381392</c:v>
                </c:pt>
                <c:pt idx="19">
                  <c:v>7.9445010188998602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B-4B06-9B05-0C81B600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250432"/>
        <c:axId val="277248640"/>
      </c:lineChart>
      <c:catAx>
        <c:axId val="277240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246720"/>
        <c:crosses val="autoZero"/>
        <c:auto val="1"/>
        <c:lblAlgn val="ctr"/>
        <c:lblOffset val="100"/>
        <c:noMultiLvlLbl val="0"/>
      </c:catAx>
      <c:valAx>
        <c:axId val="27724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240832"/>
        <c:crosses val="autoZero"/>
        <c:crossBetween val="between"/>
      </c:valAx>
      <c:valAx>
        <c:axId val="277248640"/>
        <c:scaling>
          <c:orientation val="minMax"/>
          <c:max val="10.5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277250432"/>
        <c:crosses val="max"/>
        <c:crossBetween val="between"/>
      </c:valAx>
      <c:catAx>
        <c:axId val="27725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2772486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p_max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F_1_m_dot_a_1!$AU$3:$AU$22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104.4314</c:v>
                </c:pt>
                <c:pt idx="3">
                  <c:v>81.675150000000002</c:v>
                </c:pt>
                <c:pt idx="4">
                  <c:v>95.019499999999994</c:v>
                </c:pt>
                <c:pt idx="5">
                  <c:v>76.446550000000002</c:v>
                </c:pt>
                <c:pt idx="6">
                  <c:v>113.8982</c:v>
                </c:pt>
                <c:pt idx="7">
                  <c:v>96.520899999999997</c:v>
                </c:pt>
                <c:pt idx="8">
                  <c:v>118.84175</c:v>
                </c:pt>
                <c:pt idx="9">
                  <c:v>81.115624999999994</c:v>
                </c:pt>
                <c:pt idx="10">
                  <c:v>128.60759999999999</c:v>
                </c:pt>
                <c:pt idx="11">
                  <c:v>92.127799999999993</c:v>
                </c:pt>
                <c:pt idx="12">
                  <c:v>117.66334999999999</c:v>
                </c:pt>
                <c:pt idx="13">
                  <c:v>130.25885</c:v>
                </c:pt>
                <c:pt idx="14">
                  <c:v>79.253349999999998</c:v>
                </c:pt>
                <c:pt idx="15">
                  <c:v>101.45215</c:v>
                </c:pt>
                <c:pt idx="16">
                  <c:v>117.9863</c:v>
                </c:pt>
                <c:pt idx="17">
                  <c:v>115.62935</c:v>
                </c:pt>
                <c:pt idx="18">
                  <c:v>74.965000000000003</c:v>
                </c:pt>
                <c:pt idx="19">
                  <c:v>102.411725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A-4840-8A68-7DED82E8B5EB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F_1_m_dot_a_1!$BT$3:$BT$22</c:f>
              <c:numCache>
                <c:formatCode>General</c:formatCode>
                <c:ptCount val="20"/>
                <c:pt idx="0">
                  <c:v>123.657301041003</c:v>
                </c:pt>
                <c:pt idx="1">
                  <c:v>152.01479259335599</c:v>
                </c:pt>
                <c:pt idx="2">
                  <c:v>153.69902365138299</c:v>
                </c:pt>
                <c:pt idx="3">
                  <c:v>122.531262778575</c:v>
                </c:pt>
                <c:pt idx="4">
                  <c:v>144.90145271983201</c:v>
                </c:pt>
                <c:pt idx="5">
                  <c:v>105.18187323202601</c:v>
                </c:pt>
                <c:pt idx="6">
                  <c:v>157.63460178616</c:v>
                </c:pt>
                <c:pt idx="7">
                  <c:v>136.50954274544301</c:v>
                </c:pt>
                <c:pt idx="8">
                  <c:v>163.313277023187</c:v>
                </c:pt>
                <c:pt idx="9">
                  <c:v>103.56915107306899</c:v>
                </c:pt>
                <c:pt idx="10">
                  <c:v>160.480149423603</c:v>
                </c:pt>
                <c:pt idx="11">
                  <c:v>119.586749798881</c:v>
                </c:pt>
                <c:pt idx="12">
                  <c:v>149.13336453584301</c:v>
                </c:pt>
                <c:pt idx="13">
                  <c:v>157.57864663135999</c:v>
                </c:pt>
                <c:pt idx="14">
                  <c:v>98.885837146698904</c:v>
                </c:pt>
                <c:pt idx="15">
                  <c:v>122.477333310536</c:v>
                </c:pt>
                <c:pt idx="16">
                  <c:v>139.707511467285</c:v>
                </c:pt>
                <c:pt idx="17">
                  <c:v>116.71918655907101</c:v>
                </c:pt>
                <c:pt idx="18">
                  <c:v>83.955133273495306</c:v>
                </c:pt>
                <c:pt idx="19">
                  <c:v>112.29293417587601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A-4840-8A68-7DED82E8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73792"/>
        <c:axId val="277875328"/>
      </c:lineChart>
      <c:catAx>
        <c:axId val="27787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875328"/>
        <c:crosses val="autoZero"/>
        <c:auto val="1"/>
        <c:lblAlgn val="ctr"/>
        <c:lblOffset val="100"/>
        <c:noMultiLvlLbl val="0"/>
      </c:catAx>
      <c:valAx>
        <c:axId val="27787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87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06777623522276"/>
          <c:y val="3.2476693101534337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F_1_m_dot_a_1!$AY$3:$AY$22</c:f>
              <c:numCache>
                <c:formatCode>General</c:formatCode>
                <c:ptCount val="20"/>
                <c:pt idx="0">
                  <c:v>1730.2985257798539</c:v>
                </c:pt>
                <c:pt idx="1">
                  <c:v>1076.0990747678793</c:v>
                </c:pt>
                <c:pt idx="2">
                  <c:v>2409.1159099167699</c:v>
                </c:pt>
                <c:pt idx="3">
                  <c:v>1622.4908213305732</c:v>
                </c:pt>
                <c:pt idx="4">
                  <c:v>1766.2966450448782</c:v>
                </c:pt>
                <c:pt idx="5">
                  <c:v>1730.4648339952798</c:v>
                </c:pt>
                <c:pt idx="6">
                  <c:v>1610.0589933342903</c:v>
                </c:pt>
                <c:pt idx="7">
                  <c:v>2166.0521000712492</c:v>
                </c:pt>
                <c:pt idx="8">
                  <c:v>2930.4637132176531</c:v>
                </c:pt>
                <c:pt idx="9">
                  <c:v>2809.1378986752438</c:v>
                </c:pt>
                <c:pt idx="10">
                  <c:v>3635.5264002341596</c:v>
                </c:pt>
                <c:pt idx="11">
                  <c:v>2722.0836750440003</c:v>
                </c:pt>
                <c:pt idx="12">
                  <c:v>2002.436452330119</c:v>
                </c:pt>
                <c:pt idx="13">
                  <c:v>4365.9996409068035</c:v>
                </c:pt>
                <c:pt idx="14">
                  <c:v>2280.9121687042898</c:v>
                </c:pt>
                <c:pt idx="15">
                  <c:v>3195.1991864681659</c:v>
                </c:pt>
                <c:pt idx="16">
                  <c:v>3293.4836546253268</c:v>
                </c:pt>
                <c:pt idx="17">
                  <c:v>5278.8239113399559</c:v>
                </c:pt>
                <c:pt idx="18">
                  <c:v>3552.5136136142996</c:v>
                </c:pt>
                <c:pt idx="19">
                  <c:v>3986.7317015036124</c:v>
                </c:pt>
              </c:numCache>
            </c:numRef>
          </c:xVal>
          <c:yVal>
            <c:numRef>
              <c:f>F_1_m_dot_a_1!$AW$3:$AW$22</c:f>
              <c:numCache>
                <c:formatCode>General</c:formatCode>
                <c:ptCount val="20"/>
                <c:pt idx="0">
                  <c:v>1.0867049342553998</c:v>
                </c:pt>
                <c:pt idx="1">
                  <c:v>1.1865025807831331</c:v>
                </c:pt>
                <c:pt idx="2">
                  <c:v>1.5646469999999999</c:v>
                </c:pt>
                <c:pt idx="3">
                  <c:v>1.2431869318181821</c:v>
                </c:pt>
                <c:pt idx="4">
                  <c:v>1.4206770017507</c:v>
                </c:pt>
                <c:pt idx="5">
                  <c:v>1.215818837209302</c:v>
                </c:pt>
                <c:pt idx="6">
                  <c:v>1.8673532073170729</c:v>
                </c:pt>
                <c:pt idx="7">
                  <c:v>1.4410452867821548</c:v>
                </c:pt>
                <c:pt idx="8">
                  <c:v>2.0649196506024099</c:v>
                </c:pt>
                <c:pt idx="9">
                  <c:v>1.289825246550472</c:v>
                </c:pt>
                <c:pt idx="10">
                  <c:v>2.30455448780488</c:v>
                </c:pt>
                <c:pt idx="11">
                  <c:v>1.4294999542868752</c:v>
                </c:pt>
                <c:pt idx="12">
                  <c:v>1.923526255813953</c:v>
                </c:pt>
                <c:pt idx="13">
                  <c:v>2.5403592345678998</c:v>
                </c:pt>
                <c:pt idx="14">
                  <c:v>1.361221953488372</c:v>
                </c:pt>
                <c:pt idx="15">
                  <c:v>1.7081882502204588</c:v>
                </c:pt>
                <c:pt idx="16">
                  <c:v>2.1054553344541098</c:v>
                </c:pt>
                <c:pt idx="17">
                  <c:v>2.6037735737704901</c:v>
                </c:pt>
                <c:pt idx="18">
                  <c:v>1.478081465631929</c:v>
                </c:pt>
                <c:pt idx="19">
                  <c:v>2.0969528018077597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D-4619-8EB4-C1D9C8C0B6CF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F_1_m_dot_a_1!$AZ$3:$AZ$22</c:f>
              <c:numCache>
                <c:formatCode>General</c:formatCode>
                <c:ptCount val="20"/>
                <c:pt idx="0">
                  <c:v>868.55134187724354</c:v>
                </c:pt>
                <c:pt idx="1">
                  <c:v>1221.4751504067597</c:v>
                </c:pt>
                <c:pt idx="2">
                  <c:v>1788.8891662246672</c:v>
                </c:pt>
                <c:pt idx="3">
                  <c:v>1193.8340553510764</c:v>
                </c:pt>
                <c:pt idx="4">
                  <c:v>1829.1388999612038</c:v>
                </c:pt>
                <c:pt idx="5">
                  <c:v>1683.2116781817417</c:v>
                </c:pt>
                <c:pt idx="6">
                  <c:v>2338.7958635820214</c:v>
                </c:pt>
                <c:pt idx="7">
                  <c:v>2195.392345400674</c:v>
                </c:pt>
                <c:pt idx="8">
                  <c:v>2062.1745516930132</c:v>
                </c:pt>
                <c:pt idx="9">
                  <c:v>1809.565493776938</c:v>
                </c:pt>
                <c:pt idx="10">
                  <c:v>2205.948149108619</c:v>
                </c:pt>
                <c:pt idx="11">
                  <c:v>2619.5092577748164</c:v>
                </c:pt>
                <c:pt idx="12">
                  <c:v>2680.1638385905808</c:v>
                </c:pt>
                <c:pt idx="13">
                  <c:v>2341.2143775294417</c:v>
                </c:pt>
                <c:pt idx="14">
                  <c:v>2403.6237679387386</c:v>
                </c:pt>
                <c:pt idx="15">
                  <c:v>2921.8575665564454</c:v>
                </c:pt>
                <c:pt idx="16">
                  <c:v>2507.8501173236327</c:v>
                </c:pt>
                <c:pt idx="17">
                  <c:v>2554.3171306198501</c:v>
                </c:pt>
                <c:pt idx="18">
                  <c:v>3280.6368071973056</c:v>
                </c:pt>
                <c:pt idx="19">
                  <c:v>2879.7537371374901</c:v>
                </c:pt>
              </c:numCache>
            </c:numRef>
          </c:xVal>
          <c:yVal>
            <c:numRef>
              <c:f>F_1_m_dot_a_1!$AN$3:$AN$22</c:f>
              <c:numCache>
                <c:formatCode>General</c:formatCode>
                <c:ptCount val="20"/>
                <c:pt idx="0">
                  <c:v>32.170042515880581</c:v>
                </c:pt>
                <c:pt idx="1">
                  <c:v>34.562826109072965</c:v>
                </c:pt>
                <c:pt idx="2">
                  <c:v>37.097548291952727</c:v>
                </c:pt>
                <c:pt idx="3">
                  <c:v>31.942486950008764</c:v>
                </c:pt>
                <c:pt idx="4">
                  <c:v>35.855036885944415</c:v>
                </c:pt>
                <c:pt idx="5">
                  <c:v>29.08299873604399</c:v>
                </c:pt>
                <c:pt idx="6">
                  <c:v>38.143083602167415</c:v>
                </c:pt>
                <c:pt idx="7">
                  <c:v>33.312311881193082</c:v>
                </c:pt>
                <c:pt idx="8">
                  <c:v>37.921669958488337</c:v>
                </c:pt>
                <c:pt idx="9">
                  <c:v>27.929267912762814</c:v>
                </c:pt>
                <c:pt idx="10">
                  <c:v>37.935376778807296</c:v>
                </c:pt>
                <c:pt idx="11">
                  <c:v>30.917161971048355</c:v>
                </c:pt>
                <c:pt idx="12">
                  <c:v>35.972178888326141</c:v>
                </c:pt>
                <c:pt idx="13">
                  <c:v>36.204693702873357</c:v>
                </c:pt>
                <c:pt idx="14">
                  <c:v>27.306806366563382</c:v>
                </c:pt>
                <c:pt idx="15">
                  <c:v>31.317552205540963</c:v>
                </c:pt>
                <c:pt idx="16">
                  <c:v>34.473696524476935</c:v>
                </c:pt>
                <c:pt idx="17">
                  <c:v>34.287690317432116</c:v>
                </c:pt>
                <c:pt idx="18">
                  <c:v>27.21890879767334</c:v>
                </c:pt>
                <c:pt idx="19">
                  <c:v>32.900915769728783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D-4619-8EB4-C1D9C8C0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11424"/>
        <c:axId val="277912960"/>
      </c:scatte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xVal>
            <c:numRef>
              <c:f>F_1_m_dot_a_1!$AZ$3:$AZ$22</c:f>
              <c:numCache>
                <c:formatCode>General</c:formatCode>
                <c:ptCount val="20"/>
                <c:pt idx="0">
                  <c:v>868.55134187724354</c:v>
                </c:pt>
                <c:pt idx="1">
                  <c:v>1221.4751504067597</c:v>
                </c:pt>
                <c:pt idx="2">
                  <c:v>1788.8891662246672</c:v>
                </c:pt>
                <c:pt idx="3">
                  <c:v>1193.8340553510764</c:v>
                </c:pt>
                <c:pt idx="4">
                  <c:v>1829.1388999612038</c:v>
                </c:pt>
                <c:pt idx="5">
                  <c:v>1683.2116781817417</c:v>
                </c:pt>
                <c:pt idx="6">
                  <c:v>2338.7958635820214</c:v>
                </c:pt>
                <c:pt idx="7">
                  <c:v>2195.392345400674</c:v>
                </c:pt>
                <c:pt idx="8">
                  <c:v>2062.1745516930132</c:v>
                </c:pt>
                <c:pt idx="9">
                  <c:v>1809.565493776938</c:v>
                </c:pt>
                <c:pt idx="10">
                  <c:v>2205.948149108619</c:v>
                </c:pt>
                <c:pt idx="11">
                  <c:v>2619.5092577748164</c:v>
                </c:pt>
                <c:pt idx="12">
                  <c:v>2680.1638385905808</c:v>
                </c:pt>
                <c:pt idx="13">
                  <c:v>2341.2143775294417</c:v>
                </c:pt>
                <c:pt idx="14">
                  <c:v>2403.6237679387386</c:v>
                </c:pt>
                <c:pt idx="15">
                  <c:v>2921.8575665564454</c:v>
                </c:pt>
                <c:pt idx="16">
                  <c:v>2507.8501173236327</c:v>
                </c:pt>
                <c:pt idx="17">
                  <c:v>2554.3171306198501</c:v>
                </c:pt>
                <c:pt idx="18">
                  <c:v>3280.6368071973056</c:v>
                </c:pt>
                <c:pt idx="19">
                  <c:v>2879.7537371374901</c:v>
                </c:pt>
              </c:numCache>
            </c:numRef>
          </c:xVal>
          <c:yVal>
            <c:numRef>
              <c:f>F_1_m_dot_a_1!$AM$3:$AM$22</c:f>
              <c:numCache>
                <c:formatCode>General</c:formatCode>
                <c:ptCount val="20"/>
                <c:pt idx="0">
                  <c:v>3.8778509136382249E-3</c:v>
                </c:pt>
                <c:pt idx="1">
                  <c:v>4.1380529057442154E-3</c:v>
                </c:pt>
                <c:pt idx="2">
                  <c:v>4.2857057877033616E-3</c:v>
                </c:pt>
                <c:pt idx="3">
                  <c:v>3.8155035882314419E-3</c:v>
                </c:pt>
                <c:pt idx="4">
                  <c:v>4.1428249039013989E-3</c:v>
                </c:pt>
                <c:pt idx="5">
                  <c:v>3.4602474386924817E-3</c:v>
                </c:pt>
                <c:pt idx="6">
                  <c:v>4.4107116827918711E-3</c:v>
                </c:pt>
                <c:pt idx="7">
                  <c:v>3.7987425731655648E-3</c:v>
                </c:pt>
                <c:pt idx="8">
                  <c:v>4.4751105288362691E-3</c:v>
                </c:pt>
                <c:pt idx="9">
                  <c:v>3.298062871868616E-3</c:v>
                </c:pt>
                <c:pt idx="10">
                  <c:v>4.3838943322568151E-3</c:v>
                </c:pt>
                <c:pt idx="11">
                  <c:v>3.4958987241280916E-3</c:v>
                </c:pt>
                <c:pt idx="12">
                  <c:v>4.1280495408580788E-3</c:v>
                </c:pt>
                <c:pt idx="13">
                  <c:v>4.2808591893616736E-3</c:v>
                </c:pt>
                <c:pt idx="14">
                  <c:v>3.1953913279077983E-3</c:v>
                </c:pt>
                <c:pt idx="15">
                  <c:v>3.5707097141158572E-3</c:v>
                </c:pt>
                <c:pt idx="16">
                  <c:v>3.9806801694444041E-3</c:v>
                </c:pt>
                <c:pt idx="17">
                  <c:v>4.0781535824899158E-3</c:v>
                </c:pt>
                <c:pt idx="18">
                  <c:v>3.1151642190606101E-3</c:v>
                </c:pt>
                <c:pt idx="19">
                  <c:v>3.7336108803638457E-3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D-4619-8EB4-C1D9C8C0B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932672"/>
        <c:axId val="277931136"/>
      </c:scatterChart>
      <c:valAx>
        <c:axId val="2779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7912960"/>
        <c:crosses val="autoZero"/>
        <c:crossBetween val="midCat"/>
      </c:valAx>
      <c:valAx>
        <c:axId val="27791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911424"/>
        <c:crosses val="autoZero"/>
        <c:crossBetween val="midCat"/>
      </c:valAx>
      <c:valAx>
        <c:axId val="277931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7932672"/>
        <c:crosses val="max"/>
        <c:crossBetween val="midCat"/>
      </c:valAx>
      <c:valAx>
        <c:axId val="27793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793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19531933508316"/>
          <c:y val="0.19888196267133276"/>
          <c:w val="0.128582458442694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Air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F_1_m_dot_a_1!$AL$3:$AL$22</c:f>
              <c:numCache>
                <c:formatCode>General</c:formatCode>
                <c:ptCount val="20"/>
                <c:pt idx="0">
                  <c:v>0.154902739869792</c:v>
                </c:pt>
                <c:pt idx="1">
                  <c:v>0.16540304676033599</c:v>
                </c:pt>
                <c:pt idx="2">
                  <c:v>0.214072480045818</c:v>
                </c:pt>
                <c:pt idx="3">
                  <c:v>0.19059387285307</c:v>
                </c:pt>
                <c:pt idx="4">
                  <c:v>0.20695536341332299</c:v>
                </c:pt>
                <c:pt idx="5">
                  <c:v>0.20738426943014299</c:v>
                </c:pt>
                <c:pt idx="6">
                  <c:v>0.264392282967711</c:v>
                </c:pt>
                <c:pt idx="7">
                  <c:v>0.22771327611446801</c:v>
                </c:pt>
                <c:pt idx="8">
                  <c:v>0.26827472646133299</c:v>
                </c:pt>
                <c:pt idx="9">
                  <c:v>0.230674586820133</c:v>
                </c:pt>
                <c:pt idx="10">
                  <c:v>0.30695164811259301</c:v>
                </c:pt>
                <c:pt idx="11">
                  <c:v>0.244913413657215</c:v>
                </c:pt>
                <c:pt idx="12">
                  <c:v>0.289705920744667</c:v>
                </c:pt>
                <c:pt idx="13">
                  <c:v>0.34215245354194102</c:v>
                </c:pt>
                <c:pt idx="14">
                  <c:v>0.255432692419161</c:v>
                </c:pt>
                <c:pt idx="15">
                  <c:v>0.28551123753754098</c:v>
                </c:pt>
                <c:pt idx="16">
                  <c:v>0.31831020505593699</c:v>
                </c:pt>
                <c:pt idx="17">
                  <c:v>0.36640092812706598</c:v>
                </c:pt>
                <c:pt idx="18">
                  <c:v>0.280240739027799</c:v>
                </c:pt>
                <c:pt idx="19">
                  <c:v>0.33590995354330899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7-4495-BDEC-1A3D6E600048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F_1_m_dot_a_1!$BM$3:$BM$22</c:f>
              <c:numCache>
                <c:formatCode>General</c:formatCode>
                <c:ptCount val="20"/>
                <c:pt idx="0">
                  <c:v>0.13623880844474301</c:v>
                </c:pt>
                <c:pt idx="1">
                  <c:v>0.14563021877030599</c:v>
                </c:pt>
                <c:pt idx="2">
                  <c:v>0.19278205332983001</c:v>
                </c:pt>
                <c:pt idx="3">
                  <c:v>0.16997809922329199</c:v>
                </c:pt>
                <c:pt idx="4">
                  <c:v>0.18578510347302499</c:v>
                </c:pt>
                <c:pt idx="5">
                  <c:v>0.18693614292992999</c:v>
                </c:pt>
                <c:pt idx="6">
                  <c:v>0.24032204514179301</c:v>
                </c:pt>
                <c:pt idx="7">
                  <c:v>0.20614734274583901</c:v>
                </c:pt>
                <c:pt idx="8">
                  <c:v>0.28621518147990399</c:v>
                </c:pt>
                <c:pt idx="9">
                  <c:v>0.20873622925624699</c:v>
                </c:pt>
                <c:pt idx="10">
                  <c:v>0.313619519908857</c:v>
                </c:pt>
                <c:pt idx="11">
                  <c:v>0.22269775288923499</c:v>
                </c:pt>
                <c:pt idx="12">
                  <c:v>0.26495501861405002</c:v>
                </c:pt>
                <c:pt idx="13">
                  <c:v>0.37374796883766198</c:v>
                </c:pt>
                <c:pt idx="14">
                  <c:v>0.23195431345475201</c:v>
                </c:pt>
                <c:pt idx="15">
                  <c:v>0.26080416727118999</c:v>
                </c:pt>
                <c:pt idx="16">
                  <c:v>0.29154138923809603</c:v>
                </c:pt>
                <c:pt idx="17">
                  <c:v>0.33571233353806801</c:v>
                </c:pt>
                <c:pt idx="18">
                  <c:v>0.25607763520669902</c:v>
                </c:pt>
                <c:pt idx="19">
                  <c:v>0.308508885892531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7-4495-BDEC-1A3D6E60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10880"/>
        <c:axId val="278021248"/>
      </c:lineChart>
      <c:catAx>
        <c:axId val="27801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8021248"/>
        <c:crosses val="autoZero"/>
        <c:auto val="1"/>
        <c:lblAlgn val="ctr"/>
        <c:lblOffset val="100"/>
        <c:noMultiLvlLbl val="0"/>
      </c:catAx>
      <c:valAx>
        <c:axId val="27802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010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Air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F_glob_p_ac1!$AL$3:$AL$22</c:f>
              <c:numCache>
                <c:formatCode>General</c:formatCode>
                <c:ptCount val="20"/>
                <c:pt idx="0">
                  <c:v>0.154902739869792</c:v>
                </c:pt>
                <c:pt idx="1">
                  <c:v>0.16540304676033599</c:v>
                </c:pt>
                <c:pt idx="2">
                  <c:v>0.230674586820133</c:v>
                </c:pt>
                <c:pt idx="3">
                  <c:v>0.280240739027799</c:v>
                </c:pt>
                <c:pt idx="4">
                  <c:v>0.28551123753754098</c:v>
                </c:pt>
                <c:pt idx="5">
                  <c:v>0.244913413657215</c:v>
                </c:pt>
                <c:pt idx="6">
                  <c:v>0.22771327611446801</c:v>
                </c:pt>
                <c:pt idx="7">
                  <c:v>0.20695536341332299</c:v>
                </c:pt>
                <c:pt idx="8">
                  <c:v>0.33590995354330899</c:v>
                </c:pt>
                <c:pt idx="9">
                  <c:v>0.31831020505593699</c:v>
                </c:pt>
                <c:pt idx="10">
                  <c:v>0.19059387285307</c:v>
                </c:pt>
                <c:pt idx="11">
                  <c:v>0.20738426943014299</c:v>
                </c:pt>
                <c:pt idx="12">
                  <c:v>0.255432692419161</c:v>
                </c:pt>
                <c:pt idx="13">
                  <c:v>0.289705920744667</c:v>
                </c:pt>
                <c:pt idx="14">
                  <c:v>0.264392282967711</c:v>
                </c:pt>
                <c:pt idx="15">
                  <c:v>0.36640092812706598</c:v>
                </c:pt>
                <c:pt idx="16">
                  <c:v>0.34215245354194102</c:v>
                </c:pt>
                <c:pt idx="17">
                  <c:v>0.30695164811259301</c:v>
                </c:pt>
                <c:pt idx="18">
                  <c:v>0.26827472646133299</c:v>
                </c:pt>
                <c:pt idx="19">
                  <c:v>0.214072480045818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3-4EF3-AF93-E7B6B0F61B42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F_glob_p_ac1!$BP$3:$BP$22</c:f>
              <c:numCache>
                <c:formatCode>General</c:formatCode>
                <c:ptCount val="20"/>
                <c:pt idx="0">
                  <c:v>7.5654673088841801E-2</c:v>
                </c:pt>
                <c:pt idx="2">
                  <c:v>0.16187724517808799</c:v>
                </c:pt>
                <c:pt idx="3">
                  <c:v>0.23362298276236401</c:v>
                </c:pt>
                <c:pt idx="4">
                  <c:v>0.24002733895325001</c:v>
                </c:pt>
                <c:pt idx="5">
                  <c:v>0.17292558237351499</c:v>
                </c:pt>
                <c:pt idx="6">
                  <c:v>0.14925813964385801</c:v>
                </c:pt>
                <c:pt idx="8">
                  <c:v>0.332444917947955</c:v>
                </c:pt>
                <c:pt idx="9">
                  <c:v>0.30116646294518601</c:v>
                </c:pt>
                <c:pt idx="10">
                  <c:v>0.109821477401206</c:v>
                </c:pt>
                <c:pt idx="11">
                  <c:v>0.12949020416193699</c:v>
                </c:pt>
                <c:pt idx="12">
                  <c:v>0.19444966947359801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3-4EF3-AF93-E7B6B0F6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25856"/>
        <c:axId val="270027392"/>
      </c:lineChart>
      <c:catAx>
        <c:axId val="27002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0027392"/>
        <c:crosses val="autoZero"/>
        <c:auto val="1"/>
        <c:lblAlgn val="ctr"/>
        <c:lblOffset val="100"/>
        <c:noMultiLvlLbl val="0"/>
      </c:catAx>
      <c:valAx>
        <c:axId val="270027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025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01262284710152"/>
          <c:y val="1.6451444863858345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F_1_m_dot_a_1!$AO$3:$AO$22</c:f>
              <c:numCache>
                <c:formatCode>General</c:formatCode>
                <c:ptCount val="20"/>
                <c:pt idx="0">
                  <c:v>0.15767956125669599</c:v>
                </c:pt>
                <c:pt idx="1">
                  <c:v>0.17010676835114899</c:v>
                </c:pt>
                <c:pt idx="2">
                  <c:v>0.221730875460208</c:v>
                </c:pt>
                <c:pt idx="3">
                  <c:v>0.19505239727625201</c:v>
                </c:pt>
                <c:pt idx="4">
                  <c:v>0.213589762069505</c:v>
                </c:pt>
                <c:pt idx="5">
                  <c:v>0.21153774768432901</c:v>
                </c:pt>
                <c:pt idx="6">
                  <c:v>0.27454841432054</c:v>
                </c:pt>
                <c:pt idx="7">
                  <c:v>0.234131531045462</c:v>
                </c:pt>
                <c:pt idx="8">
                  <c:v>0.27958018154793501</c:v>
                </c:pt>
                <c:pt idx="9">
                  <c:v>0.23554849686853299</c:v>
                </c:pt>
                <c:pt idx="10">
                  <c:v>0.31973060854791002</c:v>
                </c:pt>
                <c:pt idx="11">
                  <c:v>0.251061542473418</c:v>
                </c:pt>
                <c:pt idx="12">
                  <c:v>0.29999678108801597</c:v>
                </c:pt>
                <c:pt idx="13">
                  <c:v>0.35696694637201498</c:v>
                </c:pt>
                <c:pt idx="14">
                  <c:v>0.26098202992371899</c:v>
                </c:pt>
                <c:pt idx="15">
                  <c:v>0.29398528823275299</c:v>
                </c:pt>
                <c:pt idx="16">
                  <c:v>0.32990648983335702</c:v>
                </c:pt>
                <c:pt idx="17">
                  <c:v>0.38234623964234499</c:v>
                </c:pt>
                <c:pt idx="18">
                  <c:v>0.286740232707968</c:v>
                </c:pt>
                <c:pt idx="19">
                  <c:v>0.34756071124986698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5-410B-A197-3CCBBD607C84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F_1_m_dot_a_1!$BN$3:$BN$22</c:f>
              <c:numCache>
                <c:formatCode>General</c:formatCode>
                <c:ptCount val="20"/>
                <c:pt idx="0">
                  <c:v>0.137377689902242</c:v>
                </c:pt>
                <c:pt idx="1">
                  <c:v>0.14902232297613199</c:v>
                </c:pt>
                <c:pt idx="2">
                  <c:v>0.20005769288047801</c:v>
                </c:pt>
                <c:pt idx="3">
                  <c:v>0.173303957402273</c:v>
                </c:pt>
                <c:pt idx="4">
                  <c:v>0.191198659121086</c:v>
                </c:pt>
                <c:pt idx="5">
                  <c:v>0.19043841419594901</c:v>
                </c:pt>
                <c:pt idx="6">
                  <c:v>0.25050595171307699</c:v>
                </c:pt>
                <c:pt idx="7">
                  <c:v>0.21217649294183399</c:v>
                </c:pt>
                <c:pt idx="8">
                  <c:v>0.297036244363173</c:v>
                </c:pt>
                <c:pt idx="9">
                  <c:v>0.213224291071724</c:v>
                </c:pt>
                <c:pt idx="10">
                  <c:v>0.32644820937695801</c:v>
                </c:pt>
                <c:pt idx="11">
                  <c:v>0.228759457232005</c:v>
                </c:pt>
                <c:pt idx="12">
                  <c:v>0.27426460711713102</c:v>
                </c:pt>
                <c:pt idx="13">
                  <c:v>0.38966691904227002</c:v>
                </c:pt>
                <c:pt idx="14">
                  <c:v>0.23677659349641</c:v>
                </c:pt>
                <c:pt idx="15">
                  <c:v>0.26962623220193399</c:v>
                </c:pt>
                <c:pt idx="16">
                  <c:v>0.30319511550561801</c:v>
                </c:pt>
                <c:pt idx="17">
                  <c:v>0.35117910091619198</c:v>
                </c:pt>
                <c:pt idx="18">
                  <c:v>0.26156764384119102</c:v>
                </c:pt>
                <c:pt idx="19">
                  <c:v>0.319974303115928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5-410B-A197-3CCBBD607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46976"/>
        <c:axId val="278065536"/>
      </c:lineChart>
      <c:catAx>
        <c:axId val="27804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8065536"/>
        <c:crosses val="autoZero"/>
        <c:auto val="1"/>
        <c:lblAlgn val="ctr"/>
        <c:lblOffset val="100"/>
        <c:noMultiLvlLbl val="0"/>
      </c:catAx>
      <c:valAx>
        <c:axId val="27806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04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Fuel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F_1_m_dot_a_1!$AR$3:$AR$22</c:f>
              <c:numCache>
                <c:formatCode>General</c:formatCode>
                <c:ptCount val="20"/>
                <c:pt idx="0">
                  <c:v>2.7768213869041303E-3</c:v>
                </c:pt>
                <c:pt idx="1">
                  <c:v>4.7037215908127773E-3</c:v>
                </c:pt>
                <c:pt idx="2">
                  <c:v>7.6583954143902497E-3</c:v>
                </c:pt>
                <c:pt idx="3">
                  <c:v>4.4585244231818057E-3</c:v>
                </c:pt>
                <c:pt idx="4">
                  <c:v>6.6343986561823607E-3</c:v>
                </c:pt>
                <c:pt idx="5">
                  <c:v>4.1534782541860563E-3</c:v>
                </c:pt>
                <c:pt idx="6">
                  <c:v>1.0156131352829278E-2</c:v>
                </c:pt>
                <c:pt idx="7">
                  <c:v>6.4182549309938332E-3</c:v>
                </c:pt>
                <c:pt idx="8">
                  <c:v>1.1305455086602417E-2</c:v>
                </c:pt>
                <c:pt idx="9">
                  <c:v>4.8739100483999997E-3</c:v>
                </c:pt>
                <c:pt idx="10">
                  <c:v>1.2778960435317085E-2</c:v>
                </c:pt>
                <c:pt idx="11">
                  <c:v>6.1481288162029725E-3</c:v>
                </c:pt>
                <c:pt idx="12">
                  <c:v>1.0290860343348834E-2</c:v>
                </c:pt>
                <c:pt idx="13">
                  <c:v>1.4814492830074083E-2</c:v>
                </c:pt>
                <c:pt idx="14">
                  <c:v>5.5493375045581397E-3</c:v>
                </c:pt>
                <c:pt idx="15">
                  <c:v>8.4740506952116386E-3</c:v>
                </c:pt>
                <c:pt idx="16">
                  <c:v>1.1596284777420085E-2</c:v>
                </c:pt>
                <c:pt idx="17">
                  <c:v>1.5945311515278691E-2</c:v>
                </c:pt>
                <c:pt idx="18">
                  <c:v>6.4994936801690828E-3</c:v>
                </c:pt>
                <c:pt idx="19">
                  <c:v>1.1650757706558195E-2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6-4A91-9896-E1B8D3E5C6EB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F_1_m_dot_a_1!$BO$3:$BO$22</c:f>
              <c:numCache>
                <c:formatCode>General</c:formatCode>
                <c:ptCount val="20"/>
                <c:pt idx="0">
                  <c:v>3.0910112413146699E-3</c:v>
                </c:pt>
                <c:pt idx="1">
                  <c:v>5.03135704993205E-3</c:v>
                </c:pt>
                <c:pt idx="2">
                  <c:v>8.4764989114879691E-3</c:v>
                </c:pt>
                <c:pt idx="3">
                  <c:v>4.9317828260274496E-3</c:v>
                </c:pt>
                <c:pt idx="4">
                  <c:v>7.2573862886850804E-3</c:v>
                </c:pt>
                <c:pt idx="5">
                  <c:v>4.4536404466163004E-3</c:v>
                </c:pt>
                <c:pt idx="6">
                  <c:v>1.1351784488807399E-2</c:v>
                </c:pt>
                <c:pt idx="7">
                  <c:v>7.1062984607645303E-3</c:v>
                </c:pt>
                <c:pt idx="8">
                  <c:v>1.22386918734108E-2</c:v>
                </c:pt>
                <c:pt idx="9">
                  <c:v>5.1068138048577299E-3</c:v>
                </c:pt>
                <c:pt idx="10">
                  <c:v>1.4327166760494E-2</c:v>
                </c:pt>
                <c:pt idx="11">
                  <c:v>6.6368394677092397E-3</c:v>
                </c:pt>
                <c:pt idx="12">
                  <c:v>1.1479871982695599E-2</c:v>
                </c:pt>
                <c:pt idx="13">
                  <c:v>1.54849852148598E-2</c:v>
                </c:pt>
                <c:pt idx="14">
                  <c:v>5.6078669804692297E-3</c:v>
                </c:pt>
                <c:pt idx="15">
                  <c:v>9.0166792209443701E-3</c:v>
                </c:pt>
                <c:pt idx="16">
                  <c:v>1.2673208259238299E-2</c:v>
                </c:pt>
                <c:pt idx="17">
                  <c:v>1.6697766656707899E-2</c:v>
                </c:pt>
                <c:pt idx="18">
                  <c:v>6.2609916153372903E-3</c:v>
                </c:pt>
                <c:pt idx="19">
                  <c:v>1.20785039414109E-2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6-4A91-9896-E1B8D3E5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078976"/>
        <c:axId val="278080896"/>
      </c:lineChart>
      <c:catAx>
        <c:axId val="27807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8080896"/>
        <c:crosses val="autoZero"/>
        <c:auto val="1"/>
        <c:lblAlgn val="ctr"/>
        <c:lblOffset val="100"/>
        <c:noMultiLvlLbl val="0"/>
      </c:catAx>
      <c:valAx>
        <c:axId val="278080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078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F_1_m_dot_a_1!$AJ$3:$AJ$22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215.60103924952699</c:v>
                </c:pt>
                <c:pt idx="3">
                  <c:v>211.85434127243801</c:v>
                </c:pt>
                <c:pt idx="4">
                  <c:v>216.47726101549799</c:v>
                </c:pt>
                <c:pt idx="5">
                  <c:v>215.02336268526301</c:v>
                </c:pt>
                <c:pt idx="6">
                  <c:v>208.81352710642199</c:v>
                </c:pt>
                <c:pt idx="7">
                  <c:v>207.819037016268</c:v>
                </c:pt>
                <c:pt idx="8">
                  <c:v>207.43253021548</c:v>
                </c:pt>
                <c:pt idx="9">
                  <c:v>214.15285296164501</c:v>
                </c:pt>
                <c:pt idx="10">
                  <c:v>202.52630887090501</c:v>
                </c:pt>
                <c:pt idx="11">
                  <c:v>208.81369841124001</c:v>
                </c:pt>
                <c:pt idx="12">
                  <c:v>203.25293433570101</c:v>
                </c:pt>
                <c:pt idx="13">
                  <c:v>204.548343909311</c:v>
                </c:pt>
                <c:pt idx="14">
                  <c:v>217.302383013129</c:v>
                </c:pt>
                <c:pt idx="15">
                  <c:v>206.231816616619</c:v>
                </c:pt>
                <c:pt idx="16">
                  <c:v>202.800485757817</c:v>
                </c:pt>
                <c:pt idx="17">
                  <c:v>215.32812757703999</c:v>
                </c:pt>
                <c:pt idx="18">
                  <c:v>225.295923547792</c:v>
                </c:pt>
                <c:pt idx="19">
                  <c:v>211.276927200317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9-4A72-BACF-3761DC24DB90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F_1_m_dot_a_1!$BR$3:$BR$22</c:f>
              <c:numCache>
                <c:formatCode>General</c:formatCode>
                <c:ptCount val="20"/>
                <c:pt idx="0">
                  <c:v>220.04603934328861</c:v>
                </c:pt>
                <c:pt idx="1">
                  <c:v>218.81317882836953</c:v>
                </c:pt>
                <c:pt idx="2">
                  <c:v>222.24121440778836</c:v>
                </c:pt>
                <c:pt idx="3">
                  <c:v>218.81423484512476</c:v>
                </c:pt>
                <c:pt idx="4">
                  <c:v>220.29518079769349</c:v>
                </c:pt>
                <c:pt idx="5">
                  <c:v>217.73080097554038</c:v>
                </c:pt>
                <c:pt idx="6">
                  <c:v>219.73333727423449</c:v>
                </c:pt>
                <c:pt idx="7">
                  <c:v>214.7226317732094</c:v>
                </c:pt>
                <c:pt idx="8">
                  <c:v>214.35467373298675</c:v>
                </c:pt>
                <c:pt idx="9">
                  <c:v>213.11711002943019</c:v>
                </c:pt>
                <c:pt idx="10">
                  <c:v>216.65646848611382</c:v>
                </c:pt>
                <c:pt idx="11">
                  <c:v>211.80046241577543</c:v>
                </c:pt>
                <c:pt idx="12">
                  <c:v>213.93419542842196</c:v>
                </c:pt>
                <c:pt idx="13">
                  <c:v>204.47243849942225</c:v>
                </c:pt>
                <c:pt idx="14">
                  <c:v>208.05277572083477</c:v>
                </c:pt>
                <c:pt idx="15">
                  <c:v>207.97610846746716</c:v>
                </c:pt>
                <c:pt idx="16">
                  <c:v>210.60782481197077</c:v>
                </c:pt>
                <c:pt idx="17">
                  <c:v>216.18466987169003</c:v>
                </c:pt>
                <c:pt idx="18">
                  <c:v>210.08138610269171</c:v>
                </c:pt>
                <c:pt idx="19">
                  <c:v>210.72383591348134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9-4A72-BACF-3761DC24D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115072"/>
        <c:axId val="278116992"/>
      </c:lineChart>
      <c:catAx>
        <c:axId val="2781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8116992"/>
        <c:crosses val="autoZero"/>
        <c:auto val="1"/>
        <c:lblAlgn val="ctr"/>
        <c:lblOffset val="100"/>
        <c:noMultiLvlLbl val="0"/>
      </c:catAx>
      <c:valAx>
        <c:axId val="278116992"/>
        <c:scaling>
          <c:orientation val="minMax"/>
          <c:min val="1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8115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90771313044385"/>
          <c:y val="8.3976637619053968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NOx</a:t>
            </a:r>
            <a:r>
              <a:rPr lang="nb-NO" baseline="0"/>
              <a:t> factor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F_1_m_dot_a_1!$AK$3:$AK$22</c:f>
              <c:numCache>
                <c:formatCode>General</c:formatCode>
                <c:ptCount val="20"/>
                <c:pt idx="0">
                  <c:v>26.080648202178399</c:v>
                </c:pt>
                <c:pt idx="1">
                  <c:v>20.092822099140999</c:v>
                </c:pt>
                <c:pt idx="2">
                  <c:v>11.6467794266444</c:v>
                </c:pt>
                <c:pt idx="3">
                  <c:v>18.022496701598499</c:v>
                </c:pt>
                <c:pt idx="4">
                  <c:v>13.9563834844504</c:v>
                </c:pt>
                <c:pt idx="5">
                  <c:v>18.840311038509999</c:v>
                </c:pt>
                <c:pt idx="6">
                  <c:v>10.408117403068101</c:v>
                </c:pt>
                <c:pt idx="7">
                  <c:v>15.776137827685201</c:v>
                </c:pt>
                <c:pt idx="8">
                  <c:v>9.5272937071187993</c:v>
                </c:pt>
                <c:pt idx="9">
                  <c:v>17.154445204327999</c:v>
                </c:pt>
                <c:pt idx="10">
                  <c:v>8.9705567218154503</c:v>
                </c:pt>
                <c:pt idx="11">
                  <c:v>15.332289777212299</c:v>
                </c:pt>
                <c:pt idx="12">
                  <c:v>11.108865831055301</c:v>
                </c:pt>
                <c:pt idx="13">
                  <c:v>7.8372215194376098</c:v>
                </c:pt>
                <c:pt idx="14">
                  <c:v>17.0040516067873</c:v>
                </c:pt>
                <c:pt idx="15">
                  <c:v>12.6776579173644</c:v>
                </c:pt>
                <c:pt idx="16">
                  <c:v>9.9698984204067997</c:v>
                </c:pt>
                <c:pt idx="17">
                  <c:v>6.1327204655111798</c:v>
                </c:pt>
                <c:pt idx="18">
                  <c:v>10.178784333447799</c:v>
                </c:pt>
                <c:pt idx="19">
                  <c:v>7.5785762774711198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D-49D8-8B07-58007E4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74624"/>
        <c:axId val="279276544"/>
      </c:lineChart>
      <c:lineChart>
        <c:grouping val="standard"/>
        <c:varyColors val="0"/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F_1_m_dot_a_1!$BS$3:$BS$22</c:f>
              <c:numCache>
                <c:formatCode>General</c:formatCode>
                <c:ptCount val="20"/>
                <c:pt idx="0">
                  <c:v>8.2607305914453395</c:v>
                </c:pt>
                <c:pt idx="1">
                  <c:v>7.5297210325686503</c:v>
                </c:pt>
                <c:pt idx="2">
                  <c:v>7.1256585916582198</c:v>
                </c:pt>
                <c:pt idx="3">
                  <c:v>7.6247572019204197</c:v>
                </c:pt>
                <c:pt idx="4">
                  <c:v>7.42445951406867</c:v>
                </c:pt>
                <c:pt idx="5">
                  <c:v>8.6874724955871692</c:v>
                </c:pt>
                <c:pt idx="6">
                  <c:v>7.2235625528357703</c:v>
                </c:pt>
                <c:pt idx="7">
                  <c:v>8.2423754375431706</c:v>
                </c:pt>
                <c:pt idx="8">
                  <c:v>6.3024080451709201</c:v>
                </c:pt>
                <c:pt idx="9" formatCode="0.00E+00">
                  <c:v>8.6186073856261896</c:v>
                </c:pt>
                <c:pt idx="10">
                  <c:v>6.7572215827653199</c:v>
                </c:pt>
                <c:pt idx="11">
                  <c:v>8.7692422066606301</c:v>
                </c:pt>
                <c:pt idx="12">
                  <c:v>7.7797691785279897</c:v>
                </c:pt>
                <c:pt idx="13">
                  <c:v>6.9322275910489104</c:v>
                </c:pt>
                <c:pt idx="14" formatCode="0.00E+00">
                  <c:v>8.7939846465281395</c:v>
                </c:pt>
                <c:pt idx="15">
                  <c:v>8.8699999999999992</c:v>
                </c:pt>
                <c:pt idx="16">
                  <c:v>8.1695225790879196</c:v>
                </c:pt>
                <c:pt idx="17">
                  <c:v>6.6555751055186603</c:v>
                </c:pt>
                <c:pt idx="18" formatCode="0.00E+00">
                  <c:v>8.3500220838381392</c:v>
                </c:pt>
                <c:pt idx="19">
                  <c:v>7.9445010188998602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D-49D8-8B07-58007E4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280256"/>
        <c:axId val="279278720"/>
      </c:lineChart>
      <c:catAx>
        <c:axId val="27927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276544"/>
        <c:crosses val="autoZero"/>
        <c:auto val="1"/>
        <c:lblAlgn val="ctr"/>
        <c:lblOffset val="100"/>
        <c:noMultiLvlLbl val="0"/>
      </c:catAx>
      <c:valAx>
        <c:axId val="27927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274624"/>
        <c:crosses val="autoZero"/>
        <c:crossBetween val="between"/>
      </c:valAx>
      <c:valAx>
        <c:axId val="279278720"/>
        <c:scaling>
          <c:orientation val="minMax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279280256"/>
        <c:crosses val="max"/>
        <c:crossBetween val="between"/>
      </c:valAx>
      <c:catAx>
        <c:axId val="27928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7927872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7800947533975807E-2"/>
          <c:y val="0.60884497281292227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Maximum Cylinder Pressure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F_1_m_dot_a_1!$AU$3:$AU$22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104.4314</c:v>
                </c:pt>
                <c:pt idx="3">
                  <c:v>81.675150000000002</c:v>
                </c:pt>
                <c:pt idx="4">
                  <c:v>95.019499999999994</c:v>
                </c:pt>
                <c:pt idx="5">
                  <c:v>76.446550000000002</c:v>
                </c:pt>
                <c:pt idx="6">
                  <c:v>113.8982</c:v>
                </c:pt>
                <c:pt idx="7">
                  <c:v>96.520899999999997</c:v>
                </c:pt>
                <c:pt idx="8">
                  <c:v>118.84175</c:v>
                </c:pt>
                <c:pt idx="9">
                  <c:v>81.115624999999994</c:v>
                </c:pt>
                <c:pt idx="10">
                  <c:v>128.60759999999999</c:v>
                </c:pt>
                <c:pt idx="11">
                  <c:v>92.127799999999993</c:v>
                </c:pt>
                <c:pt idx="12">
                  <c:v>117.66334999999999</c:v>
                </c:pt>
                <c:pt idx="13">
                  <c:v>130.25885</c:v>
                </c:pt>
                <c:pt idx="14">
                  <c:v>79.253349999999998</c:v>
                </c:pt>
                <c:pt idx="15">
                  <c:v>101.45215</c:v>
                </c:pt>
                <c:pt idx="16">
                  <c:v>117.9863</c:v>
                </c:pt>
                <c:pt idx="17">
                  <c:v>115.62935</c:v>
                </c:pt>
                <c:pt idx="18">
                  <c:v>74.965000000000003</c:v>
                </c:pt>
                <c:pt idx="19">
                  <c:v>102.411725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4-4F2E-9D43-7D5EA8867BF9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F_1_m_dot_a_1!$BT$3:$BT$22</c:f>
              <c:numCache>
                <c:formatCode>General</c:formatCode>
                <c:ptCount val="20"/>
                <c:pt idx="0">
                  <c:v>123.657301041003</c:v>
                </c:pt>
                <c:pt idx="1">
                  <c:v>152.01479259335599</c:v>
                </c:pt>
                <c:pt idx="2">
                  <c:v>153.69902365138299</c:v>
                </c:pt>
                <c:pt idx="3">
                  <c:v>122.531262778575</c:v>
                </c:pt>
                <c:pt idx="4">
                  <c:v>144.90145271983201</c:v>
                </c:pt>
                <c:pt idx="5">
                  <c:v>105.18187323202601</c:v>
                </c:pt>
                <c:pt idx="6">
                  <c:v>157.63460178616</c:v>
                </c:pt>
                <c:pt idx="7">
                  <c:v>136.50954274544301</c:v>
                </c:pt>
                <c:pt idx="8">
                  <c:v>163.313277023187</c:v>
                </c:pt>
                <c:pt idx="9">
                  <c:v>103.56915107306899</c:v>
                </c:pt>
                <c:pt idx="10">
                  <c:v>160.480149423603</c:v>
                </c:pt>
                <c:pt idx="11">
                  <c:v>119.586749798881</c:v>
                </c:pt>
                <c:pt idx="12">
                  <c:v>149.13336453584301</c:v>
                </c:pt>
                <c:pt idx="13">
                  <c:v>157.57864663135999</c:v>
                </c:pt>
                <c:pt idx="14">
                  <c:v>98.885837146698904</c:v>
                </c:pt>
                <c:pt idx="15">
                  <c:v>122.477333310536</c:v>
                </c:pt>
                <c:pt idx="16">
                  <c:v>139.707511467285</c:v>
                </c:pt>
                <c:pt idx="17">
                  <c:v>116.71918655907101</c:v>
                </c:pt>
                <c:pt idx="18">
                  <c:v>83.955133273495306</c:v>
                </c:pt>
                <c:pt idx="19">
                  <c:v>112.29293417587601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4-4F2E-9D43-7D5EA886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80032"/>
        <c:axId val="279586304"/>
      </c:lineChart>
      <c:catAx>
        <c:axId val="2795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79586304"/>
        <c:crosses val="autoZero"/>
        <c:auto val="1"/>
        <c:lblAlgn val="ctr"/>
        <c:lblOffset val="100"/>
        <c:noMultiLvlLbl val="0"/>
      </c:catAx>
      <c:valAx>
        <c:axId val="279586304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580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5364367429312"/>
          <c:y val="0.6670158918378498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Power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val>
            <c:numRef>
              <c:f>F_glob_m_dot_a_1!$AZ$3:$AZ$22</c:f>
              <c:numCache>
                <c:formatCode>General</c:formatCode>
                <c:ptCount val="20"/>
                <c:pt idx="0">
                  <c:v>868.55134187724354</c:v>
                </c:pt>
                <c:pt idx="1">
                  <c:v>1221.4751504067597</c:v>
                </c:pt>
                <c:pt idx="2">
                  <c:v>1788.8891662246672</c:v>
                </c:pt>
                <c:pt idx="3">
                  <c:v>1193.8340553510764</c:v>
                </c:pt>
                <c:pt idx="4">
                  <c:v>1829.1388999612038</c:v>
                </c:pt>
                <c:pt idx="5">
                  <c:v>1683.2116781817417</c:v>
                </c:pt>
                <c:pt idx="6">
                  <c:v>2338.7958635820214</c:v>
                </c:pt>
                <c:pt idx="7">
                  <c:v>2195.392345400674</c:v>
                </c:pt>
                <c:pt idx="8">
                  <c:v>2062.1745516930132</c:v>
                </c:pt>
                <c:pt idx="9">
                  <c:v>1809.565493776938</c:v>
                </c:pt>
                <c:pt idx="10">
                  <c:v>2205.948149108619</c:v>
                </c:pt>
                <c:pt idx="11">
                  <c:v>2619.5092577748164</c:v>
                </c:pt>
                <c:pt idx="12">
                  <c:v>2680.1638385905808</c:v>
                </c:pt>
                <c:pt idx="13">
                  <c:v>2341.2143775294417</c:v>
                </c:pt>
                <c:pt idx="14">
                  <c:v>2403.6237679387386</c:v>
                </c:pt>
                <c:pt idx="15">
                  <c:v>2921.8575665564454</c:v>
                </c:pt>
                <c:pt idx="16">
                  <c:v>2507.8501173236327</c:v>
                </c:pt>
                <c:pt idx="17">
                  <c:v>2554.3171306198501</c:v>
                </c:pt>
                <c:pt idx="18">
                  <c:v>3280.6368071973056</c:v>
                </c:pt>
                <c:pt idx="19">
                  <c:v>2879.7537371374901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7-4FF3-9550-59F7ED040DEA}"/>
            </c:ext>
          </c:extLst>
        </c:ser>
        <c:ser>
          <c:idx val="1"/>
          <c:order val="1"/>
          <c:tx>
            <c:v>Sim</c:v>
          </c:tx>
          <c:spPr>
            <a:ln>
              <a:prstDash val="sysDash"/>
            </a:ln>
          </c:spPr>
          <c:val>
            <c:numRef>
              <c:f>F_glob_m_dot_a_1!$BE$3:$BE$22</c:f>
              <c:numCache>
                <c:formatCode>General</c:formatCode>
                <c:ptCount val="20"/>
                <c:pt idx="0">
                  <c:v>45902.8715923907</c:v>
                </c:pt>
                <c:pt idx="1">
                  <c:v>74625.158019254697</c:v>
                </c:pt>
                <c:pt idx="2">
                  <c:v>127878.14029557</c:v>
                </c:pt>
                <c:pt idx="3">
                  <c:v>75762.408658961795</c:v>
                </c:pt>
                <c:pt idx="4">
                  <c:v>110331.277746201</c:v>
                </c:pt>
                <c:pt idx="5">
                  <c:v>69539.634247416907</c:v>
                </c:pt>
                <c:pt idx="6">
                  <c:v>175093.61576787199</c:v>
                </c:pt>
                <c:pt idx="7">
                  <c:v>111181.58017275399</c:v>
                </c:pt>
                <c:pt idx="8">
                  <c:v>196209.215493303</c:v>
                </c:pt>
                <c:pt idx="9">
                  <c:v>81932.8804285113</c:v>
                </c:pt>
                <c:pt idx="10">
                  <c:v>227152.616890884</c:v>
                </c:pt>
                <c:pt idx="11">
                  <c:v>105994.913127131</c:v>
                </c:pt>
                <c:pt idx="12">
                  <c:v>182270.67838326501</c:v>
                </c:pt>
                <c:pt idx="13">
                  <c:v>260732.34846953701</c:v>
                </c:pt>
                <c:pt idx="14">
                  <c:v>91934.640768092198</c:v>
                </c:pt>
                <c:pt idx="15">
                  <c:v>147923.97797614799</c:v>
                </c:pt>
                <c:pt idx="16">
                  <c:v>205851.06710163801</c:v>
                </c:pt>
                <c:pt idx="17">
                  <c:v>266584.74155425403</c:v>
                </c:pt>
                <c:pt idx="18">
                  <c:v>103855.450534014</c:v>
                </c:pt>
                <c:pt idx="19">
                  <c:v>198520.23104647201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7-4FF3-9550-59F7ED040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11872"/>
        <c:axId val="277713664"/>
      </c:lineChart>
      <c:catAx>
        <c:axId val="27771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13664"/>
        <c:crosses val="autoZero"/>
        <c:auto val="1"/>
        <c:lblAlgn val="ctr"/>
        <c:lblOffset val="100"/>
        <c:noMultiLvlLbl val="0"/>
      </c:catAx>
      <c:valAx>
        <c:axId val="2777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71187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902668416447944E-2"/>
                <c:y val="0.3708449985418489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nb-NO"/>
                    <a:t>kW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06522473072609"/>
          <c:h val="0.16603424099701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RPM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F_glob_m_dot_a_1!$R$3:$R$22</c:f>
              <c:numCache>
                <c:formatCode>General</c:formatCode>
                <c:ptCount val="20"/>
                <c:pt idx="0">
                  <c:v>798.91023827144102</c:v>
                </c:pt>
                <c:pt idx="1">
                  <c:v>799.42451451373495</c:v>
                </c:pt>
                <c:pt idx="2">
                  <c:v>999.006887780488</c:v>
                </c:pt>
                <c:pt idx="3">
                  <c:v>999.04963235227297</c:v>
                </c:pt>
                <c:pt idx="4">
                  <c:v>999.10263269117695</c:v>
                </c:pt>
                <c:pt idx="5">
                  <c:v>1198.6672809069801</c:v>
                </c:pt>
                <c:pt idx="6">
                  <c:v>1198.8645007073201</c:v>
                </c:pt>
                <c:pt idx="7">
                  <c:v>1198.8876409949</c:v>
                </c:pt>
                <c:pt idx="8">
                  <c:v>1198.96357746988</c:v>
                </c:pt>
                <c:pt idx="9">
                  <c:v>1398.8489351595499</c:v>
                </c:pt>
                <c:pt idx="10">
                  <c:v>1400.3606147804901</c:v>
                </c:pt>
                <c:pt idx="11">
                  <c:v>1401.14707538216</c:v>
                </c:pt>
                <c:pt idx="12">
                  <c:v>1403.59711227907</c:v>
                </c:pt>
                <c:pt idx="13">
                  <c:v>1598.5223451975301</c:v>
                </c:pt>
                <c:pt idx="14">
                  <c:v>1598.7568733023199</c:v>
                </c:pt>
                <c:pt idx="15">
                  <c:v>1599.1848142056899</c:v>
                </c:pt>
                <c:pt idx="16">
                  <c:v>1599.27545799473</c:v>
                </c:pt>
                <c:pt idx="17">
                  <c:v>1796.8961723278701</c:v>
                </c:pt>
                <c:pt idx="18">
                  <c:v>1799.203633074</c:v>
                </c:pt>
                <c:pt idx="19">
                  <c:v>1799.3838367568401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5-4632-8648-B93B2AFCFCE7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F_glob_m_dot_a_1!$BG$3:$BG$22</c:f>
              <c:numCache>
                <c:formatCode>General</c:formatCode>
                <c:ptCount val="20"/>
                <c:pt idx="0">
                  <c:v>798.93372822213496</c:v>
                </c:pt>
                <c:pt idx="1">
                  <c:v>799.461326769994</c:v>
                </c:pt>
                <c:pt idx="2">
                  <c:v>999.02270264028903</c:v>
                </c:pt>
                <c:pt idx="3">
                  <c:v>999.043859633377</c:v>
                </c:pt>
                <c:pt idx="4">
                  <c:v>999.11843026831798</c:v>
                </c:pt>
                <c:pt idx="5">
                  <c:v>1198.6772438468099</c:v>
                </c:pt>
                <c:pt idx="6">
                  <c:v>1198.85934029856</c:v>
                </c:pt>
                <c:pt idx="7">
                  <c:v>1198.88406980123</c:v>
                </c:pt>
                <c:pt idx="8">
                  <c:v>1198.9793587258</c:v>
                </c:pt>
                <c:pt idx="9">
                  <c:v>1398.8556256458901</c:v>
                </c:pt>
                <c:pt idx="10">
                  <c:v>1400.3643739274601</c:v>
                </c:pt>
                <c:pt idx="11">
                  <c:v>1401.1423962342201</c:v>
                </c:pt>
                <c:pt idx="12">
                  <c:v>1403.59533102518</c:v>
                </c:pt>
                <c:pt idx="13">
                  <c:v>1598.5282170447099</c:v>
                </c:pt>
                <c:pt idx="14">
                  <c:v>1598.75699363948</c:v>
                </c:pt>
                <c:pt idx="15">
                  <c:v>1599.18734072952</c:v>
                </c:pt>
                <c:pt idx="16">
                  <c:v>1599.2781860805001</c:v>
                </c:pt>
                <c:pt idx="17">
                  <c:v>1796.8984191351999</c:v>
                </c:pt>
                <c:pt idx="18">
                  <c:v>1799.20612398051</c:v>
                </c:pt>
                <c:pt idx="19">
                  <c:v>1799.38455111856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5-4632-8648-B93B2AFCF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35296"/>
        <c:axId val="277736832"/>
      </c:lineChart>
      <c:catAx>
        <c:axId val="27773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36832"/>
        <c:crosses val="autoZero"/>
        <c:auto val="1"/>
        <c:lblAlgn val="ctr"/>
        <c:lblOffset val="100"/>
        <c:noMultiLvlLbl val="0"/>
      </c:catAx>
      <c:valAx>
        <c:axId val="27773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3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Torque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F_glob_m_dot_a_1!$T$3:$T$22</c:f>
              <c:numCache>
                <c:formatCode>General</c:formatCode>
                <c:ptCount val="20"/>
                <c:pt idx="0">
                  <c:v>548.65643980112395</c:v>
                </c:pt>
                <c:pt idx="1">
                  <c:v>891.37240642012</c:v>
                </c:pt>
                <c:pt idx="2">
                  <c:v>1222.3408789756099</c:v>
                </c:pt>
                <c:pt idx="3">
                  <c:v>724.17011857954606</c:v>
                </c:pt>
                <c:pt idx="4">
                  <c:v>1054.5157228691901</c:v>
                </c:pt>
                <c:pt idx="5">
                  <c:v>553.98948739534899</c:v>
                </c:pt>
                <c:pt idx="6">
                  <c:v>1394.6764323658499</c:v>
                </c:pt>
                <c:pt idx="7">
                  <c:v>885.57843969364001</c:v>
                </c:pt>
                <c:pt idx="8">
                  <c:v>1562.7124668433701</c:v>
                </c:pt>
                <c:pt idx="9">
                  <c:v>559.31531528024698</c:v>
                </c:pt>
                <c:pt idx="10">
                  <c:v>1548.9880704146301</c:v>
                </c:pt>
                <c:pt idx="11">
                  <c:v>722.39400133817605</c:v>
                </c:pt>
                <c:pt idx="12">
                  <c:v>1240.07021687209</c:v>
                </c:pt>
                <c:pt idx="13">
                  <c:v>1557.5643262962999</c:v>
                </c:pt>
                <c:pt idx="14">
                  <c:v>549.12107009302304</c:v>
                </c:pt>
                <c:pt idx="15">
                  <c:v>883.30485231150794</c:v>
                </c:pt>
                <c:pt idx="16">
                  <c:v>1229.13756327136</c:v>
                </c:pt>
                <c:pt idx="17">
                  <c:v>1416.7171247868901</c:v>
                </c:pt>
                <c:pt idx="18">
                  <c:v>551.21338566865302</c:v>
                </c:pt>
                <c:pt idx="19">
                  <c:v>1053.54275880974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C88-B91D-39271B2D875B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F_glob_m_dot_a_1!$BH$3:$BH$22</c:f>
              <c:numCache>
                <c:formatCode>General</c:formatCode>
                <c:ptCount val="20"/>
                <c:pt idx="0">
                  <c:v>548.65735422673799</c:v>
                </c:pt>
                <c:pt idx="1">
                  <c:v>891.37389202273505</c:v>
                </c:pt>
                <c:pt idx="2">
                  <c:v>1222.34291623381</c:v>
                </c:pt>
                <c:pt idx="3">
                  <c:v>724.17132555096396</c:v>
                </c:pt>
                <c:pt idx="4">
                  <c:v>1054.51748052733</c:v>
                </c:pt>
                <c:pt idx="5">
                  <c:v>553.99041071481599</c:v>
                </c:pt>
                <c:pt idx="6">
                  <c:v>1394.67875645768</c:v>
                </c:pt>
                <c:pt idx="7">
                  <c:v>885.57991566549697</c:v>
                </c:pt>
                <c:pt idx="8">
                  <c:v>1562.71507152258</c:v>
                </c:pt>
                <c:pt idx="9">
                  <c:v>559.316247492961</c:v>
                </c:pt>
                <c:pt idx="10">
                  <c:v>1548.9906516501101</c:v>
                </c:pt>
                <c:pt idx="11">
                  <c:v>722.39520528805099</c:v>
                </c:pt>
                <c:pt idx="12">
                  <c:v>1240.0722837866001</c:v>
                </c:pt>
                <c:pt idx="13">
                  <c:v>1557.56692193867</c:v>
                </c:pt>
                <c:pt idx="14">
                  <c:v>549.12198530087801</c:v>
                </c:pt>
                <c:pt idx="15">
                  <c:v>883.30632447314099</c:v>
                </c:pt>
                <c:pt idx="16">
                  <c:v>1229.1396115628199</c:v>
                </c:pt>
                <c:pt idx="17">
                  <c:v>1416.7194861932001</c:v>
                </c:pt>
                <c:pt idx="18">
                  <c:v>551.21430438889104</c:v>
                </c:pt>
                <c:pt idx="19">
                  <c:v>1053.5445149048601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C88-B91D-39271B2D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787392"/>
        <c:axId val="277788928"/>
      </c:lineChart>
      <c:catAx>
        <c:axId val="2777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7788928"/>
        <c:crosses val="autoZero"/>
        <c:auto val="1"/>
        <c:lblAlgn val="ctr"/>
        <c:lblOffset val="100"/>
        <c:noMultiLvlLbl val="0"/>
      </c:catAx>
      <c:valAx>
        <c:axId val="27778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7787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BMEP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F_glob_m_dot_a_1!$AV$3:$AV$22</c:f>
              <c:numCache>
                <c:formatCode>General</c:formatCode>
                <c:ptCount val="20"/>
                <c:pt idx="0">
                  <c:v>6.47938424784844</c:v>
                </c:pt>
                <c:pt idx="1">
                  <c:v>10.5267047101804</c:v>
                </c:pt>
                <c:pt idx="2">
                  <c:v>14.4352925842019</c:v>
                </c:pt>
                <c:pt idx="3">
                  <c:v>8.5521213617535494</c:v>
                </c:pt>
                <c:pt idx="4">
                  <c:v>12.453353443447799</c:v>
                </c:pt>
                <c:pt idx="5">
                  <c:v>6.5423651263515197</c:v>
                </c:pt>
                <c:pt idx="6">
                  <c:v>16.470497475601199</c:v>
                </c:pt>
                <c:pt idx="7">
                  <c:v>10.4582805853242</c:v>
                </c:pt>
                <c:pt idx="8">
                  <c:v>18.454926994480498</c:v>
                </c:pt>
                <c:pt idx="9">
                  <c:v>6.6052607433548802</c:v>
                </c:pt>
                <c:pt idx="10">
                  <c:v>18.292848083926099</c:v>
                </c:pt>
                <c:pt idx="11">
                  <c:v>8.5311462209528095</c:v>
                </c:pt>
                <c:pt idx="12">
                  <c:v>14.6446680409684</c:v>
                </c:pt>
                <c:pt idx="13">
                  <c:v>18.394129784520601</c:v>
                </c:pt>
                <c:pt idx="14">
                  <c:v>6.4848713213173896</c:v>
                </c:pt>
                <c:pt idx="15">
                  <c:v>10.431430547301799</c:v>
                </c:pt>
                <c:pt idx="16">
                  <c:v>14.515558349749901</c:v>
                </c:pt>
                <c:pt idx="17">
                  <c:v>16.730788078107</c:v>
                </c:pt>
                <c:pt idx="18">
                  <c:v>6.5095806213434297</c:v>
                </c:pt>
                <c:pt idx="19">
                  <c:v>12.4418631782414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C-4AC3-A26B-08BA7EDA180C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F_glob_m_dot_a_1!$BL$3:$BL$22</c:f>
              <c:numCache>
                <c:formatCode>General</c:formatCode>
                <c:ptCount val="20"/>
                <c:pt idx="0">
                  <c:v>6.5350782694884444</c:v>
                </c:pt>
                <c:pt idx="1">
                  <c:v>10.617187770929387</c:v>
                </c:pt>
                <c:pt idx="2">
                  <c:v>14.559372198697936</c:v>
                </c:pt>
                <c:pt idx="3">
                  <c:v>8.6256317472570228</c:v>
                </c:pt>
                <c:pt idx="4">
                  <c:v>12.560397156231874</c:v>
                </c:pt>
                <c:pt idx="5">
                  <c:v>6.5986005048122838</c:v>
                </c:pt>
                <c:pt idx="6">
                  <c:v>16.612070838087661</c:v>
                </c:pt>
                <c:pt idx="7">
                  <c:v>10.548175501813747</c:v>
                </c:pt>
                <c:pt idx="8">
                  <c:v>18.613557672399708</c:v>
                </c:pt>
                <c:pt idx="9">
                  <c:v>6.6620367458759047</c:v>
                </c:pt>
                <c:pt idx="10">
                  <c:v>18.450085593898915</c:v>
                </c:pt>
                <c:pt idx="11">
                  <c:v>8.6044763123996599</c:v>
                </c:pt>
                <c:pt idx="12">
                  <c:v>14.770547358763789</c:v>
                </c:pt>
                <c:pt idx="13">
                  <c:v>18.552237870174615</c:v>
                </c:pt>
                <c:pt idx="14">
                  <c:v>6.5406125075957124</c:v>
                </c:pt>
                <c:pt idx="15">
                  <c:v>10.521094672112502</c:v>
                </c:pt>
                <c:pt idx="16">
                  <c:v>14.640327890986542</c:v>
                </c:pt>
                <c:pt idx="17">
                  <c:v>16.874598794418738</c:v>
                </c:pt>
                <c:pt idx="18">
                  <c:v>6.5655341985091802</c:v>
                </c:pt>
                <c:pt idx="19">
                  <c:v>12.548808126316397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C-4AC3-A26B-08BA7EDA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11808"/>
        <c:axId val="279913600"/>
      </c:lineChart>
      <c:catAx>
        <c:axId val="279911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13600"/>
        <c:crosses val="autoZero"/>
        <c:auto val="1"/>
        <c:lblAlgn val="ctr"/>
        <c:lblOffset val="100"/>
        <c:noMultiLvlLbl val="0"/>
      </c:catAx>
      <c:valAx>
        <c:axId val="2799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91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23480453101254"/>
          <c:y val="0.2542457713619131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F_glob_m_dot_a_1!$AJ$3:$AJ$22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215.60103924952699</c:v>
                </c:pt>
                <c:pt idx="3">
                  <c:v>211.85434127243801</c:v>
                </c:pt>
                <c:pt idx="4">
                  <c:v>216.47726101549799</c:v>
                </c:pt>
                <c:pt idx="5">
                  <c:v>215.02336268526301</c:v>
                </c:pt>
                <c:pt idx="6">
                  <c:v>208.81352710642199</c:v>
                </c:pt>
                <c:pt idx="7">
                  <c:v>207.819037016268</c:v>
                </c:pt>
                <c:pt idx="8">
                  <c:v>207.43253021548</c:v>
                </c:pt>
                <c:pt idx="9">
                  <c:v>214.15285296164501</c:v>
                </c:pt>
                <c:pt idx="10">
                  <c:v>202.52630887090501</c:v>
                </c:pt>
                <c:pt idx="11">
                  <c:v>208.81369841124001</c:v>
                </c:pt>
                <c:pt idx="12">
                  <c:v>203.25293433570101</c:v>
                </c:pt>
                <c:pt idx="13">
                  <c:v>204.548343909311</c:v>
                </c:pt>
                <c:pt idx="14">
                  <c:v>217.302383013129</c:v>
                </c:pt>
                <c:pt idx="15">
                  <c:v>206.231816616619</c:v>
                </c:pt>
                <c:pt idx="16">
                  <c:v>202.800485757817</c:v>
                </c:pt>
                <c:pt idx="17">
                  <c:v>215.32812757703999</c:v>
                </c:pt>
                <c:pt idx="18">
                  <c:v>225.295923547792</c:v>
                </c:pt>
                <c:pt idx="19">
                  <c:v>211.276927200317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C-48B3-8BF0-888874F7D13D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F_glob_m_dot_a_1!$BR$3:$BR$22</c:f>
              <c:numCache>
                <c:formatCode>General</c:formatCode>
                <c:ptCount val="20"/>
                <c:pt idx="0">
                  <c:v>212.8865101979176</c:v>
                </c:pt>
                <c:pt idx="1">
                  <c:v>222.73891423379794</c:v>
                </c:pt>
                <c:pt idx="2">
                  <c:v>224.74381339447379</c:v>
                </c:pt>
                <c:pt idx="3">
                  <c:v>220.25538367181315</c:v>
                </c:pt>
                <c:pt idx="4">
                  <c:v>222.82137007896699</c:v>
                </c:pt>
                <c:pt idx="5">
                  <c:v>217.37327629256782</c:v>
                </c:pt>
                <c:pt idx="6">
                  <c:v>222.18351391275368</c:v>
                </c:pt>
                <c:pt idx="7">
                  <c:v>217.41992153991896</c:v>
                </c:pt>
                <c:pt idx="8">
                  <c:v>215.71330509224208</c:v>
                </c:pt>
                <c:pt idx="9">
                  <c:v>213.82951170722782</c:v>
                </c:pt>
                <c:pt idx="10">
                  <c:v>216.29824518397442</c:v>
                </c:pt>
                <c:pt idx="11">
                  <c:v>213.47380251242214</c:v>
                </c:pt>
                <c:pt idx="12">
                  <c:v>216.25080481327726</c:v>
                </c:pt>
                <c:pt idx="13">
                  <c:v>205.44747870171969</c:v>
                </c:pt>
                <c:pt idx="14">
                  <c:v>208.17380291605633</c:v>
                </c:pt>
                <c:pt idx="15">
                  <c:v>207.22665273862975</c:v>
                </c:pt>
                <c:pt idx="16">
                  <c:v>212.2220738302413</c:v>
                </c:pt>
                <c:pt idx="17">
                  <c:v>217.84988133762937</c:v>
                </c:pt>
                <c:pt idx="18">
                  <c:v>209.62856012432769</c:v>
                </c:pt>
                <c:pt idx="19">
                  <c:v>211.94606542826855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C-48B3-8BF0-888874F7D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27040"/>
        <c:axId val="279945216"/>
      </c:lineChart>
      <c:catAx>
        <c:axId val="27992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45216"/>
        <c:crosses val="autoZero"/>
        <c:auto val="1"/>
        <c:lblAlgn val="ctr"/>
        <c:lblOffset val="100"/>
        <c:noMultiLvlLbl val="0"/>
      </c:catAx>
      <c:valAx>
        <c:axId val="279945216"/>
        <c:scaling>
          <c:orientation val="minMax"/>
          <c:max val="270"/>
          <c:min val="1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92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6207349081366"/>
          <c:y val="2.7100111949588782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F_glob_p_ac1!$AO$3:$AO$22</c:f>
              <c:numCache>
                <c:formatCode>General</c:formatCode>
                <c:ptCount val="20"/>
                <c:pt idx="0">
                  <c:v>0.15767956125669599</c:v>
                </c:pt>
                <c:pt idx="1">
                  <c:v>0.17010676835114899</c:v>
                </c:pt>
                <c:pt idx="2">
                  <c:v>0.23554849686853299</c:v>
                </c:pt>
                <c:pt idx="3">
                  <c:v>0.286740232707968</c:v>
                </c:pt>
                <c:pt idx="4">
                  <c:v>0.29398528823275299</c:v>
                </c:pt>
                <c:pt idx="5">
                  <c:v>0.251061542473418</c:v>
                </c:pt>
                <c:pt idx="6">
                  <c:v>0.234131531045462</c:v>
                </c:pt>
                <c:pt idx="7">
                  <c:v>0.213589762069505</c:v>
                </c:pt>
                <c:pt idx="8">
                  <c:v>0.34756071124986698</c:v>
                </c:pt>
                <c:pt idx="9">
                  <c:v>0.32990648983335702</c:v>
                </c:pt>
                <c:pt idx="10">
                  <c:v>0.19505239727625201</c:v>
                </c:pt>
                <c:pt idx="11">
                  <c:v>0.21153774768432901</c:v>
                </c:pt>
                <c:pt idx="12">
                  <c:v>0.26098202992371899</c:v>
                </c:pt>
                <c:pt idx="13">
                  <c:v>0.29999678108801597</c:v>
                </c:pt>
                <c:pt idx="14">
                  <c:v>0.27454841432054</c:v>
                </c:pt>
                <c:pt idx="15">
                  <c:v>0.38234623964234499</c:v>
                </c:pt>
                <c:pt idx="16">
                  <c:v>0.35696694637201498</c:v>
                </c:pt>
                <c:pt idx="17">
                  <c:v>0.31973060854791002</c:v>
                </c:pt>
                <c:pt idx="18">
                  <c:v>0.27958018154793501</c:v>
                </c:pt>
                <c:pt idx="19">
                  <c:v>0.221730875460208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2-48C6-BDD5-321213755E0E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F_glob_p_ac1!$BQ$3:$BQ$22</c:f>
              <c:numCache>
                <c:formatCode>General</c:formatCode>
                <c:ptCount val="20"/>
                <c:pt idx="0">
                  <c:v>7.80572720611733E-2</c:v>
                </c:pt>
                <c:pt idx="2">
                  <c:v>0.16605220886973801</c:v>
                </c:pt>
                <c:pt idx="3">
                  <c:v>0.23968132768599401</c:v>
                </c:pt>
                <c:pt idx="4">
                  <c:v>0.249024203258813</c:v>
                </c:pt>
                <c:pt idx="5">
                  <c:v>0.17946558732347301</c:v>
                </c:pt>
                <c:pt idx="6">
                  <c:v>0.15638721857489499</c:v>
                </c:pt>
                <c:pt idx="8">
                  <c:v>0.34415223102297099</c:v>
                </c:pt>
                <c:pt idx="9">
                  <c:v>0.313815882937376</c:v>
                </c:pt>
                <c:pt idx="10">
                  <c:v>0.11449685865428801</c:v>
                </c:pt>
                <c:pt idx="11">
                  <c:v>0.134024956749622</c:v>
                </c:pt>
                <c:pt idx="12">
                  <c:v>0.19955769090082101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8C6-BDD5-32121375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053760"/>
        <c:axId val="270055296"/>
      </c:lineChart>
      <c:catAx>
        <c:axId val="27005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70055296"/>
        <c:crosses val="autoZero"/>
        <c:auto val="1"/>
        <c:lblAlgn val="ctr"/>
        <c:lblOffset val="100"/>
        <c:noMultiLvlLbl val="0"/>
      </c:catAx>
      <c:valAx>
        <c:axId val="27005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05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SNOx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F_glob_m_dot_a_1!$AK$3:$AK$22</c:f>
              <c:numCache>
                <c:formatCode>General</c:formatCode>
                <c:ptCount val="20"/>
                <c:pt idx="0">
                  <c:v>26.080648202178399</c:v>
                </c:pt>
                <c:pt idx="1">
                  <c:v>20.092822099140999</c:v>
                </c:pt>
                <c:pt idx="2">
                  <c:v>11.6467794266444</c:v>
                </c:pt>
                <c:pt idx="3">
                  <c:v>18.022496701598499</c:v>
                </c:pt>
                <c:pt idx="4">
                  <c:v>13.9563834844504</c:v>
                </c:pt>
                <c:pt idx="5">
                  <c:v>18.840311038509999</c:v>
                </c:pt>
                <c:pt idx="6">
                  <c:v>10.408117403068101</c:v>
                </c:pt>
                <c:pt idx="7">
                  <c:v>15.776137827685201</c:v>
                </c:pt>
                <c:pt idx="8">
                  <c:v>9.5272937071187993</c:v>
                </c:pt>
                <c:pt idx="9">
                  <c:v>17.154445204327999</c:v>
                </c:pt>
                <c:pt idx="10">
                  <c:v>8.9705567218154503</c:v>
                </c:pt>
                <c:pt idx="11">
                  <c:v>15.332289777212299</c:v>
                </c:pt>
                <c:pt idx="12">
                  <c:v>11.108865831055301</c:v>
                </c:pt>
                <c:pt idx="13">
                  <c:v>7.8372215194376098</c:v>
                </c:pt>
                <c:pt idx="14">
                  <c:v>17.0040516067873</c:v>
                </c:pt>
                <c:pt idx="15">
                  <c:v>12.6776579173644</c:v>
                </c:pt>
                <c:pt idx="16">
                  <c:v>9.9698984204067997</c:v>
                </c:pt>
                <c:pt idx="17">
                  <c:v>6.1327204655111798</c:v>
                </c:pt>
                <c:pt idx="18">
                  <c:v>10.178784333447799</c:v>
                </c:pt>
                <c:pt idx="19">
                  <c:v>7.5785762774711198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7-490D-A951-AE11E208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84384"/>
        <c:axId val="279986176"/>
      </c:lineChart>
      <c:lineChart>
        <c:grouping val="standard"/>
        <c:varyColors val="0"/>
        <c:ser>
          <c:idx val="1"/>
          <c:order val="1"/>
          <c:spPr>
            <a:ln>
              <a:prstDash val="sysDash"/>
            </a:ln>
          </c:spPr>
          <c:val>
            <c:numRef>
              <c:f>F_glob_m_dot_a_1!$BS$3:$BS$22</c:f>
              <c:numCache>
                <c:formatCode>General</c:formatCode>
                <c:ptCount val="20"/>
                <c:pt idx="0">
                  <c:v>6.5799865642929403E-2</c:v>
                </c:pt>
                <c:pt idx="1">
                  <c:v>4.4929509407078596</c:v>
                </c:pt>
                <c:pt idx="2">
                  <c:v>19.3579261092368</c:v>
                </c:pt>
                <c:pt idx="3">
                  <c:v>0.63135160875463603</c:v>
                </c:pt>
                <c:pt idx="4">
                  <c:v>42.122999999999998</c:v>
                </c:pt>
                <c:pt idx="5">
                  <c:v>8.0798844798877403E-2</c:v>
                </c:pt>
                <c:pt idx="6">
                  <c:v>24.430513697087299</c:v>
                </c:pt>
                <c:pt idx="7">
                  <c:v>3.7138447343311598</c:v>
                </c:pt>
                <c:pt idx="8">
                  <c:v>14.3224759321426</c:v>
                </c:pt>
                <c:pt idx="9" formatCode="0.00E+00">
                  <c:v>0.10429029546831101</c:v>
                </c:pt>
                <c:pt idx="10">
                  <c:v>18.1886399540453</c:v>
                </c:pt>
                <c:pt idx="11">
                  <c:v>0.89274102676665601</c:v>
                </c:pt>
                <c:pt idx="12">
                  <c:v>17.919128882075199</c:v>
                </c:pt>
                <c:pt idx="13">
                  <c:v>9.3566475091541292</c:v>
                </c:pt>
                <c:pt idx="14" formatCode="0.00E+00">
                  <c:v>7.7910607293879303E-2</c:v>
                </c:pt>
                <c:pt idx="15">
                  <c:v>3.5382379292525301</c:v>
                </c:pt>
                <c:pt idx="16">
                  <c:v>16.653318664102699</c:v>
                </c:pt>
                <c:pt idx="17">
                  <c:v>21.069602899905899</c:v>
                </c:pt>
                <c:pt idx="18" formatCode="0.00E+00">
                  <c:v>3.0696589615544102E-2</c:v>
                </c:pt>
                <c:pt idx="19">
                  <c:v>6.3000986862963204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7-490D-A951-AE11E208C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989632"/>
        <c:axId val="279988096"/>
      </c:lineChart>
      <c:catAx>
        <c:axId val="27998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986176"/>
        <c:crosses val="autoZero"/>
        <c:auto val="1"/>
        <c:lblAlgn val="ctr"/>
        <c:lblOffset val="100"/>
        <c:noMultiLvlLbl val="0"/>
      </c:catAx>
      <c:valAx>
        <c:axId val="279986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984384"/>
        <c:crosses val="autoZero"/>
        <c:crossBetween val="between"/>
      </c:valAx>
      <c:valAx>
        <c:axId val="279988096"/>
        <c:scaling>
          <c:orientation val="minMax"/>
          <c:max val="10.5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279989632"/>
        <c:crosses val="max"/>
        <c:crossBetween val="between"/>
      </c:valAx>
      <c:catAx>
        <c:axId val="27998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7998809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p_max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F_glob_m_dot_a_1!$AU$3:$AU$22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104.4314</c:v>
                </c:pt>
                <c:pt idx="3">
                  <c:v>81.675150000000002</c:v>
                </c:pt>
                <c:pt idx="4">
                  <c:v>95.019499999999994</c:v>
                </c:pt>
                <c:pt idx="5">
                  <c:v>76.446550000000002</c:v>
                </c:pt>
                <c:pt idx="6">
                  <c:v>113.8982</c:v>
                </c:pt>
                <c:pt idx="7">
                  <c:v>96.520899999999997</c:v>
                </c:pt>
                <c:pt idx="8">
                  <c:v>118.84175</c:v>
                </c:pt>
                <c:pt idx="9">
                  <c:v>81.115624999999994</c:v>
                </c:pt>
                <c:pt idx="10">
                  <c:v>128.60759999999999</c:v>
                </c:pt>
                <c:pt idx="11">
                  <c:v>92.127799999999993</c:v>
                </c:pt>
                <c:pt idx="12">
                  <c:v>117.66334999999999</c:v>
                </c:pt>
                <c:pt idx="13">
                  <c:v>130.25885</c:v>
                </c:pt>
                <c:pt idx="14">
                  <c:v>79.253349999999998</c:v>
                </c:pt>
                <c:pt idx="15">
                  <c:v>101.45215</c:v>
                </c:pt>
                <c:pt idx="16">
                  <c:v>117.9863</c:v>
                </c:pt>
                <c:pt idx="17">
                  <c:v>115.62935</c:v>
                </c:pt>
                <c:pt idx="18">
                  <c:v>74.965000000000003</c:v>
                </c:pt>
                <c:pt idx="19">
                  <c:v>102.411725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5-4DBD-9C36-450DF6A5488D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F_glob_m_dot_a_1!$BT$3:$BT$22</c:f>
              <c:numCache>
                <c:formatCode>General</c:formatCode>
                <c:ptCount val="20"/>
                <c:pt idx="0">
                  <c:v>123.187232183522</c:v>
                </c:pt>
                <c:pt idx="1">
                  <c:v>151.76951262862099</c:v>
                </c:pt>
                <c:pt idx="2">
                  <c:v>153.81000384594998</c:v>
                </c:pt>
                <c:pt idx="3">
                  <c:v>122.537858529543</c:v>
                </c:pt>
                <c:pt idx="4">
                  <c:v>144.97549265509198</c:v>
                </c:pt>
                <c:pt idx="5">
                  <c:v>104.97758708960301</c:v>
                </c:pt>
                <c:pt idx="6">
                  <c:v>157.750709141615</c:v>
                </c:pt>
                <c:pt idx="7">
                  <c:v>136.52893575771199</c:v>
                </c:pt>
                <c:pt idx="8">
                  <c:v>163.50633978414902</c:v>
                </c:pt>
                <c:pt idx="9">
                  <c:v>102.733143944098</c:v>
                </c:pt>
                <c:pt idx="10">
                  <c:v>160.902443319398</c:v>
                </c:pt>
                <c:pt idx="11">
                  <c:v>119.574972735288</c:v>
                </c:pt>
                <c:pt idx="12">
                  <c:v>149.22520612264401</c:v>
                </c:pt>
                <c:pt idx="13">
                  <c:v>157.81665220222999</c:v>
                </c:pt>
                <c:pt idx="14">
                  <c:v>98.891480232621902</c:v>
                </c:pt>
                <c:pt idx="15">
                  <c:v>122.418976728033</c:v>
                </c:pt>
                <c:pt idx="16">
                  <c:v>139.83168832451202</c:v>
                </c:pt>
                <c:pt idx="17">
                  <c:v>116.931356738923</c:v>
                </c:pt>
                <c:pt idx="18">
                  <c:v>80.568246789946798</c:v>
                </c:pt>
                <c:pt idx="19">
                  <c:v>112.430713949554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5-4DBD-9C36-450DF6A54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019328"/>
        <c:axId val="280020864"/>
      </c:lineChart>
      <c:catAx>
        <c:axId val="2800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0020864"/>
        <c:crosses val="autoZero"/>
        <c:auto val="1"/>
        <c:lblAlgn val="ctr"/>
        <c:lblOffset val="100"/>
        <c:noMultiLvlLbl val="0"/>
      </c:catAx>
      <c:valAx>
        <c:axId val="28002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01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06777623522276"/>
          <c:y val="3.2476693101534337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F_glob_m_dot_a_1!$AY$3:$AY$22</c:f>
              <c:numCache>
                <c:formatCode>General</c:formatCode>
                <c:ptCount val="20"/>
                <c:pt idx="0">
                  <c:v>1730.2985257798539</c:v>
                </c:pt>
                <c:pt idx="1">
                  <c:v>1076.0990747678793</c:v>
                </c:pt>
                <c:pt idx="2">
                  <c:v>2409.1159099167699</c:v>
                </c:pt>
                <c:pt idx="3">
                  <c:v>1622.4908213305732</c:v>
                </c:pt>
                <c:pt idx="4">
                  <c:v>1766.2966450448782</c:v>
                </c:pt>
                <c:pt idx="5">
                  <c:v>1730.4648339952798</c:v>
                </c:pt>
                <c:pt idx="6">
                  <c:v>1610.0589933342903</c:v>
                </c:pt>
                <c:pt idx="7">
                  <c:v>2166.0521000712492</c:v>
                </c:pt>
                <c:pt idx="8">
                  <c:v>2930.4637132176531</c:v>
                </c:pt>
                <c:pt idx="9">
                  <c:v>2809.1378986752438</c:v>
                </c:pt>
                <c:pt idx="10">
                  <c:v>3635.5264002341596</c:v>
                </c:pt>
                <c:pt idx="11">
                  <c:v>2722.0836750440003</c:v>
                </c:pt>
                <c:pt idx="12">
                  <c:v>2002.436452330119</c:v>
                </c:pt>
                <c:pt idx="13">
                  <c:v>4365.9996409068035</c:v>
                </c:pt>
                <c:pt idx="14">
                  <c:v>2280.9121687042898</c:v>
                </c:pt>
                <c:pt idx="15">
                  <c:v>3195.1991864681659</c:v>
                </c:pt>
                <c:pt idx="16">
                  <c:v>3293.4836546253268</c:v>
                </c:pt>
                <c:pt idx="17">
                  <c:v>5278.8239113399559</c:v>
                </c:pt>
                <c:pt idx="18">
                  <c:v>3552.5136136142996</c:v>
                </c:pt>
                <c:pt idx="19">
                  <c:v>3986.7317015036124</c:v>
                </c:pt>
              </c:numCache>
            </c:numRef>
          </c:xVal>
          <c:yVal>
            <c:numRef>
              <c:f>F_glob_m_dot_a_1!$AW$3:$AW$22</c:f>
              <c:numCache>
                <c:formatCode>General</c:formatCode>
                <c:ptCount val="20"/>
                <c:pt idx="0">
                  <c:v>1.0867049342553998</c:v>
                </c:pt>
                <c:pt idx="1">
                  <c:v>1.1865025807831331</c:v>
                </c:pt>
                <c:pt idx="2">
                  <c:v>1.5646469999999999</c:v>
                </c:pt>
                <c:pt idx="3">
                  <c:v>1.2431869318181821</c:v>
                </c:pt>
                <c:pt idx="4">
                  <c:v>1.4206770017507</c:v>
                </c:pt>
                <c:pt idx="5">
                  <c:v>1.215818837209302</c:v>
                </c:pt>
                <c:pt idx="6">
                  <c:v>1.8673532073170729</c:v>
                </c:pt>
                <c:pt idx="7">
                  <c:v>1.4410452867821548</c:v>
                </c:pt>
                <c:pt idx="8">
                  <c:v>2.0649196506024099</c:v>
                </c:pt>
                <c:pt idx="9">
                  <c:v>1.289825246550472</c:v>
                </c:pt>
                <c:pt idx="10">
                  <c:v>2.30455448780488</c:v>
                </c:pt>
                <c:pt idx="11">
                  <c:v>1.4294999542868752</c:v>
                </c:pt>
                <c:pt idx="12">
                  <c:v>1.923526255813953</c:v>
                </c:pt>
                <c:pt idx="13">
                  <c:v>2.5403592345678998</c:v>
                </c:pt>
                <c:pt idx="14">
                  <c:v>1.361221953488372</c:v>
                </c:pt>
                <c:pt idx="15">
                  <c:v>1.7081882502204588</c:v>
                </c:pt>
                <c:pt idx="16">
                  <c:v>2.1054553344541098</c:v>
                </c:pt>
                <c:pt idx="17">
                  <c:v>2.6037735737704901</c:v>
                </c:pt>
                <c:pt idx="18">
                  <c:v>1.478081465631929</c:v>
                </c:pt>
                <c:pt idx="19">
                  <c:v>2.0969528018077597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2-419E-A96A-DEFEB2BB8A4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F_glob_m_dot_a_1!$AZ$3:$AZ$22</c:f>
              <c:numCache>
                <c:formatCode>General</c:formatCode>
                <c:ptCount val="20"/>
                <c:pt idx="0">
                  <c:v>868.55134187724354</c:v>
                </c:pt>
                <c:pt idx="1">
                  <c:v>1221.4751504067597</c:v>
                </c:pt>
                <c:pt idx="2">
                  <c:v>1788.8891662246672</c:v>
                </c:pt>
                <c:pt idx="3">
                  <c:v>1193.8340553510764</c:v>
                </c:pt>
                <c:pt idx="4">
                  <c:v>1829.1388999612038</c:v>
                </c:pt>
                <c:pt idx="5">
                  <c:v>1683.2116781817417</c:v>
                </c:pt>
                <c:pt idx="6">
                  <c:v>2338.7958635820214</c:v>
                </c:pt>
                <c:pt idx="7">
                  <c:v>2195.392345400674</c:v>
                </c:pt>
                <c:pt idx="8">
                  <c:v>2062.1745516930132</c:v>
                </c:pt>
                <c:pt idx="9">
                  <c:v>1809.565493776938</c:v>
                </c:pt>
                <c:pt idx="10">
                  <c:v>2205.948149108619</c:v>
                </c:pt>
                <c:pt idx="11">
                  <c:v>2619.5092577748164</c:v>
                </c:pt>
                <c:pt idx="12">
                  <c:v>2680.1638385905808</c:v>
                </c:pt>
                <c:pt idx="13">
                  <c:v>2341.2143775294417</c:v>
                </c:pt>
                <c:pt idx="14">
                  <c:v>2403.6237679387386</c:v>
                </c:pt>
                <c:pt idx="15">
                  <c:v>2921.8575665564454</c:v>
                </c:pt>
                <c:pt idx="16">
                  <c:v>2507.8501173236327</c:v>
                </c:pt>
                <c:pt idx="17">
                  <c:v>2554.3171306198501</c:v>
                </c:pt>
                <c:pt idx="18">
                  <c:v>3280.6368071973056</c:v>
                </c:pt>
                <c:pt idx="19">
                  <c:v>2879.7537371374901</c:v>
                </c:pt>
              </c:numCache>
            </c:numRef>
          </c:xVal>
          <c:yVal>
            <c:numRef>
              <c:f>F_glob_m_dot_a_1!$AN$3:$AN$22</c:f>
              <c:numCache>
                <c:formatCode>General</c:formatCode>
                <c:ptCount val="20"/>
                <c:pt idx="0">
                  <c:v>32.170042515880581</c:v>
                </c:pt>
                <c:pt idx="1">
                  <c:v>34.562826109072965</c:v>
                </c:pt>
                <c:pt idx="2">
                  <c:v>37.097548291952727</c:v>
                </c:pt>
                <c:pt idx="3">
                  <c:v>31.942486950008764</c:v>
                </c:pt>
                <c:pt idx="4">
                  <c:v>35.855036885944415</c:v>
                </c:pt>
                <c:pt idx="5">
                  <c:v>29.08299873604399</c:v>
                </c:pt>
                <c:pt idx="6">
                  <c:v>38.143083602167415</c:v>
                </c:pt>
                <c:pt idx="7">
                  <c:v>33.312311881193082</c:v>
                </c:pt>
                <c:pt idx="8">
                  <c:v>37.921669958488337</c:v>
                </c:pt>
                <c:pt idx="9">
                  <c:v>27.929267912762814</c:v>
                </c:pt>
                <c:pt idx="10">
                  <c:v>37.935376778807296</c:v>
                </c:pt>
                <c:pt idx="11">
                  <c:v>30.917161971048355</c:v>
                </c:pt>
                <c:pt idx="12">
                  <c:v>35.972178888326141</c:v>
                </c:pt>
                <c:pt idx="13">
                  <c:v>36.204693702873357</c:v>
                </c:pt>
                <c:pt idx="14">
                  <c:v>27.306806366563382</c:v>
                </c:pt>
                <c:pt idx="15">
                  <c:v>31.317552205540963</c:v>
                </c:pt>
                <c:pt idx="16">
                  <c:v>34.473696524476935</c:v>
                </c:pt>
                <c:pt idx="17">
                  <c:v>34.287690317432116</c:v>
                </c:pt>
                <c:pt idx="18">
                  <c:v>27.21890879767334</c:v>
                </c:pt>
                <c:pt idx="19">
                  <c:v>32.900915769728783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2-419E-A96A-DEFEB2BB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22496"/>
        <c:axId val="280124032"/>
      </c:scatterChart>
      <c:scatterChart>
        <c:scatterStyle val="lineMarker"/>
        <c:varyColors val="0"/>
        <c:ser>
          <c:idx val="2"/>
          <c:order val="2"/>
          <c:spPr>
            <a:ln w="28575">
              <a:noFill/>
            </a:ln>
          </c:spPr>
          <c:xVal>
            <c:numRef>
              <c:f>F_glob_m_dot_a_1!$AZ$3:$AZ$22</c:f>
              <c:numCache>
                <c:formatCode>General</c:formatCode>
                <c:ptCount val="20"/>
                <c:pt idx="0">
                  <c:v>868.55134187724354</c:v>
                </c:pt>
                <c:pt idx="1">
                  <c:v>1221.4751504067597</c:v>
                </c:pt>
                <c:pt idx="2">
                  <c:v>1788.8891662246672</c:v>
                </c:pt>
                <c:pt idx="3">
                  <c:v>1193.8340553510764</c:v>
                </c:pt>
                <c:pt idx="4">
                  <c:v>1829.1388999612038</c:v>
                </c:pt>
                <c:pt idx="5">
                  <c:v>1683.2116781817417</c:v>
                </c:pt>
                <c:pt idx="6">
                  <c:v>2338.7958635820214</c:v>
                </c:pt>
                <c:pt idx="7">
                  <c:v>2195.392345400674</c:v>
                </c:pt>
                <c:pt idx="8">
                  <c:v>2062.1745516930132</c:v>
                </c:pt>
                <c:pt idx="9">
                  <c:v>1809.565493776938</c:v>
                </c:pt>
                <c:pt idx="10">
                  <c:v>2205.948149108619</c:v>
                </c:pt>
                <c:pt idx="11">
                  <c:v>2619.5092577748164</c:v>
                </c:pt>
                <c:pt idx="12">
                  <c:v>2680.1638385905808</c:v>
                </c:pt>
                <c:pt idx="13">
                  <c:v>2341.2143775294417</c:v>
                </c:pt>
                <c:pt idx="14">
                  <c:v>2403.6237679387386</c:v>
                </c:pt>
                <c:pt idx="15">
                  <c:v>2921.8575665564454</c:v>
                </c:pt>
                <c:pt idx="16">
                  <c:v>2507.8501173236327</c:v>
                </c:pt>
                <c:pt idx="17">
                  <c:v>2554.3171306198501</c:v>
                </c:pt>
                <c:pt idx="18">
                  <c:v>3280.6368071973056</c:v>
                </c:pt>
                <c:pt idx="19">
                  <c:v>2879.7537371374901</c:v>
                </c:pt>
              </c:numCache>
            </c:numRef>
          </c:xVal>
          <c:yVal>
            <c:numRef>
              <c:f>F_glob_m_dot_a_1!$AM$3:$AM$22</c:f>
              <c:numCache>
                <c:formatCode>General</c:formatCode>
                <c:ptCount val="20"/>
                <c:pt idx="0">
                  <c:v>3.8778509136382249E-3</c:v>
                </c:pt>
                <c:pt idx="1">
                  <c:v>4.1380529057442154E-3</c:v>
                </c:pt>
                <c:pt idx="2">
                  <c:v>4.2857057877033616E-3</c:v>
                </c:pt>
                <c:pt idx="3">
                  <c:v>3.8155035882314419E-3</c:v>
                </c:pt>
                <c:pt idx="4">
                  <c:v>4.1428249039013989E-3</c:v>
                </c:pt>
                <c:pt idx="5">
                  <c:v>3.4602474386924817E-3</c:v>
                </c:pt>
                <c:pt idx="6">
                  <c:v>4.4107116827918711E-3</c:v>
                </c:pt>
                <c:pt idx="7">
                  <c:v>3.7987425731655648E-3</c:v>
                </c:pt>
                <c:pt idx="8">
                  <c:v>4.4751105288362691E-3</c:v>
                </c:pt>
                <c:pt idx="9">
                  <c:v>3.298062871868616E-3</c:v>
                </c:pt>
                <c:pt idx="10">
                  <c:v>4.3838943322568151E-3</c:v>
                </c:pt>
                <c:pt idx="11">
                  <c:v>3.4958987241280916E-3</c:v>
                </c:pt>
                <c:pt idx="12">
                  <c:v>4.1280495408580788E-3</c:v>
                </c:pt>
                <c:pt idx="13">
                  <c:v>4.2808591893616736E-3</c:v>
                </c:pt>
                <c:pt idx="14">
                  <c:v>3.1953913279077983E-3</c:v>
                </c:pt>
                <c:pt idx="15">
                  <c:v>3.5707097141158572E-3</c:v>
                </c:pt>
                <c:pt idx="16">
                  <c:v>3.9806801694444041E-3</c:v>
                </c:pt>
                <c:pt idx="17">
                  <c:v>4.0781535824899158E-3</c:v>
                </c:pt>
                <c:pt idx="18">
                  <c:v>3.1151642190606101E-3</c:v>
                </c:pt>
                <c:pt idx="19">
                  <c:v>3.7336108803638457E-3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2-419E-A96A-DEFEB2BB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131456"/>
        <c:axId val="280129920"/>
      </c:scatterChart>
      <c:valAx>
        <c:axId val="28012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0124032"/>
        <c:crosses val="autoZero"/>
        <c:crossBetween val="midCat"/>
      </c:valAx>
      <c:valAx>
        <c:axId val="28012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0122496"/>
        <c:crosses val="autoZero"/>
        <c:crossBetween val="midCat"/>
      </c:valAx>
      <c:valAx>
        <c:axId val="28012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0131456"/>
        <c:crosses val="max"/>
        <c:crossBetween val="midCat"/>
      </c:valAx>
      <c:valAx>
        <c:axId val="2801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29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419531933508316"/>
          <c:y val="0.19888196267133276"/>
          <c:w val="0.12858245844269467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Air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F_glob_m_dot_a_1!$AL$3:$AL$22</c:f>
              <c:numCache>
                <c:formatCode>General</c:formatCode>
                <c:ptCount val="20"/>
                <c:pt idx="0">
                  <c:v>0.154902739869792</c:v>
                </c:pt>
                <c:pt idx="1">
                  <c:v>0.16540304676033599</c:v>
                </c:pt>
                <c:pt idx="2">
                  <c:v>0.214072480045818</c:v>
                </c:pt>
                <c:pt idx="3">
                  <c:v>0.19059387285307</c:v>
                </c:pt>
                <c:pt idx="4">
                  <c:v>0.20695536341332299</c:v>
                </c:pt>
                <c:pt idx="5">
                  <c:v>0.20738426943014299</c:v>
                </c:pt>
                <c:pt idx="6">
                  <c:v>0.264392282967711</c:v>
                </c:pt>
                <c:pt idx="7">
                  <c:v>0.22771327611446801</c:v>
                </c:pt>
                <c:pt idx="8">
                  <c:v>0.26827472646133299</c:v>
                </c:pt>
                <c:pt idx="9">
                  <c:v>0.230674586820133</c:v>
                </c:pt>
                <c:pt idx="10">
                  <c:v>0.30695164811259301</c:v>
                </c:pt>
                <c:pt idx="11">
                  <c:v>0.244913413657215</c:v>
                </c:pt>
                <c:pt idx="12">
                  <c:v>0.289705920744667</c:v>
                </c:pt>
                <c:pt idx="13">
                  <c:v>0.34215245354194102</c:v>
                </c:pt>
                <c:pt idx="14">
                  <c:v>0.255432692419161</c:v>
                </c:pt>
                <c:pt idx="15">
                  <c:v>0.28551123753754098</c:v>
                </c:pt>
                <c:pt idx="16">
                  <c:v>0.31831020505593699</c:v>
                </c:pt>
                <c:pt idx="17">
                  <c:v>0.36640092812706598</c:v>
                </c:pt>
                <c:pt idx="18">
                  <c:v>0.280240739027799</c:v>
                </c:pt>
                <c:pt idx="19">
                  <c:v>0.33590995354330899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224-9114-88C907FF4CDC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F_glob_m_dot_a_1!$BM$3:$BM$22</c:f>
              <c:numCache>
                <c:formatCode>General</c:formatCode>
                <c:ptCount val="20"/>
                <c:pt idx="0">
                  <c:v>0.135332561470483</c:v>
                </c:pt>
                <c:pt idx="1">
                  <c:v>0.146077154837676</c:v>
                </c:pt>
                <c:pt idx="2">
                  <c:v>0.192921133257898</c:v>
                </c:pt>
                <c:pt idx="3">
                  <c:v>0.16920018547768401</c:v>
                </c:pt>
                <c:pt idx="4">
                  <c:v>0.186026266603736</c:v>
                </c:pt>
                <c:pt idx="5">
                  <c:v>0.18533531908723899</c:v>
                </c:pt>
                <c:pt idx="6">
                  <c:v>0.240329111346955</c:v>
                </c:pt>
                <c:pt idx="7">
                  <c:v>0.20573857323078701</c:v>
                </c:pt>
                <c:pt idx="8">
                  <c:v>0.28627370516288603</c:v>
                </c:pt>
                <c:pt idx="9">
                  <c:v>0.20761098348027901</c:v>
                </c:pt>
                <c:pt idx="10">
                  <c:v>0.31662682265053799</c:v>
                </c:pt>
                <c:pt idx="11">
                  <c:v>0.222449509649773</c:v>
                </c:pt>
                <c:pt idx="12">
                  <c:v>0.26434161731462802</c:v>
                </c:pt>
                <c:pt idx="13">
                  <c:v>0.37478330575618901</c:v>
                </c:pt>
                <c:pt idx="14">
                  <c:v>0.23189541063916999</c:v>
                </c:pt>
                <c:pt idx="15">
                  <c:v>0.26076016586650602</c:v>
                </c:pt>
                <c:pt idx="16">
                  <c:v>0.29116039703875901</c:v>
                </c:pt>
                <c:pt idx="17">
                  <c:v>0.33566777890813998</c:v>
                </c:pt>
                <c:pt idx="18">
                  <c:v>0.25553000200036002</c:v>
                </c:pt>
                <c:pt idx="19">
                  <c:v>0.30847268804529598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F-4224-9114-88C907FF4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160512"/>
        <c:axId val="280162688"/>
      </c:lineChart>
      <c:catAx>
        <c:axId val="28016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0162688"/>
        <c:crosses val="autoZero"/>
        <c:auto val="1"/>
        <c:lblAlgn val="ctr"/>
        <c:lblOffset val="100"/>
        <c:noMultiLvlLbl val="0"/>
      </c:catAx>
      <c:valAx>
        <c:axId val="280162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160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F_glob_m_dot_a_1!$AO$3:$AO$22</c:f>
              <c:numCache>
                <c:formatCode>General</c:formatCode>
                <c:ptCount val="20"/>
                <c:pt idx="0">
                  <c:v>0.15767956125669599</c:v>
                </c:pt>
                <c:pt idx="1">
                  <c:v>0.17010676835114899</c:v>
                </c:pt>
                <c:pt idx="2">
                  <c:v>0.221730875460208</c:v>
                </c:pt>
                <c:pt idx="3">
                  <c:v>0.19505239727625201</c:v>
                </c:pt>
                <c:pt idx="4">
                  <c:v>0.213589762069505</c:v>
                </c:pt>
                <c:pt idx="5">
                  <c:v>0.21153774768432901</c:v>
                </c:pt>
                <c:pt idx="6">
                  <c:v>0.27454841432054</c:v>
                </c:pt>
                <c:pt idx="7">
                  <c:v>0.234131531045462</c:v>
                </c:pt>
                <c:pt idx="8">
                  <c:v>0.27958018154793501</c:v>
                </c:pt>
                <c:pt idx="9">
                  <c:v>0.23554849686853299</c:v>
                </c:pt>
                <c:pt idx="10">
                  <c:v>0.31973060854791002</c:v>
                </c:pt>
                <c:pt idx="11">
                  <c:v>0.251061542473418</c:v>
                </c:pt>
                <c:pt idx="12">
                  <c:v>0.29999678108801597</c:v>
                </c:pt>
                <c:pt idx="13">
                  <c:v>0.35696694637201498</c:v>
                </c:pt>
                <c:pt idx="14">
                  <c:v>0.26098202992371899</c:v>
                </c:pt>
                <c:pt idx="15">
                  <c:v>0.29398528823275299</c:v>
                </c:pt>
                <c:pt idx="16">
                  <c:v>0.32990648983335702</c:v>
                </c:pt>
                <c:pt idx="17">
                  <c:v>0.38234623964234499</c:v>
                </c:pt>
                <c:pt idx="18">
                  <c:v>0.286740232707968</c:v>
                </c:pt>
                <c:pt idx="19">
                  <c:v>0.34756071124986698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C-4755-A108-FC5926B1F029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F_glob_m_dot_a_1!$BN$3:$BN$22</c:f>
              <c:numCache>
                <c:formatCode>General</c:formatCode>
                <c:ptCount val="20"/>
                <c:pt idx="0">
                  <c:v>0.13750041992741599</c:v>
                </c:pt>
                <c:pt idx="1">
                  <c:v>0.14942099205210099</c:v>
                </c:pt>
                <c:pt idx="2">
                  <c:v>0.200687747921132</c:v>
                </c:pt>
                <c:pt idx="3">
                  <c:v>0.17354195620859</c:v>
                </c:pt>
                <c:pt idx="4">
                  <c:v>0.19073577261987701</c:v>
                </c:pt>
                <c:pt idx="5">
                  <c:v>0.18954540430365299</c:v>
                </c:pt>
                <c:pt idx="6">
                  <c:v>0.251027514035425</c:v>
                </c:pt>
                <c:pt idx="7">
                  <c:v>0.212211371072413</c:v>
                </c:pt>
                <c:pt idx="8">
                  <c:v>0.29698741140189699</c:v>
                </c:pt>
                <c:pt idx="9">
                  <c:v>0.21251035672302099</c:v>
                </c:pt>
                <c:pt idx="10">
                  <c:v>0.32963498976225297</c:v>
                </c:pt>
                <c:pt idx="11">
                  <c:v>0.22872608843072501</c:v>
                </c:pt>
                <c:pt idx="12">
                  <c:v>0.275173414027715</c:v>
                </c:pt>
                <c:pt idx="13">
                  <c:v>0.38899862456128997</c:v>
                </c:pt>
                <c:pt idx="14">
                  <c:v>0.23681217527939799</c:v>
                </c:pt>
                <c:pt idx="15">
                  <c:v>0.26924625396048502</c:v>
                </c:pt>
                <c:pt idx="16">
                  <c:v>0.30358566841196799</c:v>
                </c:pt>
                <c:pt idx="17">
                  <c:v>0.35100730891998599</c:v>
                </c:pt>
                <c:pt idx="18">
                  <c:v>0.26169485189235397</c:v>
                </c:pt>
                <c:pt idx="19">
                  <c:v>0.32010512554227399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C-4755-A108-FC5926B1F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282624"/>
        <c:axId val="280284544"/>
      </c:lineChart>
      <c:catAx>
        <c:axId val="280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0284544"/>
        <c:crosses val="autoZero"/>
        <c:auto val="1"/>
        <c:lblAlgn val="ctr"/>
        <c:lblOffset val="100"/>
        <c:noMultiLvlLbl val="0"/>
      </c:catAx>
      <c:valAx>
        <c:axId val="28028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282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Fuel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F_glob_m_dot_a_1!$AR$3:$AR$22</c:f>
              <c:numCache>
                <c:formatCode>General</c:formatCode>
                <c:ptCount val="20"/>
                <c:pt idx="0">
                  <c:v>2.7768213869041303E-3</c:v>
                </c:pt>
                <c:pt idx="1">
                  <c:v>4.7037215908127773E-3</c:v>
                </c:pt>
                <c:pt idx="2">
                  <c:v>7.6583954143902497E-3</c:v>
                </c:pt>
                <c:pt idx="3">
                  <c:v>4.4585244231818057E-3</c:v>
                </c:pt>
                <c:pt idx="4">
                  <c:v>6.6343986561823607E-3</c:v>
                </c:pt>
                <c:pt idx="5">
                  <c:v>4.1534782541860563E-3</c:v>
                </c:pt>
                <c:pt idx="6">
                  <c:v>1.0156131352829278E-2</c:v>
                </c:pt>
                <c:pt idx="7">
                  <c:v>6.4182549309938332E-3</c:v>
                </c:pt>
                <c:pt idx="8">
                  <c:v>1.1305455086602417E-2</c:v>
                </c:pt>
                <c:pt idx="9">
                  <c:v>4.8739100483999997E-3</c:v>
                </c:pt>
                <c:pt idx="10">
                  <c:v>1.2778960435317085E-2</c:v>
                </c:pt>
                <c:pt idx="11">
                  <c:v>6.1481288162029725E-3</c:v>
                </c:pt>
                <c:pt idx="12">
                  <c:v>1.0290860343348834E-2</c:v>
                </c:pt>
                <c:pt idx="13">
                  <c:v>1.4814492830074083E-2</c:v>
                </c:pt>
                <c:pt idx="14">
                  <c:v>5.5493375045581397E-3</c:v>
                </c:pt>
                <c:pt idx="15">
                  <c:v>8.4740506952116386E-3</c:v>
                </c:pt>
                <c:pt idx="16">
                  <c:v>1.1596284777420085E-2</c:v>
                </c:pt>
                <c:pt idx="17">
                  <c:v>1.5945311515278691E-2</c:v>
                </c:pt>
                <c:pt idx="18">
                  <c:v>6.4994936801690828E-3</c:v>
                </c:pt>
                <c:pt idx="19">
                  <c:v>1.1650757706558195E-2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E-496B-B249-DDAA9305487B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F_glob_m_dot_a_1!$BO$3:$BO$22</c:f>
              <c:numCache>
                <c:formatCode>General</c:formatCode>
                <c:ptCount val="20"/>
                <c:pt idx="0">
                  <c:v>3.07412057319609E-3</c:v>
                </c:pt>
                <c:pt idx="1">
                  <c:v>5.0575508605264401E-3</c:v>
                </c:pt>
                <c:pt idx="2">
                  <c:v>8.5416513777718701E-3</c:v>
                </c:pt>
                <c:pt idx="3">
                  <c:v>4.9793570168067697E-3</c:v>
                </c:pt>
                <c:pt idx="4">
                  <c:v>7.3161716122217601E-3</c:v>
                </c:pt>
                <c:pt idx="5">
                  <c:v>4.4805439512115904E-3</c:v>
                </c:pt>
                <c:pt idx="6">
                  <c:v>1.14660678216608E-2</c:v>
                </c:pt>
                <c:pt idx="7">
                  <c:v>7.1972665269525397E-3</c:v>
                </c:pt>
                <c:pt idx="8">
                  <c:v>1.23337167733291E-2</c:v>
                </c:pt>
                <c:pt idx="9">
                  <c:v>5.1712224999729802E-3</c:v>
                </c:pt>
                <c:pt idx="10">
                  <c:v>1.43035153536196E-2</c:v>
                </c:pt>
                <c:pt idx="11">
                  <c:v>6.7058285651967701E-3</c:v>
                </c:pt>
                <c:pt idx="12">
                  <c:v>1.15907439403734E-2</c:v>
                </c:pt>
                <c:pt idx="13">
                  <c:v>1.5617811186578101E-2</c:v>
                </c:pt>
                <c:pt idx="14">
                  <c:v>5.6585631356736998E-3</c:v>
                </c:pt>
                <c:pt idx="15">
                  <c:v>9.0918249186608107E-3</c:v>
                </c:pt>
                <c:pt idx="16">
                  <c:v>1.27894758179586E-2</c:v>
                </c:pt>
                <c:pt idx="17">
                  <c:v>1.68170192990428E-2</c:v>
                </c:pt>
                <c:pt idx="18">
                  <c:v>6.36976483250885E-3</c:v>
                </c:pt>
                <c:pt idx="19">
                  <c:v>1.2195782958138701E-2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E-496B-B249-DDAA93054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14624"/>
        <c:axId val="280316544"/>
      </c:lineChart>
      <c:catAx>
        <c:axId val="28031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0316544"/>
        <c:crosses val="autoZero"/>
        <c:auto val="1"/>
        <c:lblAlgn val="ctr"/>
        <c:lblOffset val="100"/>
        <c:noMultiLvlLbl val="0"/>
      </c:catAx>
      <c:valAx>
        <c:axId val="280316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1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243467336238729"/>
          <c:y val="0.63217225339250649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F_glob_m_dot_a_1!$AJ$3:$AJ$22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215.60103924952699</c:v>
                </c:pt>
                <c:pt idx="3">
                  <c:v>211.85434127243801</c:v>
                </c:pt>
                <c:pt idx="4">
                  <c:v>216.47726101549799</c:v>
                </c:pt>
                <c:pt idx="5">
                  <c:v>215.02336268526301</c:v>
                </c:pt>
                <c:pt idx="6">
                  <c:v>208.81352710642199</c:v>
                </c:pt>
                <c:pt idx="7">
                  <c:v>207.819037016268</c:v>
                </c:pt>
                <c:pt idx="8">
                  <c:v>207.43253021548</c:v>
                </c:pt>
                <c:pt idx="9">
                  <c:v>214.15285296164501</c:v>
                </c:pt>
                <c:pt idx="10">
                  <c:v>202.52630887090501</c:v>
                </c:pt>
                <c:pt idx="11">
                  <c:v>208.81369841124001</c:v>
                </c:pt>
                <c:pt idx="12">
                  <c:v>203.25293433570101</c:v>
                </c:pt>
                <c:pt idx="13">
                  <c:v>204.548343909311</c:v>
                </c:pt>
                <c:pt idx="14">
                  <c:v>217.302383013129</c:v>
                </c:pt>
                <c:pt idx="15">
                  <c:v>206.231816616619</c:v>
                </c:pt>
                <c:pt idx="16">
                  <c:v>202.800485757817</c:v>
                </c:pt>
                <c:pt idx="17">
                  <c:v>215.32812757703999</c:v>
                </c:pt>
                <c:pt idx="18">
                  <c:v>225.295923547792</c:v>
                </c:pt>
                <c:pt idx="19">
                  <c:v>211.276927200317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7-4A46-8333-180923BDB4C8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F_glob_m_dot_a_1!$BR$3:$BR$22</c:f>
              <c:numCache>
                <c:formatCode>General</c:formatCode>
                <c:ptCount val="20"/>
                <c:pt idx="0">
                  <c:v>212.8865101979176</c:v>
                </c:pt>
                <c:pt idx="1">
                  <c:v>222.73891423379794</c:v>
                </c:pt>
                <c:pt idx="2">
                  <c:v>224.74381339447379</c:v>
                </c:pt>
                <c:pt idx="3">
                  <c:v>220.25538367181315</c:v>
                </c:pt>
                <c:pt idx="4">
                  <c:v>222.82137007896699</c:v>
                </c:pt>
                <c:pt idx="5">
                  <c:v>217.37327629256782</c:v>
                </c:pt>
                <c:pt idx="6">
                  <c:v>222.18351391275368</c:v>
                </c:pt>
                <c:pt idx="7">
                  <c:v>217.41992153991896</c:v>
                </c:pt>
                <c:pt idx="8">
                  <c:v>215.71330509224208</c:v>
                </c:pt>
                <c:pt idx="9">
                  <c:v>213.82951170722782</c:v>
                </c:pt>
                <c:pt idx="10">
                  <c:v>216.29824518397442</c:v>
                </c:pt>
                <c:pt idx="11">
                  <c:v>213.47380251242214</c:v>
                </c:pt>
                <c:pt idx="12">
                  <c:v>216.25080481327726</c:v>
                </c:pt>
                <c:pt idx="13">
                  <c:v>205.44747870171969</c:v>
                </c:pt>
                <c:pt idx="14">
                  <c:v>208.17380291605633</c:v>
                </c:pt>
                <c:pt idx="15">
                  <c:v>207.22665273862975</c:v>
                </c:pt>
                <c:pt idx="16">
                  <c:v>212.2220738302413</c:v>
                </c:pt>
                <c:pt idx="17">
                  <c:v>217.84988133762937</c:v>
                </c:pt>
                <c:pt idx="18">
                  <c:v>209.62856012432769</c:v>
                </c:pt>
                <c:pt idx="19">
                  <c:v>211.94606542826855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7-4A46-8333-180923BD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46624"/>
        <c:axId val="280348544"/>
      </c:lineChart>
      <c:catAx>
        <c:axId val="2803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0348544"/>
        <c:crosses val="autoZero"/>
        <c:auto val="1"/>
        <c:lblAlgn val="ctr"/>
        <c:lblOffset val="100"/>
        <c:noMultiLvlLbl val="0"/>
      </c:catAx>
      <c:valAx>
        <c:axId val="280348544"/>
        <c:scaling>
          <c:orientation val="minMax"/>
          <c:min val="1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46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490771313044385"/>
          <c:y val="8.3976637619053968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NOx</a:t>
            </a:r>
            <a:r>
              <a:rPr lang="nb-NO" baseline="0"/>
              <a:t> factor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F_glob_m_dot_a_1!$AK$3:$AK$22</c:f>
              <c:numCache>
                <c:formatCode>General</c:formatCode>
                <c:ptCount val="20"/>
                <c:pt idx="0">
                  <c:v>26.080648202178399</c:v>
                </c:pt>
                <c:pt idx="1">
                  <c:v>20.092822099140999</c:v>
                </c:pt>
                <c:pt idx="2">
                  <c:v>11.6467794266444</c:v>
                </c:pt>
                <c:pt idx="3">
                  <c:v>18.022496701598499</c:v>
                </c:pt>
                <c:pt idx="4">
                  <c:v>13.9563834844504</c:v>
                </c:pt>
                <c:pt idx="5">
                  <c:v>18.840311038509999</c:v>
                </c:pt>
                <c:pt idx="6">
                  <c:v>10.408117403068101</c:v>
                </c:pt>
                <c:pt idx="7">
                  <c:v>15.776137827685201</c:v>
                </c:pt>
                <c:pt idx="8">
                  <c:v>9.5272937071187993</c:v>
                </c:pt>
                <c:pt idx="9">
                  <c:v>17.154445204327999</c:v>
                </c:pt>
                <c:pt idx="10">
                  <c:v>8.9705567218154503</c:v>
                </c:pt>
                <c:pt idx="11">
                  <c:v>15.332289777212299</c:v>
                </c:pt>
                <c:pt idx="12">
                  <c:v>11.108865831055301</c:v>
                </c:pt>
                <c:pt idx="13">
                  <c:v>7.8372215194376098</c:v>
                </c:pt>
                <c:pt idx="14">
                  <c:v>17.0040516067873</c:v>
                </c:pt>
                <c:pt idx="15">
                  <c:v>12.6776579173644</c:v>
                </c:pt>
                <c:pt idx="16">
                  <c:v>9.9698984204067997</c:v>
                </c:pt>
                <c:pt idx="17">
                  <c:v>6.1327204655111798</c:v>
                </c:pt>
                <c:pt idx="18">
                  <c:v>10.178784333447799</c:v>
                </c:pt>
                <c:pt idx="19">
                  <c:v>7.5785762774711198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5-48FE-AA38-A0E5885E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92064"/>
        <c:axId val="280393984"/>
      </c:lineChart>
      <c:lineChart>
        <c:grouping val="standard"/>
        <c:varyColors val="0"/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F_glob_m_dot_a_1!$BS$3:$BS$22</c:f>
              <c:numCache>
                <c:formatCode>General</c:formatCode>
                <c:ptCount val="20"/>
                <c:pt idx="0">
                  <c:v>6.5799865642929403E-2</c:v>
                </c:pt>
                <c:pt idx="1">
                  <c:v>4.4929509407078596</c:v>
                </c:pt>
                <c:pt idx="2">
                  <c:v>19.3579261092368</c:v>
                </c:pt>
                <c:pt idx="3">
                  <c:v>0.63135160875463603</c:v>
                </c:pt>
                <c:pt idx="4">
                  <c:v>42.122999999999998</c:v>
                </c:pt>
                <c:pt idx="5">
                  <c:v>8.0798844798877403E-2</c:v>
                </c:pt>
                <c:pt idx="6">
                  <c:v>24.430513697087299</c:v>
                </c:pt>
                <c:pt idx="7">
                  <c:v>3.7138447343311598</c:v>
                </c:pt>
                <c:pt idx="8">
                  <c:v>14.3224759321426</c:v>
                </c:pt>
                <c:pt idx="9" formatCode="0.00E+00">
                  <c:v>0.10429029546831101</c:v>
                </c:pt>
                <c:pt idx="10">
                  <c:v>18.1886399540453</c:v>
                </c:pt>
                <c:pt idx="11">
                  <c:v>0.89274102676665601</c:v>
                </c:pt>
                <c:pt idx="12">
                  <c:v>17.919128882075199</c:v>
                </c:pt>
                <c:pt idx="13">
                  <c:v>9.3566475091541292</c:v>
                </c:pt>
                <c:pt idx="14" formatCode="0.00E+00">
                  <c:v>7.7910607293879303E-2</c:v>
                </c:pt>
                <c:pt idx="15">
                  <c:v>3.5382379292525301</c:v>
                </c:pt>
                <c:pt idx="16">
                  <c:v>16.653318664102699</c:v>
                </c:pt>
                <c:pt idx="17">
                  <c:v>21.069602899905899</c:v>
                </c:pt>
                <c:pt idx="18" formatCode="0.00E+00">
                  <c:v>3.0696589615544102E-2</c:v>
                </c:pt>
                <c:pt idx="19">
                  <c:v>6.3000986862963204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65-48FE-AA38-A0E5885E9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01792"/>
        <c:axId val="280400256"/>
      </c:lineChart>
      <c:catAx>
        <c:axId val="28039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0393984"/>
        <c:crosses val="autoZero"/>
        <c:auto val="1"/>
        <c:lblAlgn val="ctr"/>
        <c:lblOffset val="100"/>
        <c:noMultiLvlLbl val="0"/>
      </c:catAx>
      <c:valAx>
        <c:axId val="280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392064"/>
        <c:crosses val="autoZero"/>
        <c:crossBetween val="between"/>
      </c:valAx>
      <c:valAx>
        <c:axId val="2804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80401792"/>
        <c:crosses val="max"/>
        <c:crossBetween val="between"/>
      </c:valAx>
      <c:catAx>
        <c:axId val="280401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80400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9.7800947533975807E-2"/>
          <c:y val="0.60884497281292227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Maximum Cylinder Pressure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0925515873015873"/>
          <c:y val="5.1400554097404488E-2"/>
          <c:w val="0.85351071428571423"/>
          <c:h val="0.7679435185185185"/>
        </c:manualLayout>
      </c:layout>
      <c:lineChart>
        <c:grouping val="standard"/>
        <c:varyColors val="0"/>
        <c:ser>
          <c:idx val="0"/>
          <c:order val="0"/>
          <c:tx>
            <c:v>Measured</c:v>
          </c:tx>
          <c:val>
            <c:numRef>
              <c:f>F_glob_m_dot_a_1!$AU$3:$AU$22</c:f>
              <c:numCache>
                <c:formatCode>General</c:formatCode>
                <c:ptCount val="20"/>
                <c:pt idx="0">
                  <c:v>76.517399999999995</c:v>
                </c:pt>
                <c:pt idx="1">
                  <c:v>89.9071</c:v>
                </c:pt>
                <c:pt idx="2">
                  <c:v>104.4314</c:v>
                </c:pt>
                <c:pt idx="3">
                  <c:v>81.675150000000002</c:v>
                </c:pt>
                <c:pt idx="4">
                  <c:v>95.019499999999994</c:v>
                </c:pt>
                <c:pt idx="5">
                  <c:v>76.446550000000002</c:v>
                </c:pt>
                <c:pt idx="6">
                  <c:v>113.8982</c:v>
                </c:pt>
                <c:pt idx="7">
                  <c:v>96.520899999999997</c:v>
                </c:pt>
                <c:pt idx="8">
                  <c:v>118.84175</c:v>
                </c:pt>
                <c:pt idx="9">
                  <c:v>81.115624999999994</c:v>
                </c:pt>
                <c:pt idx="10">
                  <c:v>128.60759999999999</c:v>
                </c:pt>
                <c:pt idx="11">
                  <c:v>92.127799999999993</c:v>
                </c:pt>
                <c:pt idx="12">
                  <c:v>117.66334999999999</c:v>
                </c:pt>
                <c:pt idx="13">
                  <c:v>130.25885</c:v>
                </c:pt>
                <c:pt idx="14">
                  <c:v>79.253349999999998</c:v>
                </c:pt>
                <c:pt idx="15">
                  <c:v>101.45215</c:v>
                </c:pt>
                <c:pt idx="16">
                  <c:v>117.9863</c:v>
                </c:pt>
                <c:pt idx="17">
                  <c:v>115.62935</c:v>
                </c:pt>
                <c:pt idx="18">
                  <c:v>74.965000000000003</c:v>
                </c:pt>
                <c:pt idx="19">
                  <c:v>102.411725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974-A51C-2860FDCE4ED2}"/>
            </c:ext>
          </c:extLst>
        </c:ser>
        <c:ser>
          <c:idx val="1"/>
          <c:order val="1"/>
          <c:tx>
            <c:v>Simulated</c:v>
          </c:tx>
          <c:spPr>
            <a:ln>
              <a:prstDash val="sysDash"/>
            </a:ln>
          </c:spPr>
          <c:val>
            <c:numRef>
              <c:f>F_glob_m_dot_a_1!$BT$3:$BT$22</c:f>
              <c:numCache>
                <c:formatCode>General</c:formatCode>
                <c:ptCount val="20"/>
                <c:pt idx="0">
                  <c:v>123.187232183522</c:v>
                </c:pt>
                <c:pt idx="1">
                  <c:v>151.76951262862099</c:v>
                </c:pt>
                <c:pt idx="2">
                  <c:v>153.81000384594998</c:v>
                </c:pt>
                <c:pt idx="3">
                  <c:v>122.537858529543</c:v>
                </c:pt>
                <c:pt idx="4">
                  <c:v>144.97549265509198</c:v>
                </c:pt>
                <c:pt idx="5">
                  <c:v>104.97758708960301</c:v>
                </c:pt>
                <c:pt idx="6">
                  <c:v>157.750709141615</c:v>
                </c:pt>
                <c:pt idx="7">
                  <c:v>136.52893575771199</c:v>
                </c:pt>
                <c:pt idx="8">
                  <c:v>163.50633978414902</c:v>
                </c:pt>
                <c:pt idx="9">
                  <c:v>102.733143944098</c:v>
                </c:pt>
                <c:pt idx="10">
                  <c:v>160.902443319398</c:v>
                </c:pt>
                <c:pt idx="11">
                  <c:v>119.574972735288</c:v>
                </c:pt>
                <c:pt idx="12">
                  <c:v>149.22520612264401</c:v>
                </c:pt>
                <c:pt idx="13">
                  <c:v>157.81665220222999</c:v>
                </c:pt>
                <c:pt idx="14">
                  <c:v>98.891480232621902</c:v>
                </c:pt>
                <c:pt idx="15">
                  <c:v>122.418976728033</c:v>
                </c:pt>
                <c:pt idx="16">
                  <c:v>139.83168832451202</c:v>
                </c:pt>
                <c:pt idx="17">
                  <c:v>116.931356738923</c:v>
                </c:pt>
                <c:pt idx="18">
                  <c:v>80.568246789946798</c:v>
                </c:pt>
                <c:pt idx="19">
                  <c:v>112.430713949554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3F-4974-A51C-2860FDCE4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27136"/>
        <c:axId val="280507136"/>
      </c:lineChart>
      <c:catAx>
        <c:axId val="28042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Case</a:t>
                </a:r>
              </a:p>
            </c:rich>
          </c:tx>
          <c:overlay val="0"/>
        </c:title>
        <c:majorTickMark val="out"/>
        <c:minorTickMark val="none"/>
        <c:tickLblPos val="nextTo"/>
        <c:crossAx val="280507136"/>
        <c:crosses val="autoZero"/>
        <c:auto val="1"/>
        <c:lblAlgn val="ctr"/>
        <c:lblOffset val="100"/>
        <c:noMultiLvlLbl val="0"/>
      </c:catAx>
      <c:valAx>
        <c:axId val="280507136"/>
        <c:scaling>
          <c:orientation val="minMax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42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985364367429312"/>
          <c:y val="0.6670158918378498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Power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v>Test</c:v>
          </c:tx>
          <c:val>
            <c:numRef>
              <c:f>Mix_Test!$BB$3:$BB$7</c:f>
              <c:numCache>
                <c:formatCode>General</c:formatCode>
                <c:ptCount val="5"/>
                <c:pt idx="1">
                  <c:v>45901.521973421448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9C8-880C-77EA0D407B8E}"/>
            </c:ext>
          </c:extLst>
        </c:ser>
        <c:ser>
          <c:idx val="1"/>
          <c:order val="1"/>
          <c:tx>
            <c:v>Sim</c:v>
          </c:tx>
          <c:spPr>
            <a:ln>
              <a:prstDash val="sysDash"/>
            </a:ln>
          </c:spPr>
          <c:val>
            <c:numRef>
              <c:f>Mix_Test!$BG$3:$BG$7</c:f>
              <c:numCache>
                <c:formatCode>General</c:formatCode>
                <c:ptCount val="5"/>
                <c:pt idx="0">
                  <c:v>45902.352146224199</c:v>
                </c:pt>
                <c:pt idx="1">
                  <c:v>45902.607044317898</c:v>
                </c:pt>
                <c:pt idx="2">
                  <c:v>45902.092243753003</c:v>
                </c:pt>
                <c:pt idx="3">
                  <c:v>45902.801587699403</c:v>
                </c:pt>
                <c:pt idx="4">
                  <c:v>45902.064433811101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9C8-880C-77EA0D40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11328"/>
        <c:axId val="283013120"/>
      </c:lineChart>
      <c:catAx>
        <c:axId val="28301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13120"/>
        <c:crosses val="autoZero"/>
        <c:auto val="1"/>
        <c:lblAlgn val="ctr"/>
        <c:lblOffset val="100"/>
        <c:noMultiLvlLbl val="0"/>
      </c:catAx>
      <c:valAx>
        <c:axId val="28301312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1132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3902668416447944E-2"/>
                <c:y val="0.37084499854184894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nb-NO"/>
                    <a:t>kW</a:t>
                  </a:r>
                </a:p>
              </c:rich>
            </c:tx>
          </c:dispUnitsLbl>
        </c:dispUnits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06522473072609"/>
          <c:h val="0.166034240997016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fuel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F_glob_p_ac1!$AR$3:$AR$22</c:f>
              <c:numCache>
                <c:formatCode>General</c:formatCode>
                <c:ptCount val="20"/>
                <c:pt idx="0">
                  <c:v>2.7768213869041303E-3</c:v>
                </c:pt>
                <c:pt idx="1">
                  <c:v>4.7037215908127773E-3</c:v>
                </c:pt>
                <c:pt idx="2">
                  <c:v>4.8739100483999997E-3</c:v>
                </c:pt>
                <c:pt idx="3">
                  <c:v>6.4994936801690828E-3</c:v>
                </c:pt>
                <c:pt idx="4">
                  <c:v>8.4740506952116386E-3</c:v>
                </c:pt>
                <c:pt idx="5">
                  <c:v>6.1481288162029725E-3</c:v>
                </c:pt>
                <c:pt idx="6">
                  <c:v>6.4182549309938332E-3</c:v>
                </c:pt>
                <c:pt idx="7">
                  <c:v>6.6343986561823607E-3</c:v>
                </c:pt>
                <c:pt idx="8">
                  <c:v>1.1650757706558195E-2</c:v>
                </c:pt>
                <c:pt idx="9">
                  <c:v>1.1596284777420085E-2</c:v>
                </c:pt>
                <c:pt idx="10">
                  <c:v>4.4585244231818057E-3</c:v>
                </c:pt>
                <c:pt idx="11">
                  <c:v>4.1534782541860563E-3</c:v>
                </c:pt>
                <c:pt idx="12">
                  <c:v>5.5493375045581397E-3</c:v>
                </c:pt>
                <c:pt idx="13">
                  <c:v>1.0290860343348834E-2</c:v>
                </c:pt>
                <c:pt idx="14">
                  <c:v>1.0156131352829278E-2</c:v>
                </c:pt>
                <c:pt idx="15">
                  <c:v>1.5945311515278691E-2</c:v>
                </c:pt>
                <c:pt idx="16">
                  <c:v>1.4814492830074083E-2</c:v>
                </c:pt>
                <c:pt idx="17">
                  <c:v>1.2778960435317085E-2</c:v>
                </c:pt>
                <c:pt idx="18">
                  <c:v>1.1305455086602417E-2</c:v>
                </c:pt>
                <c:pt idx="19">
                  <c:v>7.6583954143902497E-3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9-4F8A-91E4-ADC9A9799A45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F_glob_p_ac1!$BR$3:$BR$22</c:f>
              <c:numCache>
                <c:formatCode>General</c:formatCode>
                <c:ptCount val="20"/>
                <c:pt idx="0">
                  <c:v>3.55688911819992E-3</c:v>
                </c:pt>
                <c:pt idx="2">
                  <c:v>5.3917948992359497E-3</c:v>
                </c:pt>
                <c:pt idx="3">
                  <c:v>6.3412820488564503E-3</c:v>
                </c:pt>
                <c:pt idx="4">
                  <c:v>9.3581290710886694E-3</c:v>
                </c:pt>
                <c:pt idx="5">
                  <c:v>7.0652173256260803E-3</c:v>
                </c:pt>
                <c:pt idx="6">
                  <c:v>7.7570072361555897E-3</c:v>
                </c:pt>
                <c:pt idx="8">
                  <c:v>1.2118828801263901E-2</c:v>
                </c:pt>
                <c:pt idx="9">
                  <c:v>1.30705472228083E-2</c:v>
                </c:pt>
                <c:pt idx="10">
                  <c:v>5.5503125941866096E-3</c:v>
                </c:pt>
                <c:pt idx="11">
                  <c:v>4.8061810172537597E-3</c:v>
                </c:pt>
                <c:pt idx="12">
                  <c:v>5.8007659708679098E-3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9-4F8A-91E4-ADC9A9799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14592"/>
        <c:axId val="274428672"/>
      </c:lineChart>
      <c:catAx>
        <c:axId val="27441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28672"/>
        <c:crosses val="autoZero"/>
        <c:auto val="1"/>
        <c:lblAlgn val="ctr"/>
        <c:lblOffset val="100"/>
        <c:noMultiLvlLbl val="0"/>
      </c:catAx>
      <c:valAx>
        <c:axId val="27442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41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RPM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Mix_Test!$R$3:$R$7</c:f>
              <c:numCache>
                <c:formatCode>General</c:formatCode>
                <c:ptCount val="5"/>
                <c:pt idx="1">
                  <c:v>798.91023827144102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E-421A-BF68-3345CA52611B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Mix_Test!$BI$3:$BI$7</c:f>
              <c:numCache>
                <c:formatCode>General</c:formatCode>
                <c:ptCount val="5"/>
                <c:pt idx="0">
                  <c:v>798.92468732667601</c:v>
                </c:pt>
                <c:pt idx="1">
                  <c:v>798.92912379611403</c:v>
                </c:pt>
                <c:pt idx="2">
                  <c:v>798.92016375677304</c:v>
                </c:pt>
                <c:pt idx="3">
                  <c:v>798.932509799228</c:v>
                </c:pt>
                <c:pt idx="4">
                  <c:v>798.91967972818099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E-421A-BF68-3345CA526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47040"/>
        <c:axId val="283048576"/>
      </c:lineChart>
      <c:catAx>
        <c:axId val="28304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48576"/>
        <c:crosses val="autoZero"/>
        <c:auto val="1"/>
        <c:lblAlgn val="ctr"/>
        <c:lblOffset val="100"/>
        <c:noMultiLvlLbl val="0"/>
      </c:catAx>
      <c:valAx>
        <c:axId val="28304857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04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Shaft</a:t>
            </a:r>
            <a:r>
              <a:rPr lang="nb-NO" baseline="0"/>
              <a:t> </a:t>
            </a:r>
            <a:r>
              <a:rPr lang="nb-NO"/>
              <a:t>Torque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Mix_Test!$T$3:$T$7</c:f>
              <c:numCache>
                <c:formatCode>General</c:formatCode>
                <c:ptCount val="5"/>
                <c:pt idx="1">
                  <c:v>548.65643980112395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8-4E4E-BCF9-B8959B4065CA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Mix_Test!$BJ$3:$BJ$7</c:f>
              <c:numCache>
                <c:formatCode>General</c:formatCode>
                <c:ptCount val="5"/>
                <c:pt idx="0">
                  <c:v>548.65735422673799</c:v>
                </c:pt>
                <c:pt idx="1">
                  <c:v>548.65735422673799</c:v>
                </c:pt>
                <c:pt idx="2">
                  <c:v>548.65735422673799</c:v>
                </c:pt>
                <c:pt idx="3">
                  <c:v>548.65735422673799</c:v>
                </c:pt>
                <c:pt idx="4">
                  <c:v>548.65735422673799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8-4E4E-BCF9-B8959B40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86848"/>
        <c:axId val="283088384"/>
      </c:lineChart>
      <c:catAx>
        <c:axId val="28308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83088384"/>
        <c:crosses val="autoZero"/>
        <c:auto val="1"/>
        <c:lblAlgn val="ctr"/>
        <c:lblOffset val="100"/>
        <c:noMultiLvlLbl val="0"/>
      </c:catAx>
      <c:valAx>
        <c:axId val="28308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086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41644794400689"/>
          <c:y val="0.67091243802857981"/>
          <c:w val="0.15169466316710412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BMEP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Mix_Test!$AV$3:$AV$7</c:f>
              <c:numCache>
                <c:formatCode>General</c:formatCode>
                <c:ptCount val="5"/>
                <c:pt idx="1">
                  <c:v>6.47938424784844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F-4EB5-A3A8-CA8FD0207D83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Mix_Test!$BN$3:$BN$7</c:f>
              <c:numCache>
                <c:formatCode>General</c:formatCode>
                <c:ptCount val="5"/>
                <c:pt idx="0">
                  <c:v>6.4793842478352346</c:v>
                </c:pt>
                <c:pt idx="1">
                  <c:v>6.479384247834771</c:v>
                </c:pt>
                <c:pt idx="2">
                  <c:v>6.4793842478348997</c:v>
                </c:pt>
                <c:pt idx="3">
                  <c:v>6.4793842478352905</c:v>
                </c:pt>
                <c:pt idx="4">
                  <c:v>6.4793842478352071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F-4EB5-A3A8-CA8FD0207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187840"/>
        <c:axId val="283189632"/>
      </c:lineChart>
      <c:catAx>
        <c:axId val="2831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189632"/>
        <c:crosses val="autoZero"/>
        <c:auto val="1"/>
        <c:lblAlgn val="ctr"/>
        <c:lblOffset val="100"/>
        <c:noMultiLvlLbl val="0"/>
      </c:catAx>
      <c:valAx>
        <c:axId val="28318963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187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623480453101254"/>
          <c:y val="0.2542457713619131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Air</a:t>
            </a:r>
            <a:r>
              <a:rPr lang="nb-NO" baseline="0"/>
              <a:t> flow</a:t>
            </a:r>
            <a:endParaRPr lang="nb-NO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Mix_Test!$AL$3:$AL$7</c:f>
              <c:numCache>
                <c:formatCode>General</c:formatCode>
                <c:ptCount val="5"/>
                <c:pt idx="1">
                  <c:v>0.154902739869792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F-4744-9A91-65EC1C34EF3A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Mix_Test!$BO$3:$BO$7</c:f>
              <c:numCache>
                <c:formatCode>General</c:formatCode>
                <c:ptCount val="5"/>
                <c:pt idx="0">
                  <c:v>7.5056116513533999E-2</c:v>
                </c:pt>
                <c:pt idx="1">
                  <c:v>7.5501553241951097E-2</c:v>
                </c:pt>
                <c:pt idx="2">
                  <c:v>7.5118963414108494E-2</c:v>
                </c:pt>
                <c:pt idx="3">
                  <c:v>7.6127230629187206E-2</c:v>
                </c:pt>
                <c:pt idx="4">
                  <c:v>7.5343658574622399E-2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F-4744-9A91-65EC1C34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23552"/>
        <c:axId val="283225088"/>
      </c:lineChart>
      <c:catAx>
        <c:axId val="2832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25088"/>
        <c:crosses val="autoZero"/>
        <c:auto val="1"/>
        <c:lblAlgn val="ctr"/>
        <c:lblOffset val="100"/>
        <c:noMultiLvlLbl val="0"/>
      </c:catAx>
      <c:valAx>
        <c:axId val="28322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223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01262284710152"/>
          <c:y val="1.6451444863858345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Mix_Test!$AO$3:$AO$7</c:f>
              <c:numCache>
                <c:formatCode>General</c:formatCode>
                <c:ptCount val="5"/>
                <c:pt idx="1">
                  <c:v>0.15767956125669599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7-45D3-89E4-FEC2DF14D8DD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Mix_Test!$BP$3:$BP$7</c:f>
              <c:numCache>
                <c:formatCode>General</c:formatCode>
                <c:ptCount val="5"/>
                <c:pt idx="0">
                  <c:v>7.7521170654903104E-2</c:v>
                </c:pt>
                <c:pt idx="1">
                  <c:v>7.7468125475425198E-2</c:v>
                </c:pt>
                <c:pt idx="2">
                  <c:v>7.7489063332789002E-2</c:v>
                </c:pt>
                <c:pt idx="3">
                  <c:v>7.7259817400916905E-2</c:v>
                </c:pt>
                <c:pt idx="4">
                  <c:v>7.7515545181231105E-2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7-45D3-89E4-FEC2DF14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242880"/>
        <c:axId val="283244416"/>
      </c:lineChart>
      <c:catAx>
        <c:axId val="2832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83244416"/>
        <c:crosses val="autoZero"/>
        <c:auto val="1"/>
        <c:lblAlgn val="ctr"/>
        <c:lblOffset val="100"/>
        <c:noMultiLvlLbl val="0"/>
      </c:catAx>
      <c:valAx>
        <c:axId val="28324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3242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fuel flow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Mix_Test!$AR$3:$AR$7</c:f>
              <c:numCache>
                <c:formatCode>General</c:formatCode>
                <c:ptCount val="5"/>
                <c:pt idx="1">
                  <c:v>2.7768213869041303E-3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2-4443-85AE-207AEB4FCCF6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Mix_Test!$BQ$3:$BQ$7</c:f>
              <c:numCache>
                <c:formatCode>General</c:formatCode>
                <c:ptCount val="5"/>
                <c:pt idx="0">
                  <c:v>3.53750342165104E-3</c:v>
                </c:pt>
                <c:pt idx="1">
                  <c:v>3.5209589308852398E-3</c:v>
                </c:pt>
                <c:pt idx="2">
                  <c:v>3.52885106506748E-3</c:v>
                </c:pt>
                <c:pt idx="3">
                  <c:v>3.5022021429015398E-3</c:v>
                </c:pt>
                <c:pt idx="4">
                  <c:v>3.5038316802076101E-3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2-4443-85AE-207AEB4F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39456"/>
        <c:axId val="286757632"/>
      </c:lineChart>
      <c:catAx>
        <c:axId val="28673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86757632"/>
        <c:crosses val="autoZero"/>
        <c:auto val="1"/>
        <c:lblAlgn val="ctr"/>
        <c:lblOffset val="100"/>
        <c:noMultiLvlLbl val="0"/>
      </c:catAx>
      <c:valAx>
        <c:axId val="28675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kg/s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73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Temperature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Mix_Test!$F$3:$F$7</c:f>
              <c:numCache>
                <c:formatCode>General</c:formatCode>
                <c:ptCount val="5"/>
                <c:pt idx="1">
                  <c:v>665.59542618346541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6-4439-AB97-0BCA4BBE2E46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Mix_Test!$BR$3:$BR$7</c:f>
              <c:numCache>
                <c:formatCode>General</c:formatCode>
                <c:ptCount val="5"/>
                <c:pt idx="0">
                  <c:v>587.37242754112697</c:v>
                </c:pt>
                <c:pt idx="1">
                  <c:v>587.89632348337398</c:v>
                </c:pt>
                <c:pt idx="2">
                  <c:v>587.93004442226299</c:v>
                </c:pt>
                <c:pt idx="3">
                  <c:v>588.91971424189001</c:v>
                </c:pt>
                <c:pt idx="4">
                  <c:v>588.93209877164395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6-4439-AB97-0BCA4BBE2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799744"/>
        <c:axId val="286801280"/>
      </c:lineChart>
      <c:catAx>
        <c:axId val="28679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01280"/>
        <c:crosses val="autoZero"/>
        <c:auto val="1"/>
        <c:lblAlgn val="ctr"/>
        <c:lblOffset val="100"/>
        <c:noMultiLvlLbl val="0"/>
      </c:catAx>
      <c:valAx>
        <c:axId val="286801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79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Mix_Test!$AJ$3:$AJ$7</c:f>
              <c:numCache>
                <c:formatCode>General</c:formatCode>
                <c:ptCount val="5"/>
                <c:pt idx="1">
                  <c:v>217.782691359193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8-4817-91C4-4887AD88018A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Mix_Test!$BT$3:$BT$7</c:f>
              <c:numCache>
                <c:formatCode>General</c:formatCode>
                <c:ptCount val="5"/>
                <c:pt idx="0">
                  <c:v>243.80598701807872</c:v>
                </c:pt>
                <c:pt idx="1">
                  <c:v>240.30868266546676</c:v>
                </c:pt>
                <c:pt idx="2">
                  <c:v>239.90078910502348</c:v>
                </c:pt>
                <c:pt idx="3">
                  <c:v>234.96000488188443</c:v>
                </c:pt>
                <c:pt idx="4">
                  <c:v>232.78447415786954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8-4817-91C4-4887AD880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27264"/>
        <c:axId val="286828800"/>
      </c:lineChart>
      <c:catAx>
        <c:axId val="28682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86828800"/>
        <c:crosses val="autoZero"/>
        <c:auto val="1"/>
        <c:lblAlgn val="ctr"/>
        <c:lblOffset val="100"/>
        <c:noMultiLvlLbl val="0"/>
      </c:catAx>
      <c:valAx>
        <c:axId val="286828800"/>
        <c:scaling>
          <c:orientation val="minMax"/>
          <c:max val="270"/>
          <c:min val="1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682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6207349081366"/>
          <c:y val="2.7100111949588782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SNOx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Mix_Test!$AK$3:$AK$7</c:f>
              <c:numCache>
                <c:formatCode>General</c:formatCode>
                <c:ptCount val="5"/>
                <c:pt idx="1">
                  <c:v>26.080648202178399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8-49BE-A72A-071E87F7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42880"/>
        <c:axId val="292444416"/>
      </c:lineChart>
      <c:lineChart>
        <c:grouping val="standard"/>
        <c:varyColors val="0"/>
        <c:ser>
          <c:idx val="1"/>
          <c:order val="1"/>
          <c:spPr>
            <a:ln>
              <a:prstDash val="sysDash"/>
            </a:ln>
          </c:spPr>
          <c:val>
            <c:numRef>
              <c:f>Mix_Test!$BU$3:$BU$7</c:f>
              <c:numCache>
                <c:formatCode>General</c:formatCode>
                <c:ptCount val="5"/>
                <c:pt idx="0">
                  <c:v>9.1435682310106898</c:v>
                </c:pt>
                <c:pt idx="1">
                  <c:v>9.8224634882857007</c:v>
                </c:pt>
                <c:pt idx="2">
                  <c:v>10.241004694624401</c:v>
                </c:pt>
                <c:pt idx="3">
                  <c:v>10.5083071416236</c:v>
                </c:pt>
                <c:pt idx="4">
                  <c:v>10.999649187567799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8-49BE-A72A-071E87F7A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52224"/>
        <c:axId val="292450688"/>
      </c:lineChart>
      <c:catAx>
        <c:axId val="29244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44416"/>
        <c:crosses val="autoZero"/>
        <c:auto val="1"/>
        <c:lblAlgn val="ctr"/>
        <c:lblOffset val="100"/>
        <c:noMultiLvlLbl val="0"/>
      </c:catAx>
      <c:valAx>
        <c:axId val="29244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442880"/>
        <c:crosses val="autoZero"/>
        <c:crossBetween val="between"/>
      </c:valAx>
      <c:valAx>
        <c:axId val="292450688"/>
        <c:scaling>
          <c:orientation val="minMax"/>
          <c:max val="11"/>
          <c:min val="6"/>
        </c:scaling>
        <c:delete val="0"/>
        <c:axPos val="r"/>
        <c:numFmt formatCode="General" sourceLinked="1"/>
        <c:majorTickMark val="out"/>
        <c:minorTickMark val="none"/>
        <c:tickLblPos val="nextTo"/>
        <c:crossAx val="292452224"/>
        <c:crosses val="max"/>
        <c:crossBetween val="between"/>
      </c:valAx>
      <c:catAx>
        <c:axId val="292452224"/>
        <c:scaling>
          <c:orientation val="minMax"/>
        </c:scaling>
        <c:delete val="1"/>
        <c:axPos val="b"/>
        <c:majorTickMark val="out"/>
        <c:minorTickMark val="none"/>
        <c:tickLblPos val="nextTo"/>
        <c:crossAx val="2924506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p_max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Mix_Test!$AU$3:$AU$7</c:f>
              <c:numCache>
                <c:formatCode>General</c:formatCode>
                <c:ptCount val="5"/>
                <c:pt idx="1">
                  <c:v>76.517399999999995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5-4FA4-8D11-4635C598DE12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Mix_Test!$BV$3:$BV$7</c:f>
              <c:numCache>
                <c:formatCode>General</c:formatCode>
                <c:ptCount val="5"/>
                <c:pt idx="0">
                  <c:v>90.163040601935194</c:v>
                </c:pt>
                <c:pt idx="1">
                  <c:v>89.872474692253689</c:v>
                </c:pt>
                <c:pt idx="2">
                  <c:v>90.038130745032007</c:v>
                </c:pt>
                <c:pt idx="3">
                  <c:v>89.775951804655008</c:v>
                </c:pt>
                <c:pt idx="4">
                  <c:v>89.770834799326693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5-4FA4-8D11-4635C598D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477568"/>
        <c:axId val="292479360"/>
      </c:lineChart>
      <c:catAx>
        <c:axId val="292477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92479360"/>
        <c:crosses val="autoZero"/>
        <c:auto val="1"/>
        <c:lblAlgn val="ctr"/>
        <c:lblOffset val="100"/>
        <c:noMultiLvlLbl val="0"/>
      </c:catAx>
      <c:valAx>
        <c:axId val="29247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2477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06777623522276"/>
          <c:y val="3.2476693101534337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Exhaust Temperature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F_glob_p_ac1!$F$3:$F$22</c:f>
              <c:numCache>
                <c:formatCode>General</c:formatCode>
                <c:ptCount val="20"/>
                <c:pt idx="0">
                  <c:v>665.59542618346541</c:v>
                </c:pt>
                <c:pt idx="1">
                  <c:v>855.85094985777141</c:v>
                </c:pt>
                <c:pt idx="2">
                  <c:v>670.42271067142292</c:v>
                </c:pt>
                <c:pt idx="3">
                  <c:v>687.37802482323991</c:v>
                </c:pt>
                <c:pt idx="4">
                  <c:v>766.41003787974</c:v>
                </c:pt>
                <c:pt idx="5">
                  <c:v>726.64025404411291</c:v>
                </c:pt>
                <c:pt idx="6">
                  <c:v>797.1200361346705</c:v>
                </c:pt>
                <c:pt idx="7">
                  <c:v>885.48087253382346</c:v>
                </c:pt>
                <c:pt idx="8">
                  <c:v>822.30553502447094</c:v>
                </c:pt>
                <c:pt idx="9">
                  <c:v>845.55082318990651</c:v>
                </c:pt>
                <c:pt idx="10">
                  <c:v>748.09560746590898</c:v>
                </c:pt>
                <c:pt idx="11">
                  <c:v>686.82732891279102</c:v>
                </c:pt>
                <c:pt idx="12">
                  <c:v>670.73610269186099</c:v>
                </c:pt>
                <c:pt idx="13">
                  <c:v>862.35416793604645</c:v>
                </c:pt>
                <c:pt idx="14">
                  <c:v>939.55700139634155</c:v>
                </c:pt>
                <c:pt idx="15">
                  <c:v>919.85650941803306</c:v>
                </c:pt>
                <c:pt idx="16">
                  <c:v>913.44030540740687</c:v>
                </c:pt>
                <c:pt idx="17">
                  <c:v>911.39857946341453</c:v>
                </c:pt>
                <c:pt idx="18">
                  <c:v>957.79768671084344</c:v>
                </c:pt>
                <c:pt idx="19">
                  <c:v>923.11566806707299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4-42B0-B446-75DC0BFA9AB2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F_glob_p_ac1!$BS$3:$BS$22</c:f>
              <c:numCache>
                <c:formatCode>General</c:formatCode>
                <c:ptCount val="20"/>
                <c:pt idx="0">
                  <c:v>586.61450664297399</c:v>
                </c:pt>
                <c:pt idx="2">
                  <c:v>613.35889934235399</c:v>
                </c:pt>
                <c:pt idx="3">
                  <c:v>604.79239647099303</c:v>
                </c:pt>
                <c:pt idx="4">
                  <c:v>684.31675211643903</c:v>
                </c:pt>
                <c:pt idx="5">
                  <c:v>657.09034677925195</c:v>
                </c:pt>
                <c:pt idx="6">
                  <c:v>677.70454380479202</c:v>
                </c:pt>
                <c:pt idx="8">
                  <c:v>705.10575358442304</c:v>
                </c:pt>
                <c:pt idx="9">
                  <c:v>739.62003221197199</c:v>
                </c:pt>
                <c:pt idx="10">
                  <c:v>635.84865538837596</c:v>
                </c:pt>
                <c:pt idx="11">
                  <c:v>605.39538795812905</c:v>
                </c:pt>
                <c:pt idx="12">
                  <c:v>594.04504579687102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4-42B0-B446-75DC0BFA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35456"/>
        <c:axId val="274449536"/>
      </c:lineChart>
      <c:catAx>
        <c:axId val="27443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74449536"/>
        <c:crosses val="autoZero"/>
        <c:auto val="1"/>
        <c:lblAlgn val="ctr"/>
        <c:lblOffset val="100"/>
        <c:noMultiLvlLbl val="0"/>
      </c:catAx>
      <c:valAx>
        <c:axId val="27444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43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206510493242289"/>
          <c:y val="0.15672992251110854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EnginePerfCurve!$A$2:$A$82</c:f>
              <c:numCache>
                <c:formatCode>General</c:formatCode>
                <c:ptCount val="8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</c:numCache>
            </c:numRef>
          </c:xVal>
          <c:yVal>
            <c:numRef>
              <c:f>EnginePerfCurve!$C$2:$C$82</c:f>
              <c:numCache>
                <c:formatCode>General</c:formatCode>
                <c:ptCount val="81"/>
                <c:pt idx="0">
                  <c:v>1640</c:v>
                </c:pt>
                <c:pt idx="1">
                  <c:v>1653.75</c:v>
                </c:pt>
                <c:pt idx="2">
                  <c:v>1667.5</c:v>
                </c:pt>
                <c:pt idx="3">
                  <c:v>1681.25</c:v>
                </c:pt>
                <c:pt idx="4">
                  <c:v>1695</c:v>
                </c:pt>
                <c:pt idx="5">
                  <c:v>1708.75</c:v>
                </c:pt>
                <c:pt idx="6">
                  <c:v>1722.5</c:v>
                </c:pt>
                <c:pt idx="7">
                  <c:v>1736.25</c:v>
                </c:pt>
                <c:pt idx="8">
                  <c:v>1750</c:v>
                </c:pt>
                <c:pt idx="9">
                  <c:v>1750</c:v>
                </c:pt>
                <c:pt idx="10">
                  <c:v>1750</c:v>
                </c:pt>
                <c:pt idx="11">
                  <c:v>1750</c:v>
                </c:pt>
                <c:pt idx="12">
                  <c:v>1750</c:v>
                </c:pt>
                <c:pt idx="13">
                  <c:v>1750</c:v>
                </c:pt>
                <c:pt idx="14">
                  <c:v>1750</c:v>
                </c:pt>
                <c:pt idx="15">
                  <c:v>1750</c:v>
                </c:pt>
                <c:pt idx="16">
                  <c:v>1750</c:v>
                </c:pt>
                <c:pt idx="17">
                  <c:v>1750</c:v>
                </c:pt>
                <c:pt idx="18">
                  <c:v>1750</c:v>
                </c:pt>
                <c:pt idx="19">
                  <c:v>1750</c:v>
                </c:pt>
                <c:pt idx="20">
                  <c:v>1750</c:v>
                </c:pt>
                <c:pt idx="21">
                  <c:v>1750</c:v>
                </c:pt>
                <c:pt idx="22">
                  <c:v>1750</c:v>
                </c:pt>
                <c:pt idx="23">
                  <c:v>1750</c:v>
                </c:pt>
                <c:pt idx="24">
                  <c:v>1750</c:v>
                </c:pt>
                <c:pt idx="25">
                  <c:v>1750</c:v>
                </c:pt>
                <c:pt idx="26">
                  <c:v>1750</c:v>
                </c:pt>
                <c:pt idx="27">
                  <c:v>1750</c:v>
                </c:pt>
                <c:pt idx="28">
                  <c:v>1750</c:v>
                </c:pt>
                <c:pt idx="29">
                  <c:v>1750</c:v>
                </c:pt>
                <c:pt idx="30">
                  <c:v>1750</c:v>
                </c:pt>
                <c:pt idx="31">
                  <c:v>1750</c:v>
                </c:pt>
                <c:pt idx="32">
                  <c:v>1750</c:v>
                </c:pt>
                <c:pt idx="33">
                  <c:v>1750</c:v>
                </c:pt>
                <c:pt idx="34">
                  <c:v>1750</c:v>
                </c:pt>
                <c:pt idx="35">
                  <c:v>1750</c:v>
                </c:pt>
                <c:pt idx="36">
                  <c:v>1750</c:v>
                </c:pt>
                <c:pt idx="37">
                  <c:v>1750</c:v>
                </c:pt>
                <c:pt idx="38">
                  <c:v>1750</c:v>
                </c:pt>
                <c:pt idx="39">
                  <c:v>1750</c:v>
                </c:pt>
                <c:pt idx="40">
                  <c:v>1750</c:v>
                </c:pt>
                <c:pt idx="41">
                  <c:v>1750</c:v>
                </c:pt>
                <c:pt idx="42">
                  <c:v>1750</c:v>
                </c:pt>
                <c:pt idx="43">
                  <c:v>1750</c:v>
                </c:pt>
                <c:pt idx="44">
                  <c:v>1750</c:v>
                </c:pt>
                <c:pt idx="45">
                  <c:v>1750</c:v>
                </c:pt>
                <c:pt idx="46">
                  <c:v>1750</c:v>
                </c:pt>
                <c:pt idx="47">
                  <c:v>1750</c:v>
                </c:pt>
                <c:pt idx="48">
                  <c:v>1750</c:v>
                </c:pt>
                <c:pt idx="49">
                  <c:v>1750</c:v>
                </c:pt>
                <c:pt idx="50">
                  <c:v>1750</c:v>
                </c:pt>
                <c:pt idx="51">
                  <c:v>1741.1666700000001</c:v>
                </c:pt>
                <c:pt idx="52">
                  <c:v>1732.3333400000001</c:v>
                </c:pt>
                <c:pt idx="53">
                  <c:v>1723.5000100000002</c:v>
                </c:pt>
                <c:pt idx="54">
                  <c:v>1714.6666800000003</c:v>
                </c:pt>
                <c:pt idx="55">
                  <c:v>1705.8333500000003</c:v>
                </c:pt>
                <c:pt idx="56">
                  <c:v>1697.0000200000004</c:v>
                </c:pt>
                <c:pt idx="57">
                  <c:v>1688.1666900000005</c:v>
                </c:pt>
                <c:pt idx="58">
                  <c:v>1679.3333600000005</c:v>
                </c:pt>
                <c:pt idx="59">
                  <c:v>1670.5000300000006</c:v>
                </c:pt>
                <c:pt idx="60">
                  <c:v>1661.6667000000007</c:v>
                </c:pt>
                <c:pt idx="61">
                  <c:v>1652.8333700000007</c:v>
                </c:pt>
                <c:pt idx="62">
                  <c:v>1644.0000400000008</c:v>
                </c:pt>
                <c:pt idx="63">
                  <c:v>1635.1667100000009</c:v>
                </c:pt>
                <c:pt idx="64">
                  <c:v>1626.3333800000009</c:v>
                </c:pt>
                <c:pt idx="65">
                  <c:v>1617.500050000001</c:v>
                </c:pt>
                <c:pt idx="66">
                  <c:v>1608.6667200000011</c:v>
                </c:pt>
                <c:pt idx="67">
                  <c:v>1599.8333900000011</c:v>
                </c:pt>
                <c:pt idx="68">
                  <c:v>1591.0000600000012</c:v>
                </c:pt>
                <c:pt idx="69">
                  <c:v>1582.1667300000013</c:v>
                </c:pt>
                <c:pt idx="70">
                  <c:v>1573.3334000000013</c:v>
                </c:pt>
                <c:pt idx="71">
                  <c:v>1564.5000700000014</c:v>
                </c:pt>
                <c:pt idx="72">
                  <c:v>1555.6667400000015</c:v>
                </c:pt>
                <c:pt idx="73">
                  <c:v>1546.8334100000015</c:v>
                </c:pt>
                <c:pt idx="74">
                  <c:v>1538.0000800000016</c:v>
                </c:pt>
                <c:pt idx="75">
                  <c:v>1529.1667500000017</c:v>
                </c:pt>
                <c:pt idx="76">
                  <c:v>1520.3334200000018</c:v>
                </c:pt>
                <c:pt idx="77">
                  <c:v>1511.5000900000018</c:v>
                </c:pt>
                <c:pt idx="78">
                  <c:v>1502.6667600000019</c:v>
                </c:pt>
                <c:pt idx="79">
                  <c:v>1493.833430000002</c:v>
                </c:pt>
                <c:pt idx="80">
                  <c:v>1485.000100000002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75-4863-8662-186DFDE2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16448"/>
        <c:axId val="292626432"/>
      </c:scatterChar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EnginePerfCurve!$A$2:$A$82</c:f>
              <c:numCache>
                <c:formatCode>General</c:formatCode>
                <c:ptCount val="8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</c:numCache>
            </c:numRef>
          </c:xVal>
          <c:yVal>
            <c:numRef>
              <c:f>EnginePerfCurve!$B$2:$B$82</c:f>
              <c:numCache>
                <c:formatCode>General</c:formatCode>
                <c:ptCount val="81"/>
                <c:pt idx="0">
                  <c:v>206</c:v>
                </c:pt>
                <c:pt idx="1">
                  <c:v>205.2</c:v>
                </c:pt>
                <c:pt idx="2">
                  <c:v>204.39999999999998</c:v>
                </c:pt>
                <c:pt idx="3">
                  <c:v>203.59999999999997</c:v>
                </c:pt>
                <c:pt idx="4">
                  <c:v>202.79999999999995</c:v>
                </c:pt>
                <c:pt idx="5">
                  <c:v>202</c:v>
                </c:pt>
                <c:pt idx="6">
                  <c:v>201.4</c:v>
                </c:pt>
                <c:pt idx="7">
                  <c:v>200.8</c:v>
                </c:pt>
                <c:pt idx="8">
                  <c:v>200.20000000000002</c:v>
                </c:pt>
                <c:pt idx="9">
                  <c:v>199.60000000000002</c:v>
                </c:pt>
                <c:pt idx="10">
                  <c:v>199</c:v>
                </c:pt>
                <c:pt idx="11">
                  <c:v>198.3</c:v>
                </c:pt>
                <c:pt idx="12">
                  <c:v>197.60000000000002</c:v>
                </c:pt>
                <c:pt idx="13">
                  <c:v>196.90000000000003</c:v>
                </c:pt>
                <c:pt idx="14">
                  <c:v>196.20000000000005</c:v>
                </c:pt>
                <c:pt idx="15">
                  <c:v>195.5</c:v>
                </c:pt>
                <c:pt idx="16">
                  <c:v>194.9</c:v>
                </c:pt>
                <c:pt idx="17">
                  <c:v>194.3</c:v>
                </c:pt>
                <c:pt idx="18">
                  <c:v>193.70000000000002</c:v>
                </c:pt>
                <c:pt idx="19">
                  <c:v>193.10000000000002</c:v>
                </c:pt>
                <c:pt idx="20">
                  <c:v>192.5</c:v>
                </c:pt>
                <c:pt idx="21">
                  <c:v>192.3</c:v>
                </c:pt>
                <c:pt idx="22">
                  <c:v>192.10000000000002</c:v>
                </c:pt>
                <c:pt idx="23">
                  <c:v>191.90000000000003</c:v>
                </c:pt>
                <c:pt idx="24">
                  <c:v>191.70000000000005</c:v>
                </c:pt>
                <c:pt idx="25">
                  <c:v>191.5</c:v>
                </c:pt>
                <c:pt idx="26">
                  <c:v>191.4</c:v>
                </c:pt>
                <c:pt idx="27">
                  <c:v>191.3</c:v>
                </c:pt>
                <c:pt idx="28">
                  <c:v>191.20000000000002</c:v>
                </c:pt>
                <c:pt idx="29">
                  <c:v>191.10000000000002</c:v>
                </c:pt>
                <c:pt idx="30">
                  <c:v>191</c:v>
                </c:pt>
                <c:pt idx="31">
                  <c:v>191</c:v>
                </c:pt>
                <c:pt idx="32">
                  <c:v>191</c:v>
                </c:pt>
                <c:pt idx="33">
                  <c:v>191</c:v>
                </c:pt>
                <c:pt idx="34">
                  <c:v>191</c:v>
                </c:pt>
                <c:pt idx="35">
                  <c:v>191</c:v>
                </c:pt>
                <c:pt idx="36">
                  <c:v>191.1</c:v>
                </c:pt>
                <c:pt idx="37">
                  <c:v>191.2</c:v>
                </c:pt>
                <c:pt idx="38">
                  <c:v>191.29999999999998</c:v>
                </c:pt>
                <c:pt idx="39">
                  <c:v>191.39999999999998</c:v>
                </c:pt>
                <c:pt idx="40">
                  <c:v>191.5</c:v>
                </c:pt>
                <c:pt idx="41">
                  <c:v>191.7</c:v>
                </c:pt>
                <c:pt idx="42">
                  <c:v>191.89999999999998</c:v>
                </c:pt>
                <c:pt idx="43">
                  <c:v>192.09999999999997</c:v>
                </c:pt>
                <c:pt idx="44">
                  <c:v>192.29999999999995</c:v>
                </c:pt>
                <c:pt idx="45">
                  <c:v>192.5</c:v>
                </c:pt>
                <c:pt idx="46">
                  <c:v>192.6</c:v>
                </c:pt>
                <c:pt idx="47">
                  <c:v>192.7</c:v>
                </c:pt>
                <c:pt idx="48">
                  <c:v>192.79999999999998</c:v>
                </c:pt>
                <c:pt idx="49">
                  <c:v>192.89999999999998</c:v>
                </c:pt>
                <c:pt idx="50">
                  <c:v>193</c:v>
                </c:pt>
                <c:pt idx="51">
                  <c:v>193.06</c:v>
                </c:pt>
                <c:pt idx="52">
                  <c:v>193.12</c:v>
                </c:pt>
                <c:pt idx="53">
                  <c:v>193.18</c:v>
                </c:pt>
                <c:pt idx="54">
                  <c:v>193.24</c:v>
                </c:pt>
                <c:pt idx="55">
                  <c:v>193.3</c:v>
                </c:pt>
                <c:pt idx="56">
                  <c:v>193.34</c:v>
                </c:pt>
                <c:pt idx="57">
                  <c:v>193.38</c:v>
                </c:pt>
                <c:pt idx="58">
                  <c:v>193.42</c:v>
                </c:pt>
                <c:pt idx="59">
                  <c:v>193.45999999999998</c:v>
                </c:pt>
                <c:pt idx="60">
                  <c:v>193.5</c:v>
                </c:pt>
                <c:pt idx="61">
                  <c:v>193.64</c:v>
                </c:pt>
                <c:pt idx="62">
                  <c:v>193.77999999999997</c:v>
                </c:pt>
                <c:pt idx="63">
                  <c:v>193.91999999999996</c:v>
                </c:pt>
                <c:pt idx="64">
                  <c:v>194.05999999999995</c:v>
                </c:pt>
                <c:pt idx="65">
                  <c:v>194.2</c:v>
                </c:pt>
                <c:pt idx="66">
                  <c:v>194.29999999999998</c:v>
                </c:pt>
                <c:pt idx="67">
                  <c:v>194.39999999999998</c:v>
                </c:pt>
                <c:pt idx="68">
                  <c:v>194.49999999999997</c:v>
                </c:pt>
                <c:pt idx="69">
                  <c:v>194.59999999999997</c:v>
                </c:pt>
                <c:pt idx="70">
                  <c:v>194.7</c:v>
                </c:pt>
                <c:pt idx="71">
                  <c:v>195.16</c:v>
                </c:pt>
                <c:pt idx="72">
                  <c:v>195.62</c:v>
                </c:pt>
                <c:pt idx="73">
                  <c:v>196.08</c:v>
                </c:pt>
                <c:pt idx="74">
                  <c:v>196.54000000000002</c:v>
                </c:pt>
                <c:pt idx="75">
                  <c:v>197</c:v>
                </c:pt>
                <c:pt idx="76">
                  <c:v>197.7</c:v>
                </c:pt>
                <c:pt idx="77">
                  <c:v>198.39999999999998</c:v>
                </c:pt>
                <c:pt idx="78">
                  <c:v>199.09999999999997</c:v>
                </c:pt>
                <c:pt idx="79">
                  <c:v>199.79999999999995</c:v>
                </c:pt>
                <c:pt idx="80">
                  <c:v>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75-4863-8662-186DFDE2B9DF}"/>
            </c:ext>
          </c:extLst>
        </c:ser>
        <c:ser>
          <c:idx val="2"/>
          <c:order val="2"/>
          <c:marker>
            <c:symbol val="none"/>
          </c:marker>
          <c:xVal>
            <c:numRef>
              <c:f>EnginePerfCurve!$A$2:$A$82</c:f>
              <c:numCache>
                <c:formatCode>General</c:formatCode>
                <c:ptCount val="8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</c:numCache>
            </c:numRef>
          </c:xVal>
          <c:yVal>
            <c:numRef>
              <c:f>EnginePerfCurve!$D$2:$D$82</c:f>
              <c:numCache>
                <c:formatCode>General</c:formatCode>
                <c:ptCount val="81"/>
                <c:pt idx="0">
                  <c:v>171.740398396242</c:v>
                </c:pt>
                <c:pt idx="1">
                  <c:v>174.91209797942872</c:v>
                </c:pt>
                <c:pt idx="2">
                  <c:v>178.11259549527333</c:v>
                </c:pt>
                <c:pt idx="3">
                  <c:v>181.34189094377584</c:v>
                </c:pt>
                <c:pt idx="4">
                  <c:v>184.59998432493623</c:v>
                </c:pt>
                <c:pt idx="5">
                  <c:v>187.88687563875456</c:v>
                </c:pt>
                <c:pt idx="6">
                  <c:v>191.2025648852308</c:v>
                </c:pt>
                <c:pt idx="7">
                  <c:v>194.54705206436492</c:v>
                </c:pt>
                <c:pt idx="8">
                  <c:v>197.92033717615695</c:v>
                </c:pt>
                <c:pt idx="9">
                  <c:v>199.75293289075103</c:v>
                </c:pt>
                <c:pt idx="10">
                  <c:v>201.58552860534505</c:v>
                </c:pt>
                <c:pt idx="11">
                  <c:v>203.41812431993912</c:v>
                </c:pt>
                <c:pt idx="12">
                  <c:v>205.25072003453315</c:v>
                </c:pt>
                <c:pt idx="13">
                  <c:v>207.08331574912722</c:v>
                </c:pt>
                <c:pt idx="14">
                  <c:v>208.91591146372124</c:v>
                </c:pt>
                <c:pt idx="15">
                  <c:v>210.74850717831529</c:v>
                </c:pt>
                <c:pt idx="16">
                  <c:v>212.58110289290934</c:v>
                </c:pt>
                <c:pt idx="17">
                  <c:v>214.41369860750339</c:v>
                </c:pt>
                <c:pt idx="18">
                  <c:v>216.24629432209741</c:v>
                </c:pt>
                <c:pt idx="19">
                  <c:v>218.07889003669146</c:v>
                </c:pt>
                <c:pt idx="20">
                  <c:v>219.91148575128551</c:v>
                </c:pt>
                <c:pt idx="21">
                  <c:v>221.74408146587953</c:v>
                </c:pt>
                <c:pt idx="22">
                  <c:v>223.57667718047364</c:v>
                </c:pt>
                <c:pt idx="23">
                  <c:v>225.40927289506766</c:v>
                </c:pt>
                <c:pt idx="24">
                  <c:v>227.24186860966168</c:v>
                </c:pt>
                <c:pt idx="25">
                  <c:v>229.07446432425576</c:v>
                </c:pt>
                <c:pt idx="26">
                  <c:v>230.90706003884981</c:v>
                </c:pt>
                <c:pt idx="27">
                  <c:v>232.73965575344383</c:v>
                </c:pt>
                <c:pt idx="28">
                  <c:v>234.5722514680379</c:v>
                </c:pt>
                <c:pt idx="29">
                  <c:v>236.40484718263193</c:v>
                </c:pt>
                <c:pt idx="30">
                  <c:v>238.23744289722598</c:v>
                </c:pt>
                <c:pt idx="31">
                  <c:v>240.07003861182002</c:v>
                </c:pt>
                <c:pt idx="32">
                  <c:v>241.90263432641407</c:v>
                </c:pt>
                <c:pt idx="33">
                  <c:v>243.73523004100809</c:v>
                </c:pt>
                <c:pt idx="34">
                  <c:v>245.56782575560217</c:v>
                </c:pt>
                <c:pt idx="35">
                  <c:v>247.40042147019622</c:v>
                </c:pt>
                <c:pt idx="36">
                  <c:v>249.23301718479024</c:v>
                </c:pt>
                <c:pt idx="37">
                  <c:v>251.06561289938432</c:v>
                </c:pt>
                <c:pt idx="38">
                  <c:v>252.89820861397834</c:v>
                </c:pt>
                <c:pt idx="39">
                  <c:v>254.73080432857239</c:v>
                </c:pt>
                <c:pt idx="40">
                  <c:v>256.56340004316644</c:v>
                </c:pt>
                <c:pt idx="41">
                  <c:v>258.39599575776049</c:v>
                </c:pt>
                <c:pt idx="42">
                  <c:v>260.22859147235454</c:v>
                </c:pt>
                <c:pt idx="43">
                  <c:v>262.06118718694859</c:v>
                </c:pt>
                <c:pt idx="44">
                  <c:v>263.89378290154264</c:v>
                </c:pt>
                <c:pt idx="45">
                  <c:v>265.72637861613669</c:v>
                </c:pt>
                <c:pt idx="46">
                  <c:v>267.55897433073073</c:v>
                </c:pt>
                <c:pt idx="47">
                  <c:v>269.39157004532473</c:v>
                </c:pt>
                <c:pt idx="48">
                  <c:v>271.22416575991878</c:v>
                </c:pt>
                <c:pt idx="49">
                  <c:v>273.05676147451288</c:v>
                </c:pt>
                <c:pt idx="50">
                  <c:v>274.88935718910687</c:v>
                </c:pt>
                <c:pt idx="51">
                  <c:v>275.32516643041936</c:v>
                </c:pt>
                <c:pt idx="52">
                  <c:v>275.74247518864195</c:v>
                </c:pt>
                <c:pt idx="53">
                  <c:v>276.14128346377464</c:v>
                </c:pt>
                <c:pt idx="54">
                  <c:v>276.52159125581767</c:v>
                </c:pt>
                <c:pt idx="55">
                  <c:v>276.8833985647708</c:v>
                </c:pt>
                <c:pt idx="56">
                  <c:v>277.22670539063415</c:v>
                </c:pt>
                <c:pt idx="57">
                  <c:v>277.55151173340761</c:v>
                </c:pt>
                <c:pt idx="58">
                  <c:v>277.85781759309134</c:v>
                </c:pt>
                <c:pt idx="59">
                  <c:v>278.14562296968512</c:v>
                </c:pt>
                <c:pt idx="60">
                  <c:v>278.41492786318912</c:v>
                </c:pt>
                <c:pt idx="61">
                  <c:v>278.6657322736034</c:v>
                </c:pt>
                <c:pt idx="62">
                  <c:v>278.89803620092772</c:v>
                </c:pt>
                <c:pt idx="63">
                  <c:v>279.11183964516226</c:v>
                </c:pt>
                <c:pt idx="64">
                  <c:v>279.30714260630708</c:v>
                </c:pt>
                <c:pt idx="65">
                  <c:v>279.48394508436195</c:v>
                </c:pt>
                <c:pt idx="66">
                  <c:v>279.64224707932703</c:v>
                </c:pt>
                <c:pt idx="67">
                  <c:v>279.78204859120228</c:v>
                </c:pt>
                <c:pt idx="68">
                  <c:v>279.90334961998769</c:v>
                </c:pt>
                <c:pt idx="69">
                  <c:v>280.00615016568338</c:v>
                </c:pt>
                <c:pt idx="70">
                  <c:v>280.09045022828917</c:v>
                </c:pt>
                <c:pt idx="71">
                  <c:v>280.15624980780512</c:v>
                </c:pt>
                <c:pt idx="72">
                  <c:v>280.2035489042313</c:v>
                </c:pt>
                <c:pt idx="73">
                  <c:v>280.23234751756763</c:v>
                </c:pt>
                <c:pt idx="74">
                  <c:v>280.24264564781413</c:v>
                </c:pt>
                <c:pt idx="75">
                  <c:v>280.23444329497079</c:v>
                </c:pt>
                <c:pt idx="76">
                  <c:v>280.20774045903767</c:v>
                </c:pt>
                <c:pt idx="77">
                  <c:v>280.16253714001471</c:v>
                </c:pt>
                <c:pt idx="78">
                  <c:v>280.09883333790191</c:v>
                </c:pt>
                <c:pt idx="79">
                  <c:v>280.01662905269933</c:v>
                </c:pt>
                <c:pt idx="80">
                  <c:v>279.9159242844068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75-4863-8662-186DFDE2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29504"/>
        <c:axId val="292627968"/>
      </c:scatterChart>
      <c:valAx>
        <c:axId val="292616448"/>
        <c:scaling>
          <c:orientation val="minMax"/>
          <c:max val="2100"/>
          <c:min val="9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92626432"/>
        <c:crosses val="autoZero"/>
        <c:crossBetween val="midCat"/>
        <c:majorUnit val="100"/>
        <c:minorUnit val="50"/>
      </c:valAx>
      <c:valAx>
        <c:axId val="292626432"/>
        <c:scaling>
          <c:orientation val="minMax"/>
          <c:max val="1900"/>
          <c:min val="13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92616448"/>
        <c:crosses val="autoZero"/>
        <c:crossBetween val="midCat"/>
        <c:majorUnit val="100"/>
        <c:minorUnit val="20"/>
      </c:valAx>
      <c:valAx>
        <c:axId val="292627968"/>
        <c:scaling>
          <c:orientation val="minMax"/>
          <c:max val="310"/>
          <c:min val="160"/>
        </c:scaling>
        <c:delete val="0"/>
        <c:axPos val="r"/>
        <c:numFmt formatCode="General" sourceLinked="1"/>
        <c:majorTickMark val="out"/>
        <c:minorTickMark val="none"/>
        <c:tickLblPos val="nextTo"/>
        <c:crossAx val="292629504"/>
        <c:crosses val="max"/>
        <c:crossBetween val="midCat"/>
        <c:majorUnit val="10"/>
        <c:minorUnit val="5"/>
      </c:valAx>
      <c:valAx>
        <c:axId val="2926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627968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EnginePerfCurve!$A$2:$A$82</c:f>
              <c:numCache>
                <c:formatCode>General</c:formatCode>
                <c:ptCount val="81"/>
                <c:pt idx="0">
                  <c:v>1000</c:v>
                </c:pt>
                <c:pt idx="1">
                  <c:v>1010</c:v>
                </c:pt>
                <c:pt idx="2">
                  <c:v>1020</c:v>
                </c:pt>
                <c:pt idx="3">
                  <c:v>1030</c:v>
                </c:pt>
                <c:pt idx="4">
                  <c:v>1040</c:v>
                </c:pt>
                <c:pt idx="5">
                  <c:v>1050</c:v>
                </c:pt>
                <c:pt idx="6">
                  <c:v>1060</c:v>
                </c:pt>
                <c:pt idx="7">
                  <c:v>1070</c:v>
                </c:pt>
                <c:pt idx="8">
                  <c:v>1080</c:v>
                </c:pt>
                <c:pt idx="9">
                  <c:v>1090</c:v>
                </c:pt>
                <c:pt idx="10">
                  <c:v>1100</c:v>
                </c:pt>
                <c:pt idx="11">
                  <c:v>1110</c:v>
                </c:pt>
                <c:pt idx="12">
                  <c:v>1120</c:v>
                </c:pt>
                <c:pt idx="13">
                  <c:v>1130</c:v>
                </c:pt>
                <c:pt idx="14">
                  <c:v>1140</c:v>
                </c:pt>
                <c:pt idx="15">
                  <c:v>1150</c:v>
                </c:pt>
                <c:pt idx="16">
                  <c:v>1160</c:v>
                </c:pt>
                <c:pt idx="17">
                  <c:v>1170</c:v>
                </c:pt>
                <c:pt idx="18">
                  <c:v>1180</c:v>
                </c:pt>
                <c:pt idx="19">
                  <c:v>1190</c:v>
                </c:pt>
                <c:pt idx="20">
                  <c:v>1200</c:v>
                </c:pt>
                <c:pt idx="21">
                  <c:v>1210</c:v>
                </c:pt>
                <c:pt idx="22">
                  <c:v>1220</c:v>
                </c:pt>
                <c:pt idx="23">
                  <c:v>1230</c:v>
                </c:pt>
                <c:pt idx="24">
                  <c:v>1240</c:v>
                </c:pt>
                <c:pt idx="25">
                  <c:v>1250</c:v>
                </c:pt>
                <c:pt idx="26">
                  <c:v>1260</c:v>
                </c:pt>
                <c:pt idx="27">
                  <c:v>1270</c:v>
                </c:pt>
                <c:pt idx="28">
                  <c:v>1280</c:v>
                </c:pt>
                <c:pt idx="29">
                  <c:v>1290</c:v>
                </c:pt>
                <c:pt idx="30">
                  <c:v>1300</c:v>
                </c:pt>
                <c:pt idx="31">
                  <c:v>1310</c:v>
                </c:pt>
                <c:pt idx="32">
                  <c:v>1320</c:v>
                </c:pt>
                <c:pt idx="33">
                  <c:v>1330</c:v>
                </c:pt>
                <c:pt idx="34">
                  <c:v>1340</c:v>
                </c:pt>
                <c:pt idx="35">
                  <c:v>1350</c:v>
                </c:pt>
                <c:pt idx="36">
                  <c:v>1360</c:v>
                </c:pt>
                <c:pt idx="37">
                  <c:v>1370</c:v>
                </c:pt>
                <c:pt idx="38">
                  <c:v>1380</c:v>
                </c:pt>
                <c:pt idx="39">
                  <c:v>1390</c:v>
                </c:pt>
                <c:pt idx="40">
                  <c:v>1400</c:v>
                </c:pt>
                <c:pt idx="41">
                  <c:v>1410</c:v>
                </c:pt>
                <c:pt idx="42">
                  <c:v>1420</c:v>
                </c:pt>
                <c:pt idx="43">
                  <c:v>1430</c:v>
                </c:pt>
                <c:pt idx="44">
                  <c:v>1440</c:v>
                </c:pt>
                <c:pt idx="45">
                  <c:v>1450</c:v>
                </c:pt>
                <c:pt idx="46">
                  <c:v>1460</c:v>
                </c:pt>
                <c:pt idx="47">
                  <c:v>1470</c:v>
                </c:pt>
                <c:pt idx="48">
                  <c:v>1480</c:v>
                </c:pt>
                <c:pt idx="49">
                  <c:v>1490</c:v>
                </c:pt>
                <c:pt idx="50">
                  <c:v>1500</c:v>
                </c:pt>
                <c:pt idx="51">
                  <c:v>1510</c:v>
                </c:pt>
                <c:pt idx="52">
                  <c:v>1520</c:v>
                </c:pt>
                <c:pt idx="53">
                  <c:v>1530</c:v>
                </c:pt>
                <c:pt idx="54">
                  <c:v>1540</c:v>
                </c:pt>
                <c:pt idx="55">
                  <c:v>1550</c:v>
                </c:pt>
                <c:pt idx="56">
                  <c:v>1560</c:v>
                </c:pt>
                <c:pt idx="57">
                  <c:v>1570</c:v>
                </c:pt>
                <c:pt idx="58">
                  <c:v>1580</c:v>
                </c:pt>
                <c:pt idx="59">
                  <c:v>1590</c:v>
                </c:pt>
                <c:pt idx="60">
                  <c:v>1600</c:v>
                </c:pt>
                <c:pt idx="61">
                  <c:v>1610</c:v>
                </c:pt>
                <c:pt idx="62">
                  <c:v>1620</c:v>
                </c:pt>
                <c:pt idx="63">
                  <c:v>1630</c:v>
                </c:pt>
                <c:pt idx="64">
                  <c:v>1640</c:v>
                </c:pt>
                <c:pt idx="65">
                  <c:v>1650</c:v>
                </c:pt>
                <c:pt idx="66">
                  <c:v>1660</c:v>
                </c:pt>
                <c:pt idx="67">
                  <c:v>1670</c:v>
                </c:pt>
                <c:pt idx="68">
                  <c:v>1680</c:v>
                </c:pt>
                <c:pt idx="69">
                  <c:v>1690</c:v>
                </c:pt>
                <c:pt idx="70">
                  <c:v>1700</c:v>
                </c:pt>
                <c:pt idx="71">
                  <c:v>1710</c:v>
                </c:pt>
                <c:pt idx="72">
                  <c:v>1720</c:v>
                </c:pt>
                <c:pt idx="73">
                  <c:v>1730</c:v>
                </c:pt>
                <c:pt idx="74">
                  <c:v>1740</c:v>
                </c:pt>
                <c:pt idx="75">
                  <c:v>1750</c:v>
                </c:pt>
                <c:pt idx="76">
                  <c:v>1760</c:v>
                </c:pt>
                <c:pt idx="77">
                  <c:v>1770</c:v>
                </c:pt>
                <c:pt idx="78">
                  <c:v>1780</c:v>
                </c:pt>
                <c:pt idx="79">
                  <c:v>1790</c:v>
                </c:pt>
                <c:pt idx="80">
                  <c:v>1800</c:v>
                </c:pt>
              </c:numCache>
            </c:numRef>
          </c:xVal>
          <c:yVal>
            <c:numRef>
              <c:f>EnginePerfCurve!$G$2:$G$82</c:f>
              <c:numCache>
                <c:formatCode>General</c:formatCode>
                <c:ptCount val="81"/>
                <c:pt idx="0">
                  <c:v>0.19654734483125472</c:v>
                </c:pt>
                <c:pt idx="1">
                  <c:v>0.19742553633321661</c:v>
                </c:pt>
                <c:pt idx="2">
                  <c:v>0.19829092875399709</c:v>
                </c:pt>
                <c:pt idx="3">
                  <c:v>0.19914352209359631</c:v>
                </c:pt>
                <c:pt idx="4">
                  <c:v>0.19998331635201422</c:v>
                </c:pt>
                <c:pt idx="5">
                  <c:v>0.20081031152925091</c:v>
                </c:pt>
                <c:pt idx="6">
                  <c:v>0.20182492960107695</c:v>
                </c:pt>
                <c:pt idx="7">
                  <c:v>0.20282994836201704</c:v>
                </c:pt>
                <c:pt idx="8">
                  <c:v>0.20382536781207111</c:v>
                </c:pt>
                <c:pt idx="9">
                  <c:v>0.20321450257387308</c:v>
                </c:pt>
                <c:pt idx="10">
                  <c:v>0.2026036373356751</c:v>
                </c:pt>
                <c:pt idx="11">
                  <c:v>0.20189096122444411</c:v>
                </c:pt>
                <c:pt idx="12">
                  <c:v>0.20117828511321309</c:v>
                </c:pt>
                <c:pt idx="13">
                  <c:v>0.2004656090019821</c:v>
                </c:pt>
                <c:pt idx="14">
                  <c:v>0.19975293289075108</c:v>
                </c:pt>
                <c:pt idx="15">
                  <c:v>0.19904025677952</c:v>
                </c:pt>
                <c:pt idx="16">
                  <c:v>0.198429391541322</c:v>
                </c:pt>
                <c:pt idx="17">
                  <c:v>0.19781852630312402</c:v>
                </c:pt>
                <c:pt idx="18">
                  <c:v>0.19720766106492593</c:v>
                </c:pt>
                <c:pt idx="19">
                  <c:v>0.19659679582672795</c:v>
                </c:pt>
                <c:pt idx="20">
                  <c:v>0.19598593058852992</c:v>
                </c:pt>
                <c:pt idx="21">
                  <c:v>0.19578230884246386</c:v>
                </c:pt>
                <c:pt idx="22">
                  <c:v>0.19557868709639795</c:v>
                </c:pt>
                <c:pt idx="23">
                  <c:v>0.19537506535033192</c:v>
                </c:pt>
                <c:pt idx="24">
                  <c:v>0.19517144360426594</c:v>
                </c:pt>
                <c:pt idx="25">
                  <c:v>0.19496782185819991</c:v>
                </c:pt>
                <c:pt idx="26">
                  <c:v>0.1948660109851669</c:v>
                </c:pt>
                <c:pt idx="27">
                  <c:v>0.19476420011213386</c:v>
                </c:pt>
                <c:pt idx="28">
                  <c:v>0.19466238923910092</c:v>
                </c:pt>
                <c:pt idx="29">
                  <c:v>0.19456057836606788</c:v>
                </c:pt>
                <c:pt idx="30">
                  <c:v>0.19445876749303487</c:v>
                </c:pt>
                <c:pt idx="31">
                  <c:v>0.19445876749303492</c:v>
                </c:pt>
                <c:pt idx="32">
                  <c:v>0.19445876749303484</c:v>
                </c:pt>
                <c:pt idx="33">
                  <c:v>0.19445876749303484</c:v>
                </c:pt>
                <c:pt idx="34">
                  <c:v>0.1944587674930349</c:v>
                </c:pt>
                <c:pt idx="35">
                  <c:v>0.1944587674930349</c:v>
                </c:pt>
                <c:pt idx="36">
                  <c:v>0.19456057836606785</c:v>
                </c:pt>
                <c:pt idx="37">
                  <c:v>0.19466238923910092</c:v>
                </c:pt>
                <c:pt idx="38">
                  <c:v>0.19476420011213386</c:v>
                </c:pt>
                <c:pt idx="39">
                  <c:v>0.19486601098516682</c:v>
                </c:pt>
                <c:pt idx="40">
                  <c:v>0.19496782185819989</c:v>
                </c:pt>
                <c:pt idx="41">
                  <c:v>0.19517144360426589</c:v>
                </c:pt>
                <c:pt idx="42">
                  <c:v>0.19537506535033189</c:v>
                </c:pt>
                <c:pt idx="43">
                  <c:v>0.19557868709639792</c:v>
                </c:pt>
                <c:pt idx="44">
                  <c:v>0.19578230884246386</c:v>
                </c:pt>
                <c:pt idx="45">
                  <c:v>0.19598593058852992</c:v>
                </c:pt>
                <c:pt idx="46">
                  <c:v>0.19608774146156294</c:v>
                </c:pt>
                <c:pt idx="47">
                  <c:v>0.19618955233459587</c:v>
                </c:pt>
                <c:pt idx="48">
                  <c:v>0.19629136320762888</c:v>
                </c:pt>
                <c:pt idx="49">
                  <c:v>0.19639317408066195</c:v>
                </c:pt>
                <c:pt idx="50">
                  <c:v>0.19649498495369488</c:v>
                </c:pt>
                <c:pt idx="51">
                  <c:v>0.1955639316815922</c:v>
                </c:pt>
                <c:pt idx="52">
                  <c:v>0.1946322617267198</c:v>
                </c:pt>
                <c:pt idx="53">
                  <c:v>0.19369997508907766</c:v>
                </c:pt>
                <c:pt idx="54">
                  <c:v>0.19276707176866595</c:v>
                </c:pt>
                <c:pt idx="55">
                  <c:v>0.19183355176548461</c:v>
                </c:pt>
                <c:pt idx="56">
                  <c:v>0.19087966958769662</c:v>
                </c:pt>
                <c:pt idx="57">
                  <c:v>0.18992537628806216</c:v>
                </c:pt>
                <c:pt idx="58">
                  <c:v>0.18897067186658131</c:v>
                </c:pt>
                <c:pt idx="59">
                  <c:v>0.18801555632325395</c:v>
                </c:pt>
                <c:pt idx="60">
                  <c:v>0.18706002965808019</c:v>
                </c:pt>
                <c:pt idx="61">
                  <c:v>0.18620024981870451</c:v>
                </c:pt>
                <c:pt idx="62">
                  <c:v>0.18533903105286614</c:v>
                </c:pt>
                <c:pt idx="63">
                  <c:v>0.18447637336056527</c:v>
                </c:pt>
                <c:pt idx="64">
                  <c:v>0.18361227674180194</c:v>
                </c:pt>
                <c:pt idx="65">
                  <c:v>0.18274674119657602</c:v>
                </c:pt>
                <c:pt idx="66">
                  <c:v>0.18184233135044592</c:v>
                </c:pt>
                <c:pt idx="67">
                  <c:v>0.18093689369969967</c:v>
                </c:pt>
                <c:pt idx="68">
                  <c:v>0.18003042824433729</c:v>
                </c:pt>
                <c:pt idx="69">
                  <c:v>0.17912293498435888</c:v>
                </c:pt>
                <c:pt idx="70">
                  <c:v>0.17821441391976439</c:v>
                </c:pt>
                <c:pt idx="71">
                  <c:v>0.17763253317898392</c:v>
                </c:pt>
                <c:pt idx="72">
                  <c:v>0.17704592453696938</c:v>
                </c:pt>
                <c:pt idx="73">
                  <c:v>0.17645458799372082</c:v>
                </c:pt>
                <c:pt idx="74">
                  <c:v>0.17585852354923817</c:v>
                </c:pt>
                <c:pt idx="75">
                  <c:v>0.17525773120352142</c:v>
                </c:pt>
                <c:pt idx="76">
                  <c:v>0.17486448954782746</c:v>
                </c:pt>
                <c:pt idx="77">
                  <c:v>0.17446405325982078</c:v>
                </c:pt>
                <c:pt idx="78">
                  <c:v>0.17405642233950144</c:v>
                </c:pt>
                <c:pt idx="79">
                  <c:v>0.17364159678686938</c:v>
                </c:pt>
                <c:pt idx="80">
                  <c:v>0.17321957660192455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6-4515-BEC1-705B13DFC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54464"/>
        <c:axId val="292656256"/>
      </c:scatterChart>
      <c:valAx>
        <c:axId val="2926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656256"/>
        <c:crosses val="autoZero"/>
        <c:crossBetween val="midCat"/>
      </c:valAx>
      <c:valAx>
        <c:axId val="2926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65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x"/>
            <c:size val="5"/>
          </c:marker>
          <c:xVal>
            <c:numRef>
              <c:f>'Ventury Flowmeter'!$A$1:$A$9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'Ventury Flowmeter'!$B$1:$B$9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43</c:v>
                </c:pt>
                <c:pt idx="3">
                  <c:v>100</c:v>
                </c:pt>
                <c:pt idx="4">
                  <c:v>178</c:v>
                </c:pt>
                <c:pt idx="5">
                  <c:v>280</c:v>
                </c:pt>
                <c:pt idx="6">
                  <c:v>400</c:v>
                </c:pt>
                <c:pt idx="7">
                  <c:v>533</c:v>
                </c:pt>
                <c:pt idx="8">
                  <c:v>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3E-4402-9BC8-59CB1BBAB910}"/>
            </c:ext>
          </c:extLst>
        </c:ser>
        <c:ser>
          <c:idx val="1"/>
          <c:order val="1"/>
          <c:spPr>
            <a:ln w="22225">
              <a:prstDash val="dash"/>
            </a:ln>
          </c:spPr>
          <c:marker>
            <c:symbol val="x"/>
            <c:size val="5"/>
          </c:marker>
          <c:xVal>
            <c:numRef>
              <c:f>'Ventury Flowmeter'!$C$1:$C$9</c:f>
              <c:numCache>
                <c:formatCode>General</c:formatCode>
                <c:ptCount val="9"/>
                <c:pt idx="0">
                  <c:v>0</c:v>
                </c:pt>
                <c:pt idx="1">
                  <c:v>9.9386611118430376E-2</c:v>
                </c:pt>
                <c:pt idx="2">
                  <c:v>0.20016712017203245</c:v>
                </c:pt>
                <c:pt idx="3">
                  <c:v>0.30014276723202993</c:v>
                </c:pt>
                <c:pt idx="4">
                  <c:v>0.39777958558712678</c:v>
                </c:pt>
                <c:pt idx="5">
                  <c:v>0.49960071313436744</c:v>
                </c:pt>
                <c:pt idx="6">
                  <c:v>0.60148999999999997</c:v>
                </c:pt>
                <c:pt idx="7">
                  <c:v>0.70120302084045227</c:v>
                </c:pt>
                <c:pt idx="8">
                  <c:v>0.79902388564725557</c:v>
                </c:pt>
              </c:numCache>
            </c:numRef>
          </c:xVal>
          <c:yVal>
            <c:numRef>
              <c:f>'Ventury Flowmeter'!$B$1:$B$9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43</c:v>
                </c:pt>
                <c:pt idx="3">
                  <c:v>100</c:v>
                </c:pt>
                <c:pt idx="4">
                  <c:v>178</c:v>
                </c:pt>
                <c:pt idx="5">
                  <c:v>280</c:v>
                </c:pt>
                <c:pt idx="6">
                  <c:v>400</c:v>
                </c:pt>
                <c:pt idx="7">
                  <c:v>533</c:v>
                </c:pt>
                <c:pt idx="8">
                  <c:v>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3E-4402-9BC8-59CB1BBA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0032"/>
        <c:axId val="277585920"/>
      </c:scatterChart>
      <c:valAx>
        <c:axId val="277580032"/>
        <c:scaling>
          <c:orientation val="minMax"/>
          <c:max val="0.8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77585920"/>
        <c:crosses val="autoZero"/>
        <c:crossBetween val="midCat"/>
      </c:valAx>
      <c:valAx>
        <c:axId val="277585920"/>
        <c:scaling>
          <c:orientation val="minMax"/>
          <c:max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758003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Friction!$A$4:$A$24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Friction!$B$4:$B$24</c:f>
              <c:numCache>
                <c:formatCode>General</c:formatCode>
                <c:ptCount val="21"/>
                <c:pt idx="0">
                  <c:v>0.29999999999999982</c:v>
                </c:pt>
                <c:pt idx="1">
                  <c:v>0.32499999999999984</c:v>
                </c:pt>
                <c:pt idx="2">
                  <c:v>0.34999999999999987</c:v>
                </c:pt>
                <c:pt idx="3">
                  <c:v>0.37499999999999989</c:v>
                </c:pt>
                <c:pt idx="4">
                  <c:v>0.39999999999999986</c:v>
                </c:pt>
                <c:pt idx="5">
                  <c:v>0.42499999999999988</c:v>
                </c:pt>
                <c:pt idx="6">
                  <c:v>0.4499999999999999</c:v>
                </c:pt>
                <c:pt idx="7">
                  <c:v>0.47499999999999987</c:v>
                </c:pt>
                <c:pt idx="8">
                  <c:v>0.49999999999999989</c:v>
                </c:pt>
                <c:pt idx="9">
                  <c:v>0.52499999999999991</c:v>
                </c:pt>
                <c:pt idx="10">
                  <c:v>0.54999999999999993</c:v>
                </c:pt>
                <c:pt idx="11">
                  <c:v>0.57499999999999996</c:v>
                </c:pt>
                <c:pt idx="12">
                  <c:v>0.59999999999999987</c:v>
                </c:pt>
                <c:pt idx="13">
                  <c:v>0.62499999999999989</c:v>
                </c:pt>
                <c:pt idx="14">
                  <c:v>0.64999999999999991</c:v>
                </c:pt>
                <c:pt idx="15">
                  <c:v>0.67499999999999993</c:v>
                </c:pt>
                <c:pt idx="16">
                  <c:v>0.7</c:v>
                </c:pt>
                <c:pt idx="17">
                  <c:v>0.72499999999999998</c:v>
                </c:pt>
                <c:pt idx="18">
                  <c:v>0.75</c:v>
                </c:pt>
                <c:pt idx="19">
                  <c:v>0.77499999999999991</c:v>
                </c:pt>
                <c:pt idx="20">
                  <c:v>0.79999999999999993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0-443D-9854-6EC6B8F2F53C}"/>
            </c:ext>
          </c:extLst>
        </c:ser>
        <c:ser>
          <c:idx val="1"/>
          <c:order val="1"/>
          <c:tx>
            <c:strRef>
              <c:f>Friction!$A$4:$A$9</c:f>
              <c:strCach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strCache>
            </c:strRef>
          </c:tx>
          <c:spPr>
            <a:ln w="28575">
              <a:noFill/>
            </a:ln>
          </c:spPr>
          <c:xVal>
            <c:numRef>
              <c:f>Friction!$A$4:$A$24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Friction!$D$4:$D$24</c:f>
              <c:numCache>
                <c:formatCode>General</c:formatCode>
                <c:ptCount val="21"/>
                <c:pt idx="0">
                  <c:v>1</c:v>
                </c:pt>
                <c:pt idx="1">
                  <c:v>0.96624999999999994</c:v>
                </c:pt>
                <c:pt idx="2">
                  <c:v>0.93499999999999994</c:v>
                </c:pt>
                <c:pt idx="3">
                  <c:v>0.90625</c:v>
                </c:pt>
                <c:pt idx="4">
                  <c:v>0.88</c:v>
                </c:pt>
                <c:pt idx="5">
                  <c:v>0.85624999999999996</c:v>
                </c:pt>
                <c:pt idx="6">
                  <c:v>0.83499999999999996</c:v>
                </c:pt>
                <c:pt idx="7">
                  <c:v>0.81624999999999992</c:v>
                </c:pt>
                <c:pt idx="8">
                  <c:v>0.79999999999999993</c:v>
                </c:pt>
                <c:pt idx="9">
                  <c:v>0.78624999999999989</c:v>
                </c:pt>
                <c:pt idx="10">
                  <c:v>0.77499999999999991</c:v>
                </c:pt>
                <c:pt idx="11">
                  <c:v>0.76624999999999999</c:v>
                </c:pt>
                <c:pt idx="12">
                  <c:v>0.7599999999999999</c:v>
                </c:pt>
                <c:pt idx="13">
                  <c:v>0.75624999999999987</c:v>
                </c:pt>
                <c:pt idx="14">
                  <c:v>0.75499999999999989</c:v>
                </c:pt>
                <c:pt idx="15">
                  <c:v>0.75624999999999998</c:v>
                </c:pt>
                <c:pt idx="16">
                  <c:v>0.76</c:v>
                </c:pt>
                <c:pt idx="17">
                  <c:v>0.76624999999999999</c:v>
                </c:pt>
                <c:pt idx="18">
                  <c:v>0.77500000000000002</c:v>
                </c:pt>
                <c:pt idx="19">
                  <c:v>0.78624999999999989</c:v>
                </c:pt>
                <c:pt idx="20">
                  <c:v>0.79999999999999993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0-443D-9854-6EC6B8F2F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5952"/>
        <c:axId val="292527488"/>
      </c:scatterChart>
      <c:valAx>
        <c:axId val="29252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2527488"/>
        <c:crosses val="autoZero"/>
        <c:crossBetween val="midCat"/>
      </c:valAx>
      <c:valAx>
        <c:axId val="29252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252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b-NO"/>
              <a:t>BSFC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109470691163601"/>
          <c:h val="0.8326195683872849"/>
        </c:manualLayout>
      </c:layout>
      <c:lineChart>
        <c:grouping val="standard"/>
        <c:varyColors val="0"/>
        <c:ser>
          <c:idx val="0"/>
          <c:order val="0"/>
          <c:val>
            <c:numRef>
              <c:f>F_glob_p_ac1!$AJ$3:$AJ$22</c:f>
              <c:numCache>
                <c:formatCode>General</c:formatCode>
                <c:ptCount val="20"/>
                <c:pt idx="0">
                  <c:v>217.782691359193</c:v>
                </c:pt>
                <c:pt idx="1">
                  <c:v>226.92317085369399</c:v>
                </c:pt>
                <c:pt idx="2">
                  <c:v>214.15285296164501</c:v>
                </c:pt>
                <c:pt idx="3">
                  <c:v>225.295923547792</c:v>
                </c:pt>
                <c:pt idx="4">
                  <c:v>206.231816616619</c:v>
                </c:pt>
                <c:pt idx="5">
                  <c:v>208.81369841124001</c:v>
                </c:pt>
                <c:pt idx="6">
                  <c:v>207.819037016268</c:v>
                </c:pt>
                <c:pt idx="7">
                  <c:v>216.47726101549799</c:v>
                </c:pt>
                <c:pt idx="8">
                  <c:v>211.276927200317</c:v>
                </c:pt>
                <c:pt idx="9">
                  <c:v>202.800485757817</c:v>
                </c:pt>
                <c:pt idx="10">
                  <c:v>211.85434127243801</c:v>
                </c:pt>
                <c:pt idx="11">
                  <c:v>215.02336268526301</c:v>
                </c:pt>
                <c:pt idx="12">
                  <c:v>217.302383013129</c:v>
                </c:pt>
                <c:pt idx="13">
                  <c:v>203.25293433570101</c:v>
                </c:pt>
                <c:pt idx="14">
                  <c:v>208.81352710642199</c:v>
                </c:pt>
                <c:pt idx="15">
                  <c:v>215.32812757703999</c:v>
                </c:pt>
                <c:pt idx="16">
                  <c:v>204.548343909311</c:v>
                </c:pt>
                <c:pt idx="17">
                  <c:v>202.52630887090501</c:v>
                </c:pt>
                <c:pt idx="18">
                  <c:v>207.43253021548</c:v>
                </c:pt>
                <c:pt idx="19">
                  <c:v>215.60103924952699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7-41C1-8E1F-2E861013A433}"/>
            </c:ext>
          </c:extLst>
        </c:ser>
        <c:ser>
          <c:idx val="1"/>
          <c:order val="1"/>
          <c:spPr>
            <a:ln>
              <a:prstDash val="sysDash"/>
            </a:ln>
          </c:spPr>
          <c:val>
            <c:numRef>
              <c:f>F_glob_p_ac1!$BU$3:$BU$22</c:f>
              <c:numCache>
                <c:formatCode>General</c:formatCode>
                <c:ptCount val="20"/>
                <c:pt idx="0">
                  <c:v>245.68008486433038</c:v>
                </c:pt>
                <c:pt idx="2">
                  <c:v>222.94493529531738</c:v>
                </c:pt>
                <c:pt idx="3">
                  <c:v>209.33216616812874</c:v>
                </c:pt>
                <c:pt idx="4">
                  <c:v>216.25655385257534</c:v>
                </c:pt>
                <c:pt idx="5">
                  <c:v>224.12141017464623</c:v>
                </c:pt>
                <c:pt idx="6">
                  <c:v>230.37203610064185</c:v>
                </c:pt>
                <c:pt idx="8">
                  <c:v>213.18187902685574</c:v>
                </c:pt>
                <c:pt idx="9">
                  <c:v>221.67867738039502</c:v>
                </c:pt>
                <c:pt idx="10">
                  <c:v>240.23884456929011</c:v>
                </c:pt>
                <c:pt idx="11">
                  <c:v>230.96590976119194</c:v>
                </c:pt>
                <c:pt idx="12">
                  <c:v>210.23369099614354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7-41C1-8E1F-2E861013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7584"/>
        <c:axId val="274157568"/>
      </c:lineChart>
      <c:catAx>
        <c:axId val="274147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74157568"/>
        <c:crosses val="autoZero"/>
        <c:auto val="1"/>
        <c:lblAlgn val="ctr"/>
        <c:lblOffset val="100"/>
        <c:noMultiLvlLbl val="0"/>
      </c:catAx>
      <c:valAx>
        <c:axId val="274157568"/>
        <c:scaling>
          <c:orientation val="minMax"/>
          <c:min val="1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g/kWh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4147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6207349081366"/>
          <c:y val="2.7100111949588782E-2"/>
          <c:w val="0.2512797726010389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13" Type="http://schemas.openxmlformats.org/officeDocument/2006/relationships/chart" Target="../charts/chart36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12" Type="http://schemas.openxmlformats.org/officeDocument/2006/relationships/chart" Target="../charts/chart35.xml"/><Relationship Id="rId17" Type="http://schemas.openxmlformats.org/officeDocument/2006/relationships/chart" Target="../charts/chart40.xml"/><Relationship Id="rId2" Type="http://schemas.openxmlformats.org/officeDocument/2006/relationships/chart" Target="../charts/chart25.xml"/><Relationship Id="rId16" Type="http://schemas.openxmlformats.org/officeDocument/2006/relationships/chart" Target="../charts/chart39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5" Type="http://schemas.openxmlformats.org/officeDocument/2006/relationships/chart" Target="../charts/chart3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Relationship Id="rId1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2.xml"/><Relationship Id="rId13" Type="http://schemas.openxmlformats.org/officeDocument/2006/relationships/chart" Target="../charts/chart67.xml"/><Relationship Id="rId3" Type="http://schemas.openxmlformats.org/officeDocument/2006/relationships/chart" Target="../charts/chart57.xml"/><Relationship Id="rId7" Type="http://schemas.openxmlformats.org/officeDocument/2006/relationships/chart" Target="../charts/chart61.xml"/><Relationship Id="rId12" Type="http://schemas.openxmlformats.org/officeDocument/2006/relationships/chart" Target="../charts/chart66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11" Type="http://schemas.openxmlformats.org/officeDocument/2006/relationships/chart" Target="../charts/chart65.xml"/><Relationship Id="rId5" Type="http://schemas.openxmlformats.org/officeDocument/2006/relationships/chart" Target="../charts/chart59.xml"/><Relationship Id="rId10" Type="http://schemas.openxmlformats.org/officeDocument/2006/relationships/chart" Target="../charts/chart64.xml"/><Relationship Id="rId4" Type="http://schemas.openxmlformats.org/officeDocument/2006/relationships/chart" Target="../charts/chart58.xml"/><Relationship Id="rId9" Type="http://schemas.openxmlformats.org/officeDocument/2006/relationships/chart" Target="../charts/chart63.xml"/><Relationship Id="rId14" Type="http://schemas.openxmlformats.org/officeDocument/2006/relationships/chart" Target="../charts/chart6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11" Type="http://schemas.openxmlformats.org/officeDocument/2006/relationships/chart" Target="../charts/chart79.xml"/><Relationship Id="rId5" Type="http://schemas.openxmlformats.org/officeDocument/2006/relationships/chart" Target="../charts/chart73.xml"/><Relationship Id="rId10" Type="http://schemas.openxmlformats.org/officeDocument/2006/relationships/chart" Target="../charts/chart78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9525</xdr:colOff>
      <xdr:row>22</xdr:row>
      <xdr:rowOff>9525</xdr:rowOff>
    </xdr:from>
    <xdr:to>
      <xdr:col>54</xdr:col>
      <xdr:colOff>314325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409575</xdr:colOff>
      <xdr:row>22</xdr:row>
      <xdr:rowOff>9525</xdr:rowOff>
    </xdr:from>
    <xdr:to>
      <xdr:col>66</xdr:col>
      <xdr:colOff>104775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285750</xdr:colOff>
      <xdr:row>22</xdr:row>
      <xdr:rowOff>38100</xdr:rowOff>
    </xdr:from>
    <xdr:to>
      <xdr:col>73</xdr:col>
      <xdr:colOff>590550</xdr:colOff>
      <xdr:row>40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9525</xdr:colOff>
      <xdr:row>40</xdr:row>
      <xdr:rowOff>76200</xdr:rowOff>
    </xdr:from>
    <xdr:to>
      <xdr:col>53</xdr:col>
      <xdr:colOff>314325</xdr:colOff>
      <xdr:row>57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406854</xdr:colOff>
      <xdr:row>40</xdr:row>
      <xdr:rowOff>92529</xdr:rowOff>
    </xdr:from>
    <xdr:to>
      <xdr:col>65</xdr:col>
      <xdr:colOff>99333</xdr:colOff>
      <xdr:row>57</xdr:row>
      <xdr:rowOff>83004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287112</xdr:colOff>
      <xdr:row>40</xdr:row>
      <xdr:rowOff>95251</xdr:rowOff>
    </xdr:from>
    <xdr:to>
      <xdr:col>72</xdr:col>
      <xdr:colOff>591912</xdr:colOff>
      <xdr:row>57</xdr:row>
      <xdr:rowOff>85726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4083</xdr:colOff>
      <xdr:row>58</xdr:row>
      <xdr:rowOff>16331</xdr:rowOff>
    </xdr:from>
    <xdr:to>
      <xdr:col>53</xdr:col>
      <xdr:colOff>308883</xdr:colOff>
      <xdr:row>75</xdr:row>
      <xdr:rowOff>6805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415019</xdr:colOff>
      <xdr:row>58</xdr:row>
      <xdr:rowOff>59874</xdr:rowOff>
    </xdr:from>
    <xdr:to>
      <xdr:col>65</xdr:col>
      <xdr:colOff>107498</xdr:colOff>
      <xdr:row>75</xdr:row>
      <xdr:rowOff>50348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295276</xdr:colOff>
      <xdr:row>58</xdr:row>
      <xdr:rowOff>21774</xdr:rowOff>
    </xdr:from>
    <xdr:to>
      <xdr:col>72</xdr:col>
      <xdr:colOff>600076</xdr:colOff>
      <xdr:row>75</xdr:row>
      <xdr:rowOff>12248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25854</xdr:colOff>
      <xdr:row>75</xdr:row>
      <xdr:rowOff>78924</xdr:rowOff>
    </xdr:from>
    <xdr:to>
      <xdr:col>53</xdr:col>
      <xdr:colOff>330654</xdr:colOff>
      <xdr:row>92</xdr:row>
      <xdr:rowOff>69399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436790</xdr:colOff>
      <xdr:row>75</xdr:row>
      <xdr:rowOff>95253</xdr:rowOff>
    </xdr:from>
    <xdr:to>
      <xdr:col>65</xdr:col>
      <xdr:colOff>129269</xdr:colOff>
      <xdr:row>92</xdr:row>
      <xdr:rowOff>85728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285750</xdr:colOff>
      <xdr:row>26</xdr:row>
      <xdr:rowOff>129540</xdr:rowOff>
    </xdr:from>
    <xdr:to>
      <xdr:col>35</xdr:col>
      <xdr:colOff>483870</xdr:colOff>
      <xdr:row>42</xdr:row>
      <xdr:rowOff>68580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13</xdr:row>
      <xdr:rowOff>128587</xdr:rowOff>
    </xdr:from>
    <xdr:to>
      <xdr:col>14</xdr:col>
      <xdr:colOff>47625</xdr:colOff>
      <xdr:row>28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12</xdr:col>
      <xdr:colOff>323162</xdr:colOff>
      <xdr:row>40</xdr:row>
      <xdr:rowOff>94424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723900"/>
          <a:ext cx="5504762" cy="66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9525</xdr:colOff>
      <xdr:row>9</xdr:row>
      <xdr:rowOff>9525</xdr:rowOff>
    </xdr:from>
    <xdr:to>
      <xdr:col>51</xdr:col>
      <xdr:colOff>314325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409575</xdr:colOff>
      <xdr:row>9</xdr:row>
      <xdr:rowOff>9525</xdr:rowOff>
    </xdr:from>
    <xdr:to>
      <xdr:col>62</xdr:col>
      <xdr:colOff>104775</xdr:colOff>
      <xdr:row>26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285750</xdr:colOff>
      <xdr:row>9</xdr:row>
      <xdr:rowOff>38100</xdr:rowOff>
    </xdr:from>
    <xdr:to>
      <xdr:col>69</xdr:col>
      <xdr:colOff>590550</xdr:colOff>
      <xdr:row>26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9525</xdr:colOff>
      <xdr:row>26</xdr:row>
      <xdr:rowOff>76200</xdr:rowOff>
    </xdr:from>
    <xdr:to>
      <xdr:col>51</xdr:col>
      <xdr:colOff>314325</xdr:colOff>
      <xdr:row>43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406854</xdr:colOff>
      <xdr:row>26</xdr:row>
      <xdr:rowOff>92529</xdr:rowOff>
    </xdr:from>
    <xdr:to>
      <xdr:col>62</xdr:col>
      <xdr:colOff>99333</xdr:colOff>
      <xdr:row>43</xdr:row>
      <xdr:rowOff>83004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287112</xdr:colOff>
      <xdr:row>26</xdr:row>
      <xdr:rowOff>95251</xdr:rowOff>
    </xdr:from>
    <xdr:to>
      <xdr:col>69</xdr:col>
      <xdr:colOff>591912</xdr:colOff>
      <xdr:row>43</xdr:row>
      <xdr:rowOff>85726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4083</xdr:colOff>
      <xdr:row>44</xdr:row>
      <xdr:rowOff>16331</xdr:rowOff>
    </xdr:from>
    <xdr:to>
      <xdr:col>51</xdr:col>
      <xdr:colOff>308883</xdr:colOff>
      <xdr:row>61</xdr:row>
      <xdr:rowOff>6805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415019</xdr:colOff>
      <xdr:row>44</xdr:row>
      <xdr:rowOff>59874</xdr:rowOff>
    </xdr:from>
    <xdr:to>
      <xdr:col>62</xdr:col>
      <xdr:colOff>107498</xdr:colOff>
      <xdr:row>61</xdr:row>
      <xdr:rowOff>50348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62</xdr:col>
      <xdr:colOff>295276</xdr:colOff>
      <xdr:row>44</xdr:row>
      <xdr:rowOff>21774</xdr:rowOff>
    </xdr:from>
    <xdr:to>
      <xdr:col>69</xdr:col>
      <xdr:colOff>600076</xdr:colOff>
      <xdr:row>61</xdr:row>
      <xdr:rowOff>12248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25854</xdr:colOff>
      <xdr:row>61</xdr:row>
      <xdr:rowOff>78924</xdr:rowOff>
    </xdr:from>
    <xdr:to>
      <xdr:col>51</xdr:col>
      <xdr:colOff>330654</xdr:colOff>
      <xdr:row>78</xdr:row>
      <xdr:rowOff>69399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436790</xdr:colOff>
      <xdr:row>61</xdr:row>
      <xdr:rowOff>95253</xdr:rowOff>
    </xdr:from>
    <xdr:to>
      <xdr:col>62</xdr:col>
      <xdr:colOff>129269</xdr:colOff>
      <xdr:row>78</xdr:row>
      <xdr:rowOff>85728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9525</xdr:colOff>
      <xdr:row>22</xdr:row>
      <xdr:rowOff>9525</xdr:rowOff>
    </xdr:from>
    <xdr:to>
      <xdr:col>59</xdr:col>
      <xdr:colOff>314325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409575</xdr:colOff>
      <xdr:row>22</xdr:row>
      <xdr:rowOff>9525</xdr:rowOff>
    </xdr:from>
    <xdr:to>
      <xdr:col>70</xdr:col>
      <xdr:colOff>104775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285750</xdr:colOff>
      <xdr:row>22</xdr:row>
      <xdr:rowOff>38100</xdr:rowOff>
    </xdr:from>
    <xdr:to>
      <xdr:col>77</xdr:col>
      <xdr:colOff>590550</xdr:colOff>
      <xdr:row>39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9525</xdr:colOff>
      <xdr:row>39</xdr:row>
      <xdr:rowOff>76200</xdr:rowOff>
    </xdr:from>
    <xdr:to>
      <xdr:col>59</xdr:col>
      <xdr:colOff>314325</xdr:colOff>
      <xdr:row>56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71</xdr:col>
      <xdr:colOff>444954</xdr:colOff>
      <xdr:row>84</xdr:row>
      <xdr:rowOff>8166</xdr:rowOff>
    </xdr:from>
    <xdr:to>
      <xdr:col>79</xdr:col>
      <xdr:colOff>137433</xdr:colOff>
      <xdr:row>100</xdr:row>
      <xdr:rowOff>161927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93891</xdr:colOff>
      <xdr:row>94</xdr:row>
      <xdr:rowOff>160567</xdr:rowOff>
    </xdr:from>
    <xdr:to>
      <xdr:col>63</xdr:col>
      <xdr:colOff>398690</xdr:colOff>
      <xdr:row>111</xdr:row>
      <xdr:rowOff>151042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64</xdr:col>
      <xdr:colOff>314325</xdr:colOff>
      <xdr:row>87</xdr:row>
      <xdr:rowOff>81646</xdr:rowOff>
    </xdr:from>
    <xdr:to>
      <xdr:col>75</xdr:col>
      <xdr:colOff>6805</xdr:colOff>
      <xdr:row>104</xdr:row>
      <xdr:rowOff>72121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196101</xdr:colOff>
      <xdr:row>23</xdr:row>
      <xdr:rowOff>17929</xdr:rowOff>
    </xdr:from>
    <xdr:to>
      <xdr:col>62</xdr:col>
      <xdr:colOff>532278</xdr:colOff>
      <xdr:row>40</xdr:row>
      <xdr:rowOff>94129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99333</xdr:colOff>
      <xdr:row>39</xdr:row>
      <xdr:rowOff>92528</xdr:rowOff>
    </xdr:from>
    <xdr:to>
      <xdr:col>68</xdr:col>
      <xdr:colOff>284304</xdr:colOff>
      <xdr:row>80</xdr:row>
      <xdr:rowOff>112125</xdr:rowOff>
    </xdr:to>
    <xdr:grpSp>
      <xdr:nvGrpSpPr>
        <xdr:cNvPr id="13" name="Group 12"/>
        <xdr:cNvGrpSpPr/>
      </xdr:nvGrpSpPr>
      <xdr:grpSpPr>
        <a:xfrm>
          <a:off x="38082792" y="7084999"/>
          <a:ext cx="5205206" cy="7370655"/>
          <a:chOff x="32954980" y="6883293"/>
          <a:chExt cx="5025912" cy="6451773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32976751" y="6883293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5" name="Chart 14"/>
          <xdr:cNvGraphicFramePr>
            <a:graphicFrameLocks/>
          </xdr:cNvGraphicFramePr>
        </xdr:nvGraphicFramePr>
        <xdr:xfrm>
          <a:off x="32965865" y="9082368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6" name="Chart 15"/>
          <xdr:cNvGraphicFramePr>
            <a:graphicFrameLocks/>
          </xdr:cNvGraphicFramePr>
        </xdr:nvGraphicFramePr>
        <xdr:xfrm>
          <a:off x="32954980" y="11240621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68</xdr:col>
      <xdr:colOff>436790</xdr:colOff>
      <xdr:row>39</xdr:row>
      <xdr:rowOff>95249</xdr:rowOff>
    </xdr:from>
    <xdr:to>
      <xdr:col>76</xdr:col>
      <xdr:colOff>599989</xdr:colOff>
      <xdr:row>52</xdr:row>
      <xdr:rowOff>150224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68</xdr:col>
      <xdr:colOff>425904</xdr:colOff>
      <xdr:row>53</xdr:row>
      <xdr:rowOff>97971</xdr:rowOff>
    </xdr:from>
    <xdr:to>
      <xdr:col>76</xdr:col>
      <xdr:colOff>589103</xdr:colOff>
      <xdr:row>66</xdr:row>
      <xdr:rowOff>152946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415019</xdr:colOff>
      <xdr:row>67</xdr:row>
      <xdr:rowOff>59871</xdr:rowOff>
    </xdr:from>
    <xdr:to>
      <xdr:col>76</xdr:col>
      <xdr:colOff>578218</xdr:colOff>
      <xdr:row>80</xdr:row>
      <xdr:rowOff>114846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379879</xdr:colOff>
      <xdr:row>31</xdr:row>
      <xdr:rowOff>124384</xdr:rowOff>
    </xdr:from>
    <xdr:to>
      <xdr:col>29</xdr:col>
      <xdr:colOff>251012</xdr:colOff>
      <xdr:row>47</xdr:row>
      <xdr:rowOff>65635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42</xdr:col>
      <xdr:colOff>182014</xdr:colOff>
      <xdr:row>43</xdr:row>
      <xdr:rowOff>166967</xdr:rowOff>
    </xdr:from>
    <xdr:to>
      <xdr:col>51</xdr:col>
      <xdr:colOff>333134</xdr:colOff>
      <xdr:row>61</xdr:row>
      <xdr:rowOff>86286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39</xdr:col>
      <xdr:colOff>448235</xdr:colOff>
      <xdr:row>55</xdr:row>
      <xdr:rowOff>121025</xdr:rowOff>
    </xdr:from>
    <xdr:to>
      <xdr:col>47</xdr:col>
      <xdr:colOff>0</xdr:colOff>
      <xdr:row>70</xdr:row>
      <xdr:rowOff>174813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0.74313</cdr:x>
      <cdr:y>0.0972</cdr:y>
    </cdr:from>
    <cdr:to>
      <cdr:x>0.9616</cdr:x>
      <cdr:y>0.35389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2308" y="249323"/>
          <a:ext cx="765060" cy="6584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800"/>
            <a:t>s=1</a:t>
          </a:r>
        </a:p>
      </cdr:txBody>
    </cdr:sp>
  </cdr:relSizeAnchor>
  <cdr:relSizeAnchor xmlns:cdr="http://schemas.openxmlformats.org/drawingml/2006/chartDrawing">
    <cdr:from>
      <cdr:x>0.80523</cdr:x>
      <cdr:y>0.17021</cdr:y>
    </cdr:from>
    <cdr:to>
      <cdr:x>0.95945</cdr:x>
      <cdr:y>0.30359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19781" y="436606"/>
          <a:ext cx="540042" cy="3421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800"/>
            <a:t>s=0.9</a:t>
          </a:r>
        </a:p>
      </cdr:txBody>
    </cdr:sp>
  </cdr:relSizeAnchor>
  <cdr:relSizeAnchor xmlns:cdr="http://schemas.openxmlformats.org/drawingml/2006/chartDrawing">
    <cdr:from>
      <cdr:x>0.8752</cdr:x>
      <cdr:y>0.24858</cdr:y>
    </cdr:from>
    <cdr:to>
      <cdr:x>0.98929</cdr:x>
      <cdr:y>0.41051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064810" y="637616"/>
          <a:ext cx="399526" cy="4153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800"/>
            <a:t>s=0.8</a:t>
          </a:r>
        </a:p>
      </cdr:txBody>
    </cdr:sp>
  </cdr:relSizeAnchor>
  <cdr:relSizeAnchor xmlns:cdr="http://schemas.openxmlformats.org/drawingml/2006/chartDrawing">
    <cdr:from>
      <cdr:x>0.64779</cdr:x>
      <cdr:y>0.05505</cdr:y>
    </cdr:from>
    <cdr:to>
      <cdr:x>0.77791</cdr:x>
      <cdr:y>0.17584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268441" y="141204"/>
          <a:ext cx="455661" cy="3098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800"/>
            <a:t>s=1.1</a:t>
          </a:r>
        </a:p>
      </cdr:txBody>
    </cdr:sp>
  </cdr:relSizeAnchor>
  <cdr:relSizeAnchor xmlns:cdr="http://schemas.openxmlformats.org/drawingml/2006/chartDrawing">
    <cdr:from>
      <cdr:x>0.58131</cdr:x>
      <cdr:y>0.01482</cdr:y>
    </cdr:from>
    <cdr:to>
      <cdr:x>0.71143</cdr:x>
      <cdr:y>0.13561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035652" y="38015"/>
          <a:ext cx="455661" cy="3098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800"/>
            <a:t>s=1.2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22</xdr:row>
      <xdr:rowOff>9525</xdr:rowOff>
    </xdr:from>
    <xdr:to>
      <xdr:col>51</xdr:col>
      <xdr:colOff>314325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409575</xdr:colOff>
      <xdr:row>22</xdr:row>
      <xdr:rowOff>9525</xdr:rowOff>
    </xdr:from>
    <xdr:to>
      <xdr:col>62</xdr:col>
      <xdr:colOff>104775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285750</xdr:colOff>
      <xdr:row>22</xdr:row>
      <xdr:rowOff>38100</xdr:rowOff>
    </xdr:from>
    <xdr:to>
      <xdr:col>69</xdr:col>
      <xdr:colOff>590550</xdr:colOff>
      <xdr:row>39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9525</xdr:colOff>
      <xdr:row>39</xdr:row>
      <xdr:rowOff>76200</xdr:rowOff>
    </xdr:from>
    <xdr:to>
      <xdr:col>51</xdr:col>
      <xdr:colOff>314325</xdr:colOff>
      <xdr:row>56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444954</xdr:colOff>
      <xdr:row>84</xdr:row>
      <xdr:rowOff>8166</xdr:rowOff>
    </xdr:from>
    <xdr:to>
      <xdr:col>71</xdr:col>
      <xdr:colOff>137433</xdr:colOff>
      <xdr:row>100</xdr:row>
      <xdr:rowOff>161927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93891</xdr:colOff>
      <xdr:row>94</xdr:row>
      <xdr:rowOff>160567</xdr:rowOff>
    </xdr:from>
    <xdr:to>
      <xdr:col>55</xdr:col>
      <xdr:colOff>398690</xdr:colOff>
      <xdr:row>111</xdr:row>
      <xdr:rowOff>151042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314325</xdr:colOff>
      <xdr:row>87</xdr:row>
      <xdr:rowOff>81646</xdr:rowOff>
    </xdr:from>
    <xdr:to>
      <xdr:col>67</xdr:col>
      <xdr:colOff>6805</xdr:colOff>
      <xdr:row>104</xdr:row>
      <xdr:rowOff>72121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308160</xdr:colOff>
      <xdr:row>5</xdr:row>
      <xdr:rowOff>40340</xdr:rowOff>
    </xdr:from>
    <xdr:to>
      <xdr:col>45</xdr:col>
      <xdr:colOff>465043</xdr:colOff>
      <xdr:row>19</xdr:row>
      <xdr:rowOff>116540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99333</xdr:colOff>
      <xdr:row>39</xdr:row>
      <xdr:rowOff>92528</xdr:rowOff>
    </xdr:from>
    <xdr:to>
      <xdr:col>60</xdr:col>
      <xdr:colOff>284304</xdr:colOff>
      <xdr:row>80</xdr:row>
      <xdr:rowOff>112125</xdr:rowOff>
    </xdr:to>
    <xdr:grpSp>
      <xdr:nvGrpSpPr>
        <xdr:cNvPr id="10" name="Group 9"/>
        <xdr:cNvGrpSpPr/>
      </xdr:nvGrpSpPr>
      <xdr:grpSpPr>
        <a:xfrm>
          <a:off x="32699078" y="7116783"/>
          <a:ext cx="5172608" cy="7404069"/>
          <a:chOff x="32954980" y="6883293"/>
          <a:chExt cx="5025912" cy="6451773"/>
        </a:xfrm>
      </xdr:grpSpPr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32976751" y="6883293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32965865" y="9082368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32954980" y="11240621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60</xdr:col>
      <xdr:colOff>436790</xdr:colOff>
      <xdr:row>39</xdr:row>
      <xdr:rowOff>95249</xdr:rowOff>
    </xdr:from>
    <xdr:to>
      <xdr:col>68</xdr:col>
      <xdr:colOff>599989</xdr:colOff>
      <xdr:row>52</xdr:row>
      <xdr:rowOff>150224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425904</xdr:colOff>
      <xdr:row>53</xdr:row>
      <xdr:rowOff>97971</xdr:rowOff>
    </xdr:from>
    <xdr:to>
      <xdr:col>68</xdr:col>
      <xdr:colOff>589103</xdr:colOff>
      <xdr:row>66</xdr:row>
      <xdr:rowOff>152946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415019</xdr:colOff>
      <xdr:row>67</xdr:row>
      <xdr:rowOff>59871</xdr:rowOff>
    </xdr:from>
    <xdr:to>
      <xdr:col>68</xdr:col>
      <xdr:colOff>578218</xdr:colOff>
      <xdr:row>80</xdr:row>
      <xdr:rowOff>114846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22</xdr:row>
      <xdr:rowOff>9525</xdr:rowOff>
    </xdr:from>
    <xdr:to>
      <xdr:col>51</xdr:col>
      <xdr:colOff>314325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409575</xdr:colOff>
      <xdr:row>22</xdr:row>
      <xdr:rowOff>9525</xdr:rowOff>
    </xdr:from>
    <xdr:to>
      <xdr:col>62</xdr:col>
      <xdr:colOff>104775</xdr:colOff>
      <xdr:row>39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285750</xdr:colOff>
      <xdr:row>22</xdr:row>
      <xdr:rowOff>38100</xdr:rowOff>
    </xdr:from>
    <xdr:to>
      <xdr:col>69</xdr:col>
      <xdr:colOff>590550</xdr:colOff>
      <xdr:row>39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9525</xdr:colOff>
      <xdr:row>39</xdr:row>
      <xdr:rowOff>76200</xdr:rowOff>
    </xdr:from>
    <xdr:to>
      <xdr:col>51</xdr:col>
      <xdr:colOff>314325</xdr:colOff>
      <xdr:row>56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63</xdr:col>
      <xdr:colOff>444954</xdr:colOff>
      <xdr:row>84</xdr:row>
      <xdr:rowOff>8166</xdr:rowOff>
    </xdr:from>
    <xdr:to>
      <xdr:col>71</xdr:col>
      <xdr:colOff>137433</xdr:colOff>
      <xdr:row>100</xdr:row>
      <xdr:rowOff>161927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93891</xdr:colOff>
      <xdr:row>94</xdr:row>
      <xdr:rowOff>160567</xdr:rowOff>
    </xdr:from>
    <xdr:to>
      <xdr:col>55</xdr:col>
      <xdr:colOff>398690</xdr:colOff>
      <xdr:row>111</xdr:row>
      <xdr:rowOff>151042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314325</xdr:colOff>
      <xdr:row>87</xdr:row>
      <xdr:rowOff>81646</xdr:rowOff>
    </xdr:from>
    <xdr:to>
      <xdr:col>67</xdr:col>
      <xdr:colOff>6805</xdr:colOff>
      <xdr:row>104</xdr:row>
      <xdr:rowOff>72121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308160</xdr:colOff>
      <xdr:row>5</xdr:row>
      <xdr:rowOff>40340</xdr:rowOff>
    </xdr:from>
    <xdr:to>
      <xdr:col>45</xdr:col>
      <xdr:colOff>465043</xdr:colOff>
      <xdr:row>19</xdr:row>
      <xdr:rowOff>116540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99333</xdr:colOff>
      <xdr:row>39</xdr:row>
      <xdr:rowOff>92528</xdr:rowOff>
    </xdr:from>
    <xdr:to>
      <xdr:col>60</xdr:col>
      <xdr:colOff>284304</xdr:colOff>
      <xdr:row>80</xdr:row>
      <xdr:rowOff>112125</xdr:rowOff>
    </xdr:to>
    <xdr:grpSp>
      <xdr:nvGrpSpPr>
        <xdr:cNvPr id="10" name="Group 9"/>
        <xdr:cNvGrpSpPr/>
      </xdr:nvGrpSpPr>
      <xdr:grpSpPr>
        <a:xfrm>
          <a:off x="32773893" y="7080068"/>
          <a:ext cx="5183691" cy="7205257"/>
          <a:chOff x="32954980" y="6883293"/>
          <a:chExt cx="5025912" cy="6451773"/>
        </a:xfrm>
      </xdr:grpSpPr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32976751" y="6883293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32965865" y="9082368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Chart 12"/>
          <xdr:cNvGraphicFramePr>
            <a:graphicFrameLocks/>
          </xdr:cNvGraphicFramePr>
        </xdr:nvGraphicFramePr>
        <xdr:xfrm>
          <a:off x="32954980" y="11240621"/>
          <a:ext cx="5004141" cy="2094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60</xdr:col>
      <xdr:colOff>436790</xdr:colOff>
      <xdr:row>39</xdr:row>
      <xdr:rowOff>95249</xdr:rowOff>
    </xdr:from>
    <xdr:to>
      <xdr:col>68</xdr:col>
      <xdr:colOff>599989</xdr:colOff>
      <xdr:row>52</xdr:row>
      <xdr:rowOff>150224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60</xdr:col>
      <xdr:colOff>425904</xdr:colOff>
      <xdr:row>53</xdr:row>
      <xdr:rowOff>97971</xdr:rowOff>
    </xdr:from>
    <xdr:to>
      <xdr:col>68</xdr:col>
      <xdr:colOff>589103</xdr:colOff>
      <xdr:row>66</xdr:row>
      <xdr:rowOff>152946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60</xdr:col>
      <xdr:colOff>415019</xdr:colOff>
      <xdr:row>67</xdr:row>
      <xdr:rowOff>59871</xdr:rowOff>
    </xdr:from>
    <xdr:to>
      <xdr:col>68</xdr:col>
      <xdr:colOff>578218</xdr:colOff>
      <xdr:row>80</xdr:row>
      <xdr:rowOff>114846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21</xdr:row>
      <xdr:rowOff>9525</xdr:rowOff>
    </xdr:from>
    <xdr:to>
      <xdr:col>53</xdr:col>
      <xdr:colOff>314325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409575</xdr:colOff>
      <xdr:row>21</xdr:row>
      <xdr:rowOff>9525</xdr:rowOff>
    </xdr:from>
    <xdr:to>
      <xdr:col>64</xdr:col>
      <xdr:colOff>104775</xdr:colOff>
      <xdr:row>38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285750</xdr:colOff>
      <xdr:row>21</xdr:row>
      <xdr:rowOff>38100</xdr:rowOff>
    </xdr:from>
    <xdr:to>
      <xdr:col>71</xdr:col>
      <xdr:colOff>590550</xdr:colOff>
      <xdr:row>38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9525</xdr:colOff>
      <xdr:row>38</xdr:row>
      <xdr:rowOff>76200</xdr:rowOff>
    </xdr:from>
    <xdr:to>
      <xdr:col>53</xdr:col>
      <xdr:colOff>314325</xdr:colOff>
      <xdr:row>55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406854</xdr:colOff>
      <xdr:row>38</xdr:row>
      <xdr:rowOff>92529</xdr:rowOff>
    </xdr:from>
    <xdr:to>
      <xdr:col>64</xdr:col>
      <xdr:colOff>99333</xdr:colOff>
      <xdr:row>55</xdr:row>
      <xdr:rowOff>83004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287112</xdr:colOff>
      <xdr:row>38</xdr:row>
      <xdr:rowOff>95251</xdr:rowOff>
    </xdr:from>
    <xdr:to>
      <xdr:col>71</xdr:col>
      <xdr:colOff>591912</xdr:colOff>
      <xdr:row>55</xdr:row>
      <xdr:rowOff>85726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4083</xdr:colOff>
      <xdr:row>56</xdr:row>
      <xdr:rowOff>16331</xdr:rowOff>
    </xdr:from>
    <xdr:to>
      <xdr:col>53</xdr:col>
      <xdr:colOff>308883</xdr:colOff>
      <xdr:row>73</xdr:row>
      <xdr:rowOff>6805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415019</xdr:colOff>
      <xdr:row>56</xdr:row>
      <xdr:rowOff>59874</xdr:rowOff>
    </xdr:from>
    <xdr:to>
      <xdr:col>64</xdr:col>
      <xdr:colOff>107498</xdr:colOff>
      <xdr:row>73</xdr:row>
      <xdr:rowOff>50348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295276</xdr:colOff>
      <xdr:row>56</xdr:row>
      <xdr:rowOff>21774</xdr:rowOff>
    </xdr:from>
    <xdr:to>
      <xdr:col>71</xdr:col>
      <xdr:colOff>600076</xdr:colOff>
      <xdr:row>73</xdr:row>
      <xdr:rowOff>12248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25854</xdr:colOff>
      <xdr:row>73</xdr:row>
      <xdr:rowOff>78924</xdr:rowOff>
    </xdr:from>
    <xdr:to>
      <xdr:col>53</xdr:col>
      <xdr:colOff>330654</xdr:colOff>
      <xdr:row>90</xdr:row>
      <xdr:rowOff>69399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436790</xdr:colOff>
      <xdr:row>73</xdr:row>
      <xdr:rowOff>95253</xdr:rowOff>
    </xdr:from>
    <xdr:to>
      <xdr:col>64</xdr:col>
      <xdr:colOff>129269</xdr:colOff>
      <xdr:row>90</xdr:row>
      <xdr:rowOff>85728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209419</xdr:colOff>
      <xdr:row>26</xdr:row>
      <xdr:rowOff>863</xdr:rowOff>
    </xdr:from>
    <xdr:to>
      <xdr:col>21</xdr:col>
      <xdr:colOff>373671</xdr:colOff>
      <xdr:row>78</xdr:row>
      <xdr:rowOff>153263</xdr:rowOff>
    </xdr:to>
    <xdr:grpSp>
      <xdr:nvGrpSpPr>
        <xdr:cNvPr id="4" name="Group 3"/>
        <xdr:cNvGrpSpPr/>
      </xdr:nvGrpSpPr>
      <xdr:grpSpPr>
        <a:xfrm>
          <a:off x="5695819" y="4812349"/>
          <a:ext cx="7479452" cy="9775371"/>
          <a:chOff x="6400670" y="81459"/>
          <a:chExt cx="7461868" cy="10058400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00670" y="81459"/>
            <a:ext cx="7117128" cy="10058400"/>
          </a:xfrm>
          <a:prstGeom prst="rect">
            <a:avLst/>
          </a:prstGeom>
        </xdr:spPr>
      </xdr:pic>
      <xdr:graphicFrame macro="">
        <xdr:nvGraphicFramePr>
          <xdr:cNvPr id="3" name="Chart 2"/>
          <xdr:cNvGraphicFramePr/>
        </xdr:nvGraphicFramePr>
        <xdr:xfrm>
          <a:off x="6928260" y="2535115"/>
          <a:ext cx="6934278" cy="51969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13</xdr:col>
      <xdr:colOff>217714</xdr:colOff>
      <xdr:row>8</xdr:row>
      <xdr:rowOff>43543</xdr:rowOff>
    </xdr:from>
    <xdr:to>
      <xdr:col>20</xdr:col>
      <xdr:colOff>503464</xdr:colOff>
      <xdr:row>22</xdr:row>
      <xdr:rowOff>119743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241147</xdr:colOff>
      <xdr:row>4</xdr:row>
      <xdr:rowOff>125506</xdr:rowOff>
    </xdr:from>
    <xdr:to>
      <xdr:col>26</xdr:col>
      <xdr:colOff>89662</xdr:colOff>
      <xdr:row>49</xdr:row>
      <xdr:rowOff>89648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5947" y="842682"/>
          <a:ext cx="7773315" cy="8032378"/>
        </a:xfrm>
        <a:prstGeom prst="rect">
          <a:avLst/>
        </a:prstGeom>
      </xdr:spPr>
    </xdr:pic>
    <xdr:clientData/>
  </xdr:twoCellAnchor>
  <xdr:twoCellAnchor>
    <xdr:from>
      <xdr:col>15</xdr:col>
      <xdr:colOff>248372</xdr:colOff>
      <xdr:row>14</xdr:row>
      <xdr:rowOff>38925</xdr:rowOff>
    </xdr:from>
    <xdr:to>
      <xdr:col>24</xdr:col>
      <xdr:colOff>420064</xdr:colOff>
      <xdr:row>39</xdr:row>
      <xdr:rowOff>177038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2" sqref="C22"/>
    </sheetView>
  </sheetViews>
  <sheetFormatPr defaultColWidth="9.109375" defaultRowHeight="13.8"/>
  <cols>
    <col min="1" max="1" width="3.44140625" style="2" customWidth="1"/>
    <col min="2" max="2" width="10" style="2" bestFit="1" customWidth="1"/>
    <col min="3" max="3" width="20.5546875" style="2" bestFit="1" customWidth="1"/>
    <col min="4" max="4" width="32.44140625" style="2" bestFit="1" customWidth="1"/>
    <col min="5" max="5" width="24.88671875" style="2" bestFit="1" customWidth="1"/>
    <col min="6" max="16384" width="9.109375" style="2"/>
  </cols>
  <sheetData>
    <row r="1" spans="1:5">
      <c r="A1" s="2" t="s">
        <v>141</v>
      </c>
    </row>
    <row r="2" spans="1:5">
      <c r="A2" s="2" t="s">
        <v>142</v>
      </c>
    </row>
    <row r="3" spans="1:5">
      <c r="B3" s="2" t="s">
        <v>155</v>
      </c>
      <c r="C3" s="2" t="s">
        <v>156</v>
      </c>
      <c r="D3" s="2" t="s">
        <v>157</v>
      </c>
      <c r="E3" s="2" t="s">
        <v>144</v>
      </c>
    </row>
    <row r="4" spans="1:5">
      <c r="B4" s="6" t="s">
        <v>0</v>
      </c>
      <c r="C4" s="6">
        <f>(C6/2)/0.255</f>
        <v>0.27450980392156865</v>
      </c>
      <c r="D4" s="7" t="s">
        <v>1</v>
      </c>
      <c r="E4" s="6" t="s">
        <v>145</v>
      </c>
    </row>
    <row r="5" spans="1:5">
      <c r="B5" s="6" t="s">
        <v>5</v>
      </c>
      <c r="C5" s="6">
        <v>0.127</v>
      </c>
      <c r="D5" s="7" t="s">
        <v>37</v>
      </c>
      <c r="E5" s="6" t="s">
        <v>145</v>
      </c>
    </row>
    <row r="6" spans="1:5">
      <c r="B6" s="6" t="s">
        <v>35</v>
      </c>
      <c r="C6" s="6">
        <v>0.14000000000000001</v>
      </c>
      <c r="D6" s="7" t="s">
        <v>36</v>
      </c>
      <c r="E6" s="6" t="s">
        <v>145</v>
      </c>
    </row>
    <row r="7" spans="1:5" ht="27.6">
      <c r="B7" s="6" t="s">
        <v>10</v>
      </c>
      <c r="C7" s="6">
        <v>2.7</v>
      </c>
      <c r="D7" s="7" t="s">
        <v>38</v>
      </c>
      <c r="E7" s="6" t="s">
        <v>148</v>
      </c>
    </row>
    <row r="8" spans="1:5">
      <c r="B8" s="6" t="s">
        <v>22</v>
      </c>
      <c r="C8" s="6">
        <v>6</v>
      </c>
      <c r="D8" s="7" t="s">
        <v>23</v>
      </c>
      <c r="E8" s="6" t="s">
        <v>149</v>
      </c>
    </row>
    <row r="9" spans="1:5">
      <c r="B9" s="6" t="s">
        <v>24</v>
      </c>
      <c r="C9" s="6">
        <v>4</v>
      </c>
      <c r="D9" s="7" t="s">
        <v>25</v>
      </c>
      <c r="E9" s="6" t="s">
        <v>145</v>
      </c>
    </row>
    <row r="10" spans="1:5">
      <c r="B10" s="6" t="s">
        <v>143</v>
      </c>
      <c r="C10" s="6" t="s">
        <v>146</v>
      </c>
      <c r="D10" s="7"/>
      <c r="E10" s="6" t="s">
        <v>149</v>
      </c>
    </row>
    <row r="11" spans="1:5">
      <c r="B11" s="6" t="s">
        <v>33</v>
      </c>
      <c r="C11" s="6" t="s">
        <v>147</v>
      </c>
      <c r="D11" s="7" t="s">
        <v>34</v>
      </c>
      <c r="E11" s="6" t="s">
        <v>145</v>
      </c>
    </row>
    <row r="12" spans="1:5">
      <c r="B12" s="6" t="s">
        <v>49</v>
      </c>
      <c r="C12" s="6">
        <v>18</v>
      </c>
      <c r="D12" s="7" t="s">
        <v>50</v>
      </c>
      <c r="E12" s="6" t="s">
        <v>145</v>
      </c>
    </row>
    <row r="13" spans="1:5">
      <c r="B13" s="6" t="s">
        <v>78</v>
      </c>
      <c r="C13" s="6">
        <f>C5^2/4*PI()*C6</f>
        <v>1.7734761768412423E-3</v>
      </c>
      <c r="D13" s="7" t="s">
        <v>79</v>
      </c>
      <c r="E13" s="6" t="s">
        <v>149</v>
      </c>
    </row>
    <row r="14" spans="1:5">
      <c r="A14" s="2" t="s">
        <v>150</v>
      </c>
    </row>
    <row r="15" spans="1:5">
      <c r="B15" s="24" t="s">
        <v>151</v>
      </c>
      <c r="C15" s="25" t="s">
        <v>152</v>
      </c>
      <c r="D15" s="26" t="s">
        <v>153</v>
      </c>
      <c r="E15" s="27" t="s">
        <v>154</v>
      </c>
    </row>
    <row r="16" spans="1:5">
      <c r="A16" s="2" t="s">
        <v>158</v>
      </c>
    </row>
    <row r="17" spans="1:3">
      <c r="A17" s="2" t="s">
        <v>159</v>
      </c>
    </row>
    <row r="18" spans="1:3">
      <c r="A18" s="2" t="s">
        <v>200</v>
      </c>
    </row>
    <row r="19" spans="1:3">
      <c r="A19" s="2" t="s">
        <v>201</v>
      </c>
    </row>
    <row r="21" spans="1:3">
      <c r="B21" s="2" t="s">
        <v>206</v>
      </c>
      <c r="C21" s="31">
        <v>1.2</v>
      </c>
    </row>
    <row r="22" spans="1:3">
      <c r="B22" s="2" t="s">
        <v>207</v>
      </c>
      <c r="C22" s="2">
        <f>C21*(18)^((1.4)/(1.4+1))</f>
        <v>6.4777404197625801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47" sqref="C47"/>
    </sheetView>
  </sheetViews>
  <sheetFormatPr defaultRowHeight="14.4"/>
  <cols>
    <col min="1" max="1" width="13.44140625" bestFit="1" customWidth="1"/>
  </cols>
  <sheetData>
    <row r="1" spans="1:2">
      <c r="A1" s="1" t="s">
        <v>108</v>
      </c>
      <c r="B1">
        <f>Sheet1!C2</f>
        <v>0.27450980392156865</v>
      </c>
    </row>
    <row r="2" spans="1:2">
      <c r="A2" s="1" t="s">
        <v>107</v>
      </c>
      <c r="B2">
        <f>Sheet1!C25</f>
        <v>0</v>
      </c>
    </row>
    <row r="3" spans="1:2">
      <c r="A3" s="1" t="s">
        <v>5</v>
      </c>
      <c r="B3">
        <f>Sheet1!C3</f>
        <v>0.127</v>
      </c>
    </row>
    <row r="4" spans="1:2">
      <c r="A4" s="1" t="s">
        <v>6</v>
      </c>
      <c r="B4">
        <f>Sheet1!C26</f>
        <v>0</v>
      </c>
    </row>
    <row r="5" spans="1:2">
      <c r="A5" s="1" t="s">
        <v>8</v>
      </c>
      <c r="B5">
        <f>Sheet1!C49</f>
        <v>0</v>
      </c>
    </row>
    <row r="6" spans="1:2">
      <c r="A6" s="1" t="s">
        <v>9</v>
      </c>
      <c r="B6">
        <f>Sheet1!C50</f>
        <v>0</v>
      </c>
    </row>
    <row r="7" spans="1:2">
      <c r="A7" s="1" t="s">
        <v>10</v>
      </c>
      <c r="B7">
        <f>Sheet1!C6</f>
        <v>0</v>
      </c>
    </row>
    <row r="8" spans="1:2">
      <c r="A8" s="1" t="s">
        <v>12</v>
      </c>
      <c r="B8">
        <f>Sheet1!C58</f>
        <v>0</v>
      </c>
    </row>
    <row r="9" spans="1:2">
      <c r="A9" s="1" t="s">
        <v>14</v>
      </c>
      <c r="B9">
        <f>Sheet1!C51</f>
        <v>0</v>
      </c>
    </row>
    <row r="10" spans="1:2">
      <c r="A10" s="1" t="s">
        <v>15</v>
      </c>
      <c r="B10">
        <f>Sheet1!C52</f>
        <v>0</v>
      </c>
    </row>
    <row r="11" spans="1:2">
      <c r="A11" s="1" t="s">
        <v>16</v>
      </c>
      <c r="B11">
        <f>Sheet1!C53</f>
        <v>0</v>
      </c>
    </row>
    <row r="12" spans="1:2">
      <c r="A12" s="1" t="s">
        <v>17</v>
      </c>
      <c r="B12">
        <f>Sheet1!C54</f>
        <v>0</v>
      </c>
    </row>
    <row r="13" spans="1:2">
      <c r="A13" s="1" t="s">
        <v>106</v>
      </c>
      <c r="B13">
        <f>Sheet1!C7</f>
        <v>6</v>
      </c>
    </row>
    <row r="14" spans="1:2">
      <c r="A14" s="1" t="s">
        <v>105</v>
      </c>
      <c r="B14">
        <f>Sheet1!C8</f>
        <v>4</v>
      </c>
    </row>
    <row r="15" spans="1:2">
      <c r="A15" s="1" t="s">
        <v>27</v>
      </c>
      <c r="B15">
        <f>Sheet1!C15</f>
        <v>188.49555921538757</v>
      </c>
    </row>
    <row r="16" spans="1:2">
      <c r="A16" s="1" t="s">
        <v>30</v>
      </c>
      <c r="B16">
        <f>Sheet1!C62</f>
        <v>0</v>
      </c>
    </row>
    <row r="17" spans="1:2">
      <c r="A17" s="1" t="s">
        <v>32</v>
      </c>
      <c r="B17">
        <f>Sheet1!C17</f>
        <v>17.542446590133199</v>
      </c>
    </row>
    <row r="18" spans="1:2">
      <c r="A18" s="1" t="s">
        <v>33</v>
      </c>
      <c r="B18" t="str">
        <f>Sheet1!C9</f>
        <v>[0;</v>
      </c>
    </row>
    <row r="19" spans="1:2">
      <c r="A19" s="1" t="s">
        <v>35</v>
      </c>
      <c r="B19">
        <f>Sheet1!C5</f>
        <v>0.14000000000000001</v>
      </c>
    </row>
    <row r="20" spans="1:2">
      <c r="A20" s="1" t="s">
        <v>39</v>
      </c>
      <c r="B20">
        <f>Sheet1!C63</f>
        <v>0</v>
      </c>
    </row>
    <row r="21" spans="1:2">
      <c r="A21" s="1" t="s">
        <v>42</v>
      </c>
      <c r="B21">
        <f>Sheet1!C19</f>
        <v>0</v>
      </c>
    </row>
    <row r="22" spans="1:2">
      <c r="A22" s="1" t="s">
        <v>104</v>
      </c>
      <c r="B22">
        <f>Sheet1!C20</f>
        <v>0</v>
      </c>
    </row>
    <row r="23" spans="1:2">
      <c r="A23" s="1" t="s">
        <v>103</v>
      </c>
      <c r="B23">
        <f>Sheet1!C21</f>
        <v>0</v>
      </c>
    </row>
    <row r="24" spans="1:2">
      <c r="A24" s="1" t="s">
        <v>49</v>
      </c>
      <c r="B24">
        <f>Sheet1!C10</f>
        <v>18</v>
      </c>
    </row>
    <row r="25" spans="1:2">
      <c r="A25" s="1" t="s">
        <v>102</v>
      </c>
    </row>
    <row r="26" spans="1:2">
      <c r="A26" s="1" t="s">
        <v>101</v>
      </c>
    </row>
    <row r="27" spans="1:2">
      <c r="A27" s="1" t="s">
        <v>100</v>
      </c>
    </row>
    <row r="28" spans="1:2">
      <c r="A28" s="1" t="s">
        <v>51</v>
      </c>
    </row>
    <row r="29" spans="1:2">
      <c r="A29" s="1" t="s">
        <v>99</v>
      </c>
    </row>
    <row r="30" spans="1:2">
      <c r="A30" s="1" t="s">
        <v>55</v>
      </c>
    </row>
    <row r="31" spans="1:2">
      <c r="A31" s="1" t="s">
        <v>58</v>
      </c>
    </row>
    <row r="32" spans="1:2">
      <c r="A32" s="1" t="s">
        <v>98</v>
      </c>
    </row>
    <row r="33" spans="1:1">
      <c r="A33" s="1" t="s">
        <v>97</v>
      </c>
    </row>
    <row r="34" spans="1:1">
      <c r="A34" s="1" t="s">
        <v>96</v>
      </c>
    </row>
    <row r="35" spans="1:1">
      <c r="A35" s="1" t="s">
        <v>95</v>
      </c>
    </row>
    <row r="36" spans="1:1">
      <c r="A36" s="1" t="s">
        <v>68</v>
      </c>
    </row>
    <row r="37" spans="1:1">
      <c r="A37" s="1" t="s">
        <v>94</v>
      </c>
    </row>
    <row r="38" spans="1:1">
      <c r="A38" s="1" t="s">
        <v>93</v>
      </c>
    </row>
    <row r="39" spans="1:1">
      <c r="A39" s="1" t="s">
        <v>92</v>
      </c>
    </row>
    <row r="40" spans="1:1">
      <c r="A40" s="1" t="s">
        <v>67</v>
      </c>
    </row>
    <row r="41" spans="1:1">
      <c r="A41" s="1" t="s">
        <v>69</v>
      </c>
    </row>
    <row r="42" spans="1:1">
      <c r="A42" s="1" t="s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showWhiteSpace="0" view="pageLayout" zoomScale="70" zoomScaleNormal="100" zoomScalePageLayoutView="70" workbookViewId="0">
      <selection activeCell="K1" sqref="K1:N1048576"/>
    </sheetView>
  </sheetViews>
  <sheetFormatPr defaultRowHeight="14.4"/>
  <cols>
    <col min="1" max="2" width="11" customWidth="1"/>
    <col min="3" max="3" width="10.21875" customWidth="1"/>
    <col min="4" max="11" width="11" customWidth="1"/>
    <col min="12" max="12" width="11.44140625" hidden="1" customWidth="1"/>
    <col min="13" max="13" width="2" hidden="1" customWidth="1"/>
  </cols>
  <sheetData>
    <row r="1" spans="1:17" ht="21">
      <c r="A1" s="9" t="s">
        <v>109</v>
      </c>
      <c r="C1" s="9"/>
      <c r="D1" s="9"/>
      <c r="E1" s="9"/>
      <c r="F1" s="9"/>
      <c r="G1" s="9"/>
      <c r="H1" s="9"/>
      <c r="I1" s="9"/>
      <c r="J1" s="9"/>
      <c r="K1" s="9"/>
    </row>
    <row r="2" spans="1:17" ht="34.5" customHeight="1">
      <c r="A2" s="10"/>
      <c r="B2" s="11"/>
      <c r="C2" s="12"/>
      <c r="D2" s="58" t="s">
        <v>113</v>
      </c>
      <c r="E2" s="58"/>
      <c r="F2" s="58"/>
      <c r="G2" s="58"/>
      <c r="H2" s="58"/>
      <c r="I2" s="58"/>
      <c r="J2" s="58"/>
      <c r="K2" s="58"/>
      <c r="P2" s="28">
        <v>798.91023827144102</v>
      </c>
      <c r="Q2" s="28">
        <v>548.65643980112395</v>
      </c>
    </row>
    <row r="3" spans="1:17" ht="32.25" customHeight="1">
      <c r="A3" s="15"/>
      <c r="B3" s="16"/>
      <c r="C3" s="12"/>
      <c r="D3" s="12">
        <v>20.5</v>
      </c>
      <c r="E3" s="12">
        <v>18.5</v>
      </c>
      <c r="F3" s="12">
        <v>16.5</v>
      </c>
      <c r="G3" s="12">
        <v>14.5</v>
      </c>
      <c r="H3" s="12">
        <v>12.5</v>
      </c>
      <c r="I3" s="12">
        <v>10.5</v>
      </c>
      <c r="J3" s="12">
        <v>8.5</v>
      </c>
      <c r="K3" s="12">
        <v>6.5</v>
      </c>
      <c r="L3" t="s">
        <v>112</v>
      </c>
      <c r="M3" t="s">
        <v>111</v>
      </c>
      <c r="P3" s="32">
        <v>799.42451451373495</v>
      </c>
      <c r="Q3" s="32">
        <v>891.37240642012</v>
      </c>
    </row>
    <row r="4" spans="1:17" ht="32.25" customHeight="1">
      <c r="A4" s="59" t="s">
        <v>76</v>
      </c>
      <c r="B4" s="12">
        <v>1800</v>
      </c>
      <c r="C4" s="12">
        <f t="shared" ref="C4:C9" si="0">B4/30*PI()</f>
        <v>188.49555921538757</v>
      </c>
      <c r="D4" s="12"/>
      <c r="E4" s="12"/>
      <c r="F4" s="23">
        <f>(F$3*($B4/60/2)*(Sheet1!$C$11*Sheet1!$C$7)*100/$C4)*1000</f>
        <v>1397.1746250000003</v>
      </c>
      <c r="G4" s="12"/>
      <c r="H4" s="23">
        <f>(H$3*($B4/60/2)*(Sheet1!$C$11*Sheet1!$C$7)*100/$C4)*1000</f>
        <v>1058.4656250000003</v>
      </c>
      <c r="I4" s="12"/>
      <c r="J4" s="12"/>
      <c r="K4" s="53">
        <f>(K$3*($B4/60/2)*(Sheet1!$C$11*Sheet1!$C$7)*100/$C4)*1000</f>
        <v>550.40212500000007</v>
      </c>
      <c r="L4">
        <v>280</v>
      </c>
      <c r="M4">
        <f t="shared" ref="M4:M9" si="1">L4/C4</f>
        <v>1.4854461355243567</v>
      </c>
      <c r="N4">
        <f>K4/K3*100</f>
        <v>8467.7250000000022</v>
      </c>
      <c r="P4" s="32">
        <v>999.006887780488</v>
      </c>
      <c r="Q4" s="32">
        <v>1222.3408789756099</v>
      </c>
    </row>
    <row r="5" spans="1:17" ht="32.25" customHeight="1">
      <c r="A5" s="59"/>
      <c r="B5" s="12">
        <v>1600</v>
      </c>
      <c r="C5" s="12">
        <f t="shared" si="0"/>
        <v>167.55160819145564</v>
      </c>
      <c r="D5" s="12"/>
      <c r="E5" s="54">
        <f>(E$3*($B5/60/2)*(Sheet1!$C$11*Sheet1!$C$7)*100/$C5)*1000</f>
        <v>1566.5291250000005</v>
      </c>
      <c r="F5" s="12"/>
      <c r="G5" s="23">
        <f>(G$3*($B5/60/2)*(Sheet1!$C$11*Sheet1!$C$7)*100/$C5)*1000</f>
        <v>1227.820125</v>
      </c>
      <c r="H5" s="12"/>
      <c r="I5" s="53">
        <f>(I$3*($B5/60/2)*(Sheet1!$C$11*Sheet1!$C$7)*100/$C5)*1000</f>
        <v>889.11112500000002</v>
      </c>
      <c r="J5" s="12"/>
      <c r="K5" s="23">
        <f>(K$3*($B5/60/2)*(Sheet1!$C$11*Sheet1!$C$7)*100/$C5)*1000</f>
        <v>550.40212500000007</v>
      </c>
      <c r="L5">
        <v>277</v>
      </c>
      <c r="M5">
        <f t="shared" si="1"/>
        <v>1.6532219713670628</v>
      </c>
      <c r="N5">
        <f>J4*100/J3</f>
        <v>0</v>
      </c>
      <c r="P5" s="32">
        <v>999.04963235227297</v>
      </c>
      <c r="Q5" s="32">
        <v>724.17011857954606</v>
      </c>
    </row>
    <row r="6" spans="1:17" ht="32.25" customHeight="1">
      <c r="A6" s="59"/>
      <c r="B6" s="12">
        <v>1400</v>
      </c>
      <c r="C6" s="12">
        <f t="shared" si="0"/>
        <v>146.60765716752368</v>
      </c>
      <c r="D6" s="12"/>
      <c r="E6" s="54">
        <f>(E$3*($B6/60/2)*(Sheet1!$C$11*Sheet1!$C$7)*100/$C6)*1000</f>
        <v>1566.529125</v>
      </c>
      <c r="F6" s="12"/>
      <c r="G6" s="23">
        <f>(G$3*($B6/60/2)*(Sheet1!$C$11*Sheet1!$C$7)*100/$C6)*1000</f>
        <v>1227.820125</v>
      </c>
      <c r="H6" s="12"/>
      <c r="I6" s="12"/>
      <c r="J6" s="53">
        <f>(J$3*($B6/60/2)*(Sheet1!$C$11*Sheet1!$C$7)*100/$C6)*1000</f>
        <v>719.75662499999999</v>
      </c>
      <c r="K6" s="53">
        <f>(K$3*($B6/60/2)*(Sheet1!$C$11*Sheet1!$C$7)*100/$C6)*1000</f>
        <v>550.40212499999996</v>
      </c>
      <c r="L6">
        <v>257</v>
      </c>
      <c r="M6">
        <f t="shared" si="1"/>
        <v>1.7529780160550186</v>
      </c>
      <c r="N6">
        <f>N5*2*10</f>
        <v>0</v>
      </c>
      <c r="P6" s="32">
        <v>999.10263269117695</v>
      </c>
      <c r="Q6" s="32">
        <v>1054.5157228691901</v>
      </c>
    </row>
    <row r="7" spans="1:17" ht="32.25" customHeight="1">
      <c r="A7" s="59"/>
      <c r="B7" s="12">
        <v>1200</v>
      </c>
      <c r="C7" s="12">
        <f t="shared" si="0"/>
        <v>125.66370614359172</v>
      </c>
      <c r="D7" s="12"/>
      <c r="E7" s="54">
        <f>(E$3*($B7/60/2)*(Sheet1!$C$11*Sheet1!$C$7)*100/$C7)*1000</f>
        <v>1566.5291250000002</v>
      </c>
      <c r="F7" s="54">
        <f>(F$3*($B7/60/2)*(Sheet1!$C$11*Sheet1!$C$7)*100/$C7)*1000</f>
        <v>1397.1746250000003</v>
      </c>
      <c r="G7" s="12"/>
      <c r="H7" s="12"/>
      <c r="I7" s="23">
        <f>(I$3*($B7/60/2)*(Sheet1!$C$11*Sheet1!$C$7)*100/$C7)*1000</f>
        <v>889.11112500000002</v>
      </c>
      <c r="J7" s="12"/>
      <c r="K7" s="23">
        <f>(K$3*($B7/60/2)*(Sheet1!$C$11*Sheet1!$C$7)*100/$C7)*1000</f>
        <v>550.40212500000007</v>
      </c>
      <c r="L7">
        <v>220</v>
      </c>
      <c r="M7">
        <f t="shared" si="1"/>
        <v>1.7507043740108488</v>
      </c>
      <c r="N7">
        <v>1000</v>
      </c>
      <c r="P7" s="32">
        <v>1198.6672809069801</v>
      </c>
      <c r="Q7" s="32">
        <v>553.98948739534899</v>
      </c>
    </row>
    <row r="8" spans="1:17" ht="32.25" customHeight="1">
      <c r="A8" s="59"/>
      <c r="B8" s="12">
        <v>1000</v>
      </c>
      <c r="C8" s="12">
        <f t="shared" si="0"/>
        <v>104.71975511965978</v>
      </c>
      <c r="D8" s="12"/>
      <c r="E8" s="23">
        <f>(E$3*($B8/60/2)*(Sheet1!$C$11*Sheet1!$C$7)*100/$C8)*1000</f>
        <v>1566.5291250000002</v>
      </c>
      <c r="F8" s="38"/>
      <c r="G8" s="54"/>
      <c r="H8" s="23">
        <f>(H$3*($B8/60/2)*(Sheet1!$C$11*Sheet1!$C$7)*100/$C8)*1000</f>
        <v>1058.465625</v>
      </c>
      <c r="I8" s="12"/>
      <c r="J8" s="23">
        <f>(J$3*($B8/60/2)*(Sheet1!$C$11*Sheet1!$C$7)*100/$C8)*1000</f>
        <v>719.75662499999999</v>
      </c>
      <c r="K8" s="12"/>
      <c r="L8">
        <v>172</v>
      </c>
      <c r="M8">
        <f t="shared" si="1"/>
        <v>1.6424790127083597</v>
      </c>
      <c r="P8" s="32">
        <v>1198.8645007073201</v>
      </c>
      <c r="Q8" s="32">
        <v>1394.6764323658499</v>
      </c>
    </row>
    <row r="9" spans="1:17" ht="32.25" customHeight="1">
      <c r="A9" s="59"/>
      <c r="B9" s="12">
        <v>800</v>
      </c>
      <c r="C9" s="12">
        <f t="shared" si="0"/>
        <v>83.775804095727821</v>
      </c>
      <c r="D9" s="12"/>
      <c r="E9" s="12"/>
      <c r="F9" s="12"/>
      <c r="G9" s="37"/>
      <c r="H9" s="37"/>
      <c r="I9" s="53">
        <f>(I$3*($B9/60/2)*(Sheet1!$C$11*Sheet1!$C$7)*100/$C9)*1000</f>
        <v>889.11112500000002</v>
      </c>
      <c r="J9" s="12"/>
      <c r="K9" s="53">
        <f>(K$3*($B9/60/2)*(Sheet1!$C$11*Sheet1!$C$7)*100/$C9)*1000</f>
        <v>550.40212500000007</v>
      </c>
      <c r="L9">
        <v>110</v>
      </c>
      <c r="M9">
        <f t="shared" si="1"/>
        <v>1.3130282805081366</v>
      </c>
      <c r="P9" s="32">
        <v>1198.8876409949</v>
      </c>
      <c r="Q9" s="32">
        <v>885.57843969364001</v>
      </c>
    </row>
    <row r="10" spans="1:17">
      <c r="E10">
        <f t="shared" ref="E10:K14" si="2">E4*$C4</f>
        <v>0</v>
      </c>
      <c r="F10">
        <f t="shared" si="2"/>
        <v>263361.21226092451</v>
      </c>
      <c r="G10">
        <f t="shared" si="2"/>
        <v>0</v>
      </c>
      <c r="H10">
        <f t="shared" si="2"/>
        <v>199516.06989463978</v>
      </c>
      <c r="I10">
        <f t="shared" si="2"/>
        <v>0</v>
      </c>
      <c r="J10">
        <f t="shared" si="2"/>
        <v>0</v>
      </c>
      <c r="K10">
        <f t="shared" si="2"/>
        <v>103748.35634521267</v>
      </c>
      <c r="P10" s="32">
        <v>1198.96357746988</v>
      </c>
      <c r="Q10" s="32">
        <v>1562.7124668433701</v>
      </c>
    </row>
    <row r="11" spans="1:17">
      <c r="E11">
        <f t="shared" si="2"/>
        <v>262474.47417250392</v>
      </c>
      <c r="F11">
        <f t="shared" si="2"/>
        <v>0</v>
      </c>
      <c r="G11">
        <f t="shared" si="2"/>
        <v>205723.2365135841</v>
      </c>
      <c r="H11">
        <f t="shared" si="2"/>
        <v>0</v>
      </c>
      <c r="I11">
        <f t="shared" si="2"/>
        <v>148971.99885466436</v>
      </c>
      <c r="J11">
        <f t="shared" si="2"/>
        <v>0</v>
      </c>
      <c r="K11">
        <f t="shared" si="2"/>
        <v>92220.761195744606</v>
      </c>
      <c r="P11" s="32">
        <v>1398.8489351595499</v>
      </c>
      <c r="Q11" s="32">
        <v>559.31531528024698</v>
      </c>
    </row>
    <row r="12" spans="1:17">
      <c r="D12">
        <f>D6*$C6</f>
        <v>0</v>
      </c>
      <c r="E12">
        <f t="shared" si="2"/>
        <v>229665.16490094087</v>
      </c>
      <c r="F12">
        <f t="shared" si="2"/>
        <v>0</v>
      </c>
      <c r="G12">
        <f t="shared" si="2"/>
        <v>180007.83194938608</v>
      </c>
      <c r="H12">
        <f t="shared" si="2"/>
        <v>0</v>
      </c>
      <c r="I12">
        <f t="shared" si="2"/>
        <v>0</v>
      </c>
      <c r="J12">
        <f t="shared" si="2"/>
        <v>105521.8325220539</v>
      </c>
      <c r="K12">
        <f t="shared" si="2"/>
        <v>80693.166046276514</v>
      </c>
      <c r="P12" s="32">
        <v>1400.3606147804901</v>
      </c>
      <c r="Q12" s="32">
        <v>1548.9880704146301</v>
      </c>
    </row>
    <row r="13" spans="1:17">
      <c r="D13">
        <f>D7*$C7</f>
        <v>0</v>
      </c>
      <c r="E13">
        <f t="shared" si="2"/>
        <v>196855.85562937791</v>
      </c>
      <c r="F13">
        <f t="shared" si="2"/>
        <v>175574.141507283</v>
      </c>
      <c r="G13">
        <f t="shared" si="2"/>
        <v>0</v>
      </c>
      <c r="H13">
        <f t="shared" si="2"/>
        <v>0</v>
      </c>
      <c r="I13">
        <f t="shared" si="2"/>
        <v>111728.99914099825</v>
      </c>
      <c r="J13">
        <f t="shared" si="2"/>
        <v>0</v>
      </c>
      <c r="K13">
        <f t="shared" si="2"/>
        <v>69165.570896808451</v>
      </c>
      <c r="P13" s="32">
        <v>1401.14707538216</v>
      </c>
      <c r="Q13" s="32">
        <v>722.39400133817605</v>
      </c>
    </row>
    <row r="14" spans="1:17">
      <c r="E14">
        <f t="shared" si="2"/>
        <v>164046.54635781492</v>
      </c>
      <c r="F14">
        <f t="shared" si="2"/>
        <v>0</v>
      </c>
      <c r="G14">
        <f t="shared" si="2"/>
        <v>0</v>
      </c>
      <c r="H14">
        <f t="shared" si="2"/>
        <v>110842.26105257764</v>
      </c>
      <c r="I14">
        <f t="shared" si="2"/>
        <v>0</v>
      </c>
      <c r="J14">
        <f t="shared" si="2"/>
        <v>75372.737515752786</v>
      </c>
      <c r="K14">
        <f t="shared" si="2"/>
        <v>0</v>
      </c>
      <c r="P14" s="32">
        <v>1403.59711227907</v>
      </c>
      <c r="Q14" s="32">
        <v>1240.07021687209</v>
      </c>
    </row>
    <row r="15" spans="1:17">
      <c r="G15">
        <f>G9*$C9</f>
        <v>0</v>
      </c>
      <c r="H15">
        <f>H9*$C9</f>
        <v>0</v>
      </c>
      <c r="I15">
        <f>I9*$C9</f>
        <v>74485.999427332179</v>
      </c>
      <c r="J15">
        <f>J9*$C9</f>
        <v>0</v>
      </c>
      <c r="K15">
        <f>K9*$C9</f>
        <v>46110.380597872303</v>
      </c>
      <c r="P15" s="32">
        <v>1598.5223451975301</v>
      </c>
      <c r="Q15" s="32">
        <v>1557.5643262962999</v>
      </c>
    </row>
    <row r="16" spans="1:17"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P16" s="32">
        <v>1598.7568733023199</v>
      </c>
      <c r="Q16" s="32">
        <v>549.12107009302304</v>
      </c>
    </row>
    <row r="17" spans="2:25" ht="15" thickBot="1">
      <c r="E17">
        <v>1.5665291250000002</v>
      </c>
      <c r="F17">
        <v>1.3971746250000003</v>
      </c>
      <c r="G17">
        <v>1.227820125</v>
      </c>
      <c r="H17">
        <v>1.0584656250000002</v>
      </c>
      <c r="I17">
        <v>0.889111125</v>
      </c>
      <c r="J17">
        <v>0.71975662500000015</v>
      </c>
      <c r="K17">
        <v>0.55040212500000008</v>
      </c>
      <c r="L17">
        <v>0.55040212499999996</v>
      </c>
      <c r="P17" s="32">
        <v>1599.1848142056899</v>
      </c>
      <c r="Q17" s="32">
        <v>883.30485231150794</v>
      </c>
    </row>
    <row r="18" spans="2:25" ht="15" thickBot="1">
      <c r="B18">
        <v>9</v>
      </c>
      <c r="C18">
        <v>6</v>
      </c>
      <c r="D18">
        <v>1800</v>
      </c>
      <c r="E18" s="20"/>
      <c r="F18" s="20">
        <v>16</v>
      </c>
      <c r="G18" s="18"/>
      <c r="H18" s="21">
        <v>9</v>
      </c>
      <c r="I18" s="18"/>
      <c r="J18" s="18"/>
      <c r="K18" s="21">
        <v>4</v>
      </c>
      <c r="P18" s="32">
        <v>1599.27545799473</v>
      </c>
      <c r="Q18" s="32">
        <v>1229.13756327136</v>
      </c>
    </row>
    <row r="19" spans="2:25" ht="15" thickBot="1">
      <c r="B19">
        <v>8</v>
      </c>
      <c r="C19">
        <v>5</v>
      </c>
      <c r="D19">
        <v>1600</v>
      </c>
      <c r="E19" s="20">
        <v>17</v>
      </c>
      <c r="F19" s="20"/>
      <c r="G19" s="21">
        <v>10</v>
      </c>
      <c r="H19" s="18"/>
      <c r="I19" s="21">
        <v>5</v>
      </c>
      <c r="J19" s="18"/>
      <c r="K19" s="18">
        <v>13</v>
      </c>
      <c r="P19" s="32">
        <v>1796.8961723278701</v>
      </c>
      <c r="Q19" s="32">
        <v>1416.7171247868901</v>
      </c>
    </row>
    <row r="20" spans="2:25" ht="15" thickBot="1">
      <c r="B20">
        <v>7</v>
      </c>
      <c r="C20">
        <v>4</v>
      </c>
      <c r="D20">
        <v>1400</v>
      </c>
      <c r="E20" s="20">
        <v>18</v>
      </c>
      <c r="F20" s="20"/>
      <c r="G20" s="18">
        <v>14</v>
      </c>
      <c r="H20" s="18"/>
      <c r="I20" s="18"/>
      <c r="J20" s="21">
        <v>6</v>
      </c>
      <c r="K20" s="21">
        <v>3</v>
      </c>
      <c r="P20" s="32">
        <v>1799.203633074</v>
      </c>
      <c r="Q20" s="32">
        <v>551.21338566865302</v>
      </c>
    </row>
    <row r="21" spans="2:25" ht="15" thickBot="1">
      <c r="B21">
        <v>6</v>
      </c>
      <c r="C21">
        <v>3</v>
      </c>
      <c r="D21">
        <v>1200</v>
      </c>
      <c r="E21" s="20">
        <v>19</v>
      </c>
      <c r="F21" s="18">
        <v>15</v>
      </c>
      <c r="G21" s="18"/>
      <c r="H21" s="18"/>
      <c r="I21" s="22">
        <v>7</v>
      </c>
      <c r="J21" s="18"/>
      <c r="K21" s="18">
        <v>12</v>
      </c>
      <c r="P21" s="32">
        <v>1799.3838367568401</v>
      </c>
      <c r="Q21" s="32">
        <v>1053.54275880974</v>
      </c>
    </row>
    <row r="22" spans="2:25" ht="15" thickBot="1">
      <c r="B22">
        <v>5</v>
      </c>
      <c r="C22">
        <v>2</v>
      </c>
      <c r="D22">
        <v>1000</v>
      </c>
      <c r="E22" s="19"/>
      <c r="G22" s="20">
        <v>20</v>
      </c>
      <c r="H22" s="21">
        <v>8</v>
      </c>
      <c r="I22" s="18"/>
      <c r="J22" s="18">
        <v>11</v>
      </c>
      <c r="K22" s="18"/>
    </row>
    <row r="23" spans="2:25" ht="15" thickBot="1">
      <c r="B23">
        <v>4</v>
      </c>
      <c r="C23">
        <v>1</v>
      </c>
      <c r="D23">
        <v>800</v>
      </c>
      <c r="G23" s="17"/>
      <c r="H23" s="17"/>
      <c r="I23" s="21">
        <v>2</v>
      </c>
      <c r="J23" s="18"/>
      <c r="K23" s="21">
        <v>1</v>
      </c>
    </row>
    <row r="25" spans="2:25">
      <c r="D25" t="s">
        <v>137</v>
      </c>
    </row>
    <row r="26" spans="2:25" ht="15" thickBot="1">
      <c r="E26">
        <v>1.5665291250000002</v>
      </c>
      <c r="F26">
        <v>1.3971746250000003</v>
      </c>
      <c r="G26">
        <v>1.227820125</v>
      </c>
      <c r="H26">
        <v>1.0584656250000002</v>
      </c>
      <c r="I26">
        <v>0.889111125</v>
      </c>
      <c r="J26">
        <v>0.71975662500000015</v>
      </c>
      <c r="K26">
        <v>0.55040212500000008</v>
      </c>
    </row>
    <row r="27" spans="2:25" ht="15" thickBot="1">
      <c r="D27">
        <v>1800</v>
      </c>
      <c r="E27" s="20"/>
      <c r="F27" s="20">
        <v>0.5</v>
      </c>
      <c r="G27" s="18"/>
      <c r="H27" s="21">
        <v>0</v>
      </c>
      <c r="I27" s="18"/>
      <c r="J27" s="18"/>
      <c r="K27" s="21">
        <v>1.5</v>
      </c>
    </row>
    <row r="28" spans="2:25" ht="15" thickBot="1">
      <c r="D28">
        <v>1600</v>
      </c>
      <c r="E28" s="20">
        <v>-2.5</v>
      </c>
      <c r="F28" s="20"/>
      <c r="G28" s="21">
        <v>-3</v>
      </c>
      <c r="H28" s="18"/>
      <c r="I28" s="21">
        <v>-3</v>
      </c>
      <c r="J28" s="18"/>
      <c r="K28" s="18">
        <v>-2.5</v>
      </c>
    </row>
    <row r="29" spans="2:25" ht="15" thickBot="1">
      <c r="D29">
        <v>1400</v>
      </c>
      <c r="E29" s="20">
        <v>-0.5</v>
      </c>
      <c r="F29" s="20"/>
      <c r="G29" s="18">
        <v>-1.5</v>
      </c>
      <c r="H29" s="18"/>
      <c r="I29" s="18"/>
      <c r="J29" s="21">
        <v>-3</v>
      </c>
      <c r="K29" s="21">
        <v>-2</v>
      </c>
    </row>
    <row r="30" spans="2:25" ht="21.6" thickBot="1">
      <c r="D30">
        <v>1200</v>
      </c>
      <c r="E30" s="20">
        <v>0</v>
      </c>
      <c r="F30" s="18">
        <v>-1</v>
      </c>
      <c r="G30" s="18"/>
      <c r="H30" s="18"/>
      <c r="I30" s="22">
        <v>-2</v>
      </c>
      <c r="J30" s="18"/>
      <c r="K30" s="18">
        <v>-0.5</v>
      </c>
      <c r="Q30" s="10"/>
      <c r="R30" s="11"/>
      <c r="S30" s="55" t="s">
        <v>254</v>
      </c>
      <c r="T30" s="56"/>
      <c r="U30" s="56"/>
      <c r="V30" s="56"/>
      <c r="W30" s="56"/>
      <c r="X30" s="56"/>
      <c r="Y30" s="57"/>
    </row>
    <row r="31" spans="2:25" ht="22.2" thickTop="1" thickBot="1">
      <c r="D31">
        <v>1000</v>
      </c>
      <c r="E31" s="19"/>
      <c r="G31" s="20">
        <v>0.5</v>
      </c>
      <c r="H31" s="21">
        <v>-1</v>
      </c>
      <c r="I31" s="18"/>
      <c r="J31" s="18">
        <v>0</v>
      </c>
      <c r="K31" s="18"/>
      <c r="Q31" s="61" t="s">
        <v>255</v>
      </c>
      <c r="R31" s="62"/>
      <c r="S31" s="41">
        <v>18.5</v>
      </c>
      <c r="T31" s="41">
        <v>16.5</v>
      </c>
      <c r="U31" s="41">
        <v>14.5</v>
      </c>
      <c r="V31" s="41">
        <v>12.5</v>
      </c>
      <c r="W31" s="41">
        <v>10.5</v>
      </c>
      <c r="X31" s="41">
        <v>8.5</v>
      </c>
      <c r="Y31" s="41">
        <v>6.5</v>
      </c>
    </row>
    <row r="32" spans="2:25" ht="21.6" thickBot="1">
      <c r="D32">
        <v>800</v>
      </c>
      <c r="G32" s="17"/>
      <c r="H32" s="17"/>
      <c r="I32" s="21">
        <v>-3.5</v>
      </c>
      <c r="J32" s="18"/>
      <c r="K32" s="21">
        <v>-1</v>
      </c>
      <c r="Q32" s="60" t="s">
        <v>76</v>
      </c>
      <c r="R32" s="39">
        <v>1800</v>
      </c>
      <c r="S32" s="39"/>
      <c r="T32" s="40">
        <v>1397.1746250000003</v>
      </c>
      <c r="U32" s="39"/>
      <c r="V32" s="40">
        <v>1058.4656250000003</v>
      </c>
      <c r="W32" s="39"/>
      <c r="X32" s="39"/>
      <c r="Y32" s="40">
        <v>550.40212500000007</v>
      </c>
    </row>
    <row r="33" spans="17:25" ht="21">
      <c r="Q33" s="59"/>
      <c r="R33" s="12">
        <v>1600</v>
      </c>
      <c r="S33" s="23">
        <v>1566.5291250000005</v>
      </c>
      <c r="T33" s="12"/>
      <c r="U33" s="23">
        <v>1227.820125</v>
      </c>
      <c r="V33" s="12"/>
      <c r="W33" s="23">
        <v>889.11112500000002</v>
      </c>
      <c r="X33" s="12"/>
      <c r="Y33" s="23">
        <v>550.40212500000007</v>
      </c>
    </row>
    <row r="34" spans="17:25" ht="21">
      <c r="Q34" s="59"/>
      <c r="R34" s="12">
        <v>1400</v>
      </c>
      <c r="S34" s="23">
        <v>1566.529125</v>
      </c>
      <c r="T34" s="12"/>
      <c r="U34" s="23">
        <v>1227.820125</v>
      </c>
      <c r="V34" s="12"/>
      <c r="W34" s="12"/>
      <c r="X34" s="23">
        <v>719.75662499999999</v>
      </c>
      <c r="Y34" s="23">
        <v>550.40212499999996</v>
      </c>
    </row>
    <row r="35" spans="17:25" ht="21">
      <c r="Q35" s="59"/>
      <c r="R35" s="12">
        <v>1200</v>
      </c>
      <c r="S35" s="23">
        <v>1566.5291250000002</v>
      </c>
      <c r="T35" s="23">
        <v>1397.1746250000003</v>
      </c>
      <c r="U35" s="12"/>
      <c r="V35" s="12"/>
      <c r="W35" s="23">
        <v>889.11112500000002</v>
      </c>
      <c r="X35" s="12"/>
      <c r="Y35" s="23">
        <v>550.40212500000007</v>
      </c>
    </row>
    <row r="36" spans="17:25" ht="21">
      <c r="Q36" s="59"/>
      <c r="R36" s="12">
        <v>1000</v>
      </c>
      <c r="S36" s="23">
        <v>1566.5291250000002</v>
      </c>
      <c r="T36" s="38"/>
      <c r="U36" s="12"/>
      <c r="V36" s="23">
        <v>1058.465625</v>
      </c>
      <c r="W36" s="12"/>
      <c r="X36" s="23">
        <v>719.75662499999999</v>
      </c>
      <c r="Y36" s="12"/>
    </row>
    <row r="37" spans="17:25" ht="21">
      <c r="Q37" s="59"/>
      <c r="R37" s="12">
        <v>800</v>
      </c>
      <c r="S37" s="12"/>
      <c r="T37" s="12"/>
      <c r="U37" s="37"/>
      <c r="V37" s="37"/>
      <c r="W37" s="23">
        <v>889.11112500000002</v>
      </c>
      <c r="X37" s="12"/>
      <c r="Y37" s="23">
        <v>550.40212500000007</v>
      </c>
    </row>
  </sheetData>
  <sortState ref="P2:Q23">
    <sortCondition ref="P2:P23"/>
  </sortState>
  <mergeCells count="5">
    <mergeCell ref="S30:Y30"/>
    <mergeCell ref="D2:K2"/>
    <mergeCell ref="A4:A9"/>
    <mergeCell ref="Q32:Q37"/>
    <mergeCell ref="Q31:R31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showWhiteSpace="0" zoomScale="70" zoomScaleNormal="70" zoomScalePageLayoutView="70" workbookViewId="0">
      <selection activeCell="J18" sqref="J18"/>
    </sheetView>
  </sheetViews>
  <sheetFormatPr defaultRowHeight="14.4"/>
  <cols>
    <col min="1" max="2" width="11" customWidth="1"/>
    <col min="3" max="5" width="10.21875" customWidth="1"/>
    <col min="6" max="20" width="11" customWidth="1"/>
    <col min="21" max="21" width="11.44140625" hidden="1" customWidth="1"/>
    <col min="22" max="22" width="2" hidden="1" customWidth="1"/>
  </cols>
  <sheetData>
    <row r="1" spans="1:26" ht="21">
      <c r="A1" s="9" t="s">
        <v>109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6" ht="34.5" customHeight="1">
      <c r="A2" s="10"/>
      <c r="B2" s="11"/>
      <c r="C2" s="12"/>
      <c r="D2" s="12"/>
      <c r="E2" s="12"/>
      <c r="F2" s="58" t="s">
        <v>113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Y2" s="28">
        <v>798.91023827144102</v>
      </c>
      <c r="Z2" s="28">
        <v>548.65643980112395</v>
      </c>
    </row>
    <row r="3" spans="1:26" ht="32.25" customHeight="1">
      <c r="A3" s="15"/>
      <c r="B3" s="16"/>
      <c r="C3" s="12"/>
      <c r="D3" s="12">
        <v>20</v>
      </c>
      <c r="E3" s="12">
        <v>19</v>
      </c>
      <c r="F3" s="12">
        <v>18</v>
      </c>
      <c r="G3" s="12">
        <v>17</v>
      </c>
      <c r="H3" s="12">
        <v>16</v>
      </c>
      <c r="I3" s="12">
        <v>15</v>
      </c>
      <c r="J3" s="12">
        <v>14</v>
      </c>
      <c r="K3" s="12">
        <v>13</v>
      </c>
      <c r="L3" s="12">
        <v>12</v>
      </c>
      <c r="M3" s="12">
        <v>11</v>
      </c>
      <c r="N3" s="12">
        <v>10</v>
      </c>
      <c r="O3" s="12">
        <v>9</v>
      </c>
      <c r="P3" s="12">
        <v>8</v>
      </c>
      <c r="Q3" s="12">
        <v>7</v>
      </c>
      <c r="R3" s="12">
        <v>6</v>
      </c>
      <c r="S3" s="12">
        <v>5</v>
      </c>
      <c r="T3" s="12">
        <v>4</v>
      </c>
      <c r="U3" t="s">
        <v>112</v>
      </c>
      <c r="V3" t="s">
        <v>111</v>
      </c>
      <c r="Y3" s="32">
        <v>799.42451451373495</v>
      </c>
      <c r="Z3" s="32">
        <v>891.37240642012</v>
      </c>
    </row>
    <row r="4" spans="1:26" ht="32.25" customHeight="1">
      <c r="A4" s="59" t="s">
        <v>76</v>
      </c>
      <c r="B4" s="12">
        <v>1800</v>
      </c>
      <c r="C4" s="12">
        <f t="shared" ref="C4:C14" si="0">B4/30*PI()</f>
        <v>188.49555921538757</v>
      </c>
      <c r="D4" s="53">
        <f>(D$3*($B4/60/2)*(Sheet1!$C$11*Sheet1!$C$7)*100/$C4)*1000</f>
        <v>1693.5450000000003</v>
      </c>
      <c r="E4" s="53">
        <f>(E$3*($B4/60/2)*(Sheet1!$C$11*Sheet1!$C$7)*100/$C4)*1000</f>
        <v>1608.8677500000001</v>
      </c>
      <c r="F4" s="53">
        <f>(F$3*($B4/60/2)*(Sheet1!$C$11*Sheet1!$C$7)*100/$C4)*1000</f>
        <v>1524.1905000000002</v>
      </c>
      <c r="G4" s="53">
        <f>(G$3*($B4/60/2)*(Sheet1!$C$11*Sheet1!$C$7)*100/$C4)*1000</f>
        <v>1439.5132500000002</v>
      </c>
      <c r="H4" s="53">
        <f>(H$3*($B4/60/2)*(Sheet1!$C$11*Sheet1!$C$7)*100/$C4)*1000</f>
        <v>1354.8360000000005</v>
      </c>
      <c r="I4" s="53">
        <f>(I$3*($B4/60/2)*(Sheet1!$C$11*Sheet1!$C$7)*100/$C4)*1000</f>
        <v>1270.1587500000005</v>
      </c>
      <c r="J4" s="53">
        <f>(J$3*($B4/60/2)*(Sheet1!$C$11*Sheet1!$C$7)*100/$C4)*1000</f>
        <v>1185.4815000000001</v>
      </c>
      <c r="K4" s="53">
        <f>(K$3*($B4/60/2)*(Sheet1!$C$11*Sheet1!$C$7)*100/$C4)*1000</f>
        <v>1100.8042500000001</v>
      </c>
      <c r="L4" s="53">
        <f>(L$3*($B4/60/2)*(Sheet1!$C$11*Sheet1!$C$7)*100/$C4)*1000</f>
        <v>1016.1270000000002</v>
      </c>
      <c r="M4" s="53">
        <f>(M$3*($B4/60/2)*(Sheet1!$C$11*Sheet1!$C$7)*100/$C4)*1000</f>
        <v>931.44975000000034</v>
      </c>
      <c r="N4" s="53">
        <f>(N$3*($B4/60/2)*(Sheet1!$C$11*Sheet1!$C$7)*100/$C4)*1000</f>
        <v>846.77250000000015</v>
      </c>
      <c r="O4" s="53">
        <f>(O$3*($B4/60/2)*(Sheet1!$C$11*Sheet1!$C$7)*100/$C4)*1000</f>
        <v>762.09525000000008</v>
      </c>
      <c r="P4" s="53">
        <f>(P$3*($B4/60/2)*(Sheet1!$C$11*Sheet1!$C$7)*100/$C4)*1000</f>
        <v>677.41800000000023</v>
      </c>
      <c r="Q4" s="53">
        <f>(Q$3*($B4/60/2)*(Sheet1!$C$11*Sheet1!$C$7)*100/$C4)*1000</f>
        <v>592.74075000000005</v>
      </c>
      <c r="R4" s="53">
        <f>(R$3*($B4/60/2)*(Sheet1!$C$11*Sheet1!$C$7)*100/$C4)*1000</f>
        <v>508.06350000000009</v>
      </c>
      <c r="S4" s="53">
        <f>(S$3*($B4/60/2)*(Sheet1!$C$11*Sheet1!$C$7)*100/$C4)*1000</f>
        <v>423.38625000000008</v>
      </c>
      <c r="T4" s="53">
        <f>(T$3*($B4/60/2)*(Sheet1!$C$11*Sheet1!$C$7)*100/$C4)*1000</f>
        <v>338.70900000000012</v>
      </c>
      <c r="U4">
        <v>280</v>
      </c>
      <c r="V4">
        <f t="shared" ref="V4:V14" si="1">U4/C4</f>
        <v>1.4854461355243567</v>
      </c>
      <c r="W4">
        <f>T4/T3*100</f>
        <v>8467.7250000000022</v>
      </c>
      <c r="Y4" s="32">
        <v>999.006887780488</v>
      </c>
      <c r="Z4" s="32">
        <v>1222.3408789756099</v>
      </c>
    </row>
    <row r="5" spans="1:26" ht="32.25" customHeight="1">
      <c r="A5" s="59"/>
      <c r="B5" s="12">
        <v>1600</v>
      </c>
      <c r="C5" s="12">
        <f t="shared" si="0"/>
        <v>167.55160819145564</v>
      </c>
      <c r="D5" s="53">
        <f>(D$3*($B5/60/2)*(Sheet1!$C$11*Sheet1!$C$7)*100/$C5)*1000</f>
        <v>1693.5450000000003</v>
      </c>
      <c r="E5" s="53">
        <f>(E$3*($B5/60/2)*(Sheet1!$C$11*Sheet1!$C$7)*100/$C5)*1000</f>
        <v>1608.8677500000001</v>
      </c>
      <c r="F5" s="53">
        <f>(F$3*($B5/60/2)*(Sheet1!$C$11*Sheet1!$C$7)*100/$C5)*1000</f>
        <v>1524.1905000000002</v>
      </c>
      <c r="G5" s="53">
        <f>(G$3*($B5/60/2)*(Sheet1!$C$11*Sheet1!$C$7)*100/$C5)*1000</f>
        <v>1439.51325</v>
      </c>
      <c r="H5" s="53">
        <f>(H$3*($B5/60/2)*(Sheet1!$C$11*Sheet1!$C$7)*100/$C5)*1000</f>
        <v>1354.836</v>
      </c>
      <c r="I5" s="53">
        <f>(I$3*($B5/60/2)*(Sheet1!$C$11*Sheet1!$C$7)*100/$C5)*1000</f>
        <v>1270.1587500000001</v>
      </c>
      <c r="J5" s="53">
        <f>(J$3*($B5/60/2)*(Sheet1!$C$11*Sheet1!$C$7)*100/$C5)*1000</f>
        <v>1185.4815000000003</v>
      </c>
      <c r="K5" s="53">
        <f>(K$3*($B5/60/2)*(Sheet1!$C$11*Sheet1!$C$7)*100/$C5)*1000</f>
        <v>1100.8042500000001</v>
      </c>
      <c r="L5" s="53">
        <f>(L$3*($B5/60/2)*(Sheet1!$C$11*Sheet1!$C$7)*100/$C5)*1000</f>
        <v>1016.127</v>
      </c>
      <c r="M5" s="53">
        <f>(M$3*($B5/60/2)*(Sheet1!$C$11*Sheet1!$C$7)*100/$C5)*1000</f>
        <v>931.44975000000022</v>
      </c>
      <c r="N5" s="53">
        <f>(N$3*($B5/60/2)*(Sheet1!$C$11*Sheet1!$C$7)*100/$C5)*1000</f>
        <v>846.77250000000015</v>
      </c>
      <c r="O5" s="53">
        <f>(O$3*($B5/60/2)*(Sheet1!$C$11*Sheet1!$C$7)*100/$C5)*1000</f>
        <v>762.09525000000008</v>
      </c>
      <c r="P5" s="53">
        <f>(P$3*($B5/60/2)*(Sheet1!$C$11*Sheet1!$C$7)*100/$C5)*1000</f>
        <v>677.41800000000001</v>
      </c>
      <c r="Q5" s="53">
        <f>(Q$3*($B5/60/2)*(Sheet1!$C$11*Sheet1!$C$7)*100/$C5)*1000</f>
        <v>592.74075000000016</v>
      </c>
      <c r="R5" s="53">
        <f>(R$3*($B5/60/2)*(Sheet1!$C$11*Sheet1!$C$7)*100/$C5)*1000</f>
        <v>508.06349999999998</v>
      </c>
      <c r="S5" s="53">
        <f>(S$3*($B5/60/2)*(Sheet1!$C$11*Sheet1!$C$7)*100/$C5)*1000</f>
        <v>423.38625000000008</v>
      </c>
      <c r="T5" s="53">
        <f>(T$3*($B5/60/2)*(Sheet1!$C$11*Sheet1!$C$7)*100/$C5)*1000</f>
        <v>338.709</v>
      </c>
      <c r="Y5" s="32"/>
      <c r="Z5" s="32"/>
    </row>
    <row r="6" spans="1:26" ht="32.25" customHeight="1">
      <c r="A6" s="59"/>
      <c r="B6" s="12">
        <v>1600</v>
      </c>
      <c r="C6" s="12">
        <f t="shared" si="0"/>
        <v>167.55160819145564</v>
      </c>
      <c r="D6" s="53">
        <f>(D$3*($B6/60/2)*(Sheet1!$C$11*Sheet1!$C$7)*100/$C6)*1000</f>
        <v>1693.5450000000003</v>
      </c>
      <c r="E6" s="53">
        <f>(E$3*($B6/60/2)*(Sheet1!$C$11*Sheet1!$C$7)*100/$C6)*1000</f>
        <v>1608.8677500000001</v>
      </c>
      <c r="F6" s="53">
        <f>(F$3*($B6/60/2)*(Sheet1!$C$11*Sheet1!$C$7)*100/$C6)*1000</f>
        <v>1524.1905000000002</v>
      </c>
      <c r="G6" s="53">
        <f>(G$3*($B6/60/2)*(Sheet1!$C$11*Sheet1!$C$7)*100/$C6)*1000</f>
        <v>1439.51325</v>
      </c>
      <c r="H6" s="53">
        <f>(H$3*($B6/60/2)*(Sheet1!$C$11*Sheet1!$C$7)*100/$C6)*1000</f>
        <v>1354.836</v>
      </c>
      <c r="I6" s="53">
        <f>(I$3*($B6/60/2)*(Sheet1!$C$11*Sheet1!$C$7)*100/$C6)*1000</f>
        <v>1270.1587500000001</v>
      </c>
      <c r="J6" s="53">
        <f>(J$3*($B6/60/2)*(Sheet1!$C$11*Sheet1!$C$7)*100/$C6)*1000</f>
        <v>1185.4815000000003</v>
      </c>
      <c r="K6" s="53">
        <f>(K$3*($B6/60/2)*(Sheet1!$C$11*Sheet1!$C$7)*100/$C6)*1000</f>
        <v>1100.8042500000001</v>
      </c>
      <c r="L6" s="53">
        <f>(L$3*($B6/60/2)*(Sheet1!$C$11*Sheet1!$C$7)*100/$C6)*1000</f>
        <v>1016.127</v>
      </c>
      <c r="M6" s="53">
        <f>(M$3*($B6/60/2)*(Sheet1!$C$11*Sheet1!$C$7)*100/$C6)*1000</f>
        <v>931.44975000000022</v>
      </c>
      <c r="N6" s="53">
        <f>(N$3*($B6/60/2)*(Sheet1!$C$11*Sheet1!$C$7)*100/$C6)*1000</f>
        <v>846.77250000000015</v>
      </c>
      <c r="O6" s="53">
        <f>(O$3*($B6/60/2)*(Sheet1!$C$11*Sheet1!$C$7)*100/$C6)*1000</f>
        <v>762.09525000000008</v>
      </c>
      <c r="P6" s="53">
        <f>(P$3*($B6/60/2)*(Sheet1!$C$11*Sheet1!$C$7)*100/$C6)*1000</f>
        <v>677.41800000000001</v>
      </c>
      <c r="Q6" s="53">
        <f>(Q$3*($B6/60/2)*(Sheet1!$C$11*Sheet1!$C$7)*100/$C6)*1000</f>
        <v>592.74075000000016</v>
      </c>
      <c r="R6" s="53">
        <f>(R$3*($B6/60/2)*(Sheet1!$C$11*Sheet1!$C$7)*100/$C6)*1000</f>
        <v>508.06349999999998</v>
      </c>
      <c r="S6" s="53">
        <f>(S$3*($B6/60/2)*(Sheet1!$C$11*Sheet1!$C$7)*100/$C6)*1000</f>
        <v>423.38625000000008</v>
      </c>
      <c r="T6" s="53">
        <f>(T$3*($B6/60/2)*(Sheet1!$C$11*Sheet1!$C$7)*100/$C6)*1000</f>
        <v>338.709</v>
      </c>
      <c r="U6">
        <v>277</v>
      </c>
      <c r="V6">
        <f t="shared" si="1"/>
        <v>1.6532219713670628</v>
      </c>
      <c r="W6">
        <f>Q4*100/Q3</f>
        <v>8467.7250000000004</v>
      </c>
      <c r="Y6" s="32">
        <v>999.04963235227297</v>
      </c>
      <c r="Z6" s="32">
        <v>724.17011857954606</v>
      </c>
    </row>
    <row r="7" spans="1:26" ht="32.25" customHeight="1">
      <c r="A7" s="59"/>
      <c r="B7" s="12">
        <v>1500</v>
      </c>
      <c r="C7" s="12">
        <f t="shared" si="0"/>
        <v>157.07963267948966</v>
      </c>
      <c r="D7" s="53">
        <f>(D$3*($B7/60/2)*(Sheet1!$C$11*Sheet1!$C$7)*100/$C7)*1000</f>
        <v>1693.5450000000003</v>
      </c>
      <c r="E7" s="53">
        <f>(E$3*($B7/60/2)*(Sheet1!$C$11*Sheet1!$C$7)*100/$C7)*1000</f>
        <v>1608.8677500000001</v>
      </c>
      <c r="F7" s="53">
        <f>(F$3*($B7/60/2)*(Sheet1!$C$11*Sheet1!$C$7)*100/$C7)*1000</f>
        <v>1524.1905000000002</v>
      </c>
      <c r="G7" s="53">
        <f>(G$3*($B7/60/2)*(Sheet1!$C$11*Sheet1!$C$7)*100/$C7)*1000</f>
        <v>1439.5132499999997</v>
      </c>
      <c r="H7" s="53">
        <f>(H$3*($B7/60/2)*(Sheet1!$C$11*Sheet1!$C$7)*100/$C7)*1000</f>
        <v>1354.836</v>
      </c>
      <c r="I7" s="53">
        <f>(I$3*($B7/60/2)*(Sheet1!$C$11*Sheet1!$C$7)*100/$C7)*1000</f>
        <v>1270.1587500000001</v>
      </c>
      <c r="J7" s="53">
        <f>(J$3*($B7/60/2)*(Sheet1!$C$11*Sheet1!$C$7)*100/$C7)*1000</f>
        <v>1185.4815000000001</v>
      </c>
      <c r="K7" s="53">
        <f>(K$3*($B7/60/2)*(Sheet1!$C$11*Sheet1!$C$7)*100/$C7)*1000</f>
        <v>1100.8042500000001</v>
      </c>
      <c r="L7" s="53">
        <f>(L$3*($B7/60/2)*(Sheet1!$C$11*Sheet1!$C$7)*100/$C7)*1000</f>
        <v>1016.127</v>
      </c>
      <c r="M7" s="53">
        <f>(M$3*($B7/60/2)*(Sheet1!$C$11*Sheet1!$C$7)*100/$C7)*1000</f>
        <v>931.44975000000011</v>
      </c>
      <c r="N7" s="53">
        <f>(N$3*($B7/60/2)*(Sheet1!$C$11*Sheet1!$C$7)*100/$C7)*1000</f>
        <v>846.77250000000015</v>
      </c>
      <c r="O7" s="53">
        <f>(O$3*($B7/60/2)*(Sheet1!$C$11*Sheet1!$C$7)*100/$C7)*1000</f>
        <v>762.09525000000008</v>
      </c>
      <c r="P7" s="53">
        <f>(P$3*($B7/60/2)*(Sheet1!$C$11*Sheet1!$C$7)*100/$C7)*1000</f>
        <v>677.41800000000001</v>
      </c>
      <c r="Q7" s="53">
        <f>(Q$3*($B7/60/2)*(Sheet1!$C$11*Sheet1!$C$7)*100/$C7)*1000</f>
        <v>592.74075000000005</v>
      </c>
      <c r="R7" s="53">
        <f>(R$3*($B7/60/2)*(Sheet1!$C$11*Sheet1!$C$7)*100/$C7)*1000</f>
        <v>508.06349999999998</v>
      </c>
      <c r="S7" s="53">
        <f>(S$3*($B7/60/2)*(Sheet1!$C$11*Sheet1!$C$7)*100/$C7)*1000</f>
        <v>423.38625000000008</v>
      </c>
      <c r="T7" s="53">
        <f>(T$3*($B7/60/2)*(Sheet1!$C$11*Sheet1!$C$7)*100/$C7)*1000</f>
        <v>338.709</v>
      </c>
      <c r="Y7" s="32"/>
      <c r="Z7" s="32"/>
    </row>
    <row r="8" spans="1:26" ht="32.25" customHeight="1">
      <c r="A8" s="59"/>
      <c r="B8" s="12">
        <v>1400</v>
      </c>
      <c r="C8" s="12">
        <f t="shared" si="0"/>
        <v>146.60765716752368</v>
      </c>
      <c r="D8" s="53">
        <f>(D$3*($B8/60/2)*(Sheet1!$C$11*Sheet1!$C$7)*100/$C8)*1000</f>
        <v>1693.5450000000001</v>
      </c>
      <c r="E8" s="53">
        <f>(E$3*($B8/60/2)*(Sheet1!$C$11*Sheet1!$C$7)*100/$C8)*1000</f>
        <v>1608.8677500000001</v>
      </c>
      <c r="F8" s="53">
        <f>(F$3*($B8/60/2)*(Sheet1!$C$11*Sheet1!$C$7)*100/$C8)*1000</f>
        <v>1524.1904999999999</v>
      </c>
      <c r="G8" s="53">
        <f>(G$3*($B8/60/2)*(Sheet1!$C$11*Sheet1!$C$7)*100/$C8)*1000</f>
        <v>1439.51325</v>
      </c>
      <c r="H8" s="53">
        <f>(H$3*($B8/60/2)*(Sheet1!$C$11*Sheet1!$C$7)*100/$C8)*1000</f>
        <v>1354.8360000000002</v>
      </c>
      <c r="I8" s="53">
        <f>(I$3*($B8/60/2)*(Sheet1!$C$11*Sheet1!$C$7)*100/$C8)*1000</f>
        <v>1270.1587500000001</v>
      </c>
      <c r="J8" s="53">
        <f>(J$3*($B8/60/2)*(Sheet1!$C$11*Sheet1!$C$7)*100/$C8)*1000</f>
        <v>1185.4814999999999</v>
      </c>
      <c r="K8" s="53">
        <f>(K$3*($B8/60/2)*(Sheet1!$C$11*Sheet1!$C$7)*100/$C8)*1000</f>
        <v>1100.8042499999999</v>
      </c>
      <c r="L8" s="53">
        <f>(L$3*($B8/60/2)*(Sheet1!$C$11*Sheet1!$C$7)*100/$C8)*1000</f>
        <v>1016.127</v>
      </c>
      <c r="M8" s="53">
        <f>(M$3*($B8/60/2)*(Sheet1!$C$11*Sheet1!$C$7)*100/$C8)*1000</f>
        <v>931.44974999999999</v>
      </c>
      <c r="N8" s="53">
        <f>(N$3*($B8/60/2)*(Sheet1!$C$11*Sheet1!$C$7)*100/$C8)*1000</f>
        <v>846.77250000000004</v>
      </c>
      <c r="O8" s="53">
        <f>(O$3*($B8/60/2)*(Sheet1!$C$11*Sheet1!$C$7)*100/$C8)*1000</f>
        <v>762.09524999999996</v>
      </c>
      <c r="P8" s="53">
        <f>(P$3*($B8/60/2)*(Sheet1!$C$11*Sheet1!$C$7)*100/$C8)*1000</f>
        <v>677.41800000000012</v>
      </c>
      <c r="Q8" s="53">
        <f>(Q$3*($B8/60/2)*(Sheet1!$C$11*Sheet1!$C$7)*100/$C8)*1000</f>
        <v>592.74074999999993</v>
      </c>
      <c r="R8" s="53">
        <f>(R$3*($B8/60/2)*(Sheet1!$C$11*Sheet1!$C$7)*100/$C8)*1000</f>
        <v>508.06349999999998</v>
      </c>
      <c r="S8" s="53">
        <f>(S$3*($B8/60/2)*(Sheet1!$C$11*Sheet1!$C$7)*100/$C8)*1000</f>
        <v>423.38625000000002</v>
      </c>
      <c r="T8" s="53">
        <f>(T$3*($B8/60/2)*(Sheet1!$C$11*Sheet1!$C$7)*100/$C8)*1000</f>
        <v>338.70900000000006</v>
      </c>
      <c r="U8">
        <v>257</v>
      </c>
      <c r="V8">
        <f t="shared" si="1"/>
        <v>1.7529780160550186</v>
      </c>
      <c r="W8">
        <f>W6*2*10</f>
        <v>169354.5</v>
      </c>
      <c r="Y8" s="32">
        <v>999.10263269117695</v>
      </c>
      <c r="Z8" s="32">
        <v>1054.5157228691901</v>
      </c>
    </row>
    <row r="9" spans="1:26" ht="32.25" customHeight="1">
      <c r="A9" s="59"/>
      <c r="B9" s="12">
        <v>1300</v>
      </c>
      <c r="C9" s="12">
        <f t="shared" si="0"/>
        <v>136.1356816555577</v>
      </c>
      <c r="D9" s="53">
        <f>(D$3*($B9/60/2)*(Sheet1!$C$11*Sheet1!$C$7)*100/$C9)*1000</f>
        <v>1693.5450000000003</v>
      </c>
      <c r="E9" s="53">
        <f>(E$3*($B9/60/2)*(Sheet1!$C$11*Sheet1!$C$7)*100/$C9)*1000</f>
        <v>1608.8677500000001</v>
      </c>
      <c r="F9" s="53">
        <f>(F$3*($B9/60/2)*(Sheet1!$C$11*Sheet1!$C$7)*100/$C9)*1000</f>
        <v>1524.1905000000002</v>
      </c>
      <c r="G9" s="53">
        <f>(G$3*($B9/60/2)*(Sheet1!$C$11*Sheet1!$C$7)*100/$C9)*1000</f>
        <v>1439.5132500000002</v>
      </c>
      <c r="H9" s="53">
        <f>(H$3*($B9/60/2)*(Sheet1!$C$11*Sheet1!$C$7)*100/$C9)*1000</f>
        <v>1354.8360000000002</v>
      </c>
      <c r="I9" s="53">
        <f>(I$3*($B9/60/2)*(Sheet1!$C$11*Sheet1!$C$7)*100/$C9)*1000</f>
        <v>1270.1587500000001</v>
      </c>
      <c r="J9" s="53">
        <f>(J$3*($B9/60/2)*(Sheet1!$C$11*Sheet1!$C$7)*100/$C9)*1000</f>
        <v>1185.4815000000003</v>
      </c>
      <c r="K9" s="53">
        <f>(K$3*($B9/60/2)*(Sheet1!$C$11*Sheet1!$C$7)*100/$C9)*1000</f>
        <v>1100.8042500000001</v>
      </c>
      <c r="L9" s="53">
        <f>(L$3*($B9/60/2)*(Sheet1!$C$11*Sheet1!$C$7)*100/$C9)*1000</f>
        <v>1016.127</v>
      </c>
      <c r="M9" s="53">
        <f>(M$3*($B9/60/2)*(Sheet1!$C$11*Sheet1!$C$7)*100/$C9)*1000</f>
        <v>931.44975000000022</v>
      </c>
      <c r="N9" s="53">
        <f>(N$3*($B9/60/2)*(Sheet1!$C$11*Sheet1!$C$7)*100/$C9)*1000</f>
        <v>846.77250000000015</v>
      </c>
      <c r="O9" s="53">
        <f>(O$3*($B9/60/2)*(Sheet1!$C$11*Sheet1!$C$7)*100/$C9)*1000</f>
        <v>762.09525000000008</v>
      </c>
      <c r="P9" s="53">
        <f>(P$3*($B9/60/2)*(Sheet1!$C$11*Sheet1!$C$7)*100/$C9)*1000</f>
        <v>677.41800000000012</v>
      </c>
      <c r="Q9" s="53">
        <f>(Q$3*($B9/60/2)*(Sheet1!$C$11*Sheet1!$C$7)*100/$C9)*1000</f>
        <v>592.74075000000016</v>
      </c>
      <c r="R9" s="53">
        <f>(R$3*($B9/60/2)*(Sheet1!$C$11*Sheet1!$C$7)*100/$C9)*1000</f>
        <v>508.06349999999998</v>
      </c>
      <c r="S9" s="53">
        <f>(S$3*($B9/60/2)*(Sheet1!$C$11*Sheet1!$C$7)*100/$C9)*1000</f>
        <v>423.38625000000008</v>
      </c>
      <c r="T9" s="53">
        <f>(T$3*($B9/60/2)*(Sheet1!$C$11*Sheet1!$C$7)*100/$C9)*1000</f>
        <v>338.70900000000006</v>
      </c>
      <c r="Y9" s="32"/>
      <c r="Z9" s="32"/>
    </row>
    <row r="10" spans="1:26" ht="32.25" customHeight="1">
      <c r="A10" s="59"/>
      <c r="B10" s="12">
        <v>1200</v>
      </c>
      <c r="C10" s="12">
        <f t="shared" si="0"/>
        <v>125.66370614359172</v>
      </c>
      <c r="D10" s="53">
        <f>(D$3*($B10/60/2)*(Sheet1!$C$11*Sheet1!$C$7)*100/$C10)*1000</f>
        <v>1693.5450000000001</v>
      </c>
      <c r="E10" s="53">
        <f>(E$3*($B10/60/2)*(Sheet1!$C$11*Sheet1!$C$7)*100/$C10)*1000</f>
        <v>1608.8677499999999</v>
      </c>
      <c r="F10" s="53">
        <f>(F$3*($B10/60/2)*(Sheet1!$C$11*Sheet1!$C$7)*100/$C10)*1000</f>
        <v>1524.1905000000002</v>
      </c>
      <c r="G10" s="53">
        <f>(G$3*($B10/60/2)*(Sheet1!$C$11*Sheet1!$C$7)*100/$C10)*1000</f>
        <v>1439.5132500000002</v>
      </c>
      <c r="H10" s="53">
        <f>(H$3*($B10/60/2)*(Sheet1!$C$11*Sheet1!$C$7)*100/$C10)*1000</f>
        <v>1354.8360000000002</v>
      </c>
      <c r="I10" s="53">
        <f>(I$3*($B10/60/2)*(Sheet1!$C$11*Sheet1!$C$7)*100/$C10)*1000</f>
        <v>1270.1587500000003</v>
      </c>
      <c r="J10" s="53">
        <f>(J$3*($B10/60/2)*(Sheet1!$C$11*Sheet1!$C$7)*100/$C10)*1000</f>
        <v>1185.4815000000001</v>
      </c>
      <c r="K10" s="53">
        <f>(K$3*($B10/60/2)*(Sheet1!$C$11*Sheet1!$C$7)*100/$C10)*1000</f>
        <v>1100.8042500000001</v>
      </c>
      <c r="L10" s="53">
        <f>(L$3*($B10/60/2)*(Sheet1!$C$11*Sheet1!$C$7)*100/$C10)*1000</f>
        <v>1016.1270000000002</v>
      </c>
      <c r="M10" s="53">
        <f>(M$3*($B10/60/2)*(Sheet1!$C$11*Sheet1!$C$7)*100/$C10)*1000</f>
        <v>931.44975000000022</v>
      </c>
      <c r="N10" s="53">
        <f>(N$3*($B10/60/2)*(Sheet1!$C$11*Sheet1!$C$7)*100/$C10)*1000</f>
        <v>846.77250000000004</v>
      </c>
      <c r="O10" s="53">
        <f>(O$3*($B10/60/2)*(Sheet1!$C$11*Sheet1!$C$7)*100/$C10)*1000</f>
        <v>762.09525000000008</v>
      </c>
      <c r="P10" s="53">
        <f>(P$3*($B10/60/2)*(Sheet1!$C$11*Sheet1!$C$7)*100/$C10)*1000</f>
        <v>677.41800000000012</v>
      </c>
      <c r="Q10" s="53">
        <f>(Q$3*($B10/60/2)*(Sheet1!$C$11*Sheet1!$C$7)*100/$C10)*1000</f>
        <v>592.74075000000005</v>
      </c>
      <c r="R10" s="53">
        <f>(R$3*($B10/60/2)*(Sheet1!$C$11*Sheet1!$C$7)*100/$C10)*1000</f>
        <v>508.06350000000009</v>
      </c>
      <c r="S10" s="53">
        <f>(S$3*($B10/60/2)*(Sheet1!$C$11*Sheet1!$C$7)*100/$C10)*1000</f>
        <v>423.38625000000002</v>
      </c>
      <c r="T10" s="53">
        <f>(T$3*($B10/60/2)*(Sheet1!$C$11*Sheet1!$C$7)*100/$C10)*1000</f>
        <v>338.70900000000006</v>
      </c>
      <c r="U10">
        <v>220</v>
      </c>
      <c r="V10">
        <f t="shared" si="1"/>
        <v>1.7507043740108488</v>
      </c>
      <c r="W10">
        <v>1000</v>
      </c>
      <c r="Y10" s="32">
        <v>1198.6672809069801</v>
      </c>
      <c r="Z10" s="32">
        <v>553.98948739534899</v>
      </c>
    </row>
    <row r="11" spans="1:26" ht="32.25" customHeight="1">
      <c r="A11" s="59"/>
      <c r="B11" s="12">
        <v>1100</v>
      </c>
      <c r="C11" s="12">
        <f t="shared" si="0"/>
        <v>115.19173063162575</v>
      </c>
      <c r="D11" s="53">
        <f>(D$3*($B11/60/2)*(Sheet1!$C$11*Sheet1!$C$7)*100/$C11)*1000</f>
        <v>1693.5450000000001</v>
      </c>
      <c r="E11" s="53">
        <f>(E$3*($B11/60/2)*(Sheet1!$C$11*Sheet1!$C$7)*100/$C11)*1000</f>
        <v>1608.8677500000001</v>
      </c>
      <c r="F11" s="53">
        <f>(F$3*($B11/60/2)*(Sheet1!$C$11*Sheet1!$C$7)*100/$C11)*1000</f>
        <v>1524.1905000000004</v>
      </c>
      <c r="G11" s="53">
        <f>(G$3*($B11/60/2)*(Sheet1!$C$11*Sheet1!$C$7)*100/$C11)*1000</f>
        <v>1439.5132499999997</v>
      </c>
      <c r="H11" s="53">
        <f>(H$3*($B11/60/2)*(Sheet1!$C$11*Sheet1!$C$7)*100/$C11)*1000</f>
        <v>1354.8360000000002</v>
      </c>
      <c r="I11" s="53">
        <f>(I$3*($B11/60/2)*(Sheet1!$C$11*Sheet1!$C$7)*100/$C11)*1000</f>
        <v>1270.1587500000003</v>
      </c>
      <c r="J11" s="53">
        <f>(J$3*($B11/60/2)*(Sheet1!$C$11*Sheet1!$C$7)*100/$C11)*1000</f>
        <v>1185.4815000000001</v>
      </c>
      <c r="K11" s="53">
        <f>(K$3*($B11/60/2)*(Sheet1!$C$11*Sheet1!$C$7)*100/$C11)*1000</f>
        <v>1100.8042500000001</v>
      </c>
      <c r="L11" s="53">
        <f>(L$3*($B11/60/2)*(Sheet1!$C$11*Sheet1!$C$7)*100/$C11)*1000</f>
        <v>1016.1270000000002</v>
      </c>
      <c r="M11" s="53">
        <f>(M$3*($B11/60/2)*(Sheet1!$C$11*Sheet1!$C$7)*100/$C11)*1000</f>
        <v>931.44974999999999</v>
      </c>
      <c r="N11" s="53">
        <f>(N$3*($B11/60/2)*(Sheet1!$C$11*Sheet1!$C$7)*100/$C11)*1000</f>
        <v>846.77250000000004</v>
      </c>
      <c r="O11" s="53">
        <f>(O$3*($B11/60/2)*(Sheet1!$C$11*Sheet1!$C$7)*100/$C11)*1000</f>
        <v>762.09525000000019</v>
      </c>
      <c r="P11" s="53">
        <f>(P$3*($B11/60/2)*(Sheet1!$C$11*Sheet1!$C$7)*100/$C11)*1000</f>
        <v>677.41800000000012</v>
      </c>
      <c r="Q11" s="53">
        <f>(Q$3*($B11/60/2)*(Sheet1!$C$11*Sheet1!$C$7)*100/$C11)*1000</f>
        <v>592.74075000000005</v>
      </c>
      <c r="R11" s="53">
        <f>(R$3*($B11/60/2)*(Sheet1!$C$11*Sheet1!$C$7)*100/$C11)*1000</f>
        <v>508.06350000000009</v>
      </c>
      <c r="S11" s="53">
        <f>(S$3*($B11/60/2)*(Sheet1!$C$11*Sheet1!$C$7)*100/$C11)*1000</f>
        <v>423.38625000000002</v>
      </c>
      <c r="T11" s="53">
        <f>(T$3*($B11/60/2)*(Sheet1!$C$11*Sheet1!$C$7)*100/$C11)*1000</f>
        <v>338.70900000000006</v>
      </c>
      <c r="Y11" s="32"/>
      <c r="Z11" s="32"/>
    </row>
    <row r="12" spans="1:26" ht="32.25" customHeight="1">
      <c r="A12" s="59"/>
      <c r="B12" s="12">
        <v>1000</v>
      </c>
      <c r="C12" s="12">
        <f t="shared" si="0"/>
        <v>104.71975511965978</v>
      </c>
      <c r="D12" s="53">
        <f>(D$3*($B12/60/2)*(Sheet1!$C$11*Sheet1!$C$7)*100/$C12)*1000</f>
        <v>1693.5450000000001</v>
      </c>
      <c r="E12" s="53">
        <f>(E$3*($B12/60/2)*(Sheet1!$C$11*Sheet1!$C$7)*100/$C12)*1000</f>
        <v>1608.8677499999999</v>
      </c>
      <c r="F12" s="53">
        <f>(F$3*($B12/60/2)*(Sheet1!$C$11*Sheet1!$C$7)*100/$C12)*1000</f>
        <v>1524.1904999999999</v>
      </c>
      <c r="G12" s="53">
        <f>(G$3*($B12/60/2)*(Sheet1!$C$11*Sheet1!$C$7)*100/$C12)*1000</f>
        <v>1439.51325</v>
      </c>
      <c r="H12" s="53">
        <f>(H$3*($B12/60/2)*(Sheet1!$C$11*Sheet1!$C$7)*100/$C12)*1000</f>
        <v>1354.8360000000005</v>
      </c>
      <c r="I12" s="53">
        <f>(I$3*($B12/60/2)*(Sheet1!$C$11*Sheet1!$C$7)*100/$C12)*1000</f>
        <v>1270.1587500000003</v>
      </c>
      <c r="J12" s="53">
        <f>(J$3*($B12/60/2)*(Sheet1!$C$11*Sheet1!$C$7)*100/$C12)*1000</f>
        <v>1185.4815000000001</v>
      </c>
      <c r="K12" s="53">
        <f>(K$3*($B12/60/2)*(Sheet1!$C$11*Sheet1!$C$7)*100/$C12)*1000</f>
        <v>1100.8042500000001</v>
      </c>
      <c r="L12" s="53">
        <f>(L$3*($B12/60/2)*(Sheet1!$C$11*Sheet1!$C$7)*100/$C12)*1000</f>
        <v>1016.127</v>
      </c>
      <c r="M12" s="53">
        <f>(M$3*($B12/60/2)*(Sheet1!$C$11*Sheet1!$C$7)*100/$C12)*1000</f>
        <v>931.44975000000011</v>
      </c>
      <c r="N12" s="53">
        <f>(N$3*($B12/60/2)*(Sheet1!$C$11*Sheet1!$C$7)*100/$C12)*1000</f>
        <v>846.77250000000004</v>
      </c>
      <c r="O12" s="53">
        <f>(O$3*($B12/60/2)*(Sheet1!$C$11*Sheet1!$C$7)*100/$C12)*1000</f>
        <v>762.09524999999996</v>
      </c>
      <c r="P12" s="53">
        <f>(P$3*($B12/60/2)*(Sheet1!$C$11*Sheet1!$C$7)*100/$C12)*1000</f>
        <v>677.41800000000023</v>
      </c>
      <c r="Q12" s="53">
        <f>(Q$3*($B12/60/2)*(Sheet1!$C$11*Sheet1!$C$7)*100/$C12)*1000</f>
        <v>592.74075000000005</v>
      </c>
      <c r="R12" s="53">
        <f>(R$3*($B12/60/2)*(Sheet1!$C$11*Sheet1!$C$7)*100/$C12)*1000</f>
        <v>508.06349999999998</v>
      </c>
      <c r="S12" s="53">
        <f>(S$3*($B12/60/2)*(Sheet1!$C$11*Sheet1!$C$7)*100/$C12)*1000</f>
        <v>423.38625000000002</v>
      </c>
      <c r="T12" s="53">
        <f>(T$3*($B12/60/2)*(Sheet1!$C$11*Sheet1!$C$7)*100/$C12)*1000</f>
        <v>338.70900000000012</v>
      </c>
      <c r="U12">
        <v>172</v>
      </c>
      <c r="V12">
        <f t="shared" si="1"/>
        <v>1.6424790127083597</v>
      </c>
      <c r="Y12" s="32">
        <v>1198.8645007073201</v>
      </c>
      <c r="Z12" s="32">
        <v>1394.6764323658499</v>
      </c>
    </row>
    <row r="13" spans="1:26" ht="32.25" customHeight="1">
      <c r="A13" s="59"/>
      <c r="B13" s="12">
        <v>900</v>
      </c>
      <c r="C13" s="12">
        <f t="shared" si="0"/>
        <v>94.247779607693786</v>
      </c>
      <c r="D13" s="53">
        <f>(D$3*($B13/60/2)*(Sheet1!$C$11*Sheet1!$C$7)*100/$C13)*1000</f>
        <v>1693.5450000000003</v>
      </c>
      <c r="E13" s="53">
        <f>(E$3*($B13/60/2)*(Sheet1!$C$11*Sheet1!$C$7)*100/$C13)*1000</f>
        <v>1608.8677500000001</v>
      </c>
      <c r="F13" s="53">
        <f>(F$3*($B13/60/2)*(Sheet1!$C$11*Sheet1!$C$7)*100/$C13)*1000</f>
        <v>1524.1905000000002</v>
      </c>
      <c r="G13" s="53">
        <f>(G$3*($B13/60/2)*(Sheet1!$C$11*Sheet1!$C$7)*100/$C13)*1000</f>
        <v>1439.5132500000002</v>
      </c>
      <c r="H13" s="53">
        <f>(H$3*($B13/60/2)*(Sheet1!$C$11*Sheet1!$C$7)*100/$C13)*1000</f>
        <v>1354.8360000000005</v>
      </c>
      <c r="I13" s="53">
        <f>(I$3*($B13/60/2)*(Sheet1!$C$11*Sheet1!$C$7)*100/$C13)*1000</f>
        <v>1270.1587500000005</v>
      </c>
      <c r="J13" s="53">
        <f>(J$3*($B13/60/2)*(Sheet1!$C$11*Sheet1!$C$7)*100/$C13)*1000</f>
        <v>1185.4815000000001</v>
      </c>
      <c r="K13" s="53">
        <f>(K$3*($B13/60/2)*(Sheet1!$C$11*Sheet1!$C$7)*100/$C13)*1000</f>
        <v>1100.8042500000001</v>
      </c>
      <c r="L13" s="53">
        <f>(L$3*($B13/60/2)*(Sheet1!$C$11*Sheet1!$C$7)*100/$C13)*1000</f>
        <v>1016.1270000000002</v>
      </c>
      <c r="M13" s="53">
        <f>(M$3*($B13/60/2)*(Sheet1!$C$11*Sheet1!$C$7)*100/$C13)*1000</f>
        <v>931.44975000000034</v>
      </c>
      <c r="N13" s="53">
        <f>(N$3*($B13/60/2)*(Sheet1!$C$11*Sheet1!$C$7)*100/$C13)*1000</f>
        <v>846.77250000000015</v>
      </c>
      <c r="O13" s="53">
        <f>(O$3*($B13/60/2)*(Sheet1!$C$11*Sheet1!$C$7)*100/$C13)*1000</f>
        <v>762.09525000000008</v>
      </c>
      <c r="P13" s="53">
        <f>(P$3*($B13/60/2)*(Sheet1!$C$11*Sheet1!$C$7)*100/$C13)*1000</f>
        <v>677.41800000000023</v>
      </c>
      <c r="Q13" s="53">
        <f>(Q$3*($B13/60/2)*(Sheet1!$C$11*Sheet1!$C$7)*100/$C13)*1000</f>
        <v>592.74075000000005</v>
      </c>
      <c r="R13" s="53">
        <f>(R$3*($B13/60/2)*(Sheet1!$C$11*Sheet1!$C$7)*100/$C13)*1000</f>
        <v>508.06350000000009</v>
      </c>
      <c r="S13" s="53">
        <f>(S$3*($B13/60/2)*(Sheet1!$C$11*Sheet1!$C$7)*100/$C13)*1000</f>
        <v>423.38625000000008</v>
      </c>
      <c r="T13" s="53">
        <f>(T$3*($B13/60/2)*(Sheet1!$C$11*Sheet1!$C$7)*100/$C13)*1000</f>
        <v>338.70900000000012</v>
      </c>
      <c r="Y13" s="32"/>
      <c r="Z13" s="32"/>
    </row>
    <row r="14" spans="1:26" ht="32.25" customHeight="1">
      <c r="A14" s="59"/>
      <c r="B14" s="12">
        <v>800</v>
      </c>
      <c r="C14" s="12">
        <f t="shared" si="0"/>
        <v>83.775804095727821</v>
      </c>
      <c r="D14" s="53">
        <f>(D$3*($B14/60/2)*(Sheet1!$C$11*Sheet1!$C$7)*100/$C14)*1000</f>
        <v>1693.5450000000003</v>
      </c>
      <c r="E14" s="53">
        <f>(E$3*($B14/60/2)*(Sheet1!$C$11*Sheet1!$C$7)*100/$C14)*1000</f>
        <v>1608.8677500000001</v>
      </c>
      <c r="F14" s="53">
        <f>(F$3*($B14/60/2)*(Sheet1!$C$11*Sheet1!$C$7)*100/$C14)*1000</f>
        <v>1524.1905000000002</v>
      </c>
      <c r="G14" s="53">
        <f>(G$3*($B14/60/2)*(Sheet1!$C$11*Sheet1!$C$7)*100/$C14)*1000</f>
        <v>1439.51325</v>
      </c>
      <c r="H14" s="53">
        <f>(H$3*($B14/60/2)*(Sheet1!$C$11*Sheet1!$C$7)*100/$C14)*1000</f>
        <v>1354.836</v>
      </c>
      <c r="I14" s="53">
        <f>(I$3*($B14/60/2)*(Sheet1!$C$11*Sheet1!$C$7)*100/$C14)*1000</f>
        <v>1270.1587500000001</v>
      </c>
      <c r="J14" s="53">
        <f>(J$3*($B14/60/2)*(Sheet1!$C$11*Sheet1!$C$7)*100/$C14)*1000</f>
        <v>1185.4815000000003</v>
      </c>
      <c r="K14" s="53">
        <f>(K$3*($B14/60/2)*(Sheet1!$C$11*Sheet1!$C$7)*100/$C14)*1000</f>
        <v>1100.8042500000001</v>
      </c>
      <c r="L14" s="53">
        <f>(L$3*($B14/60/2)*(Sheet1!$C$11*Sheet1!$C$7)*100/$C14)*1000</f>
        <v>1016.127</v>
      </c>
      <c r="M14" s="53">
        <f>(M$3*($B14/60/2)*(Sheet1!$C$11*Sheet1!$C$7)*100/$C14)*1000</f>
        <v>931.44975000000022</v>
      </c>
      <c r="N14" s="53">
        <f>(N$3*($B14/60/2)*(Sheet1!$C$11*Sheet1!$C$7)*100/$C14)*1000</f>
        <v>846.77250000000015</v>
      </c>
      <c r="O14" s="53">
        <f>(O$3*($B14/60/2)*(Sheet1!$C$11*Sheet1!$C$7)*100/$C14)*1000</f>
        <v>762.09525000000008</v>
      </c>
      <c r="P14" s="53">
        <f>(P$3*($B14/60/2)*(Sheet1!$C$11*Sheet1!$C$7)*100/$C14)*1000</f>
        <v>677.41800000000001</v>
      </c>
      <c r="Q14" s="53">
        <f>(Q$3*($B14/60/2)*(Sheet1!$C$11*Sheet1!$C$7)*100/$C14)*1000</f>
        <v>592.74075000000016</v>
      </c>
      <c r="R14" s="53">
        <f>(R$3*($B14/60/2)*(Sheet1!$C$11*Sheet1!$C$7)*100/$C14)*1000</f>
        <v>508.06349999999998</v>
      </c>
      <c r="S14" s="53">
        <f>(S$3*($B14/60/2)*(Sheet1!$C$11*Sheet1!$C$7)*100/$C14)*1000</f>
        <v>423.38625000000008</v>
      </c>
      <c r="T14" s="53">
        <f>(T$3*($B14/60/2)*(Sheet1!$C$11*Sheet1!$C$7)*100/$C14)*1000</f>
        <v>338.709</v>
      </c>
      <c r="U14">
        <v>110</v>
      </c>
      <c r="V14">
        <f t="shared" si="1"/>
        <v>1.3130282805081366</v>
      </c>
      <c r="Y14" s="32">
        <v>1198.8876409949</v>
      </c>
      <c r="Z14" s="32">
        <v>885.57843969364001</v>
      </c>
    </row>
    <row r="15" spans="1:26">
      <c r="L15">
        <f t="shared" ref="L15:Q15" si="2">L4*$C4</f>
        <v>191535.42709885415</v>
      </c>
      <c r="M15">
        <f t="shared" si="2"/>
        <v>175574.14150728303</v>
      </c>
      <c r="N15">
        <f t="shared" si="2"/>
        <v>159612.85591571181</v>
      </c>
      <c r="O15">
        <f t="shared" si="2"/>
        <v>143651.5703241406</v>
      </c>
      <c r="P15">
        <f t="shared" si="2"/>
        <v>127690.28473256946</v>
      </c>
      <c r="Q15">
        <f t="shared" si="2"/>
        <v>111728.99914099825</v>
      </c>
      <c r="T15">
        <f>T4*$C4</f>
        <v>63845.14236628473</v>
      </c>
      <c r="Y15" s="32">
        <v>1198.96357746988</v>
      </c>
      <c r="Z15" s="32">
        <v>1562.7124668433701</v>
      </c>
    </row>
    <row r="16" spans="1:26">
      <c r="L16">
        <f t="shared" ref="L16:Q16" si="3">L6*$C6</f>
        <v>170253.71297675924</v>
      </c>
      <c r="M16">
        <f t="shared" si="3"/>
        <v>156065.90356202936</v>
      </c>
      <c r="N16">
        <f t="shared" si="3"/>
        <v>141878.09414729939</v>
      </c>
      <c r="O16">
        <f t="shared" si="3"/>
        <v>127690.28473256945</v>
      </c>
      <c r="P16">
        <f t="shared" si="3"/>
        <v>113502.4753178395</v>
      </c>
      <c r="Q16">
        <f t="shared" si="3"/>
        <v>99314.665903109591</v>
      </c>
      <c r="T16">
        <f>T6*$C6</f>
        <v>56751.237658919752</v>
      </c>
      <c r="Y16" s="32">
        <v>1398.8489351595499</v>
      </c>
      <c r="Z16" s="32">
        <v>559.31531528024698</v>
      </c>
    </row>
    <row r="17" spans="2:26">
      <c r="F17">
        <f>F8*$C8</f>
        <v>223457.99828199649</v>
      </c>
      <c r="L17">
        <f t="shared" ref="L17:Q17" si="4">L8*$C8</f>
        <v>148971.99885466433</v>
      </c>
      <c r="M17">
        <f t="shared" si="4"/>
        <v>136557.66561677563</v>
      </c>
      <c r="N17">
        <f t="shared" si="4"/>
        <v>124143.33237888696</v>
      </c>
      <c r="O17">
        <f t="shared" si="4"/>
        <v>111728.99914099825</v>
      </c>
      <c r="P17">
        <f t="shared" si="4"/>
        <v>99314.665903109577</v>
      </c>
      <c r="Q17">
        <f t="shared" si="4"/>
        <v>86900.332665220849</v>
      </c>
      <c r="T17">
        <f>T8*$C8</f>
        <v>49657.332951554788</v>
      </c>
      <c r="Y17" s="32">
        <v>1400.3606147804901</v>
      </c>
      <c r="Z17" s="32">
        <v>1548.9880704146301</v>
      </c>
    </row>
    <row r="18" spans="2:26">
      <c r="F18">
        <f>F10*$C10</f>
        <v>191535.42709885415</v>
      </c>
      <c r="L18">
        <f t="shared" ref="L18:Q18" si="5">L10*$C10</f>
        <v>127690.28473256945</v>
      </c>
      <c r="M18">
        <f t="shared" si="5"/>
        <v>117049.427671522</v>
      </c>
      <c r="N18">
        <f t="shared" si="5"/>
        <v>106408.57061047453</v>
      </c>
      <c r="O18">
        <f t="shared" si="5"/>
        <v>95767.713549427077</v>
      </c>
      <c r="P18">
        <f t="shared" si="5"/>
        <v>85126.856488379635</v>
      </c>
      <c r="Q18">
        <f t="shared" si="5"/>
        <v>74485.999427332179</v>
      </c>
      <c r="T18">
        <f>T10*$C10</f>
        <v>42563.428244189818</v>
      </c>
      <c r="Y18" s="32">
        <v>1401.14707538216</v>
      </c>
      <c r="Z18" s="32">
        <v>722.39400133817605</v>
      </c>
    </row>
    <row r="19" spans="2:26">
      <c r="L19">
        <f t="shared" ref="L19:T19" si="6">L12*$C12</f>
        <v>106408.57061047453</v>
      </c>
      <c r="M19">
        <f t="shared" si="6"/>
        <v>97541.189726268334</v>
      </c>
      <c r="N19">
        <f t="shared" si="6"/>
        <v>88673.808842062121</v>
      </c>
      <c r="O19">
        <f t="shared" si="6"/>
        <v>79806.427957855893</v>
      </c>
      <c r="P19">
        <f t="shared" si="6"/>
        <v>70939.047073649708</v>
      </c>
      <c r="Q19">
        <f t="shared" si="6"/>
        <v>62071.66618944348</v>
      </c>
      <c r="T19">
        <f t="shared" si="6"/>
        <v>35469.523536824854</v>
      </c>
      <c r="Y19" s="32">
        <v>1403.59711227907</v>
      </c>
      <c r="Z19" s="32">
        <v>1240.07021687209</v>
      </c>
    </row>
    <row r="20" spans="2:26">
      <c r="N20">
        <f>N14*$C14</f>
        <v>70939.047073649694</v>
      </c>
      <c r="O20">
        <f>O14*$C14</f>
        <v>63845.142366284723</v>
      </c>
      <c r="P20">
        <f>P14*$C14</f>
        <v>56751.237658919752</v>
      </c>
      <c r="Q20">
        <f>Q14*$C14</f>
        <v>49657.332951554796</v>
      </c>
      <c r="T20">
        <f>T14*$C14</f>
        <v>28375.618829459876</v>
      </c>
      <c r="Y20" s="32">
        <v>1598.5223451975301</v>
      </c>
      <c r="Z20" s="32">
        <v>1557.5643262962999</v>
      </c>
    </row>
    <row r="21" spans="2:26"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T21">
        <v>7</v>
      </c>
      <c r="Y21" s="32">
        <v>1598.7568733023199</v>
      </c>
      <c r="Z21" s="32">
        <v>549.12107009302304</v>
      </c>
    </row>
    <row r="22" spans="2:26" ht="15" thickBot="1">
      <c r="L22">
        <v>1.5665291250000002</v>
      </c>
      <c r="M22">
        <v>1.3971746250000003</v>
      </c>
      <c r="N22">
        <v>1.227820125</v>
      </c>
      <c r="O22">
        <v>1.0584656250000002</v>
      </c>
      <c r="P22">
        <v>0.889111125</v>
      </c>
      <c r="Q22">
        <v>0.71975662500000015</v>
      </c>
      <c r="T22">
        <v>0.55040212500000008</v>
      </c>
      <c r="U22">
        <v>0.55040212499999996</v>
      </c>
      <c r="Y22" s="32">
        <v>1599.1848142056899</v>
      </c>
      <c r="Z22" s="32">
        <v>883.30485231150794</v>
      </c>
    </row>
    <row r="23" spans="2:26" ht="15" thickBot="1">
      <c r="B23">
        <v>9</v>
      </c>
      <c r="C23">
        <v>6</v>
      </c>
      <c r="F23">
        <v>1800</v>
      </c>
      <c r="L23" s="20"/>
      <c r="M23" s="20">
        <v>16</v>
      </c>
      <c r="N23" s="18"/>
      <c r="O23" s="21">
        <v>9</v>
      </c>
      <c r="P23" s="18"/>
      <c r="Q23" s="18"/>
      <c r="R23" s="18"/>
      <c r="S23" s="18"/>
      <c r="T23" s="21">
        <v>4</v>
      </c>
      <c r="Y23" s="32">
        <v>1599.27545799473</v>
      </c>
      <c r="Z23" s="32">
        <v>1229.13756327136</v>
      </c>
    </row>
    <row r="24" spans="2:26" ht="15" thickBot="1">
      <c r="B24">
        <v>8</v>
      </c>
      <c r="C24">
        <v>5</v>
      </c>
      <c r="F24">
        <v>1600</v>
      </c>
      <c r="L24" s="20">
        <v>17</v>
      </c>
      <c r="M24" s="20"/>
      <c r="N24" s="21">
        <v>10</v>
      </c>
      <c r="O24" s="18"/>
      <c r="P24" s="21">
        <v>5</v>
      </c>
      <c r="Q24" s="18"/>
      <c r="R24" s="18"/>
      <c r="S24" s="18"/>
      <c r="T24" s="18">
        <v>13</v>
      </c>
      <c r="Y24" s="32">
        <v>1796.8961723278701</v>
      </c>
      <c r="Z24" s="32">
        <v>1416.7171247868901</v>
      </c>
    </row>
    <row r="25" spans="2:26" ht="15" thickBot="1">
      <c r="B25">
        <v>7</v>
      </c>
      <c r="C25">
        <v>4</v>
      </c>
      <c r="F25">
        <v>1400</v>
      </c>
      <c r="L25" s="20">
        <v>18</v>
      </c>
      <c r="M25" s="20"/>
      <c r="N25" s="18">
        <v>14</v>
      </c>
      <c r="O25" s="18"/>
      <c r="P25" s="18"/>
      <c r="Q25" s="21">
        <v>6</v>
      </c>
      <c r="R25" s="21"/>
      <c r="S25" s="21"/>
      <c r="T25" s="21">
        <v>3</v>
      </c>
      <c r="Y25" s="32">
        <v>1799.203633074</v>
      </c>
      <c r="Z25" s="32">
        <v>551.21338566865302</v>
      </c>
    </row>
    <row r="26" spans="2:26" ht="15" thickBot="1">
      <c r="B26">
        <v>6</v>
      </c>
      <c r="C26">
        <v>3</v>
      </c>
      <c r="F26">
        <v>1200</v>
      </c>
      <c r="L26" s="20">
        <v>19</v>
      </c>
      <c r="M26" s="18">
        <v>15</v>
      </c>
      <c r="N26" s="18"/>
      <c r="O26" s="18"/>
      <c r="P26" s="22">
        <v>7</v>
      </c>
      <c r="Q26" s="18"/>
      <c r="R26" s="18"/>
      <c r="S26" s="18"/>
      <c r="T26" s="18">
        <v>12</v>
      </c>
      <c r="Y26" s="32">
        <v>1799.3838367568401</v>
      </c>
      <c r="Z26" s="32">
        <v>1053.54275880974</v>
      </c>
    </row>
    <row r="27" spans="2:26" ht="15" thickBot="1">
      <c r="B27">
        <v>5</v>
      </c>
      <c r="C27">
        <v>2</v>
      </c>
      <c r="F27">
        <v>1000</v>
      </c>
      <c r="L27" s="19"/>
      <c r="N27" s="20">
        <v>20</v>
      </c>
      <c r="O27" s="21">
        <v>8</v>
      </c>
      <c r="P27" s="18"/>
      <c r="Q27" s="18">
        <v>11</v>
      </c>
      <c r="R27" s="18"/>
      <c r="S27" s="18"/>
      <c r="T27" s="18"/>
    </row>
    <row r="28" spans="2:26" ht="15" thickBot="1">
      <c r="B28">
        <v>4</v>
      </c>
      <c r="C28">
        <v>1</v>
      </c>
      <c r="F28">
        <v>800</v>
      </c>
      <c r="N28" s="17"/>
      <c r="O28" s="17"/>
      <c r="P28" s="21">
        <v>2</v>
      </c>
      <c r="Q28" s="18"/>
      <c r="R28" s="18"/>
      <c r="S28" s="18"/>
      <c r="T28" s="21">
        <v>1</v>
      </c>
    </row>
    <row r="30" spans="2:26">
      <c r="F30" t="s">
        <v>137</v>
      </c>
    </row>
    <row r="31" spans="2:26" ht="15" thickBot="1">
      <c r="L31">
        <v>1.5665291250000002</v>
      </c>
      <c r="M31">
        <v>1.3971746250000003</v>
      </c>
      <c r="N31">
        <v>1.227820125</v>
      </c>
      <c r="O31">
        <v>1.0584656250000002</v>
      </c>
      <c r="P31">
        <v>0.889111125</v>
      </c>
      <c r="Q31">
        <v>0.71975662500000015</v>
      </c>
      <c r="T31">
        <v>0.55040212500000008</v>
      </c>
    </row>
    <row r="32" spans="2:26" ht="15" thickBot="1">
      <c r="F32">
        <v>1800</v>
      </c>
      <c r="L32" s="20"/>
      <c r="M32" s="20">
        <v>0.5</v>
      </c>
      <c r="N32" s="18"/>
      <c r="O32" s="21">
        <v>0</v>
      </c>
      <c r="P32" s="18"/>
      <c r="Q32" s="18"/>
      <c r="R32" s="18"/>
      <c r="S32" s="18"/>
      <c r="T32" s="21">
        <v>1.5</v>
      </c>
    </row>
    <row r="33" spans="6:34" ht="15" thickBot="1">
      <c r="F33">
        <v>1600</v>
      </c>
      <c r="L33" s="20">
        <v>-2.5</v>
      </c>
      <c r="M33" s="20"/>
      <c r="N33" s="21">
        <v>-3</v>
      </c>
      <c r="O33" s="18"/>
      <c r="P33" s="21">
        <v>-3</v>
      </c>
      <c r="Q33" s="18"/>
      <c r="R33" s="18"/>
      <c r="S33" s="18"/>
      <c r="T33" s="18">
        <v>-2.5</v>
      </c>
    </row>
    <row r="34" spans="6:34" ht="15" thickBot="1">
      <c r="F34">
        <v>1400</v>
      </c>
      <c r="L34" s="20">
        <v>-0.5</v>
      </c>
      <c r="M34" s="20"/>
      <c r="N34" s="18">
        <v>-1.5</v>
      </c>
      <c r="O34" s="18"/>
      <c r="P34" s="18"/>
      <c r="Q34" s="21">
        <v>-3</v>
      </c>
      <c r="R34" s="21"/>
      <c r="S34" s="21"/>
      <c r="T34" s="21">
        <v>-2</v>
      </c>
    </row>
    <row r="35" spans="6:34" ht="21.6" thickBot="1">
      <c r="F35">
        <v>1200</v>
      </c>
      <c r="L35" s="20">
        <v>0</v>
      </c>
      <c r="M35" s="18">
        <v>-1</v>
      </c>
      <c r="N35" s="18"/>
      <c r="O35" s="18"/>
      <c r="P35" s="22">
        <v>-2</v>
      </c>
      <c r="Q35" s="18"/>
      <c r="R35" s="18"/>
      <c r="S35" s="18"/>
      <c r="T35" s="18">
        <v>-0.5</v>
      </c>
      <c r="Z35" s="10"/>
      <c r="AA35" s="11"/>
      <c r="AB35" s="55" t="s">
        <v>254</v>
      </c>
      <c r="AC35" s="56"/>
      <c r="AD35" s="56"/>
      <c r="AE35" s="56"/>
      <c r="AF35" s="56"/>
      <c r="AG35" s="56"/>
      <c r="AH35" s="57"/>
    </row>
    <row r="36" spans="6:34" ht="22.2" thickTop="1" thickBot="1">
      <c r="F36">
        <v>1000</v>
      </c>
      <c r="L36" s="19"/>
      <c r="N36" s="20">
        <v>0.5</v>
      </c>
      <c r="O36" s="21">
        <v>-1</v>
      </c>
      <c r="P36" s="18"/>
      <c r="Q36" s="18">
        <v>0</v>
      </c>
      <c r="R36" s="18"/>
      <c r="S36" s="18"/>
      <c r="T36" s="18"/>
      <c r="Z36" s="61" t="s">
        <v>255</v>
      </c>
      <c r="AA36" s="62"/>
      <c r="AB36" s="41">
        <v>18.5</v>
      </c>
      <c r="AC36" s="41">
        <v>16.5</v>
      </c>
      <c r="AD36" s="41">
        <v>14.5</v>
      </c>
      <c r="AE36" s="41">
        <v>12.5</v>
      </c>
      <c r="AF36" s="41">
        <v>10.5</v>
      </c>
      <c r="AG36" s="41">
        <v>8.5</v>
      </c>
      <c r="AH36" s="41">
        <v>6.5</v>
      </c>
    </row>
    <row r="37" spans="6:34" ht="21.6" thickBot="1">
      <c r="F37">
        <v>800</v>
      </c>
      <c r="N37" s="17"/>
      <c r="O37" s="17"/>
      <c r="P37" s="21">
        <v>-3.5</v>
      </c>
      <c r="Q37" s="18"/>
      <c r="R37" s="18"/>
      <c r="S37" s="18"/>
      <c r="T37" s="21">
        <v>-1</v>
      </c>
      <c r="Z37" s="60" t="s">
        <v>76</v>
      </c>
      <c r="AA37" s="39">
        <v>1800</v>
      </c>
      <c r="AB37" s="39"/>
      <c r="AC37" s="40">
        <v>1397.1746250000003</v>
      </c>
      <c r="AD37" s="39"/>
      <c r="AE37" s="40">
        <v>1058.4656250000003</v>
      </c>
      <c r="AF37" s="39"/>
      <c r="AG37" s="39"/>
      <c r="AH37" s="40">
        <v>550.40212500000007</v>
      </c>
    </row>
    <row r="38" spans="6:34" ht="21">
      <c r="Z38" s="59"/>
      <c r="AA38" s="12">
        <v>1600</v>
      </c>
      <c r="AB38" s="23">
        <v>1566.5291250000005</v>
      </c>
      <c r="AC38" s="12"/>
      <c r="AD38" s="23">
        <v>1227.820125</v>
      </c>
      <c r="AE38" s="12"/>
      <c r="AF38" s="23">
        <v>889.11112500000002</v>
      </c>
      <c r="AG38" s="12"/>
      <c r="AH38" s="23">
        <v>550.40212500000007</v>
      </c>
    </row>
    <row r="39" spans="6:34" ht="21">
      <c r="Z39" s="59"/>
      <c r="AA39" s="12">
        <v>1400</v>
      </c>
      <c r="AB39" s="23">
        <v>1566.529125</v>
      </c>
      <c r="AC39" s="12"/>
      <c r="AD39" s="23">
        <v>1227.820125</v>
      </c>
      <c r="AE39" s="12"/>
      <c r="AF39" s="12"/>
      <c r="AG39" s="23">
        <v>719.75662499999999</v>
      </c>
      <c r="AH39" s="23">
        <v>550.40212499999996</v>
      </c>
    </row>
    <row r="40" spans="6:34" ht="21">
      <c r="Z40" s="59"/>
      <c r="AA40" s="12">
        <v>1200</v>
      </c>
      <c r="AB40" s="23">
        <v>1566.5291250000002</v>
      </c>
      <c r="AC40" s="23">
        <v>1397.1746250000003</v>
      </c>
      <c r="AD40" s="12"/>
      <c r="AE40" s="12"/>
      <c r="AF40" s="23">
        <v>889.11112500000002</v>
      </c>
      <c r="AG40" s="12"/>
      <c r="AH40" s="23">
        <v>550.40212500000007</v>
      </c>
    </row>
    <row r="41" spans="6:34" ht="21">
      <c r="Z41" s="59"/>
      <c r="AA41" s="12">
        <v>1000</v>
      </c>
      <c r="AB41" s="23">
        <v>1566.5291250000002</v>
      </c>
      <c r="AC41" s="38"/>
      <c r="AD41" s="12"/>
      <c r="AE41" s="23">
        <v>1058.465625</v>
      </c>
      <c r="AF41" s="12"/>
      <c r="AG41" s="23">
        <v>719.75662499999999</v>
      </c>
      <c r="AH41" s="12"/>
    </row>
    <row r="42" spans="6:34" ht="21">
      <c r="Z42" s="59"/>
      <c r="AA42" s="12">
        <v>800</v>
      </c>
      <c r="AB42" s="12"/>
      <c r="AC42" s="12"/>
      <c r="AD42" s="37"/>
      <c r="AE42" s="37"/>
      <c r="AF42" s="23">
        <v>889.11112500000002</v>
      </c>
      <c r="AG42" s="12"/>
      <c r="AH42" s="23">
        <v>550.40212500000007</v>
      </c>
    </row>
  </sheetData>
  <mergeCells count="5">
    <mergeCell ref="F2:T2"/>
    <mergeCell ref="A4:A14"/>
    <mergeCell ref="AB35:AH35"/>
    <mergeCell ref="Z36:AA36"/>
    <mergeCell ref="Z37:Z42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0" zoomScaleNormal="100" workbookViewId="0">
      <selection activeCell="K22" sqref="K22"/>
    </sheetView>
  </sheetViews>
  <sheetFormatPr defaultRowHeight="14.4"/>
  <cols>
    <col min="1" max="2" width="11" customWidth="1"/>
    <col min="3" max="3" width="10.21875" customWidth="1"/>
    <col min="4" max="11" width="11" customWidth="1"/>
    <col min="12" max="12" width="11.44140625" hidden="1" customWidth="1"/>
    <col min="13" max="13" width="2" hidden="1" customWidth="1"/>
  </cols>
  <sheetData>
    <row r="1" spans="1:13" ht="21">
      <c r="A1" s="9" t="s">
        <v>109</v>
      </c>
      <c r="C1" s="9"/>
      <c r="D1" s="9"/>
      <c r="E1" s="9"/>
      <c r="F1" s="9"/>
      <c r="G1" s="9"/>
      <c r="H1" s="9"/>
      <c r="I1" s="9"/>
      <c r="J1" s="9"/>
      <c r="K1" s="9"/>
    </row>
    <row r="2" spans="1:13" ht="34.5" customHeight="1">
      <c r="A2" s="10"/>
      <c r="B2" s="11"/>
      <c r="C2" s="12"/>
      <c r="D2" s="58" t="s">
        <v>113</v>
      </c>
      <c r="E2" s="58"/>
      <c r="F2" s="58"/>
      <c r="G2" s="58"/>
      <c r="H2" s="58"/>
      <c r="I2" s="58"/>
      <c r="J2" s="58"/>
      <c r="K2" s="58"/>
    </row>
    <row r="3" spans="1:13" ht="21" hidden="1">
      <c r="A3" s="13"/>
      <c r="B3" s="14" t="s">
        <v>110</v>
      </c>
      <c r="C3" s="12"/>
      <c r="D3" s="12">
        <f>L5/(B5/60/2)/(Sheet1!$C$11*Sheet1!$C$7)/100</f>
        <v>17.542446590133199</v>
      </c>
      <c r="E3" s="12">
        <f>L6/(B6/60/2)/(Sheet1!$C$11*Sheet1!$C$7)/100</f>
        <v>19.523803280893777</v>
      </c>
      <c r="F3" s="12">
        <f>L7/(B7/60/2)/(Sheet1!$C$11*Sheet1!$C$7)/100</f>
        <v>20.701877021927594</v>
      </c>
      <c r="G3" s="12">
        <f>L8/(B8/60/2)/(Sheet1!$C$11*Sheet1!$C$7)/100</f>
        <v>20.675026338371268</v>
      </c>
      <c r="H3" s="12">
        <f>L9/(B9/60/2)/(Sheet1!$C$11*Sheet1!$C$7)/100</f>
        <v>19.396933801090132</v>
      </c>
      <c r="I3" s="12">
        <f>L10/(B10/60/2)/(Sheet1!$C$11*Sheet1!$C$7)/100</f>
        <v>15.506269753778451</v>
      </c>
      <c r="J3" s="12"/>
      <c r="K3" s="12"/>
    </row>
    <row r="4" spans="1:13" ht="32.25" customHeight="1">
      <c r="A4" s="15"/>
      <c r="B4" s="16"/>
      <c r="C4" s="12"/>
      <c r="D4" s="12">
        <v>20.5</v>
      </c>
      <c r="E4" s="12">
        <v>18.5</v>
      </c>
      <c r="F4" s="12">
        <v>16.5</v>
      </c>
      <c r="G4" s="12">
        <v>14.5</v>
      </c>
      <c r="H4" s="12">
        <v>12.5</v>
      </c>
      <c r="I4" s="12">
        <v>10.5</v>
      </c>
      <c r="J4" s="12">
        <v>8.5</v>
      </c>
      <c r="K4" s="12">
        <v>6.5</v>
      </c>
      <c r="L4" t="s">
        <v>112</v>
      </c>
      <c r="M4" t="s">
        <v>111</v>
      </c>
    </row>
    <row r="5" spans="1:13" ht="32.25" customHeight="1">
      <c r="A5" s="59" t="s">
        <v>76</v>
      </c>
      <c r="B5" s="12">
        <v>1800</v>
      </c>
      <c r="C5" s="12">
        <f t="shared" ref="C5:C10" si="0">B5/30*PI()</f>
        <v>188.49555921538757</v>
      </c>
      <c r="D5" s="12"/>
      <c r="E5" s="12">
        <f>280/C5</f>
        <v>1.4854461355243567</v>
      </c>
      <c r="F5" s="12">
        <f>F$4*($B5/60/2)*(Sheet1!$C$11*Sheet1!$C$7)*100/$C5</f>
        <v>1.3971746250000003</v>
      </c>
      <c r="G5" s="12">
        <f>G$4*($B5/60/2)*(Sheet1!$C$11*Sheet1!$C$7)*100/$C5</f>
        <v>1.2278201250000003</v>
      </c>
      <c r="H5" s="12">
        <f>H$4*($B5/60/2)*(Sheet1!$C$11*Sheet1!$C$7)*100/$C5</f>
        <v>1.0584656250000002</v>
      </c>
      <c r="I5" s="12">
        <f>I$4*($B5/60/2)*(Sheet1!$C$11*Sheet1!$C$7)*100/$C5</f>
        <v>0.88911112500000022</v>
      </c>
      <c r="J5" s="12">
        <f>J$4*($B5/60/2)*(Sheet1!$C$11*Sheet1!$C$7)*100/$C5</f>
        <v>0.71975662500000015</v>
      </c>
      <c r="K5" s="12">
        <f>K$4*($B5/60/2)*(Sheet1!$C$11*Sheet1!$C$7)*100/$C5</f>
        <v>0.55040212500000008</v>
      </c>
      <c r="L5">
        <v>280</v>
      </c>
      <c r="M5">
        <f t="shared" ref="M5:M10" si="1">L5/C5</f>
        <v>1.4854461355243567</v>
      </c>
    </row>
    <row r="6" spans="1:13" ht="32.25" customHeight="1">
      <c r="A6" s="59"/>
      <c r="B6" s="12">
        <v>1600</v>
      </c>
      <c r="C6" s="12">
        <f t="shared" si="0"/>
        <v>167.55160819145564</v>
      </c>
      <c r="D6" s="12"/>
      <c r="E6" s="12">
        <f>E$4*($B6/60/2)*(Sheet1!$C$11*Sheet1!$C$7)*100/$C6</f>
        <v>1.5665291250000004</v>
      </c>
      <c r="F6" s="12">
        <f>F$4*($B6/60/2)*(Sheet1!$C$11*Sheet1!$C$7)*100/$C6</f>
        <v>1.3971746250000001</v>
      </c>
      <c r="G6" s="12">
        <f>G$4*($B6/60/2)*(Sheet1!$C$11*Sheet1!$C$7)*100/$C6</f>
        <v>1.227820125</v>
      </c>
      <c r="H6" s="12">
        <f>H$4*($B6/60/2)*(Sheet1!$C$11*Sheet1!$C$7)*100/$C6</f>
        <v>1.0584656250000002</v>
      </c>
      <c r="I6" s="12">
        <f>I$4*($B6/60/2)*(Sheet1!$C$11*Sheet1!$C$7)*100/$C6</f>
        <v>0.889111125</v>
      </c>
      <c r="J6" s="12">
        <f>J$4*($B6/60/2)*(Sheet1!$C$11*Sheet1!$C$7)*100/$C6</f>
        <v>0.71975662500000004</v>
      </c>
      <c r="K6" s="12">
        <f>K$4*($B6/60/2)*(Sheet1!$C$11*Sheet1!$C$7)*100/$C6</f>
        <v>0.55040212500000008</v>
      </c>
      <c r="L6">
        <v>277</v>
      </c>
      <c r="M6">
        <f t="shared" si="1"/>
        <v>1.6532219713670628</v>
      </c>
    </row>
    <row r="7" spans="1:13" ht="32.25" customHeight="1">
      <c r="A7" s="59"/>
      <c r="B7" s="12">
        <v>1400</v>
      </c>
      <c r="C7" s="12">
        <f t="shared" si="0"/>
        <v>146.60765716752368</v>
      </c>
      <c r="D7" s="12">
        <f>D$4*($B7/60/2)*(Sheet1!$C$11*Sheet1!$C$7)*100/$C7</f>
        <v>1.735883625</v>
      </c>
      <c r="E7" s="12">
        <f>E$4*($B7/60/2)*(Sheet1!$C$11*Sheet1!$C$7)*100/$C7</f>
        <v>1.566529125</v>
      </c>
      <c r="F7" s="12">
        <f>F$4*($B7/60/2)*(Sheet1!$C$11*Sheet1!$C$7)*100/$C7</f>
        <v>1.3971746250000001</v>
      </c>
      <c r="G7" s="12">
        <f>G$4*($B7/60/2)*(Sheet1!$C$11*Sheet1!$C$7)*100/$C7</f>
        <v>1.227820125</v>
      </c>
      <c r="H7" s="12">
        <f>H$4*($B7/60/2)*(Sheet1!$C$11*Sheet1!$C$7)*100/$C7</f>
        <v>1.058465625</v>
      </c>
      <c r="I7" s="12">
        <f>I$4*($B7/60/2)*(Sheet1!$C$11*Sheet1!$C$7)*100/$C7</f>
        <v>0.88911112500000022</v>
      </c>
      <c r="J7" s="12">
        <f>J$4*($B7/60/2)*(Sheet1!$C$11*Sheet1!$C$7)*100/$C7</f>
        <v>0.71975662500000004</v>
      </c>
      <c r="K7" s="12">
        <f>K$4*($B7/60/2)*(Sheet1!$C$11*Sheet1!$C$7)*100/$C7</f>
        <v>0.55040212499999996</v>
      </c>
      <c r="L7">
        <v>257</v>
      </c>
      <c r="M7">
        <f t="shared" si="1"/>
        <v>1.7529780160550186</v>
      </c>
    </row>
    <row r="8" spans="1:13" ht="32.25" customHeight="1">
      <c r="A8" s="59"/>
      <c r="B8" s="12">
        <v>1200</v>
      </c>
      <c r="C8" s="12">
        <f t="shared" si="0"/>
        <v>125.66370614359172</v>
      </c>
      <c r="D8" s="12">
        <f>D$4*($B8/60/2)*(Sheet1!$C$11*Sheet1!$C$7)*100/$C8</f>
        <v>1.735883625</v>
      </c>
      <c r="E8" s="12">
        <f>E$4*($B8/60/2)*(Sheet1!$C$11*Sheet1!$C$7)*100/$C8</f>
        <v>1.5665291250000002</v>
      </c>
      <c r="F8" s="12">
        <f>F$4*($B8/60/2)*(Sheet1!$C$11*Sheet1!$C$7)*100/$C8</f>
        <v>1.3971746250000003</v>
      </c>
      <c r="G8" s="12">
        <f>G$4*($B8/60/2)*(Sheet1!$C$11*Sheet1!$C$7)*100/$C8</f>
        <v>1.227820125</v>
      </c>
      <c r="H8" s="12">
        <f>H$4*($B8/60/2)*(Sheet1!$C$11*Sheet1!$C$7)*100/$C8</f>
        <v>1.0584656250000002</v>
      </c>
      <c r="I8" s="12">
        <f>I$4*($B8/60/2)*(Sheet1!$C$11*Sheet1!$C$7)*100/$C8</f>
        <v>0.889111125</v>
      </c>
      <c r="J8" s="12">
        <f>J$4*($B8/60/2)*(Sheet1!$C$11*Sheet1!$C$7)*100/$C8</f>
        <v>0.71975662500000015</v>
      </c>
      <c r="K8" s="12">
        <f>K$4*($B8/60/2)*(Sheet1!$C$11*Sheet1!$C$7)*100/$C8</f>
        <v>0.55040212500000008</v>
      </c>
      <c r="L8">
        <v>220</v>
      </c>
      <c r="M8">
        <f t="shared" si="1"/>
        <v>1.7507043740108488</v>
      </c>
    </row>
    <row r="9" spans="1:13" ht="32.25" customHeight="1">
      <c r="A9" s="59"/>
      <c r="B9" s="12">
        <v>1000</v>
      </c>
      <c r="C9" s="12">
        <f t="shared" si="0"/>
        <v>104.71975511965978</v>
      </c>
      <c r="D9" s="12"/>
      <c r="E9" s="12">
        <f>E$4*($B9/60/2)*(Sheet1!$C$11*Sheet1!$C$7)*100/$C9</f>
        <v>1.5665291250000002</v>
      </c>
      <c r="F9" s="12">
        <f>F$4*($B9/60/2)*(Sheet1!$C$11*Sheet1!$C$7)*100/$C9</f>
        <v>1.3971746250000001</v>
      </c>
      <c r="G9" s="12">
        <f>G$4*($B9/60/2)*(Sheet1!$C$11*Sheet1!$C$7)*100/$C9</f>
        <v>1.2278201250000003</v>
      </c>
      <c r="H9" s="12">
        <f>H$4*($B9/60/2)*(Sheet1!$C$11*Sheet1!$C$7)*100/$C9</f>
        <v>1.058465625</v>
      </c>
      <c r="I9" s="12">
        <f>I$4*($B9/60/2)*(Sheet1!$C$11*Sheet1!$C$7)*100/$C9</f>
        <v>0.889111125</v>
      </c>
      <c r="J9" s="12">
        <f>J$4*($B9/60/2)*(Sheet1!$C$11*Sheet1!$C$7)*100/$C9</f>
        <v>0.71975662500000004</v>
      </c>
      <c r="K9" s="53">
        <f>K$4*($B9/60/2)*(Sheet1!$C$11*Sheet1!$C$7)*100/$C9</f>
        <v>0.55040212500000008</v>
      </c>
      <c r="L9">
        <v>172</v>
      </c>
      <c r="M9">
        <f t="shared" si="1"/>
        <v>1.6424790127083597</v>
      </c>
    </row>
    <row r="10" spans="1:13" ht="32.25" customHeight="1">
      <c r="A10" s="59"/>
      <c r="B10" s="12">
        <v>800</v>
      </c>
      <c r="C10" s="12">
        <f t="shared" si="0"/>
        <v>83.775804095727821</v>
      </c>
      <c r="D10" s="12"/>
      <c r="E10" s="12"/>
      <c r="F10" s="12"/>
      <c r="G10" s="12">
        <f>G$4*($B10/60/2)*(Sheet1!$C$11*Sheet1!$C$7)*100/$C10</f>
        <v>1.227820125</v>
      </c>
      <c r="H10" s="12">
        <f>H$4*($B10/60/2)*(Sheet1!$C$11*Sheet1!$C$7)*100/$C10</f>
        <v>1.0584656250000002</v>
      </c>
      <c r="I10" s="12">
        <f>I$4*($B10/60/2)*(Sheet1!$C$11*Sheet1!$C$7)*100/$C10</f>
        <v>0.889111125</v>
      </c>
      <c r="J10" s="12">
        <f>J$4*($B10/60/2)*(Sheet1!$C$11*Sheet1!$C$7)*100/$C10</f>
        <v>0.71975662500000004</v>
      </c>
      <c r="K10" s="53">
        <f>K$4*($B10/60/2)*(Sheet1!$C$11*Sheet1!$C$7)*100/$C10</f>
        <v>0.55040212500000008</v>
      </c>
      <c r="L10">
        <v>110</v>
      </c>
      <c r="M10">
        <f t="shared" si="1"/>
        <v>1.3130282805081366</v>
      </c>
    </row>
    <row r="12" spans="1:13">
      <c r="E12">
        <f>E5*$C5</f>
        <v>280</v>
      </c>
      <c r="F12">
        <f t="shared" ref="F12:K16" si="2">F5*$C5</f>
        <v>263.3612122609245</v>
      </c>
      <c r="G12">
        <f t="shared" si="2"/>
        <v>231.43864107778211</v>
      </c>
      <c r="H12">
        <f t="shared" si="2"/>
        <v>199.51606989463974</v>
      </c>
      <c r="I12">
        <f t="shared" si="2"/>
        <v>167.5934987114974</v>
      </c>
      <c r="J12">
        <f t="shared" si="2"/>
        <v>135.67092752835504</v>
      </c>
      <c r="K12">
        <f t="shared" si="2"/>
        <v>103.74835634521267</v>
      </c>
    </row>
    <row r="13" spans="1:13">
      <c r="E13">
        <f>E6*$C6</f>
        <v>262.4744741725039</v>
      </c>
      <c r="F13">
        <f t="shared" si="2"/>
        <v>234.09885534304399</v>
      </c>
      <c r="G13">
        <f t="shared" si="2"/>
        <v>205.72323651358408</v>
      </c>
      <c r="H13">
        <f t="shared" si="2"/>
        <v>177.34761768412426</v>
      </c>
      <c r="I13">
        <f t="shared" si="2"/>
        <v>148.97199885466435</v>
      </c>
      <c r="J13">
        <f t="shared" si="2"/>
        <v>120.59638002520447</v>
      </c>
      <c r="K13">
        <f t="shared" si="2"/>
        <v>92.220761195744601</v>
      </c>
    </row>
    <row r="14" spans="1:13">
      <c r="D14">
        <f>D7*$C7</f>
        <v>254.49383137671825</v>
      </c>
      <c r="E14">
        <f>E7*$C7</f>
        <v>229.66516490094085</v>
      </c>
      <c r="F14">
        <f t="shared" si="2"/>
        <v>204.83649842516348</v>
      </c>
      <c r="G14">
        <f t="shared" si="2"/>
        <v>180.00783194938609</v>
      </c>
      <c r="H14">
        <f t="shared" si="2"/>
        <v>155.17916547360869</v>
      </c>
      <c r="I14">
        <f t="shared" si="2"/>
        <v>130.35049899783132</v>
      </c>
      <c r="J14">
        <f t="shared" si="2"/>
        <v>105.52183252205391</v>
      </c>
      <c r="K14">
        <f t="shared" si="2"/>
        <v>80.693166046276517</v>
      </c>
    </row>
    <row r="15" spans="1:13">
      <c r="D15">
        <f>D8*$C8</f>
        <v>218.13756975147277</v>
      </c>
      <c r="E15">
        <f>E8*$C8</f>
        <v>196.85585562937788</v>
      </c>
      <c r="F15">
        <f t="shared" si="2"/>
        <v>175.574141507283</v>
      </c>
      <c r="G15">
        <f t="shared" si="2"/>
        <v>154.29242738518806</v>
      </c>
      <c r="H15">
        <f t="shared" si="2"/>
        <v>133.01071326309318</v>
      </c>
      <c r="I15">
        <f t="shared" si="2"/>
        <v>111.72899914099825</v>
      </c>
      <c r="J15">
        <f t="shared" si="2"/>
        <v>90.447285018903358</v>
      </c>
      <c r="K15">
        <f t="shared" si="2"/>
        <v>69.165570896808447</v>
      </c>
    </row>
    <row r="16" spans="1:13">
      <c r="E16">
        <f>E9*$C9</f>
        <v>164.04654635781492</v>
      </c>
      <c r="F16">
        <f t="shared" si="2"/>
        <v>146.31178458940249</v>
      </c>
      <c r="G16">
        <f t="shared" si="2"/>
        <v>128.57702282099009</v>
      </c>
      <c r="H16">
        <f t="shared" si="2"/>
        <v>110.84226105257764</v>
      </c>
      <c r="I16">
        <f t="shared" si="2"/>
        <v>93.107499284165215</v>
      </c>
      <c r="J16">
        <f t="shared" si="2"/>
        <v>75.372737515752803</v>
      </c>
      <c r="K16">
        <f t="shared" si="2"/>
        <v>57.637975747340377</v>
      </c>
    </row>
    <row r="17" spans="5:11">
      <c r="G17">
        <f>G10*$C10</f>
        <v>102.86161825679204</v>
      </c>
      <c r="H17">
        <f>H10*$C10</f>
        <v>88.67380884206213</v>
      </c>
      <c r="I17">
        <f>I10*$C10</f>
        <v>74.485999427332175</v>
      </c>
      <c r="J17">
        <f>J10*$C10</f>
        <v>60.298190012602234</v>
      </c>
      <c r="K17">
        <f>K10*$C10</f>
        <v>46.1103805978723</v>
      </c>
    </row>
    <row r="18" spans="5:11" ht="15" thickBot="1"/>
    <row r="19" spans="5:11" ht="15" thickBot="1">
      <c r="E19" s="20">
        <v>24</v>
      </c>
      <c r="F19" s="20"/>
      <c r="G19" s="18">
        <v>19</v>
      </c>
      <c r="H19" s="21">
        <v>16</v>
      </c>
      <c r="I19" s="18"/>
      <c r="J19" s="18">
        <v>10</v>
      </c>
      <c r="K19" s="21">
        <v>7</v>
      </c>
    </row>
    <row r="20" spans="5:11" ht="15" thickBot="1">
      <c r="E20" s="20">
        <v>23</v>
      </c>
      <c r="F20" s="20">
        <v>21</v>
      </c>
      <c r="G20" s="21"/>
      <c r="H20" s="18"/>
      <c r="I20" s="21">
        <v>13</v>
      </c>
      <c r="J20" s="18"/>
      <c r="K20" s="18">
        <v>6</v>
      </c>
    </row>
    <row r="21" spans="5:11" ht="15" thickBot="1">
      <c r="E21" s="20"/>
      <c r="F21" s="20"/>
      <c r="G21" s="18">
        <v>18</v>
      </c>
      <c r="H21" s="18">
        <v>15</v>
      </c>
      <c r="I21" s="18"/>
      <c r="J21" s="21">
        <v>9</v>
      </c>
      <c r="K21" s="21">
        <v>5</v>
      </c>
    </row>
    <row r="22" spans="5:11" ht="15" thickBot="1">
      <c r="E22" s="20">
        <v>22</v>
      </c>
      <c r="F22" s="18">
        <v>20</v>
      </c>
      <c r="G22" s="18"/>
      <c r="H22" s="18"/>
      <c r="I22" s="22">
        <v>12</v>
      </c>
      <c r="J22" s="18"/>
      <c r="K22" s="18">
        <v>4</v>
      </c>
    </row>
    <row r="23" spans="5:11" ht="15" thickBot="1">
      <c r="E23" s="19"/>
      <c r="G23" s="20">
        <v>17</v>
      </c>
      <c r="H23" s="21">
        <v>14</v>
      </c>
      <c r="I23" s="18"/>
      <c r="J23" s="18">
        <v>8</v>
      </c>
      <c r="K23" s="18">
        <v>2</v>
      </c>
    </row>
    <row r="24" spans="5:11" ht="15" thickBot="1">
      <c r="G24" s="17"/>
      <c r="H24" s="17"/>
      <c r="I24" s="18">
        <v>11</v>
      </c>
      <c r="J24" s="18"/>
      <c r="K24" s="21">
        <v>1</v>
      </c>
    </row>
  </sheetData>
  <mergeCells count="2">
    <mergeCell ref="D2:K2"/>
    <mergeCell ref="A5:A10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85" zoomScaleNormal="85" workbookViewId="0">
      <selection activeCell="E13" sqref="E13"/>
    </sheetView>
  </sheetViews>
  <sheetFormatPr defaultRowHeight="14.4"/>
  <sheetData>
    <row r="1" spans="1:9">
      <c r="A1">
        <v>0</v>
      </c>
      <c r="B1">
        <v>0</v>
      </c>
      <c r="C1">
        <f>0.0303*B1^0.5</f>
        <v>0</v>
      </c>
    </row>
    <row r="2" spans="1:9">
      <c r="A2">
        <v>0.1</v>
      </c>
      <c r="B2">
        <v>10</v>
      </c>
      <c r="C2">
        <f>0.03291*B2^0.48</f>
        <v>9.9386611118430376E-2</v>
      </c>
      <c r="D2">
        <f t="shared" ref="D2:D8" si="0">(B3-B2)/(A3-A2)</f>
        <v>330</v>
      </c>
    </row>
    <row r="3" spans="1:9">
      <c r="A3">
        <v>0.2</v>
      </c>
      <c r="B3">
        <v>43</v>
      </c>
      <c r="C3">
        <f>0.03291*B3^0.48</f>
        <v>0.20016712017203245</v>
      </c>
      <c r="D3">
        <f t="shared" si="0"/>
        <v>570.00000000000011</v>
      </c>
    </row>
    <row r="4" spans="1:9">
      <c r="A4">
        <v>0.3</v>
      </c>
      <c r="B4">
        <v>100</v>
      </c>
      <c r="C4">
        <f>0.03291*B4^0.48</f>
        <v>0.30014276723202993</v>
      </c>
      <c r="D4">
        <f t="shared" si="0"/>
        <v>779.99999999999977</v>
      </c>
    </row>
    <row r="5" spans="1:9">
      <c r="A5">
        <v>0.4</v>
      </c>
      <c r="B5">
        <v>178</v>
      </c>
      <c r="C5">
        <f>0.02475*B5^0.5+0.0001753*B5+0.03637</f>
        <v>0.39777958558712678</v>
      </c>
      <c r="D5">
        <f t="shared" si="0"/>
        <v>1020.0000000000002</v>
      </c>
    </row>
    <row r="6" spans="1:9">
      <c r="A6">
        <v>0.5</v>
      </c>
      <c r="B6">
        <v>280</v>
      </c>
      <c r="C6">
        <f>0.02475*B6^0.5+0.0001753*B6+0.03637</f>
        <v>0.49960071313436744</v>
      </c>
      <c r="D6">
        <f t="shared" si="0"/>
        <v>1200.0000000000002</v>
      </c>
    </row>
    <row r="7" spans="1:9">
      <c r="A7">
        <v>0.6</v>
      </c>
      <c r="B7">
        <v>400</v>
      </c>
      <c r="C7">
        <f>0.02475*B7^0.5+0.0001753*B7+0.03637</f>
        <v>0.60148999999999997</v>
      </c>
      <c r="D7">
        <f t="shared" si="0"/>
        <v>1330.0000000000002</v>
      </c>
    </row>
    <row r="8" spans="1:9">
      <c r="A8">
        <v>0.7</v>
      </c>
      <c r="B8">
        <v>533</v>
      </c>
      <c r="C8">
        <f>0.02475*B8^0.5+0.0001753*B8+0.03637</f>
        <v>0.70120302084045227</v>
      </c>
      <c r="D8">
        <f t="shared" si="0"/>
        <v>1439.9999999999986</v>
      </c>
    </row>
    <row r="9" spans="1:9">
      <c r="A9">
        <v>0.8</v>
      </c>
      <c r="B9">
        <v>677</v>
      </c>
      <c r="C9">
        <f>0.02475*B9^0.5+0.0001753*B9+0.03637</f>
        <v>0.79902388564725557</v>
      </c>
    </row>
    <row r="10" spans="1:9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  <c r="H10" t="s">
        <v>121</v>
      </c>
      <c r="I10" t="s">
        <v>122</v>
      </c>
    </row>
    <row r="11" spans="1:9">
      <c r="B11">
        <v>500</v>
      </c>
      <c r="C11">
        <v>200</v>
      </c>
      <c r="D11">
        <v>10</v>
      </c>
      <c r="E11">
        <v>1</v>
      </c>
      <c r="F11">
        <v>1.8</v>
      </c>
      <c r="G11">
        <f>1/86.74*16/12</f>
        <v>1.5371608638844056E-2</v>
      </c>
      <c r="H11">
        <v>0</v>
      </c>
      <c r="I11">
        <v>0</v>
      </c>
    </row>
    <row r="12" spans="1:9">
      <c r="A12" t="s">
        <v>114</v>
      </c>
      <c r="B12">
        <f>(E11*(100-B11*10^-4/2-C11*10^-4)+(F11/4*(1-(2*B11*10^-4)/(3.5*D11))/(1+(B11*10^-4)/(3.5*D11))-I11/2-H11/2)*(D11+B11*10^-4))/(4.764*(E11+F11/4-I11/2+G11)*(D11+B11*10^-4+C11*10^-4))</f>
        <v>1.4859127700638242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3" sqref="A23:E31"/>
    </sheetView>
  </sheetViews>
  <sheetFormatPr defaultRowHeight="14.4"/>
  <cols>
    <col min="1" max="1" width="19" customWidth="1"/>
    <col min="2" max="2" width="9.5546875" bestFit="1" customWidth="1"/>
  </cols>
  <sheetData>
    <row r="1" spans="1:6" ht="16.2">
      <c r="A1" t="s">
        <v>135</v>
      </c>
    </row>
    <row r="2" spans="1:6">
      <c r="A2" t="s">
        <v>123</v>
      </c>
    </row>
    <row r="3" spans="1:6">
      <c r="A3" t="s">
        <v>126</v>
      </c>
      <c r="B3">
        <v>0.85199999999999998</v>
      </c>
    </row>
    <row r="4" spans="1:6">
      <c r="A4" t="s">
        <v>127</v>
      </c>
      <c r="B4">
        <v>42.65</v>
      </c>
    </row>
    <row r="5" spans="1:6">
      <c r="C5" t="s">
        <v>134</v>
      </c>
    </row>
    <row r="6" spans="1:6">
      <c r="A6" t="s">
        <v>128</v>
      </c>
      <c r="B6">
        <v>86.74</v>
      </c>
      <c r="C6">
        <f>B6-$F$7*B6/$F$6</f>
        <v>86.39442231075698</v>
      </c>
      <c r="D6">
        <v>12.000999999999999</v>
      </c>
      <c r="E6">
        <f>C6/D6</f>
        <v>7.198935281289641</v>
      </c>
      <c r="F6">
        <f>SUM(B6:B10)</f>
        <v>100.39999999999999</v>
      </c>
    </row>
    <row r="7" spans="1:6">
      <c r="A7" t="s">
        <v>124</v>
      </c>
      <c r="B7">
        <v>13.23</v>
      </c>
      <c r="C7">
        <f>B7-$F$7*B7/$F$6</f>
        <v>13.177290836653388</v>
      </c>
      <c r="D7">
        <v>1.0079400000000001</v>
      </c>
      <c r="E7">
        <f t="shared" ref="E7:E10" si="0">C7/D7</f>
        <v>13.073487347117275</v>
      </c>
      <c r="F7">
        <f>SUM(B6:B10)-100</f>
        <v>0.39999999999999147</v>
      </c>
    </row>
    <row r="8" spans="1:6">
      <c r="A8" t="s">
        <v>129</v>
      </c>
      <c r="B8">
        <v>0.23</v>
      </c>
      <c r="C8">
        <f>B8-$F$7*B8/$F$6</f>
        <v>0.22908366533864544</v>
      </c>
      <c r="D8">
        <v>32.064999999999998</v>
      </c>
      <c r="E8">
        <f t="shared" si="0"/>
        <v>7.1443525756633543E-3</v>
      </c>
    </row>
    <row r="9" spans="1:6">
      <c r="A9" t="s">
        <v>125</v>
      </c>
      <c r="B9">
        <v>0.1</v>
      </c>
      <c r="C9">
        <f>B9-$F$7*B9/$F$6</f>
        <v>9.9601593625498017E-2</v>
      </c>
      <c r="D9">
        <v>14.0067</v>
      </c>
      <c r="E9">
        <f t="shared" si="0"/>
        <v>7.1109964249607702E-3</v>
      </c>
    </row>
    <row r="10" spans="1:6">
      <c r="A10" t="s">
        <v>130</v>
      </c>
      <c r="B10">
        <v>0.1</v>
      </c>
      <c r="C10">
        <f>B10-$F$7*B10/$F$6</f>
        <v>9.9601593625498017E-2</v>
      </c>
      <c r="D10">
        <v>15.9994</v>
      </c>
      <c r="E10">
        <f t="shared" si="0"/>
        <v>6.2253330515830603E-3</v>
      </c>
    </row>
    <row r="11" spans="1:6">
      <c r="A11" t="s">
        <v>131</v>
      </c>
      <c r="B11">
        <v>3.1</v>
      </c>
    </row>
    <row r="13" spans="1:6">
      <c r="A13" t="s">
        <v>132</v>
      </c>
    </row>
    <row r="14" spans="1:6">
      <c r="A14" t="s">
        <v>15</v>
      </c>
      <c r="B14">
        <v>1</v>
      </c>
    </row>
    <row r="15" spans="1:6">
      <c r="A15" t="s">
        <v>14</v>
      </c>
      <c r="B15">
        <f>E7/$E$6</f>
        <v>1.8160306818003853</v>
      </c>
    </row>
    <row r="16" spans="1:6">
      <c r="A16" t="s">
        <v>17</v>
      </c>
      <c r="B16">
        <f>E10/$E$6</f>
        <v>8.6475746875555094E-4</v>
      </c>
    </row>
    <row r="17" spans="1:5">
      <c r="A17" t="s">
        <v>16</v>
      </c>
      <c r="B17">
        <f>E9/$E$6</f>
        <v>9.877844635501269E-4</v>
      </c>
    </row>
    <row r="18" spans="1:5">
      <c r="A18" t="s">
        <v>133</v>
      </c>
      <c r="B18">
        <f>E8/$E$6</f>
        <v>9.9241794744729141E-4</v>
      </c>
    </row>
    <row r="20" spans="1:5">
      <c r="A20" t="s">
        <v>136</v>
      </c>
    </row>
    <row r="22" spans="1:5" ht="16.2">
      <c r="A22" t="s">
        <v>135</v>
      </c>
    </row>
    <row r="23" spans="1:5">
      <c r="A23" s="63" t="s">
        <v>131</v>
      </c>
      <c r="B23" s="63"/>
      <c r="C23" s="66">
        <v>3.1</v>
      </c>
      <c r="D23" s="67"/>
      <c r="E23" s="68"/>
    </row>
    <row r="24" spans="1:5">
      <c r="A24" s="63" t="s">
        <v>126</v>
      </c>
      <c r="B24" s="63"/>
      <c r="C24" s="66">
        <v>0.85199999999999998</v>
      </c>
      <c r="D24" s="67"/>
      <c r="E24" s="68"/>
    </row>
    <row r="25" spans="1:5">
      <c r="A25" s="63" t="s">
        <v>127</v>
      </c>
      <c r="B25" s="63"/>
      <c r="C25" s="66">
        <v>42.65</v>
      </c>
      <c r="D25" s="67"/>
      <c r="E25" s="68"/>
    </row>
    <row r="26" spans="1:5">
      <c r="A26" s="64" t="s">
        <v>256</v>
      </c>
      <c r="B26" s="65"/>
      <c r="C26" s="47" t="s">
        <v>262</v>
      </c>
      <c r="D26" s="47" t="s">
        <v>263</v>
      </c>
      <c r="E26" s="47" t="s">
        <v>264</v>
      </c>
    </row>
    <row r="27" spans="1:5">
      <c r="A27" s="45"/>
      <c r="B27" s="43" t="s">
        <v>257</v>
      </c>
      <c r="C27" s="44">
        <f>B6-$F$7*B6/$F$6</f>
        <v>86.39442231075698</v>
      </c>
      <c r="D27" s="43">
        <v>12.000999999999999</v>
      </c>
      <c r="E27" s="43">
        <f>E6/SUM($E$6:$E$10)</f>
        <v>0.35475137150923364</v>
      </c>
    </row>
    <row r="28" spans="1:5">
      <c r="A28" s="45"/>
      <c r="B28" s="43" t="s">
        <v>258</v>
      </c>
      <c r="C28" s="44">
        <f>B7-$F$7*B7/$F$6</f>
        <v>13.177290836653388</v>
      </c>
      <c r="D28" s="43">
        <v>1.0079400000000001</v>
      </c>
      <c r="E28" s="43">
        <f>E7/SUM($E$6:$E$10)</f>
        <v>0.64423937507153539</v>
      </c>
    </row>
    <row r="29" spans="1:5">
      <c r="A29" s="45"/>
      <c r="B29" s="43" t="s">
        <v>259</v>
      </c>
      <c r="C29" s="44">
        <f>B8-$F$7*B8/$F$6</f>
        <v>0.22908366533864544</v>
      </c>
      <c r="D29" s="43">
        <v>32.064999999999998</v>
      </c>
      <c r="E29" s="43">
        <f>E8/SUM($E$6:$E$10)</f>
        <v>3.5206162796730519E-4</v>
      </c>
    </row>
    <row r="30" spans="1:5">
      <c r="A30" s="45"/>
      <c r="B30" s="43" t="s">
        <v>260</v>
      </c>
      <c r="C30" s="44">
        <f>B9-$F$7*B9/$F$6</f>
        <v>9.9601593625498017E-2</v>
      </c>
      <c r="D30" s="43">
        <v>14.0067</v>
      </c>
      <c r="E30" s="43">
        <f>E9/SUM($E$6:$E$10)</f>
        <v>3.5041789319992017E-4</v>
      </c>
    </row>
    <row r="31" spans="1:5">
      <c r="A31" s="46"/>
      <c r="B31" s="43" t="s">
        <v>261</v>
      </c>
      <c r="C31" s="44">
        <f>B10-$F$7*B10/$F$6</f>
        <v>9.9601593625498017E-2</v>
      </c>
      <c r="D31" s="43">
        <v>15.9994</v>
      </c>
      <c r="E31" s="43">
        <f>E10/SUM($E$6:$E$10)</f>
        <v>3.0677389806388496E-4</v>
      </c>
    </row>
    <row r="32" spans="1:5">
      <c r="B32" s="42"/>
    </row>
  </sheetData>
  <mergeCells count="7">
    <mergeCell ref="A23:B23"/>
    <mergeCell ref="A24:B24"/>
    <mergeCell ref="A25:B25"/>
    <mergeCell ref="A26:B26"/>
    <mergeCell ref="C23:E23"/>
    <mergeCell ref="C24:E24"/>
    <mergeCell ref="C25:E2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RowHeight="14.4"/>
  <sheetData>
    <row r="1" spans="1:4">
      <c r="A1" t="s">
        <v>265</v>
      </c>
    </row>
    <row r="2" spans="1:4">
      <c r="B2" t="s">
        <v>267</v>
      </c>
      <c r="C2" t="s">
        <v>271</v>
      </c>
    </row>
    <row r="3" spans="1:4">
      <c r="A3" t="s">
        <v>266</v>
      </c>
      <c r="B3">
        <v>1</v>
      </c>
      <c r="C3">
        <f>B3/SUM($B$3:$B$6)</f>
        <v>0.20950305874465766</v>
      </c>
      <c r="D3">
        <v>0.20950305874465766</v>
      </c>
    </row>
    <row r="4" spans="1:4">
      <c r="A4" t="s">
        <v>268</v>
      </c>
      <c r="B4">
        <v>3.7273999999999998</v>
      </c>
      <c r="C4">
        <f t="shared" ref="C4:C6" si="0">B4/SUM($B$3:$B$6)</f>
        <v>0.78090170116483693</v>
      </c>
      <c r="D4">
        <v>0.78090170116483693</v>
      </c>
    </row>
    <row r="5" spans="1:4">
      <c r="A5" t="s">
        <v>269</v>
      </c>
      <c r="B5">
        <v>4.4400000000000002E-2</v>
      </c>
      <c r="C5">
        <f t="shared" si="0"/>
        <v>9.3019358082628012E-3</v>
      </c>
      <c r="D5">
        <v>9.3019358082628012E-3</v>
      </c>
    </row>
    <row r="6" spans="1:4">
      <c r="A6" t="s">
        <v>270</v>
      </c>
      <c r="B6">
        <v>1.4E-3</v>
      </c>
      <c r="C6">
        <f t="shared" si="0"/>
        <v>2.9330428224252073E-4</v>
      </c>
      <c r="D6">
        <v>2.93304282242521E-4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8" sqref="F8"/>
    </sheetView>
  </sheetViews>
  <sheetFormatPr defaultRowHeight="14.4"/>
  <sheetData>
    <row r="1" spans="1:4">
      <c r="A1" t="s">
        <v>290</v>
      </c>
      <c r="B1">
        <v>0.1</v>
      </c>
      <c r="C1" t="s">
        <v>292</v>
      </c>
      <c r="D1">
        <v>0.7</v>
      </c>
    </row>
    <row r="2" spans="1:4">
      <c r="A2" t="s">
        <v>291</v>
      </c>
      <c r="B2">
        <v>0.8</v>
      </c>
    </row>
    <row r="3" spans="1:4">
      <c r="B3" t="s">
        <v>289</v>
      </c>
    </row>
    <row r="4" spans="1:4">
      <c r="A4">
        <v>0</v>
      </c>
      <c r="B4">
        <f>$B$1/(1-$B$2)*(A4-$B$2) + $D$1</f>
        <v>0.29999999999999982</v>
      </c>
      <c r="C4">
        <f>1-B4</f>
        <v>0.70000000000000018</v>
      </c>
      <c r="D4">
        <f>1-C4*A4</f>
        <v>1</v>
      </c>
    </row>
    <row r="5" spans="1:4">
      <c r="A5">
        <v>0.05</v>
      </c>
      <c r="B5">
        <f t="shared" ref="B5:B24" si="0">$B$1/(1-$B$2)*(A5-$B$2) + $D$1</f>
        <v>0.32499999999999984</v>
      </c>
      <c r="C5">
        <f t="shared" ref="C5:C24" si="1">1-B5</f>
        <v>0.67500000000000016</v>
      </c>
      <c r="D5">
        <f t="shared" ref="D5:D24" si="2">1-C5*A5</f>
        <v>0.96624999999999994</v>
      </c>
    </row>
    <row r="6" spans="1:4">
      <c r="A6">
        <v>0.1</v>
      </c>
      <c r="B6">
        <f t="shared" si="0"/>
        <v>0.34999999999999987</v>
      </c>
      <c r="C6">
        <f t="shared" si="1"/>
        <v>0.65000000000000013</v>
      </c>
      <c r="D6">
        <f t="shared" si="2"/>
        <v>0.93499999999999994</v>
      </c>
    </row>
    <row r="7" spans="1:4">
      <c r="A7">
        <v>0.15</v>
      </c>
      <c r="B7">
        <f t="shared" si="0"/>
        <v>0.37499999999999989</v>
      </c>
      <c r="C7">
        <f t="shared" si="1"/>
        <v>0.62500000000000011</v>
      </c>
      <c r="D7">
        <f t="shared" si="2"/>
        <v>0.90625</v>
      </c>
    </row>
    <row r="8" spans="1:4">
      <c r="A8">
        <v>0.2</v>
      </c>
      <c r="B8">
        <f t="shared" si="0"/>
        <v>0.39999999999999986</v>
      </c>
      <c r="C8">
        <f t="shared" si="1"/>
        <v>0.60000000000000009</v>
      </c>
      <c r="D8">
        <f t="shared" si="2"/>
        <v>0.88</v>
      </c>
    </row>
    <row r="9" spans="1:4">
      <c r="A9">
        <v>0.25</v>
      </c>
      <c r="B9">
        <f t="shared" si="0"/>
        <v>0.42499999999999988</v>
      </c>
      <c r="C9">
        <f t="shared" si="1"/>
        <v>0.57500000000000018</v>
      </c>
      <c r="D9">
        <f t="shared" si="2"/>
        <v>0.85624999999999996</v>
      </c>
    </row>
    <row r="10" spans="1:4">
      <c r="A10">
        <v>0.3</v>
      </c>
      <c r="B10">
        <f t="shared" si="0"/>
        <v>0.4499999999999999</v>
      </c>
      <c r="C10">
        <f t="shared" si="1"/>
        <v>0.55000000000000004</v>
      </c>
      <c r="D10">
        <f t="shared" si="2"/>
        <v>0.83499999999999996</v>
      </c>
    </row>
    <row r="11" spans="1:4">
      <c r="A11">
        <v>0.35</v>
      </c>
      <c r="B11">
        <f t="shared" si="0"/>
        <v>0.47499999999999987</v>
      </c>
      <c r="C11">
        <f t="shared" si="1"/>
        <v>0.52500000000000013</v>
      </c>
      <c r="D11">
        <f t="shared" si="2"/>
        <v>0.81624999999999992</v>
      </c>
    </row>
    <row r="12" spans="1:4">
      <c r="A12">
        <v>0.4</v>
      </c>
      <c r="B12">
        <f t="shared" si="0"/>
        <v>0.49999999999999989</v>
      </c>
      <c r="C12">
        <f t="shared" si="1"/>
        <v>0.50000000000000011</v>
      </c>
      <c r="D12">
        <f t="shared" si="2"/>
        <v>0.79999999999999993</v>
      </c>
    </row>
    <row r="13" spans="1:4">
      <c r="A13">
        <v>0.45</v>
      </c>
      <c r="B13">
        <f t="shared" si="0"/>
        <v>0.52499999999999991</v>
      </c>
      <c r="C13">
        <f t="shared" si="1"/>
        <v>0.47500000000000009</v>
      </c>
      <c r="D13">
        <f t="shared" si="2"/>
        <v>0.78624999999999989</v>
      </c>
    </row>
    <row r="14" spans="1:4">
      <c r="A14">
        <v>0.5</v>
      </c>
      <c r="B14">
        <f t="shared" si="0"/>
        <v>0.54999999999999993</v>
      </c>
      <c r="C14">
        <f t="shared" si="1"/>
        <v>0.45000000000000007</v>
      </c>
      <c r="D14">
        <f t="shared" si="2"/>
        <v>0.77499999999999991</v>
      </c>
    </row>
    <row r="15" spans="1:4">
      <c r="A15">
        <v>0.55000000000000004</v>
      </c>
      <c r="B15">
        <f t="shared" si="0"/>
        <v>0.57499999999999996</v>
      </c>
      <c r="C15">
        <f t="shared" si="1"/>
        <v>0.42500000000000004</v>
      </c>
      <c r="D15">
        <f t="shared" si="2"/>
        <v>0.76624999999999999</v>
      </c>
    </row>
    <row r="16" spans="1:4">
      <c r="A16">
        <v>0.6</v>
      </c>
      <c r="B16">
        <f t="shared" si="0"/>
        <v>0.59999999999999987</v>
      </c>
      <c r="C16">
        <f t="shared" si="1"/>
        <v>0.40000000000000013</v>
      </c>
      <c r="D16">
        <f t="shared" si="2"/>
        <v>0.7599999999999999</v>
      </c>
    </row>
    <row r="17" spans="1:4">
      <c r="A17">
        <v>0.65</v>
      </c>
      <c r="B17">
        <f t="shared" si="0"/>
        <v>0.62499999999999989</v>
      </c>
      <c r="C17">
        <f t="shared" si="1"/>
        <v>0.37500000000000011</v>
      </c>
      <c r="D17">
        <f t="shared" si="2"/>
        <v>0.75624999999999987</v>
      </c>
    </row>
    <row r="18" spans="1:4">
      <c r="A18">
        <v>0.7</v>
      </c>
      <c r="B18">
        <f t="shared" si="0"/>
        <v>0.64999999999999991</v>
      </c>
      <c r="C18">
        <f t="shared" si="1"/>
        <v>0.35000000000000009</v>
      </c>
      <c r="D18">
        <f t="shared" si="2"/>
        <v>0.75499999999999989</v>
      </c>
    </row>
    <row r="19" spans="1:4">
      <c r="A19">
        <v>0.75</v>
      </c>
      <c r="B19">
        <f t="shared" si="0"/>
        <v>0.67499999999999993</v>
      </c>
      <c r="C19">
        <f t="shared" si="1"/>
        <v>0.32500000000000007</v>
      </c>
      <c r="D19">
        <f t="shared" si="2"/>
        <v>0.75624999999999998</v>
      </c>
    </row>
    <row r="20" spans="1:4">
      <c r="A20">
        <v>0.8</v>
      </c>
      <c r="B20">
        <f t="shared" si="0"/>
        <v>0.7</v>
      </c>
      <c r="C20">
        <f t="shared" si="1"/>
        <v>0.30000000000000004</v>
      </c>
      <c r="D20">
        <f t="shared" si="2"/>
        <v>0.76</v>
      </c>
    </row>
    <row r="21" spans="1:4">
      <c r="A21">
        <v>0.85</v>
      </c>
      <c r="B21">
        <f t="shared" si="0"/>
        <v>0.72499999999999998</v>
      </c>
      <c r="C21">
        <f t="shared" si="1"/>
        <v>0.27500000000000002</v>
      </c>
      <c r="D21">
        <f t="shared" si="2"/>
        <v>0.76624999999999999</v>
      </c>
    </row>
    <row r="22" spans="1:4">
      <c r="A22">
        <v>0.9</v>
      </c>
      <c r="B22">
        <f t="shared" si="0"/>
        <v>0.75</v>
      </c>
      <c r="C22">
        <f t="shared" si="1"/>
        <v>0.25</v>
      </c>
      <c r="D22">
        <f t="shared" si="2"/>
        <v>0.77500000000000002</v>
      </c>
    </row>
    <row r="23" spans="1:4">
      <c r="A23">
        <v>0.95</v>
      </c>
      <c r="B23">
        <f t="shared" si="0"/>
        <v>0.77499999999999991</v>
      </c>
      <c r="C23">
        <f t="shared" si="1"/>
        <v>0.22500000000000009</v>
      </c>
      <c r="D23">
        <f t="shared" si="2"/>
        <v>0.78624999999999989</v>
      </c>
    </row>
    <row r="24" spans="1:4">
      <c r="A24">
        <v>1</v>
      </c>
      <c r="B24">
        <f t="shared" si="0"/>
        <v>0.79999999999999993</v>
      </c>
      <c r="C24">
        <f t="shared" si="1"/>
        <v>0.20000000000000007</v>
      </c>
      <c r="D24">
        <f t="shared" si="2"/>
        <v>0.79999999999999993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4.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C13" sqref="AC13"/>
    </sheetView>
  </sheetViews>
  <sheetFormatPr defaultColWidth="9.109375" defaultRowHeight="13.8"/>
  <cols>
    <col min="1" max="74" width="9.109375" style="2"/>
    <col min="75" max="75" width="12.5546875" style="2" bestFit="1" customWidth="1"/>
    <col min="76" max="16384" width="9.109375" style="2"/>
  </cols>
  <sheetData>
    <row r="1" spans="1:80">
      <c r="B1" s="2">
        <v>1</v>
      </c>
      <c r="C1" s="2">
        <v>2</v>
      </c>
      <c r="D1" s="2">
        <v>3</v>
      </c>
      <c r="E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O1" s="2">
        <v>36</v>
      </c>
      <c r="BC1" s="2" t="s">
        <v>209</v>
      </c>
      <c r="BE1" s="2" t="s">
        <v>78</v>
      </c>
      <c r="BF1" s="2">
        <f>PI()*0.127^2/4*0.14</f>
        <v>1.7734761768412423E-3</v>
      </c>
      <c r="BG1" s="2" t="s">
        <v>286</v>
      </c>
      <c r="BH1" s="2">
        <f>0.0017576341989371+7.27848199546045E-07</f>
        <v>1.758362047136646E-3</v>
      </c>
      <c r="BI1" s="2" t="s">
        <v>287</v>
      </c>
      <c r="BJ1" s="2">
        <f>BF1/(18-1)</f>
        <v>1.0432212804948484E-4</v>
      </c>
      <c r="BK1" s="2">
        <f>60*(BJ1/BH1)^(1.4)</f>
        <v>1.1500762664078525</v>
      </c>
      <c r="BL1" s="2">
        <f>BF1+BJ1</f>
        <v>1.8777983048907272E-3</v>
      </c>
      <c r="BW1" s="31">
        <v>100000</v>
      </c>
    </row>
    <row r="2" spans="1:80">
      <c r="B2" s="2" t="s">
        <v>160</v>
      </c>
      <c r="C2" s="2" t="s">
        <v>162</v>
      </c>
      <c r="D2" s="2" t="s">
        <v>165</v>
      </c>
      <c r="E2" s="2" t="s">
        <v>166</v>
      </c>
      <c r="F2" s="2" t="s">
        <v>199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167</v>
      </c>
      <c r="L2" s="2" t="s">
        <v>168</v>
      </c>
      <c r="M2" s="2" t="s">
        <v>169</v>
      </c>
      <c r="N2" s="2" t="s">
        <v>186</v>
      </c>
      <c r="O2" s="2" t="s">
        <v>170</v>
      </c>
      <c r="P2" s="2" t="s">
        <v>171</v>
      </c>
      <c r="R2" s="2" t="s">
        <v>76</v>
      </c>
      <c r="T2" s="2" t="s">
        <v>172</v>
      </c>
      <c r="U2" s="2" t="s">
        <v>173</v>
      </c>
      <c r="V2" s="2" t="s">
        <v>174</v>
      </c>
      <c r="W2" s="2" t="s">
        <v>175</v>
      </c>
      <c r="X2" s="2" t="s">
        <v>176</v>
      </c>
      <c r="Y2" s="2" t="s">
        <v>177</v>
      </c>
      <c r="Z2" s="2" t="s">
        <v>179</v>
      </c>
      <c r="AA2" s="2" t="s">
        <v>178</v>
      </c>
      <c r="AB2" s="2" t="s">
        <v>180</v>
      </c>
      <c r="AC2" s="2" t="s">
        <v>181</v>
      </c>
      <c r="AD2" s="2" t="s">
        <v>182</v>
      </c>
      <c r="AG2" s="2" t="s">
        <v>185</v>
      </c>
      <c r="AH2" s="2" t="s">
        <v>183</v>
      </c>
      <c r="AI2" s="2" t="s">
        <v>184</v>
      </c>
      <c r="AJ2" s="2" t="s">
        <v>187</v>
      </c>
      <c r="AK2" s="2" t="s">
        <v>188</v>
      </c>
      <c r="AL2" s="2" t="s">
        <v>189</v>
      </c>
      <c r="AM2" s="2" t="s">
        <v>284</v>
      </c>
      <c r="AN2" s="2" t="s">
        <v>285</v>
      </c>
      <c r="AO2" s="2" t="s">
        <v>190</v>
      </c>
      <c r="AP2" s="2" t="s">
        <v>193</v>
      </c>
      <c r="AQ2" s="2" t="s">
        <v>191</v>
      </c>
      <c r="AR2" s="2" t="s">
        <v>224</v>
      </c>
      <c r="AS2" s="2" t="s">
        <v>212</v>
      </c>
      <c r="AT2" s="2" t="s">
        <v>192</v>
      </c>
      <c r="AU2" s="2" t="s">
        <v>194</v>
      </c>
      <c r="AV2" s="2" t="s">
        <v>195</v>
      </c>
      <c r="AW2" s="2" t="s">
        <v>197</v>
      </c>
      <c r="AZ2" s="2" t="s">
        <v>198</v>
      </c>
      <c r="BA2" s="2" t="s">
        <v>208</v>
      </c>
      <c r="BB2" s="2" t="s">
        <v>208</v>
      </c>
      <c r="BC2" s="2" t="s">
        <v>210</v>
      </c>
      <c r="BE2" s="2" t="s">
        <v>227</v>
      </c>
      <c r="BF2" s="2" t="s">
        <v>42</v>
      </c>
      <c r="BG2" s="2" t="s">
        <v>228</v>
      </c>
      <c r="BH2" s="2" t="s">
        <v>217</v>
      </c>
      <c r="BI2" s="2" t="s">
        <v>218</v>
      </c>
      <c r="BJ2" s="2" t="s">
        <v>76</v>
      </c>
      <c r="BK2" s="2" t="s">
        <v>216</v>
      </c>
      <c r="BL2" s="2" t="s">
        <v>215</v>
      </c>
      <c r="BM2" s="2" t="s">
        <v>225</v>
      </c>
      <c r="BN2" s="2" t="s">
        <v>220</v>
      </c>
      <c r="BO2" s="2" t="s">
        <v>195</v>
      </c>
      <c r="BP2" s="2" t="s">
        <v>213</v>
      </c>
      <c r="BQ2" s="2" t="s">
        <v>214</v>
      </c>
      <c r="BR2" s="2" t="s">
        <v>223</v>
      </c>
      <c r="BS2" s="2" t="s">
        <v>199</v>
      </c>
      <c r="BT2" s="2" t="s">
        <v>221</v>
      </c>
      <c r="BU2" s="2" t="s">
        <v>222</v>
      </c>
      <c r="BV2" s="2" t="s">
        <v>211</v>
      </c>
      <c r="BW2" s="2" t="s">
        <v>194</v>
      </c>
      <c r="BX2" s="2" t="s">
        <v>219</v>
      </c>
      <c r="BY2" s="2" t="s">
        <v>212</v>
      </c>
      <c r="BZ2" s="2" t="s">
        <v>226</v>
      </c>
      <c r="CA2" s="2" t="s">
        <v>272</v>
      </c>
      <c r="CB2" s="2" t="s">
        <v>273</v>
      </c>
    </row>
    <row r="3" spans="1:80" ht="14.4">
      <c r="A3" s="2">
        <v>1</v>
      </c>
      <c r="B3" s="28">
        <v>0.42725115740740799</v>
      </c>
      <c r="C3" s="28">
        <v>33.292933796008597</v>
      </c>
      <c r="D3" s="28">
        <v>681.811660055071</v>
      </c>
      <c r="E3" s="28">
        <v>649.37919231185992</v>
      </c>
      <c r="F3" s="28">
        <f>(AVERAGE(D3:E3))</f>
        <v>665.59542618346541</v>
      </c>
      <c r="G3" s="28">
        <v>302.41238834691165</v>
      </c>
      <c r="H3" s="28">
        <v>303.54037595408607</v>
      </c>
      <c r="I3" s="28">
        <v>304.00323939535178</v>
      </c>
      <c r="J3" s="28">
        <v>659.69227183895396</v>
      </c>
      <c r="K3" s="28">
        <v>310.73814663319439</v>
      </c>
      <c r="L3" s="28">
        <v>301.14845027194639</v>
      </c>
      <c r="M3" s="28">
        <v>302.15692505930281</v>
      </c>
      <c r="N3" s="28">
        <v>311.43989885922696</v>
      </c>
      <c r="O3" s="28">
        <v>354.61263813047867</v>
      </c>
      <c r="P3" s="28">
        <v>20.682090443476099</v>
      </c>
      <c r="Q3" s="28">
        <v>1.0871701228369299</v>
      </c>
      <c r="R3" s="28">
        <v>798.91023827144102</v>
      </c>
      <c r="S3" s="28">
        <f>R3*PI()/30</f>
        <v>83.661684514374343</v>
      </c>
      <c r="T3" s="28">
        <v>548.65643980112395</v>
      </c>
      <c r="U3" s="28">
        <v>3.2591800315776198</v>
      </c>
      <c r="V3" s="28">
        <v>9.4654934255399795E-2</v>
      </c>
      <c r="W3" s="28">
        <v>-1.1781463306808099E-3</v>
      </c>
      <c r="X3" s="28">
        <v>2.5207128141972999</v>
      </c>
      <c r="Y3" s="28">
        <v>17.122901585828</v>
      </c>
      <c r="Z3" s="28">
        <v>1347.1905036406499</v>
      </c>
      <c r="AA3" s="28">
        <v>-4.6989438297334797E-2</v>
      </c>
      <c r="AB3" s="28">
        <v>6.8330919196033797</v>
      </c>
      <c r="AC3" s="28">
        <v>10.674684968864501</v>
      </c>
      <c r="AD3" s="28">
        <v>117.198384171277</v>
      </c>
      <c r="AE3" s="28">
        <v>-250.03816323184299</v>
      </c>
      <c r="AF3" s="28">
        <v>-20.4224751576355</v>
      </c>
      <c r="AG3" s="28">
        <v>300.5</v>
      </c>
      <c r="AH3" s="28">
        <v>992.05</v>
      </c>
      <c r="AI3" s="28">
        <v>17.7</v>
      </c>
      <c r="AJ3" s="28">
        <v>217.782691359193</v>
      </c>
      <c r="AK3" s="28">
        <v>26.080648202178399</v>
      </c>
      <c r="AL3" s="28">
        <v>0.154902739869792</v>
      </c>
      <c r="AM3" s="28">
        <f>AL3/(R3/60/2)/6</f>
        <v>3.8778509136382249E-3</v>
      </c>
      <c r="AN3" s="28">
        <f>AM3*288*AG3/$BH$1/100000</f>
        <v>1.9086213218512784</v>
      </c>
      <c r="AO3" s="28">
        <v>0.15767956125669599</v>
      </c>
      <c r="AP3" s="28">
        <v>0.15983830835075799</v>
      </c>
      <c r="AQ3" s="28">
        <v>9996.5569928548703</v>
      </c>
      <c r="AR3" s="28">
        <f>AQ3/3600/1000</f>
        <v>2.7768213869041303E-3</v>
      </c>
      <c r="AS3" s="28">
        <f>AQ3/3600/1000/AL3/0.06</f>
        <v>0.29877041869823912</v>
      </c>
      <c r="AT3" s="28">
        <v>6.9515228467022502E-2</v>
      </c>
      <c r="AU3" s="28">
        <v>76.517399999999995</v>
      </c>
      <c r="AV3" s="29">
        <v>6.47938424784844</v>
      </c>
      <c r="AW3" s="28">
        <f>V3+$AH3/1000</f>
        <v>1.0867049342553998</v>
      </c>
      <c r="AX3" s="28">
        <f>AW3*0.9+0.03</f>
        <v>1.0080344408298598</v>
      </c>
      <c r="AY3" s="33">
        <f>ROUND(AX3*2,0)/2*100000</f>
        <v>100000</v>
      </c>
      <c r="AZ3" s="28">
        <f t="shared" ref="AZ3:AZ22" si="0">W3+$AH3/1000</f>
        <v>0.99087185366931918</v>
      </c>
      <c r="BA3" s="28">
        <f t="shared" ref="BA3:BA22" si="1">R3/30*PI()*T3</f>
        <v>45901.521973421448</v>
      </c>
      <c r="BB3" s="28">
        <f t="shared" ref="BB3:BB22" si="2">T3*S3</f>
        <v>45901.521973421448</v>
      </c>
      <c r="BC3" s="28">
        <v>357.9</v>
      </c>
      <c r="BD3" s="28"/>
      <c r="BE3" s="32">
        <v>550</v>
      </c>
      <c r="BF3" s="32">
        <v>500</v>
      </c>
      <c r="BG3" s="32">
        <v>530</v>
      </c>
      <c r="BH3" s="28">
        <v>45901.257562188897</v>
      </c>
      <c r="BI3" s="28">
        <v>51775.2582026358</v>
      </c>
      <c r="BJ3" s="28">
        <v>798.90563622872696</v>
      </c>
      <c r="BK3" s="28">
        <v>548.65735422673799</v>
      </c>
      <c r="BL3" s="28">
        <v>618.85769128080403</v>
      </c>
      <c r="BM3" s="28">
        <f t="shared" ref="BM3" si="3">BK3/BL3</f>
        <v>0.88656465283839714</v>
      </c>
      <c r="BN3" s="28">
        <f>BO3/BM3</f>
        <v>7.308417076059607</v>
      </c>
      <c r="BO3" s="28">
        <f>BH3*2/(BJ3/60)/($BF$1*6)/100000</f>
        <v>6.4793842478349992</v>
      </c>
      <c r="BP3" s="28">
        <v>7.5654673088841801E-2</v>
      </c>
      <c r="BQ3" s="28">
        <v>7.80572720611733E-2</v>
      </c>
      <c r="BR3" s="28">
        <v>3.55688911819992E-3</v>
      </c>
      <c r="BS3" s="28">
        <v>586.61450664297399</v>
      </c>
      <c r="BT3" s="28">
        <v>217.811279147053</v>
      </c>
      <c r="BU3" s="28">
        <f t="shared" ref="BU3:BU15" si="4">BT3*BL3/BK3</f>
        <v>245.68008486433038</v>
      </c>
      <c r="BV3" s="28">
        <v>28.4439739803571</v>
      </c>
      <c r="BW3" s="28">
        <f>9005246.21274489/100000</f>
        <v>90.052462127448891</v>
      </c>
      <c r="BX3" s="28">
        <v>375.808084116369</v>
      </c>
      <c r="BY3" s="28">
        <v>0.68916715370630899</v>
      </c>
      <c r="CA3" s="2">
        <v>380</v>
      </c>
      <c r="CB3" s="2">
        <v>100</v>
      </c>
    </row>
    <row r="4" spans="1:80" ht="14.4">
      <c r="A4" s="2">
        <v>2</v>
      </c>
      <c r="B4" s="32">
        <v>0.52051238425925905</v>
      </c>
      <c r="C4" s="32">
        <v>35.770772204879499</v>
      </c>
      <c r="D4" s="32">
        <v>870.80130345138593</v>
      </c>
      <c r="E4" s="32">
        <v>840.900596264157</v>
      </c>
      <c r="F4" s="28">
        <f t="shared" ref="F4:F22" si="5">(AVERAGE(D4:E4))</f>
        <v>855.85094985777141</v>
      </c>
      <c r="G4" s="32">
        <v>308.93777288831325</v>
      </c>
      <c r="H4" s="32">
        <v>310.01901634030116</v>
      </c>
      <c r="I4" s="32">
        <v>311.4848032753614</v>
      </c>
      <c r="J4" s="32">
        <v>867.00643711367502</v>
      </c>
      <c r="K4" s="32">
        <v>312.34723923650597</v>
      </c>
      <c r="L4" s="32">
        <v>302.03988653228919</v>
      </c>
      <c r="M4" s="32">
        <v>302.92983352692767</v>
      </c>
      <c r="N4" s="32">
        <v>318.70136062572288</v>
      </c>
      <c r="O4" s="32">
        <v>355.63139432740968</v>
      </c>
      <c r="P4" s="32">
        <v>12.8542333063253</v>
      </c>
      <c r="Q4" s="32">
        <v>1.5279430743373501</v>
      </c>
      <c r="R4" s="32">
        <v>799.42451451373495</v>
      </c>
      <c r="S4" s="32">
        <f t="shared" ref="S4:S22" si="6">R4*PI()/30</f>
        <v>83.715539396531227</v>
      </c>
      <c r="T4" s="32">
        <v>891.37240642012</v>
      </c>
      <c r="U4" s="32">
        <v>5.5207999892168704</v>
      </c>
      <c r="V4" s="32">
        <v>0.192552580783133</v>
      </c>
      <c r="W4" s="32">
        <v>1.51460221686747E-2</v>
      </c>
      <c r="X4" s="32">
        <v>2.8897873180722899</v>
      </c>
      <c r="Y4" s="32">
        <v>41.123814023373498</v>
      </c>
      <c r="Z4" s="32">
        <v>1580.6103919202999</v>
      </c>
      <c r="AA4" s="32">
        <v>-5.99455924096386E-2</v>
      </c>
      <c r="AB4" s="32">
        <v>12.1254568360843</v>
      </c>
      <c r="AC4" s="32">
        <v>4.33401010704819</v>
      </c>
      <c r="AD4" s="32">
        <v>3889.7705613006001</v>
      </c>
      <c r="AE4" s="32">
        <v>-250.00300944259001</v>
      </c>
      <c r="AF4" s="32">
        <v>-20.4221093537349</v>
      </c>
      <c r="AG4" s="32">
        <v>302.54999999999995</v>
      </c>
      <c r="AH4" s="32">
        <v>993.95</v>
      </c>
      <c r="AI4" s="32">
        <v>24.8</v>
      </c>
      <c r="AJ4" s="32">
        <v>226.92317085369399</v>
      </c>
      <c r="AK4" s="32">
        <v>20.092822099140999</v>
      </c>
      <c r="AL4" s="32">
        <v>0.16540304676033599</v>
      </c>
      <c r="AM4" s="28">
        <f t="shared" ref="AM4:AM22" si="7">AL4/(R4/60/2)/6</f>
        <v>4.1380529057442154E-3</v>
      </c>
      <c r="AN4" s="28">
        <f t="shared" ref="AN4:AN22" si="8">AM4*288*AG4/$BH$1/100000</f>
        <v>2.0505831418360811</v>
      </c>
      <c r="AO4" s="32">
        <v>0.17010676835114899</v>
      </c>
      <c r="AP4" s="32">
        <v>0.17483447404344099</v>
      </c>
      <c r="AQ4" s="32">
        <v>16933.397726925999</v>
      </c>
      <c r="AR4" s="32">
        <f t="shared" ref="AR4:AR22" si="9">AQ4/3600/1000</f>
        <v>4.7037215908127773E-3</v>
      </c>
      <c r="AS4" s="32">
        <f t="shared" ref="AS4:AS22" si="10">AQ4/3600/1000/AL4/0.06</f>
        <v>0.4739656335380093</v>
      </c>
      <c r="AT4" s="32">
        <v>0.117677692025091</v>
      </c>
      <c r="AU4" s="32">
        <v>89.9071</v>
      </c>
      <c r="AV4" s="34">
        <v>10.5267047101804</v>
      </c>
      <c r="AW4" s="32">
        <f t="shared" ref="AW4:AW22" si="11">V4+AH4/1000</f>
        <v>1.1865025807831331</v>
      </c>
      <c r="AX4" s="32">
        <f t="shared" ref="AX4:AX22" si="12">AW4*0.9</f>
        <v>1.0678523227048198</v>
      </c>
      <c r="AY4" s="35">
        <f t="shared" ref="AY4:AY22" si="13">ROUND(AX4*2,0)/2*100000</f>
        <v>100000</v>
      </c>
      <c r="AZ4" s="32">
        <f t="shared" si="0"/>
        <v>1.0090960221686747</v>
      </c>
      <c r="BA4" s="32">
        <f t="shared" si="1"/>
        <v>74621.721806644404</v>
      </c>
      <c r="BB4" s="32">
        <f t="shared" si="2"/>
        <v>74621.721806644404</v>
      </c>
      <c r="BC4" s="28">
        <v>356</v>
      </c>
      <c r="BD4" s="28"/>
      <c r="BE4" s="28">
        <v>550</v>
      </c>
      <c r="BF4" s="28">
        <v>500</v>
      </c>
      <c r="BG4" s="28">
        <v>530</v>
      </c>
      <c r="BH4" s="32"/>
      <c r="BI4" s="32"/>
      <c r="BJ4" s="32"/>
      <c r="BK4" s="32"/>
      <c r="BL4" s="32"/>
      <c r="BM4" s="32"/>
      <c r="BN4" s="28"/>
      <c r="BO4" s="28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2">
        <v>360</v>
      </c>
      <c r="CB4" s="2">
        <v>80</v>
      </c>
    </row>
    <row r="5" spans="1:80" ht="14.4">
      <c r="A5" s="2">
        <v>3</v>
      </c>
      <c r="B5" s="32">
        <v>0.45766203703703701</v>
      </c>
      <c r="C5" s="32">
        <v>34.708950542411003</v>
      </c>
      <c r="D5" s="32">
        <v>684.54202116419697</v>
      </c>
      <c r="E5" s="32">
        <v>656.30340017864899</v>
      </c>
      <c r="F5" s="28">
        <f t="shared" si="5"/>
        <v>670.42271067142292</v>
      </c>
      <c r="G5" s="32">
        <v>305.17573086637617</v>
      </c>
      <c r="H5" s="32">
        <v>306.17307390610017</v>
      </c>
      <c r="I5" s="32">
        <v>309.1872225641975</v>
      </c>
      <c r="J5" s="32">
        <v>648.36203746412502</v>
      </c>
      <c r="K5" s="32">
        <v>313.78894787414669</v>
      </c>
      <c r="L5" s="32">
        <v>302.09637658264336</v>
      </c>
      <c r="M5" s="32">
        <v>305.80554998366006</v>
      </c>
      <c r="N5" s="32">
        <v>328.45247222069719</v>
      </c>
      <c r="O5" s="32">
        <v>356.08587934422656</v>
      </c>
      <c r="P5" s="32">
        <v>19.176688968917901</v>
      </c>
      <c r="Q5" s="32">
        <v>1.2936103737109701</v>
      </c>
      <c r="R5" s="32">
        <v>1398.8489351595499</v>
      </c>
      <c r="S5" s="32">
        <f t="shared" si="6"/>
        <v>146.48711793930488</v>
      </c>
      <c r="T5" s="32">
        <v>559.31531528024698</v>
      </c>
      <c r="U5" s="32">
        <v>5.7205516999999997</v>
      </c>
      <c r="V5" s="32">
        <v>0.29757524655047202</v>
      </c>
      <c r="W5" s="32">
        <v>1.08597681190995E-2</v>
      </c>
      <c r="X5" s="32">
        <v>5.7785169821350797</v>
      </c>
      <c r="Y5" s="32">
        <v>21.2487689665214</v>
      </c>
      <c r="Z5" s="32">
        <v>1061.81552780116</v>
      </c>
      <c r="AA5" s="32">
        <v>-5.6588585475671797E-2</v>
      </c>
      <c r="AB5" s="32">
        <v>6.0690994378358702</v>
      </c>
      <c r="AC5" s="32">
        <v>12.1318655724764</v>
      </c>
      <c r="AD5" s="32">
        <v>114.615378933188</v>
      </c>
      <c r="AE5" s="32">
        <v>-250.08739822360201</v>
      </c>
      <c r="AF5" s="32">
        <v>-20.426976570806101</v>
      </c>
      <c r="AG5" s="32">
        <v>306.75</v>
      </c>
      <c r="AH5" s="32">
        <v>992.25</v>
      </c>
      <c r="AI5" s="32">
        <v>38.65</v>
      </c>
      <c r="AJ5" s="32">
        <v>214.15285296164501</v>
      </c>
      <c r="AK5" s="32">
        <v>17.154445204327999</v>
      </c>
      <c r="AL5" s="32">
        <v>0.230674586820133</v>
      </c>
      <c r="AM5" s="28">
        <f t="shared" si="7"/>
        <v>3.298062871868616E-3</v>
      </c>
      <c r="AN5" s="28">
        <f t="shared" si="8"/>
        <v>1.6570197635169868</v>
      </c>
      <c r="AO5" s="32">
        <v>0.23554849686853299</v>
      </c>
      <c r="AP5" s="32">
        <v>0.23722577514614601</v>
      </c>
      <c r="AQ5" s="32">
        <v>17546.076174239999</v>
      </c>
      <c r="AR5" s="32">
        <f t="shared" si="9"/>
        <v>4.8739100483999997E-3</v>
      </c>
      <c r="AS5" s="32">
        <f t="shared" si="10"/>
        <v>0.35214903930158542</v>
      </c>
      <c r="AT5" s="32">
        <v>6.9684580313085706E-2</v>
      </c>
      <c r="AU5" s="32">
        <v>81.115624999999994</v>
      </c>
      <c r="AV5" s="34">
        <v>6.6052607433548802</v>
      </c>
      <c r="AW5" s="32">
        <f t="shared" si="11"/>
        <v>1.289825246550472</v>
      </c>
      <c r="AX5" s="32">
        <f t="shared" si="12"/>
        <v>1.1608427218954249</v>
      </c>
      <c r="AY5" s="35">
        <f t="shared" si="13"/>
        <v>100000</v>
      </c>
      <c r="AZ5" s="32">
        <f t="shared" si="0"/>
        <v>1.0031097681190995</v>
      </c>
      <c r="BA5" s="32">
        <f t="shared" si="1"/>
        <v>81932.488554717027</v>
      </c>
      <c r="BB5" s="32">
        <f t="shared" si="2"/>
        <v>81932.488554717027</v>
      </c>
      <c r="BC5" s="32">
        <v>357.5</v>
      </c>
      <c r="BD5" s="32"/>
      <c r="BE5" s="32">
        <v>550</v>
      </c>
      <c r="BF5" s="32">
        <v>500</v>
      </c>
      <c r="BG5" s="32">
        <v>530</v>
      </c>
      <c r="BH5" s="32">
        <v>81933.002052798605</v>
      </c>
      <c r="BI5" s="32">
        <v>93783.565096913197</v>
      </c>
      <c r="BJ5" s="32">
        <v>1398.8577021604301</v>
      </c>
      <c r="BK5" s="32">
        <v>559.316247492961</v>
      </c>
      <c r="BL5" s="36">
        <v>640.21601923890296</v>
      </c>
      <c r="BM5" s="28">
        <f t="shared" ref="BM5" si="14">BK5/BL5</f>
        <v>0.87363675803970564</v>
      </c>
      <c r="BN5" s="28">
        <f>BO5/BM5</f>
        <v>7.5606488426713119</v>
      </c>
      <c r="BO5" s="28">
        <f>BH5*2/(BJ5/60)/($BF$1*6)/100000</f>
        <v>6.6052607435880173</v>
      </c>
      <c r="BP5" s="32">
        <v>0.16187724517808799</v>
      </c>
      <c r="BQ5" s="32">
        <v>0.16605220886973801</v>
      </c>
      <c r="BR5" s="32">
        <v>5.3917948992359497E-3</v>
      </c>
      <c r="BS5" s="32">
        <v>613.35889934235399</v>
      </c>
      <c r="BT5" s="32">
        <v>194.772890492773</v>
      </c>
      <c r="BU5" s="28">
        <f t="shared" si="4"/>
        <v>222.94493529531738</v>
      </c>
      <c r="BV5" s="35">
        <v>1.60428121504481</v>
      </c>
      <c r="BW5" s="32">
        <f>8464408.82194611/100000</f>
        <v>84.644088219461111</v>
      </c>
      <c r="BX5" s="32">
        <v>370.88020843535401</v>
      </c>
      <c r="BY5" s="32">
        <v>0.48688097227530802</v>
      </c>
      <c r="BZ5" s="32"/>
      <c r="CA5" s="32">
        <v>370</v>
      </c>
      <c r="CB5" s="2">
        <v>80</v>
      </c>
    </row>
    <row r="6" spans="1:80" ht="14.4">
      <c r="A6" s="2">
        <v>4</v>
      </c>
      <c r="B6" s="32">
        <v>0.54158557757452597</v>
      </c>
      <c r="C6" s="32">
        <v>36.239717661723901</v>
      </c>
      <c r="D6" s="32">
        <v>704.81523309977797</v>
      </c>
      <c r="E6" s="32">
        <v>669.94081654670197</v>
      </c>
      <c r="F6" s="28">
        <f t="shared" si="5"/>
        <v>687.37802482323991</v>
      </c>
      <c r="G6" s="32">
        <v>306.21337248073729</v>
      </c>
      <c r="H6" s="32">
        <v>305.9616837343404</v>
      </c>
      <c r="I6" s="32">
        <v>312.92254079794895</v>
      </c>
      <c r="J6" s="32">
        <v>645.32218902688498</v>
      </c>
      <c r="K6" s="32">
        <v>314.60232250457318</v>
      </c>
      <c r="L6" s="32">
        <v>301.91656526704548</v>
      </c>
      <c r="M6" s="32">
        <v>308.60021059132475</v>
      </c>
      <c r="N6" s="32">
        <v>344.67458470426828</v>
      </c>
      <c r="O6" s="32">
        <v>-1014499643.72615</v>
      </c>
      <c r="P6" s="32">
        <v>18.855012015798199</v>
      </c>
      <c r="Q6" s="32">
        <v>1.8233827160476701</v>
      </c>
      <c r="R6" s="32">
        <v>1799.203633074</v>
      </c>
      <c r="S6" s="32">
        <f t="shared" si="6"/>
        <v>188.41216386591148</v>
      </c>
      <c r="T6" s="32">
        <v>551.21338566865302</v>
      </c>
      <c r="U6" s="32">
        <v>7.6285137091186304</v>
      </c>
      <c r="V6" s="32">
        <v>0.485531465631929</v>
      </c>
      <c r="W6" s="32">
        <v>2.8068568181818201E-2</v>
      </c>
      <c r="X6" s="32">
        <v>8.6680962199279392</v>
      </c>
      <c r="Y6" s="32">
        <v>23.5611943224778</v>
      </c>
      <c r="Z6" s="32">
        <v>657.426001969097</v>
      </c>
      <c r="AA6" s="32">
        <v>-7.4073688470066498E-2</v>
      </c>
      <c r="AB6" s="32">
        <v>5.96784654891907</v>
      </c>
      <c r="AC6" s="32">
        <v>12.863201097560999</v>
      </c>
      <c r="AD6" s="32">
        <v>90.283758821230606</v>
      </c>
      <c r="AE6" s="32">
        <v>-250.11660729614701</v>
      </c>
      <c r="AF6" s="32">
        <v>-20.429129538248301</v>
      </c>
      <c r="AG6" s="32">
        <v>316.5</v>
      </c>
      <c r="AH6" s="32">
        <v>992.55</v>
      </c>
      <c r="AI6" s="32">
        <v>55.1</v>
      </c>
      <c r="AJ6" s="32">
        <v>225.295923547792</v>
      </c>
      <c r="AK6" s="32">
        <v>10.178784333447799</v>
      </c>
      <c r="AL6" s="32">
        <v>0.280240739027799</v>
      </c>
      <c r="AM6" s="28">
        <f t="shared" si="7"/>
        <v>3.1151642190606101E-3</v>
      </c>
      <c r="AN6" s="28">
        <f t="shared" si="8"/>
        <v>1.6148747600541569</v>
      </c>
      <c r="AO6" s="32">
        <v>0.286740232707968</v>
      </c>
      <c r="AP6" s="32">
        <v>0.28806730844073403</v>
      </c>
      <c r="AQ6" s="32">
        <v>23398.177248608699</v>
      </c>
      <c r="AR6" s="32">
        <f t="shared" si="9"/>
        <v>6.4994936801690828E-3</v>
      </c>
      <c r="AS6" s="32">
        <f t="shared" si="10"/>
        <v>0.38654228163000681</v>
      </c>
      <c r="AT6" s="32">
        <v>7.2248561093270602E-2</v>
      </c>
      <c r="AU6" s="32">
        <v>74.965000000000003</v>
      </c>
      <c r="AV6" s="34">
        <v>6.5095806213434297</v>
      </c>
      <c r="AW6" s="32">
        <f t="shared" si="11"/>
        <v>1.478081465631929</v>
      </c>
      <c r="AX6" s="32">
        <f t="shared" si="12"/>
        <v>1.3302733190687361</v>
      </c>
      <c r="AY6" s="35">
        <f t="shared" si="13"/>
        <v>150000</v>
      </c>
      <c r="AZ6" s="32">
        <f t="shared" si="0"/>
        <v>1.0206185681818181</v>
      </c>
      <c r="BA6" s="32">
        <f t="shared" si="1"/>
        <v>103855.30674568612</v>
      </c>
      <c r="BB6" s="32">
        <f t="shared" si="2"/>
        <v>103855.30674568612</v>
      </c>
      <c r="BC6" s="32">
        <v>360</v>
      </c>
      <c r="BD6" s="32"/>
      <c r="BE6" s="32">
        <v>550</v>
      </c>
      <c r="BF6" s="32">
        <v>500</v>
      </c>
      <c r="BG6" s="32">
        <v>530</v>
      </c>
      <c r="BH6" s="32">
        <v>103855.47790789</v>
      </c>
      <c r="BI6" s="32">
        <v>115473.894277596</v>
      </c>
      <c r="BJ6" s="32">
        <v>1799.20659820938</v>
      </c>
      <c r="BK6" s="32">
        <v>551.21430438889104</v>
      </c>
      <c r="BL6" s="32">
        <v>612.881417591728</v>
      </c>
      <c r="BM6" s="28">
        <f t="shared" ref="BM6" si="15">BK6/BL6</f>
        <v>0.8993816561690624</v>
      </c>
      <c r="BN6" s="28">
        <f>BO6/BM6</f>
        <v>7.2378401061023734</v>
      </c>
      <c r="BO6" s="28">
        <f>BH6*2/(BJ6/60)/($BF$1*6)/100000</f>
        <v>6.5095806217132148</v>
      </c>
      <c r="BP6" s="32">
        <v>0.23362298276236401</v>
      </c>
      <c r="BQ6" s="32">
        <v>0.23968132768599401</v>
      </c>
      <c r="BR6" s="32">
        <v>6.3412820488564503E-3</v>
      </c>
      <c r="BS6" s="32">
        <v>604.79239647099303</v>
      </c>
      <c r="BT6" s="32">
        <v>188.26951029774901</v>
      </c>
      <c r="BU6" s="28">
        <f t="shared" si="4"/>
        <v>209.33216616812874</v>
      </c>
      <c r="BV6" s="35">
        <v>0.17705791871113599</v>
      </c>
      <c r="BW6" s="32">
        <f>8358523.76048973/100000</f>
        <v>83.585237604897301</v>
      </c>
      <c r="BX6" s="32">
        <v>371.06518218689502</v>
      </c>
      <c r="BY6" s="32">
        <v>0.39008059075103702</v>
      </c>
      <c r="BZ6" s="32"/>
      <c r="CA6" s="2">
        <v>370</v>
      </c>
      <c r="CB6" s="2">
        <v>80</v>
      </c>
    </row>
    <row r="7" spans="1:80" ht="14.4">
      <c r="A7" s="2">
        <v>5</v>
      </c>
      <c r="B7" s="32">
        <v>0.53973668981481504</v>
      </c>
      <c r="C7" s="32">
        <v>36.083635783289203</v>
      </c>
      <c r="D7" s="32">
        <v>791.03726069179902</v>
      </c>
      <c r="E7" s="32">
        <v>741.78281506768099</v>
      </c>
      <c r="F7" s="28">
        <f t="shared" si="5"/>
        <v>766.41003787974</v>
      </c>
      <c r="G7" s="32">
        <v>307.33464697001756</v>
      </c>
      <c r="H7" s="32">
        <v>306.73168661596117</v>
      </c>
      <c r="I7" s="32">
        <v>316.74401250286598</v>
      </c>
      <c r="J7" s="32">
        <v>717.48550057076704</v>
      </c>
      <c r="K7" s="32">
        <v>313.38670553791889</v>
      </c>
      <c r="L7" s="32">
        <v>301.9664390705467</v>
      </c>
      <c r="M7" s="32">
        <v>306.49559697905636</v>
      </c>
      <c r="N7" s="32">
        <v>361.95072028064368</v>
      </c>
      <c r="O7" s="32">
        <v>356.51820520502639</v>
      </c>
      <c r="P7" s="32">
        <v>19.079661343915301</v>
      </c>
      <c r="Q7" s="32">
        <v>1.82709186618166</v>
      </c>
      <c r="R7" s="32">
        <v>1599.1848142056899</v>
      </c>
      <c r="S7" s="32">
        <f t="shared" si="6"/>
        <v>167.46624213469846</v>
      </c>
      <c r="T7" s="32">
        <v>883.30485231150794</v>
      </c>
      <c r="U7" s="32">
        <v>9.9460688910934802</v>
      </c>
      <c r="V7" s="32">
        <v>0.71508825022045897</v>
      </c>
      <c r="W7" s="32">
        <v>3.6090411375661401E-2</v>
      </c>
      <c r="X7" s="32">
        <v>9.0111854045414503</v>
      </c>
      <c r="Y7" s="32">
        <v>49.505267457671998</v>
      </c>
      <c r="Z7" s="32">
        <v>1144.44139370723</v>
      </c>
      <c r="AA7" s="32">
        <v>-6.0513144841269802E-2</v>
      </c>
      <c r="AB7" s="32">
        <v>7.8085717039241596</v>
      </c>
      <c r="AC7" s="32">
        <v>10.4206437663139</v>
      </c>
      <c r="AD7" s="32">
        <v>222.216940929674</v>
      </c>
      <c r="AE7" s="32">
        <v>-250.099066804453</v>
      </c>
      <c r="AF7" s="32">
        <v>-20.4280105330688</v>
      </c>
      <c r="AG7" s="32">
        <v>317.7</v>
      </c>
      <c r="AH7" s="32">
        <v>993.1</v>
      </c>
      <c r="AI7" s="32">
        <v>56.15</v>
      </c>
      <c r="AJ7" s="32">
        <v>206.231816616619</v>
      </c>
      <c r="AK7" s="32">
        <v>12.6776579173644</v>
      </c>
      <c r="AL7" s="32">
        <v>0.28551123753754098</v>
      </c>
      <c r="AM7" s="28">
        <f t="shared" si="7"/>
        <v>3.5707097141158572E-3</v>
      </c>
      <c r="AN7" s="28">
        <f t="shared" si="8"/>
        <v>1.8580437951917286</v>
      </c>
      <c r="AO7" s="32">
        <v>0.29398528823275299</v>
      </c>
      <c r="AP7" s="32">
        <v>0.29587474664011798</v>
      </c>
      <c r="AQ7" s="32">
        <v>30506.582502761899</v>
      </c>
      <c r="AR7" s="32">
        <f t="shared" si="9"/>
        <v>8.4740506952116386E-3</v>
      </c>
      <c r="AS7" s="32">
        <f t="shared" si="10"/>
        <v>0.49467117116522208</v>
      </c>
      <c r="AT7" s="32">
        <v>0.105979629370364</v>
      </c>
      <c r="AU7" s="32">
        <v>101.45215</v>
      </c>
      <c r="AV7" s="34">
        <v>10.431430547301799</v>
      </c>
      <c r="AW7" s="32">
        <f t="shared" si="11"/>
        <v>1.7081882502204588</v>
      </c>
      <c r="AX7" s="32">
        <f t="shared" si="12"/>
        <v>1.5373694251984129</v>
      </c>
      <c r="AY7" s="35">
        <f t="shared" si="13"/>
        <v>150000</v>
      </c>
      <c r="AZ7" s="32">
        <f t="shared" si="0"/>
        <v>1.0291904113756614</v>
      </c>
      <c r="BA7" s="32">
        <f t="shared" si="1"/>
        <v>147923.74427595307</v>
      </c>
      <c r="BB7" s="32">
        <f t="shared" si="2"/>
        <v>147923.74427595307</v>
      </c>
      <c r="BC7" s="32">
        <v>355.5</v>
      </c>
      <c r="BD7" s="32"/>
      <c r="BE7" s="32">
        <v>550</v>
      </c>
      <c r="BF7" s="32">
        <v>500</v>
      </c>
      <c r="BG7" s="32">
        <v>530</v>
      </c>
      <c r="BH7" s="32">
        <v>147924.603622219</v>
      </c>
      <c r="BI7" s="32">
        <v>167477.33052676701</v>
      </c>
      <c r="BJ7" s="32">
        <v>1599.1941045098799</v>
      </c>
      <c r="BK7" s="32">
        <v>883.30632447314099</v>
      </c>
      <c r="BL7" s="32">
        <v>1000.06706076994</v>
      </c>
      <c r="BM7" s="28">
        <f t="shared" ref="BM7" si="16">BK7/BL7</f>
        <v>0.88324709324302086</v>
      </c>
      <c r="BN7" s="28">
        <f>BO7/BM7</f>
        <v>11.810319702117235</v>
      </c>
      <c r="BO7" s="28">
        <f>BH7*2/(BJ7/60)/($BF$1*6)/100000</f>
        <v>10.431430547165828</v>
      </c>
      <c r="BP7" s="32">
        <v>0.24002733895325001</v>
      </c>
      <c r="BQ7" s="32">
        <v>0.249024203258813</v>
      </c>
      <c r="BR7" s="32">
        <v>9.3581290710886694E-3</v>
      </c>
      <c r="BS7" s="32">
        <v>684.31675211643903</v>
      </c>
      <c r="BT7" s="32">
        <v>191.00797258503999</v>
      </c>
      <c r="BU7" s="28">
        <f t="shared" si="4"/>
        <v>216.25655385257534</v>
      </c>
      <c r="BV7" s="32">
        <v>6.3713019221511402</v>
      </c>
      <c r="BW7" s="32">
        <f>10465612.5587328/100000</f>
        <v>104.65612558732801</v>
      </c>
      <c r="BX7" s="32">
        <v>374.155431083049</v>
      </c>
      <c r="BY7" s="32">
        <v>0.56509557668851196</v>
      </c>
      <c r="BZ7" s="32">
        <v>1.05107680746347</v>
      </c>
      <c r="CA7" s="2">
        <v>370</v>
      </c>
      <c r="CB7" s="2">
        <v>80</v>
      </c>
    </row>
    <row r="8" spans="1:80" ht="14.4">
      <c r="A8" s="2">
        <v>6</v>
      </c>
      <c r="B8" s="32">
        <v>0.54964988425925898</v>
      </c>
      <c r="C8" s="32">
        <v>36.412289988063797</v>
      </c>
      <c r="D8" s="32">
        <v>743.75480192604596</v>
      </c>
      <c r="E8" s="32">
        <v>709.52570616217997</v>
      </c>
      <c r="F8" s="28">
        <f t="shared" si="5"/>
        <v>726.64025404411291</v>
      </c>
      <c r="G8" s="32">
        <v>307.42954162809826</v>
      </c>
      <c r="H8" s="32">
        <v>306.7315571336855</v>
      </c>
      <c r="I8" s="32">
        <v>311.9769236327204</v>
      </c>
      <c r="J8" s="32">
        <v>701.34071677874795</v>
      </c>
      <c r="K8" s="32">
        <v>313.6688858293885</v>
      </c>
      <c r="L8" s="32">
        <v>302.04744193254766</v>
      </c>
      <c r="M8" s="32">
        <v>304.34491037743805</v>
      </c>
      <c r="N8" s="32">
        <v>340.63232791543066</v>
      </c>
      <c r="O8" s="32">
        <v>355.86613169798858</v>
      </c>
      <c r="P8" s="32">
        <v>18.551931342746801</v>
      </c>
      <c r="Q8" s="32">
        <v>1.8695462480698899</v>
      </c>
      <c r="R8" s="32">
        <v>1401.14707538216</v>
      </c>
      <c r="S8" s="32">
        <f t="shared" si="6"/>
        <v>146.72777862064726</v>
      </c>
      <c r="T8" s="32">
        <v>722.39400133817605</v>
      </c>
      <c r="U8" s="32">
        <v>7.2161136340410401</v>
      </c>
      <c r="V8" s="32">
        <v>0.43579995428687501</v>
      </c>
      <c r="W8" s="32">
        <v>1.8108902173913002E-2</v>
      </c>
      <c r="X8" s="32">
        <v>6.5465090029967499</v>
      </c>
      <c r="Y8" s="32">
        <v>49.418138243904899</v>
      </c>
      <c r="Z8" s="32">
        <v>1156.3410884892801</v>
      </c>
      <c r="AA8" s="32">
        <v>-5.3697892878910997E-2</v>
      </c>
      <c r="AB8" s="32">
        <v>7.6571974173100399</v>
      </c>
      <c r="AC8" s="32">
        <v>10.8460689860829</v>
      </c>
      <c r="AD8" s="32">
        <v>206.34496472948001</v>
      </c>
      <c r="AE8" s="32">
        <v>-250.08360349984801</v>
      </c>
      <c r="AF8" s="32">
        <v>-20.426698606867099</v>
      </c>
      <c r="AG8" s="32">
        <v>320.34999999999997</v>
      </c>
      <c r="AH8" s="32">
        <v>993.7</v>
      </c>
      <c r="AI8" s="32">
        <v>54.55</v>
      </c>
      <c r="AJ8" s="32">
        <v>208.81369841124001</v>
      </c>
      <c r="AK8" s="32">
        <v>15.332289777212299</v>
      </c>
      <c r="AL8" s="32">
        <v>0.244913413657215</v>
      </c>
      <c r="AM8" s="28">
        <f t="shared" si="7"/>
        <v>3.4958987241280916E-3</v>
      </c>
      <c r="AN8" s="28">
        <f t="shared" si="8"/>
        <v>1.8342889823643476</v>
      </c>
      <c r="AO8" s="32">
        <v>0.251061542473418</v>
      </c>
      <c r="AP8" s="32">
        <v>0.25363537098661298</v>
      </c>
      <c r="AQ8" s="32">
        <v>22133.263738330701</v>
      </c>
      <c r="AR8" s="32">
        <f t="shared" si="9"/>
        <v>6.1481288162029725E-3</v>
      </c>
      <c r="AS8" s="32">
        <f t="shared" si="10"/>
        <v>0.4183879195232646</v>
      </c>
      <c r="AT8" s="32">
        <v>8.7758507643119002E-2</v>
      </c>
      <c r="AU8" s="32">
        <v>92.127799999999993</v>
      </c>
      <c r="AV8" s="34">
        <v>8.5311462209528095</v>
      </c>
      <c r="AW8" s="32">
        <f t="shared" si="11"/>
        <v>1.4294999542868752</v>
      </c>
      <c r="AX8" s="32">
        <f t="shared" si="12"/>
        <v>1.2865499588581877</v>
      </c>
      <c r="AY8" s="35">
        <f t="shared" si="13"/>
        <v>150000</v>
      </c>
      <c r="AZ8" s="32">
        <f t="shared" si="0"/>
        <v>1.0118089021739129</v>
      </c>
      <c r="BA8" s="32">
        <f t="shared" si="1"/>
        <v>105995.26710523145</v>
      </c>
      <c r="BB8" s="32">
        <f t="shared" si="2"/>
        <v>105995.26710523145</v>
      </c>
      <c r="BC8" s="32">
        <v>357</v>
      </c>
      <c r="BD8" s="32"/>
      <c r="BE8" s="32">
        <v>550</v>
      </c>
      <c r="BF8" s="32">
        <v>500</v>
      </c>
      <c r="BG8" s="32">
        <v>530</v>
      </c>
      <c r="BH8" s="32">
        <v>105995.04905653</v>
      </c>
      <c r="BI8" s="32">
        <v>121490.796233877</v>
      </c>
      <c r="BJ8" s="32">
        <v>1401.1441930794299</v>
      </c>
      <c r="BK8" s="32">
        <v>722.39520528805099</v>
      </c>
      <c r="BL8" s="32">
        <v>828.00644071297097</v>
      </c>
      <c r="BM8" s="28">
        <f t="shared" ref="BM8" si="17">BK8/BL8</f>
        <v>0.87245119091829604</v>
      </c>
      <c r="BN8" s="28">
        <f>BO8/BM8</f>
        <v>9.778365035552639</v>
      </c>
      <c r="BO8" s="28">
        <f>BH8*2/(BJ8/60)/($BF$1*6)/100000</f>
        <v>8.5311462205017268</v>
      </c>
      <c r="BP8" s="32">
        <v>0.17292558237351499</v>
      </c>
      <c r="BQ8" s="32">
        <v>0.17946558732347301</v>
      </c>
      <c r="BR8" s="32">
        <v>7.0652173256260803E-3</v>
      </c>
      <c r="BS8" s="32">
        <v>657.09034677925195</v>
      </c>
      <c r="BT8" s="32">
        <v>195.53499121715799</v>
      </c>
      <c r="BU8" s="28">
        <f t="shared" si="4"/>
        <v>224.12141017464623</v>
      </c>
      <c r="BV8" s="32">
        <v>10.293602390910999</v>
      </c>
      <c r="BW8" s="32">
        <f>9893045.73804125/100000</f>
        <v>98.930457380412506</v>
      </c>
      <c r="BX8" s="32">
        <v>372.07793306728797</v>
      </c>
      <c r="BY8" s="32">
        <v>0.59226819722591395</v>
      </c>
      <c r="BZ8" s="32">
        <v>1.05240794722682</v>
      </c>
      <c r="CA8" s="2">
        <v>360</v>
      </c>
      <c r="CB8" s="2">
        <v>80</v>
      </c>
    </row>
    <row r="9" spans="1:80" ht="14.4">
      <c r="A9" s="2">
        <v>7</v>
      </c>
      <c r="B9" s="32">
        <v>0.55160321113264399</v>
      </c>
      <c r="C9" s="32">
        <v>35.419502341243501</v>
      </c>
      <c r="D9" s="32">
        <v>814.45120423516903</v>
      </c>
      <c r="E9" s="32">
        <v>779.78886803417197</v>
      </c>
      <c r="F9" s="28">
        <f t="shared" si="5"/>
        <v>797.1200361346705</v>
      </c>
      <c r="G9" s="32">
        <v>308.01900113431418</v>
      </c>
      <c r="H9" s="32">
        <v>307.73848782475079</v>
      </c>
      <c r="I9" s="32">
        <v>313.54756503429047</v>
      </c>
      <c r="J9" s="32">
        <v>780.43360612636502</v>
      </c>
      <c r="K9" s="32">
        <v>313.3591223023256</v>
      </c>
      <c r="L9" s="32">
        <v>302.44916306502137</v>
      </c>
      <c r="M9" s="32">
        <v>304.56901802479825</v>
      </c>
      <c r="N9" s="32">
        <v>341.29201538194116</v>
      </c>
      <c r="O9" s="32">
        <v>356.00804045965828</v>
      </c>
      <c r="P9" s="32">
        <v>17.2528877736118</v>
      </c>
      <c r="Q9" s="32">
        <v>1.8311910727337399</v>
      </c>
      <c r="R9" s="32">
        <v>1198.8876409949</v>
      </c>
      <c r="S9" s="32">
        <f t="shared" si="6"/>
        <v>125.54722018097252</v>
      </c>
      <c r="T9" s="32">
        <v>885.57843969364001</v>
      </c>
      <c r="U9" s="32">
        <v>7.5331630645467502</v>
      </c>
      <c r="V9" s="32">
        <v>0.44724528678215503</v>
      </c>
      <c r="W9" s="32">
        <v>1.7182629330802099E-2</v>
      </c>
      <c r="X9" s="32">
        <v>5.62504469530138</v>
      </c>
      <c r="Y9" s="32">
        <v>46.564768671333603</v>
      </c>
      <c r="Z9" s="32">
        <v>1342.3484576042999</v>
      </c>
      <c r="AA9" s="32">
        <v>-3.7590679639297603E-2</v>
      </c>
      <c r="AB9" s="32">
        <v>9.3644614145704796</v>
      </c>
      <c r="AC9" s="32">
        <v>8.4075877581870007</v>
      </c>
      <c r="AD9" s="32">
        <v>620.21811046013295</v>
      </c>
      <c r="AE9" s="32">
        <v>-250.05348302847699</v>
      </c>
      <c r="AF9" s="32">
        <v>-20.424710454556202</v>
      </c>
      <c r="AG9" s="32">
        <v>317.64999999999998</v>
      </c>
      <c r="AH9" s="32">
        <v>993.8</v>
      </c>
      <c r="AI9" s="32">
        <v>49.6</v>
      </c>
      <c r="AJ9" s="32">
        <v>207.819037016268</v>
      </c>
      <c r="AK9" s="32">
        <v>15.776137827685201</v>
      </c>
      <c r="AL9" s="32">
        <v>0.22771327611446801</v>
      </c>
      <c r="AM9" s="28">
        <f t="shared" si="7"/>
        <v>3.7987425731655648E-3</v>
      </c>
      <c r="AN9" s="28">
        <f t="shared" si="8"/>
        <v>1.9763911939257945</v>
      </c>
      <c r="AO9" s="32">
        <v>0.234131531045462</v>
      </c>
      <c r="AP9" s="32">
        <v>0.23759747845420701</v>
      </c>
      <c r="AQ9" s="32">
        <v>23105.717751577798</v>
      </c>
      <c r="AR9" s="32">
        <f t="shared" si="9"/>
        <v>6.4182549309938332E-3</v>
      </c>
      <c r="AS9" s="32">
        <f t="shared" si="10"/>
        <v>0.46976143570474671</v>
      </c>
      <c r="AT9" s="32">
        <v>0.10707016590258001</v>
      </c>
      <c r="AU9" s="32">
        <v>96.520899999999997</v>
      </c>
      <c r="AV9" s="34">
        <v>10.4582805853242</v>
      </c>
      <c r="AW9" s="32">
        <f t="shared" si="11"/>
        <v>1.4410452867821548</v>
      </c>
      <c r="AX9" s="32">
        <f t="shared" si="12"/>
        <v>1.2969407581039394</v>
      </c>
      <c r="AY9" s="35">
        <f t="shared" si="13"/>
        <v>150000</v>
      </c>
      <c r="AZ9" s="32">
        <f t="shared" si="0"/>
        <v>1.010982629330802</v>
      </c>
      <c r="BA9" s="32">
        <f t="shared" si="1"/>
        <v>111181.9113557395</v>
      </c>
      <c r="BB9" s="32">
        <f t="shared" si="2"/>
        <v>111181.91135573952</v>
      </c>
      <c r="BC9" s="32">
        <v>357</v>
      </c>
      <c r="BD9" s="32"/>
      <c r="BE9" s="32">
        <v>550</v>
      </c>
      <c r="BF9" s="32">
        <v>500</v>
      </c>
      <c r="BG9" s="32">
        <v>530</v>
      </c>
      <c r="BH9" s="32">
        <v>111181.840172321</v>
      </c>
      <c r="BI9" s="32">
        <v>127694.686623275</v>
      </c>
      <c r="BJ9" s="32">
        <v>1198.88687340716</v>
      </c>
      <c r="BK9" s="32">
        <v>885.57991566549697</v>
      </c>
      <c r="BL9" s="32">
        <v>1017.10640340051</v>
      </c>
      <c r="BM9" s="28">
        <f t="shared" ref="BM9" si="18">BK9/BL9</f>
        <v>0.87068561627841679</v>
      </c>
      <c r="BN9" s="28">
        <f>BO9/BM9</f>
        <v>12.011546291646312</v>
      </c>
      <c r="BO9" s="28">
        <f>BH9*2/(BJ9/60)/($BF$1*6)/100000</f>
        <v>10.4582805853988</v>
      </c>
      <c r="BP9" s="32">
        <v>0.14925813964385801</v>
      </c>
      <c r="BQ9" s="32">
        <v>0.15638721857489499</v>
      </c>
      <c r="BR9" s="32">
        <v>7.7570072361555897E-3</v>
      </c>
      <c r="BS9" s="32">
        <v>677.70454380479202</v>
      </c>
      <c r="BT9" s="32">
        <v>200.58161822560101</v>
      </c>
      <c r="BU9" s="28">
        <f t="shared" si="4"/>
        <v>230.37203610064185</v>
      </c>
      <c r="BV9" s="32">
        <v>28.887202652331698</v>
      </c>
      <c r="BW9" s="32">
        <f>12376110.263858/100000</f>
        <v>123.76110263858</v>
      </c>
      <c r="BX9" s="32">
        <v>370.31216199412802</v>
      </c>
      <c r="BY9" s="32">
        <v>0.75813292126417897</v>
      </c>
      <c r="BZ9" s="32">
        <v>1.0441684393288999</v>
      </c>
      <c r="CA9" s="2">
        <v>360</v>
      </c>
      <c r="CB9" s="2">
        <v>80</v>
      </c>
    </row>
    <row r="10" spans="1:80" ht="14.4">
      <c r="A10" s="2">
        <v>8</v>
      </c>
      <c r="B10" s="32">
        <v>0.56127032271241795</v>
      </c>
      <c r="C10" s="32">
        <v>34.772687200490203</v>
      </c>
      <c r="D10" s="32">
        <v>899.61060271253496</v>
      </c>
      <c r="E10" s="32">
        <v>871.35114235511196</v>
      </c>
      <c r="F10" s="28">
        <f t="shared" si="5"/>
        <v>885.48087253382346</v>
      </c>
      <c r="G10" s="32">
        <v>308.80471102443977</v>
      </c>
      <c r="H10" s="32">
        <v>308.90480798585429</v>
      </c>
      <c r="I10" s="32">
        <v>316.11996097850135</v>
      </c>
      <c r="J10" s="32">
        <v>886.46793240196098</v>
      </c>
      <c r="K10" s="32">
        <v>312.86479604285705</v>
      </c>
      <c r="L10" s="32">
        <v>302.54790734572828</v>
      </c>
      <c r="M10" s="32">
        <v>303.99527732219889</v>
      </c>
      <c r="N10" s="32">
        <v>338.16424764845937</v>
      </c>
      <c r="O10" s="32">
        <v>355.99880968844536</v>
      </c>
      <c r="P10" s="32">
        <v>16.8820399122549</v>
      </c>
      <c r="Q10" s="32">
        <v>1.8307817836834701</v>
      </c>
      <c r="R10" s="32">
        <v>999.10263269117695</v>
      </c>
      <c r="S10" s="32">
        <f t="shared" si="6"/>
        <v>104.62578303482744</v>
      </c>
      <c r="T10" s="32">
        <v>1054.5157228691901</v>
      </c>
      <c r="U10" s="32">
        <v>7.7868528828431396</v>
      </c>
      <c r="V10" s="32">
        <v>0.42687700175069998</v>
      </c>
      <c r="W10" s="32">
        <v>1.45809731792717E-2</v>
      </c>
      <c r="X10" s="32">
        <v>4.6093887869047601</v>
      </c>
      <c r="Y10" s="32">
        <v>57.284969582563001</v>
      </c>
      <c r="Z10" s="32">
        <v>1296.35037098473</v>
      </c>
      <c r="AA10" s="32">
        <v>-3.7311792787114897E-2</v>
      </c>
      <c r="AB10" s="32">
        <v>11.6965657064426</v>
      </c>
      <c r="AC10" s="32">
        <v>5.3189122247899201</v>
      </c>
      <c r="AD10" s="32">
        <v>1982.68467611807</v>
      </c>
      <c r="AE10" s="32">
        <v>-250.02306405994401</v>
      </c>
      <c r="AF10" s="32">
        <v>-20.423399741596601</v>
      </c>
      <c r="AG10" s="32">
        <v>313.5</v>
      </c>
      <c r="AH10" s="32">
        <v>993.8</v>
      </c>
      <c r="AI10" s="32">
        <v>45.75</v>
      </c>
      <c r="AJ10" s="32">
        <v>216.47726101549799</v>
      </c>
      <c r="AK10" s="32">
        <v>13.9563834844504</v>
      </c>
      <c r="AL10" s="32">
        <v>0.20695536341332299</v>
      </c>
      <c r="AM10" s="28">
        <f t="shared" si="7"/>
        <v>4.1428249039013989E-3</v>
      </c>
      <c r="AN10" s="28">
        <f t="shared" si="8"/>
        <v>2.1272489106128978</v>
      </c>
      <c r="AO10" s="32">
        <v>0.213589762069505</v>
      </c>
      <c r="AP10" s="32">
        <v>0.21818345985047799</v>
      </c>
      <c r="AQ10" s="32">
        <v>23883.835162256499</v>
      </c>
      <c r="AR10" s="32">
        <f t="shared" si="9"/>
        <v>6.6343986561823607E-3</v>
      </c>
      <c r="AS10" s="32">
        <f t="shared" si="10"/>
        <v>0.53428579531683884</v>
      </c>
      <c r="AT10" s="32">
        <v>0.13280714991836201</v>
      </c>
      <c r="AU10" s="32">
        <v>95.019499999999994</v>
      </c>
      <c r="AV10" s="34">
        <v>12.453353443447799</v>
      </c>
      <c r="AW10" s="32">
        <f t="shared" si="11"/>
        <v>1.4206770017507</v>
      </c>
      <c r="AX10" s="32">
        <f t="shared" si="12"/>
        <v>1.2786093015756301</v>
      </c>
      <c r="AY10" s="35">
        <f t="shared" si="13"/>
        <v>150000</v>
      </c>
      <c r="AZ10" s="32">
        <f t="shared" si="0"/>
        <v>1.0083809731792717</v>
      </c>
      <c r="BA10" s="32">
        <f t="shared" si="1"/>
        <v>110329.5332277261</v>
      </c>
      <c r="BB10" s="32">
        <f t="shared" si="2"/>
        <v>110329.5332277261</v>
      </c>
      <c r="BC10" s="32">
        <v>358.5</v>
      </c>
      <c r="BD10" s="32"/>
      <c r="BE10" s="32">
        <v>550</v>
      </c>
      <c r="BF10" s="32">
        <v>500</v>
      </c>
      <c r="BG10" s="32">
        <v>530</v>
      </c>
      <c r="BH10" s="32"/>
      <c r="BI10" s="32"/>
      <c r="BJ10" s="32"/>
      <c r="BK10" s="32"/>
      <c r="BL10" s="32"/>
      <c r="BM10" s="32"/>
      <c r="BN10" s="28"/>
      <c r="BO10" s="28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>
        <v>1.0348494738663301</v>
      </c>
      <c r="CA10" s="2">
        <v>360</v>
      </c>
      <c r="CB10" s="2">
        <v>80</v>
      </c>
    </row>
    <row r="11" spans="1:80" ht="14.4">
      <c r="A11" s="2">
        <v>9</v>
      </c>
      <c r="B11" s="32">
        <v>0.534532462011725</v>
      </c>
      <c r="C11" s="32">
        <v>34.182682860229299</v>
      </c>
      <c r="D11" s="32">
        <v>842.92827716975296</v>
      </c>
      <c r="E11" s="32">
        <v>801.68279287918892</v>
      </c>
      <c r="F11" s="28">
        <f t="shared" si="5"/>
        <v>822.30553502447094</v>
      </c>
      <c r="G11" s="32">
        <v>309.6252304872134</v>
      </c>
      <c r="H11" s="32">
        <v>308.5119395284392</v>
      </c>
      <c r="I11" s="32">
        <v>325.89448670524689</v>
      </c>
      <c r="J11" s="32">
        <v>742.41857049779605</v>
      </c>
      <c r="K11" s="32">
        <v>314.34140499779539</v>
      </c>
      <c r="L11" s="32">
        <v>303.02082108311288</v>
      </c>
      <c r="M11" s="32">
        <v>309.70627724029976</v>
      </c>
      <c r="N11" s="32">
        <v>386.55918474096097</v>
      </c>
      <c r="O11" s="32">
        <v>358.22569376587296</v>
      </c>
      <c r="P11" s="32">
        <v>21.157511058421498</v>
      </c>
      <c r="Q11" s="32">
        <v>1.60041102865961</v>
      </c>
      <c r="R11" s="32">
        <v>1799.3838367568401</v>
      </c>
      <c r="S11" s="32">
        <f t="shared" si="6"/>
        <v>188.43103475145014</v>
      </c>
      <c r="T11" s="32">
        <v>1053.54275880974</v>
      </c>
      <c r="U11" s="32">
        <v>13.674598247134</v>
      </c>
      <c r="V11" s="32">
        <v>1.10340280180776</v>
      </c>
      <c r="W11" s="32">
        <v>7.2905304453262806E-2</v>
      </c>
      <c r="X11" s="32">
        <v>12.5713772440476</v>
      </c>
      <c r="Y11" s="32">
        <v>62.637335045855401</v>
      </c>
      <c r="Z11" s="32">
        <v>779.68821194709005</v>
      </c>
      <c r="AA11" s="32">
        <v>-5.7531384479717798E-2</v>
      </c>
      <c r="AB11" s="32">
        <v>8.2046401503527306</v>
      </c>
      <c r="AC11" s="32">
        <v>10.4165218201058</v>
      </c>
      <c r="AD11" s="32">
        <v>1685.4267800714299</v>
      </c>
      <c r="AE11" s="32">
        <v>-250.11542478064399</v>
      </c>
      <c r="AF11" s="32">
        <v>-20.4292678829365</v>
      </c>
      <c r="AG11" s="32">
        <v>319.2</v>
      </c>
      <c r="AH11" s="32">
        <v>993.55</v>
      </c>
      <c r="AI11" s="32">
        <v>55.7</v>
      </c>
      <c r="AJ11" s="32">
        <v>211.276927200317</v>
      </c>
      <c r="AK11" s="32">
        <v>7.5785762774711198</v>
      </c>
      <c r="AL11" s="32">
        <v>0.33590995354330899</v>
      </c>
      <c r="AM11" s="28">
        <f t="shared" si="7"/>
        <v>3.7336108803638457E-3</v>
      </c>
      <c r="AN11" s="28">
        <f t="shared" si="8"/>
        <v>1.9519834117576533</v>
      </c>
      <c r="AO11" s="32">
        <v>0.34756071124986698</v>
      </c>
      <c r="AP11" s="32">
        <v>0.34893293515588097</v>
      </c>
      <c r="AQ11" s="32">
        <v>41942.727743609503</v>
      </c>
      <c r="AR11" s="32">
        <f t="shared" si="9"/>
        <v>1.1650757706558195E-2</v>
      </c>
      <c r="AS11" s="32">
        <f t="shared" si="10"/>
        <v>0.57806948874549402</v>
      </c>
      <c r="AT11" s="32">
        <v>0.129497191967193</v>
      </c>
      <c r="AU11" s="32">
        <v>102.411725</v>
      </c>
      <c r="AV11" s="34">
        <v>12.4418631782414</v>
      </c>
      <c r="AW11" s="32">
        <f t="shared" si="11"/>
        <v>2.0969528018077597</v>
      </c>
      <c r="AX11" s="32">
        <f t="shared" si="12"/>
        <v>1.8872575216269838</v>
      </c>
      <c r="AY11" s="35">
        <f t="shared" si="13"/>
        <v>200000</v>
      </c>
      <c r="AZ11" s="32">
        <f t="shared" si="0"/>
        <v>1.0664553044532628</v>
      </c>
      <c r="BA11" s="32">
        <f t="shared" si="1"/>
        <v>198520.15219741678</v>
      </c>
      <c r="BB11" s="32">
        <f t="shared" si="2"/>
        <v>198520.15219741678</v>
      </c>
      <c r="BC11" s="32">
        <v>355.5</v>
      </c>
      <c r="BD11" s="32"/>
      <c r="BE11" s="32">
        <v>550</v>
      </c>
      <c r="BF11" s="32">
        <v>500</v>
      </c>
      <c r="BG11" s="32">
        <v>530</v>
      </c>
      <c r="BH11" s="32">
        <v>198519.796447439</v>
      </c>
      <c r="BI11" s="32">
        <v>220606.23596434499</v>
      </c>
      <c r="BJ11" s="32">
        <v>1799.3806119191099</v>
      </c>
      <c r="BK11" s="32">
        <v>1053.5445149048601</v>
      </c>
      <c r="BL11" s="32">
        <v>1170.76574568059</v>
      </c>
      <c r="BM11" s="28">
        <f t="shared" ref="BM11" si="19">BK11/BL11</f>
        <v>0.89987644308162873</v>
      </c>
      <c r="BN11" s="28">
        <f>BO11/BM11</f>
        <v>13.82619055776296</v>
      </c>
      <c r="BO11" s="28">
        <f>BH11*2/(BJ11/60)/($BF$1*6)/100000</f>
        <v>12.441863180488532</v>
      </c>
      <c r="BP11" s="32">
        <v>0.332444917947955</v>
      </c>
      <c r="BQ11" s="32">
        <v>0.34415223102297099</v>
      </c>
      <c r="BR11" s="32">
        <v>1.2118828801263901E-2</v>
      </c>
      <c r="BS11" s="32">
        <v>705.10575358442304</v>
      </c>
      <c r="BT11" s="32">
        <v>191.83735102814501</v>
      </c>
      <c r="BU11" s="28">
        <f t="shared" si="4"/>
        <v>213.18187902685574</v>
      </c>
      <c r="BV11" s="32">
        <v>5.1971834423827801</v>
      </c>
      <c r="BW11" s="32">
        <f>11438162.2491908/100000</f>
        <v>114.381622491908</v>
      </c>
      <c r="BX11" s="32">
        <v>373.904563387785</v>
      </c>
      <c r="BY11" s="32">
        <v>0.75813292126417897</v>
      </c>
      <c r="BZ11" s="32">
        <v>1.0437248173362399</v>
      </c>
      <c r="CA11" s="2">
        <v>360</v>
      </c>
      <c r="CB11" s="2">
        <v>80</v>
      </c>
    </row>
    <row r="12" spans="1:80" ht="14.4">
      <c r="A12" s="2">
        <v>10</v>
      </c>
      <c r="B12" s="32">
        <v>0.533562287564463</v>
      </c>
      <c r="C12" s="32">
        <v>34.341577197850697</v>
      </c>
      <c r="D12" s="32">
        <v>867.15556329061201</v>
      </c>
      <c r="E12" s="32">
        <v>823.94608308920101</v>
      </c>
      <c r="F12" s="28">
        <f t="shared" si="5"/>
        <v>845.55082318990651</v>
      </c>
      <c r="G12" s="32">
        <v>309.76408609388187</v>
      </c>
      <c r="H12" s="32">
        <v>308.63534903738127</v>
      </c>
      <c r="I12" s="32">
        <v>325.90490556058808</v>
      </c>
      <c r="J12" s="32">
        <v>772.22765270826699</v>
      </c>
      <c r="K12" s="32">
        <v>313.8140825348101</v>
      </c>
      <c r="L12" s="32">
        <v>303.06053887335179</v>
      </c>
      <c r="M12" s="32">
        <v>309.09971957357595</v>
      </c>
      <c r="N12" s="32">
        <v>386.86325372817799</v>
      </c>
      <c r="O12" s="32">
        <v>357.9027808643196</v>
      </c>
      <c r="P12" s="32">
        <v>19.665437908359699</v>
      </c>
      <c r="Q12" s="32">
        <v>1.56811642721519</v>
      </c>
      <c r="R12" s="32">
        <v>1599.27545799473</v>
      </c>
      <c r="S12" s="32">
        <f t="shared" si="6"/>
        <v>167.47573433008986</v>
      </c>
      <c r="T12" s="32">
        <v>1229.13756327136</v>
      </c>
      <c r="U12" s="32">
        <v>13.6106628842959</v>
      </c>
      <c r="V12" s="32">
        <v>1.11175533445411</v>
      </c>
      <c r="W12" s="32">
        <v>6.10631537447257E-2</v>
      </c>
      <c r="X12" s="32">
        <v>11.228069530656599</v>
      </c>
      <c r="Y12" s="32">
        <v>62.837489681170901</v>
      </c>
      <c r="Z12" s="32">
        <v>1122.70727070873</v>
      </c>
      <c r="AA12" s="32">
        <v>-5.2473269448839698E-2</v>
      </c>
      <c r="AB12" s="32">
        <v>8.8193688368275307</v>
      </c>
      <c r="AC12" s="32">
        <v>9.1616391041666692</v>
      </c>
      <c r="AD12" s="32">
        <v>97.288490810126603</v>
      </c>
      <c r="AE12" s="32">
        <v>-250.09834244007101</v>
      </c>
      <c r="AF12" s="32">
        <v>-20.427952056302701</v>
      </c>
      <c r="AG12" s="32">
        <v>313.7</v>
      </c>
      <c r="AH12" s="32">
        <v>993.7</v>
      </c>
      <c r="AI12" s="32">
        <v>47.9</v>
      </c>
      <c r="AJ12" s="32">
        <v>202.800485757817</v>
      </c>
      <c r="AK12" s="32">
        <v>9.9698984204067997</v>
      </c>
      <c r="AL12" s="32">
        <v>0.31831020505593699</v>
      </c>
      <c r="AM12" s="28">
        <f t="shared" si="7"/>
        <v>3.9806801694444041E-3</v>
      </c>
      <c r="AN12" s="28">
        <f t="shared" si="8"/>
        <v>2.0452951592204616</v>
      </c>
      <c r="AO12" s="32">
        <v>0.32990648983335702</v>
      </c>
      <c r="AP12" s="32">
        <v>0.331279162944209</v>
      </c>
      <c r="AQ12" s="32">
        <v>41746.625198712303</v>
      </c>
      <c r="AR12" s="32">
        <f t="shared" si="9"/>
        <v>1.1596284777420085E-2</v>
      </c>
      <c r="AS12" s="32">
        <f t="shared" si="10"/>
        <v>0.60717944284267489</v>
      </c>
      <c r="AT12" s="32">
        <v>0.14501923004508899</v>
      </c>
      <c r="AU12" s="32">
        <v>117.9863</v>
      </c>
      <c r="AV12" s="34">
        <v>14.515558349749901</v>
      </c>
      <c r="AW12" s="32">
        <f t="shared" si="11"/>
        <v>2.1054553344541098</v>
      </c>
      <c r="AX12" s="32">
        <f t="shared" si="12"/>
        <v>1.8949098010086989</v>
      </c>
      <c r="AY12" s="35">
        <f t="shared" si="13"/>
        <v>200000</v>
      </c>
      <c r="AZ12" s="32">
        <f t="shared" si="0"/>
        <v>1.0547631537447257</v>
      </c>
      <c r="BA12" s="32">
        <f t="shared" si="1"/>
        <v>205850.7160015683</v>
      </c>
      <c r="BB12" s="32">
        <f t="shared" si="2"/>
        <v>205850.7160015683</v>
      </c>
      <c r="BC12" s="32">
        <v>353</v>
      </c>
      <c r="BD12" s="32"/>
      <c r="BE12" s="32">
        <v>550</v>
      </c>
      <c r="BF12" s="32">
        <v>500</v>
      </c>
      <c r="BG12" s="32">
        <v>530</v>
      </c>
      <c r="BH12" s="32">
        <v>205850.31410957599</v>
      </c>
      <c r="BI12" s="32">
        <v>233240.90289601299</v>
      </c>
      <c r="BJ12" s="32">
        <v>1599.2723360074599</v>
      </c>
      <c r="BK12" s="32">
        <v>1229.1396115628199</v>
      </c>
      <c r="BL12" s="32">
        <v>1392.69926220364</v>
      </c>
      <c r="BM12" s="28">
        <f t="shared" ref="BM12" si="20">BK12/BL12</f>
        <v>0.88255924657989482</v>
      </c>
      <c r="BN12" s="28">
        <f>BO12/BM12</f>
        <v>16.447120578925389</v>
      </c>
      <c r="BO12" s="28">
        <f>BH12*2/(BJ12/60)/($BF$1*6)/100000</f>
        <v>14.515558346545074</v>
      </c>
      <c r="BP12" s="32">
        <v>0.30116646294518601</v>
      </c>
      <c r="BQ12" s="32">
        <v>0.313815882937376</v>
      </c>
      <c r="BR12" s="32">
        <v>1.30705472228083E-2</v>
      </c>
      <c r="BS12" s="32">
        <v>739.62003221197199</v>
      </c>
      <c r="BT12" s="32">
        <v>195.644566491669</v>
      </c>
      <c r="BU12" s="28">
        <f t="shared" si="4"/>
        <v>221.67867738039502</v>
      </c>
      <c r="BV12" s="32">
        <v>18.767308916670601</v>
      </c>
      <c r="BW12" s="32">
        <f>12019014.2210651/100000</f>
        <v>120.190142210651</v>
      </c>
      <c r="BX12" s="32">
        <v>376.66732817801397</v>
      </c>
      <c r="BY12" s="32">
        <v>0.63058312976703002</v>
      </c>
      <c r="BZ12" s="32">
        <v>1.04274456714799</v>
      </c>
      <c r="CA12" s="2">
        <v>360</v>
      </c>
      <c r="CB12" s="2">
        <v>80</v>
      </c>
    </row>
    <row r="13" spans="1:80" ht="14.4">
      <c r="A13" s="2">
        <v>11</v>
      </c>
      <c r="B13" s="32">
        <v>0.44561921296296297</v>
      </c>
      <c r="C13" s="32">
        <v>34.974962920454502</v>
      </c>
      <c r="D13" s="32">
        <v>767.87953239772696</v>
      </c>
      <c r="E13" s="32">
        <v>728.31168253409101</v>
      </c>
      <c r="F13" s="28">
        <f t="shared" si="5"/>
        <v>748.09560746590898</v>
      </c>
      <c r="G13" s="32">
        <v>305.3589337272727</v>
      </c>
      <c r="H13" s="32">
        <v>305.81619738636357</v>
      </c>
      <c r="I13" s="32">
        <v>308.0322266818182</v>
      </c>
      <c r="J13" s="32">
        <v>739.3147845340909</v>
      </c>
      <c r="K13" s="32">
        <v>311.78983281818176</v>
      </c>
      <c r="L13" s="32">
        <v>301.43567989772725</v>
      </c>
      <c r="M13" s="32">
        <v>302.98101582954536</v>
      </c>
      <c r="N13" s="32">
        <v>328.61819980681815</v>
      </c>
      <c r="O13" s="32">
        <v>355.19346771590909</v>
      </c>
      <c r="P13" s="32">
        <v>15.5083847272727</v>
      </c>
      <c r="Q13" s="32">
        <v>1.19496971590909</v>
      </c>
      <c r="R13" s="32">
        <v>999.04963235227297</v>
      </c>
      <c r="S13" s="32">
        <f t="shared" si="6"/>
        <v>104.62023285231615</v>
      </c>
      <c r="T13" s="32">
        <v>724.17011857954606</v>
      </c>
      <c r="U13" s="32">
        <v>5.2330098863636403</v>
      </c>
      <c r="V13" s="32">
        <v>0.24928693181818201</v>
      </c>
      <c r="W13" s="32">
        <v>5.0057272727272702E-3</v>
      </c>
      <c r="X13" s="32">
        <v>3.8826406136363598</v>
      </c>
      <c r="Y13" s="32">
        <v>27.202765488636398</v>
      </c>
      <c r="Z13" s="32">
        <v>1249.40598720455</v>
      </c>
      <c r="AA13" s="32">
        <v>-0.100595056818182</v>
      </c>
      <c r="AB13" s="32">
        <v>8.3299462159090893</v>
      </c>
      <c r="AC13" s="32">
        <v>9.1896636590909093</v>
      </c>
      <c r="AD13" s="32">
        <v>273.99655701136402</v>
      </c>
      <c r="AE13" s="32">
        <v>-250.05177731818199</v>
      </c>
      <c r="AF13" s="32">
        <v>-20.423993500000002</v>
      </c>
      <c r="AG13" s="32">
        <v>303.25</v>
      </c>
      <c r="AH13" s="32">
        <v>993.9</v>
      </c>
      <c r="AI13" s="32">
        <v>27.5</v>
      </c>
      <c r="AJ13" s="32">
        <v>211.85434127243801</v>
      </c>
      <c r="AK13" s="32">
        <v>18.022496701598499</v>
      </c>
      <c r="AL13" s="32">
        <v>0.19059387285307</v>
      </c>
      <c r="AM13" s="28">
        <f t="shared" si="7"/>
        <v>3.8155035882314419E-3</v>
      </c>
      <c r="AN13" s="28">
        <f t="shared" si="8"/>
        <v>1.8951206432396637</v>
      </c>
      <c r="AO13" s="32">
        <v>0.19505239727625201</v>
      </c>
      <c r="AP13" s="32">
        <v>0.19796060074784899</v>
      </c>
      <c r="AQ13" s="32">
        <v>16050.687923454499</v>
      </c>
      <c r="AR13" s="32">
        <f t="shared" si="9"/>
        <v>4.4585244231818057E-3</v>
      </c>
      <c r="AS13" s="32">
        <f t="shared" si="10"/>
        <v>0.38988000649763022</v>
      </c>
      <c r="AT13" s="32">
        <v>8.9255313826284599E-2</v>
      </c>
      <c r="AU13" s="32">
        <v>81.675150000000002</v>
      </c>
      <c r="AV13" s="34">
        <v>8.5521213617535494</v>
      </c>
      <c r="AW13" s="32">
        <f t="shared" si="11"/>
        <v>1.2431869318181821</v>
      </c>
      <c r="AX13" s="32">
        <f t="shared" si="12"/>
        <v>1.118868238636364</v>
      </c>
      <c r="AY13" s="35">
        <f t="shared" si="13"/>
        <v>100000</v>
      </c>
      <c r="AZ13" s="32">
        <f t="shared" si="0"/>
        <v>0.99890572727272731</v>
      </c>
      <c r="BA13" s="32">
        <f t="shared" si="1"/>
        <v>75762.846430481499</v>
      </c>
      <c r="BB13" s="32">
        <f t="shared" si="2"/>
        <v>75762.846430481499</v>
      </c>
      <c r="BC13" s="32">
        <v>358.5</v>
      </c>
      <c r="BD13" s="32"/>
      <c r="BE13" s="32">
        <v>550</v>
      </c>
      <c r="BF13" s="32">
        <v>500</v>
      </c>
      <c r="BG13" s="32">
        <v>530</v>
      </c>
      <c r="BH13" s="32">
        <v>75762.218432125999</v>
      </c>
      <c r="BI13" s="32">
        <v>86650.836048165496</v>
      </c>
      <c r="BJ13" s="32">
        <v>999.04135120006697</v>
      </c>
      <c r="BK13" s="32">
        <v>724.17132555096396</v>
      </c>
      <c r="BL13" s="32">
        <v>828.24592285356198</v>
      </c>
      <c r="BM13" s="28">
        <f t="shared" ref="BM13" si="21">BK13/BL13</f>
        <v>0.87434336296636506</v>
      </c>
      <c r="BN13" s="28">
        <f>BO13/BM13</f>
        <v>9.7811932064999993</v>
      </c>
      <c r="BO13" s="28">
        <f>BH13*2/(BJ13/60)/($BF$1*6)/100000</f>
        <v>8.5521213619949723</v>
      </c>
      <c r="BP13" s="32">
        <v>0.109821477401206</v>
      </c>
      <c r="BQ13" s="32">
        <v>0.11449685865428801</v>
      </c>
      <c r="BR13" s="32">
        <v>5.5503125941866096E-3</v>
      </c>
      <c r="BS13" s="32">
        <v>635.84865538837596</v>
      </c>
      <c r="BT13" s="32">
        <v>210.051239275867</v>
      </c>
      <c r="BU13" s="28">
        <f t="shared" si="4"/>
        <v>240.23884456929011</v>
      </c>
      <c r="BV13" s="32">
        <v>27.8332141926963</v>
      </c>
      <c r="BW13" s="32">
        <f>10808819.4435318/100000</f>
        <v>108.088194435318</v>
      </c>
      <c r="BX13" s="32">
        <v>369.19822020488698</v>
      </c>
      <c r="BY13" s="32">
        <v>0.73714332972643104</v>
      </c>
      <c r="BZ13" s="32">
        <v>1.0357520634508599</v>
      </c>
      <c r="CA13" s="2">
        <v>360</v>
      </c>
      <c r="CB13" s="2">
        <v>80</v>
      </c>
    </row>
    <row r="14" spans="1:80" ht="14.4">
      <c r="A14" s="2">
        <v>12</v>
      </c>
      <c r="B14" s="32">
        <v>0.47635995370370399</v>
      </c>
      <c r="C14" s="32">
        <v>36.119086744186099</v>
      </c>
      <c r="D14" s="32">
        <v>705.22922854651199</v>
      </c>
      <c r="E14" s="32">
        <v>668.42542927906993</v>
      </c>
      <c r="F14" s="28">
        <f t="shared" si="5"/>
        <v>686.82732891279102</v>
      </c>
      <c r="G14" s="32">
        <v>307.38346077906976</v>
      </c>
      <c r="H14" s="32">
        <v>307.91064822093017</v>
      </c>
      <c r="I14" s="32">
        <v>307.57308258139528</v>
      </c>
      <c r="J14" s="32">
        <v>660.61401480232598</v>
      </c>
      <c r="K14" s="32">
        <v>313.21551712790699</v>
      </c>
      <c r="L14" s="32">
        <v>301.88756146511628</v>
      </c>
      <c r="M14" s="32">
        <v>303.73687069767436</v>
      </c>
      <c r="N14" s="32">
        <v>323.19650438372088</v>
      </c>
      <c r="O14" s="32">
        <v>355.1223498372093</v>
      </c>
      <c r="P14" s="32">
        <v>13.7859122325581</v>
      </c>
      <c r="Q14" s="32">
        <v>1.40423594186047</v>
      </c>
      <c r="R14" s="32">
        <v>1198.6672809069801</v>
      </c>
      <c r="S14" s="32">
        <f t="shared" si="6"/>
        <v>125.52414412652737</v>
      </c>
      <c r="T14" s="32">
        <v>553.98948739534899</v>
      </c>
      <c r="U14" s="32">
        <v>4.8749744767441898</v>
      </c>
      <c r="V14" s="32">
        <v>0.22211883720930201</v>
      </c>
      <c r="W14" s="32">
        <v>7.9326860465116205E-3</v>
      </c>
      <c r="X14" s="32">
        <v>4.6293127093023303</v>
      </c>
      <c r="Y14" s="32">
        <v>27.2458571976744</v>
      </c>
      <c r="Z14" s="32">
        <v>1101.7850733953501</v>
      </c>
      <c r="AA14" s="32">
        <v>-7.6380616279069793E-2</v>
      </c>
      <c r="AB14" s="32">
        <v>6.8000156162790697</v>
      </c>
      <c r="AC14" s="32">
        <v>11.5780690116279</v>
      </c>
      <c r="AD14" s="32">
        <v>137.118560674419</v>
      </c>
      <c r="AE14" s="32">
        <v>-250.07180887209299</v>
      </c>
      <c r="AF14" s="32">
        <v>-20.425549825581399</v>
      </c>
      <c r="AG14" s="32">
        <v>304.45</v>
      </c>
      <c r="AH14" s="32">
        <v>993.7</v>
      </c>
      <c r="AI14" s="32">
        <v>31.4</v>
      </c>
      <c r="AJ14" s="32">
        <v>215.02336268526301</v>
      </c>
      <c r="AK14" s="32">
        <v>18.840311038509999</v>
      </c>
      <c r="AL14" s="32">
        <v>0.20738426943014299</v>
      </c>
      <c r="AM14" s="28">
        <f t="shared" si="7"/>
        <v>3.4602474386924817E-3</v>
      </c>
      <c r="AN14" s="28">
        <f t="shared" si="8"/>
        <v>1.725469634166193</v>
      </c>
      <c r="AO14" s="32">
        <v>0.21153774768432901</v>
      </c>
      <c r="AP14" s="32">
        <v>0.21396302498009701</v>
      </c>
      <c r="AQ14" s="32">
        <v>14952.521715069801</v>
      </c>
      <c r="AR14" s="32">
        <f t="shared" si="9"/>
        <v>4.1534782541860563E-3</v>
      </c>
      <c r="AS14" s="32">
        <f t="shared" si="10"/>
        <v>0.33379888339643715</v>
      </c>
      <c r="AT14" s="32">
        <v>6.9301603878655998E-2</v>
      </c>
      <c r="AU14" s="32">
        <v>76.446550000000002</v>
      </c>
      <c r="AV14" s="34">
        <v>6.5423651263515197</v>
      </c>
      <c r="AW14" s="32">
        <f t="shared" si="11"/>
        <v>1.215818837209302</v>
      </c>
      <c r="AX14" s="32">
        <f t="shared" si="12"/>
        <v>1.0942369534883718</v>
      </c>
      <c r="AY14" s="35">
        <f t="shared" si="13"/>
        <v>100000</v>
      </c>
      <c r="AZ14" s="32">
        <f t="shared" si="0"/>
        <v>1.0016326860465117</v>
      </c>
      <c r="BA14" s="32">
        <f t="shared" si="1"/>
        <v>69539.05626039482</v>
      </c>
      <c r="BB14" s="32">
        <f t="shared" si="2"/>
        <v>69539.056260394806</v>
      </c>
      <c r="BC14" s="32">
        <v>358.3</v>
      </c>
      <c r="BD14" s="32"/>
      <c r="BE14" s="32">
        <v>550</v>
      </c>
      <c r="BF14" s="32">
        <v>500</v>
      </c>
      <c r="BG14" s="32">
        <v>530</v>
      </c>
      <c r="BH14" s="32">
        <v>69539.231226180898</v>
      </c>
      <c r="BI14" s="32">
        <v>80036.274597293494</v>
      </c>
      <c r="BJ14" s="32">
        <v>1198.67029683894</v>
      </c>
      <c r="BK14" s="32">
        <v>553.99041071481599</v>
      </c>
      <c r="BL14" s="32">
        <v>637.61819843670105</v>
      </c>
      <c r="BM14" s="28">
        <f t="shared" ref="BM14" si="22">BK14/BL14</f>
        <v>0.86884347415597307</v>
      </c>
      <c r="BN14" s="28">
        <f>BO14/BM14</f>
        <v>7.5299698058525673</v>
      </c>
      <c r="BO14" s="28">
        <f>BH14*2/(BJ14/60)/($BF$1*6)/100000</f>
        <v>6.5423651264065228</v>
      </c>
      <c r="BP14" s="32">
        <v>0.12949020416193699</v>
      </c>
      <c r="BQ14" s="32">
        <v>0.134024956749622</v>
      </c>
      <c r="BR14" s="32">
        <v>4.8061810172537597E-3</v>
      </c>
      <c r="BS14" s="32">
        <v>605.39538795812905</v>
      </c>
      <c r="BT14" s="32">
        <v>200.67322344850899</v>
      </c>
      <c r="BU14" s="28">
        <f t="shared" si="4"/>
        <v>230.96590976119194</v>
      </c>
      <c r="BV14" s="32">
        <v>4.96820155430966</v>
      </c>
      <c r="BW14" s="32">
        <f>8804459.67925768/100000</f>
        <v>88.044596792576797</v>
      </c>
      <c r="BX14" s="32">
        <v>369.797916392996</v>
      </c>
      <c r="BY14" s="32">
        <v>0.536717907235298</v>
      </c>
      <c r="BZ14" s="32">
        <v>1.0471020207432999</v>
      </c>
      <c r="CA14" s="2">
        <v>360</v>
      </c>
      <c r="CB14" s="2">
        <v>80</v>
      </c>
    </row>
    <row r="15" spans="1:80" ht="14.4">
      <c r="A15" s="2">
        <v>13</v>
      </c>
      <c r="B15" s="32">
        <v>0.495978009259259</v>
      </c>
      <c r="C15" s="32">
        <v>36.5362117093023</v>
      </c>
      <c r="D15" s="32">
        <v>690.13345132558197</v>
      </c>
      <c r="E15" s="32">
        <v>651.33875405814001</v>
      </c>
      <c r="F15" s="28">
        <f t="shared" si="5"/>
        <v>670.73610269186099</v>
      </c>
      <c r="G15" s="32">
        <v>307.98027198837207</v>
      </c>
      <c r="H15" s="32">
        <v>309.1087716976744</v>
      </c>
      <c r="I15" s="32">
        <v>310.36770812790701</v>
      </c>
      <c r="J15" s="32">
        <v>638.94078816279102</v>
      </c>
      <c r="K15" s="32">
        <v>314.41555936046507</v>
      </c>
      <c r="L15" s="32">
        <v>301.66350773255806</v>
      </c>
      <c r="M15" s="32">
        <v>305.79307379069769</v>
      </c>
      <c r="N15" s="32">
        <v>339.76546125581388</v>
      </c>
      <c r="O15" s="32">
        <v>356.09077237209294</v>
      </c>
      <c r="P15" s="32">
        <v>13.623776790697701</v>
      </c>
      <c r="Q15" s="32">
        <v>1.5034329534883699</v>
      </c>
      <c r="R15" s="32">
        <v>1598.7568733023199</v>
      </c>
      <c r="S15" s="32">
        <f t="shared" si="6"/>
        <v>167.42142826809186</v>
      </c>
      <c r="T15" s="32">
        <v>549.12107009302304</v>
      </c>
      <c r="U15" s="32">
        <v>6.5133069302325604</v>
      </c>
      <c r="V15" s="32">
        <v>0.36732195348837199</v>
      </c>
      <c r="W15" s="32">
        <v>1.91573720930233E-2</v>
      </c>
      <c r="X15" s="32">
        <v>7.1459435465116297</v>
      </c>
      <c r="Y15" s="32">
        <v>27.255788337209299</v>
      </c>
      <c r="Z15" s="32">
        <v>1067.1698804534899</v>
      </c>
      <c r="AA15" s="32">
        <v>-9.9256290697674401E-2</v>
      </c>
      <c r="AB15" s="32">
        <v>6.3074564418604702</v>
      </c>
      <c r="AC15" s="32">
        <v>12.4434184418605</v>
      </c>
      <c r="AD15" s="32">
        <v>110.50072241860499</v>
      </c>
      <c r="AE15" s="32">
        <v>-250.103686127907</v>
      </c>
      <c r="AF15" s="32">
        <v>-20.428200058139499</v>
      </c>
      <c r="AG15" s="32">
        <v>309.54999999999995</v>
      </c>
      <c r="AH15" s="32">
        <v>993.9</v>
      </c>
      <c r="AI15" s="32">
        <v>45.1</v>
      </c>
      <c r="AJ15" s="32">
        <v>217.302383013129</v>
      </c>
      <c r="AK15" s="32">
        <v>17.0040516067873</v>
      </c>
      <c r="AL15" s="32">
        <v>0.255432692419161</v>
      </c>
      <c r="AM15" s="28">
        <f t="shared" si="7"/>
        <v>3.1953913279077983E-3</v>
      </c>
      <c r="AN15" s="28">
        <f t="shared" si="8"/>
        <v>1.6200896482234721</v>
      </c>
      <c r="AO15" s="32">
        <v>0.26098202992371899</v>
      </c>
      <c r="AP15" s="32">
        <v>0.26296295811056902</v>
      </c>
      <c r="AQ15" s="32">
        <v>19977.615016409301</v>
      </c>
      <c r="AR15" s="32">
        <f t="shared" si="9"/>
        <v>5.5493375045581397E-3</v>
      </c>
      <c r="AS15" s="32">
        <f t="shared" si="10"/>
        <v>0.36208739583549243</v>
      </c>
      <c r="AT15" s="32">
        <v>6.9420655475846901E-2</v>
      </c>
      <c r="AU15" s="32">
        <v>79.253349999999998</v>
      </c>
      <c r="AV15" s="34">
        <v>6.4848713213173896</v>
      </c>
      <c r="AW15" s="32">
        <f t="shared" si="11"/>
        <v>1.361221953488372</v>
      </c>
      <c r="AX15" s="32">
        <f t="shared" si="12"/>
        <v>1.2250997581395349</v>
      </c>
      <c r="AY15" s="35">
        <f t="shared" si="13"/>
        <v>100000</v>
      </c>
      <c r="AZ15" s="32">
        <f t="shared" si="0"/>
        <v>1.0130573720930234</v>
      </c>
      <c r="BA15" s="32">
        <f t="shared" si="1"/>
        <v>91934.633847076897</v>
      </c>
      <c r="BB15" s="32">
        <f t="shared" si="2"/>
        <v>91934.633847076897</v>
      </c>
      <c r="BC15" s="32">
        <v>356.2</v>
      </c>
      <c r="BD15" s="32"/>
      <c r="BE15" s="32">
        <v>550</v>
      </c>
      <c r="BF15" s="32">
        <v>500</v>
      </c>
      <c r="BG15" s="32">
        <v>530</v>
      </c>
      <c r="BH15" s="32">
        <v>91934.991037884101</v>
      </c>
      <c r="BI15" s="32">
        <v>104080.45924593401</v>
      </c>
      <c r="BJ15" s="32">
        <v>1598.7630848829101</v>
      </c>
      <c r="BK15" s="32">
        <v>549.12198530087801</v>
      </c>
      <c r="BL15" s="32">
        <v>621.66907927973796</v>
      </c>
      <c r="BM15" s="28">
        <f t="shared" ref="BM15" si="23">BK15/BL15</f>
        <v>0.88330271458424059</v>
      </c>
      <c r="BN15" s="28">
        <f>BO15/BM15</f>
        <v>7.3416182406416386</v>
      </c>
      <c r="BO15" s="28">
        <f>BH15*2/(BJ15/60)/($BF$1*6)/100000</f>
        <v>6.4848713213999361</v>
      </c>
      <c r="BP15" s="32">
        <v>0.19444966947359801</v>
      </c>
      <c r="BQ15" s="32">
        <v>0.19955769090082101</v>
      </c>
      <c r="BR15" s="32">
        <v>5.8007659708679098E-3</v>
      </c>
      <c r="BS15" s="32">
        <v>594.04504579687102</v>
      </c>
      <c r="BT15" s="32">
        <v>185.69998995395801</v>
      </c>
      <c r="BU15" s="28">
        <f t="shared" si="4"/>
        <v>210.23369099614354</v>
      </c>
      <c r="BV15" s="35">
        <v>0.77307930587046203</v>
      </c>
      <c r="BW15" s="32">
        <f>9639307.43737296/100000</f>
        <v>96.393074373729604</v>
      </c>
      <c r="BX15" s="32">
        <v>367.94716714705601</v>
      </c>
      <c r="BY15" s="32">
        <v>0.43060566024223002</v>
      </c>
      <c r="BZ15" s="32">
        <v>1.05030346391772</v>
      </c>
      <c r="CA15" s="2">
        <v>360</v>
      </c>
      <c r="CB15" s="2">
        <v>80</v>
      </c>
    </row>
    <row r="16" spans="1:80" ht="14.4">
      <c r="A16" s="2">
        <v>14</v>
      </c>
      <c r="B16" s="32">
        <v>0.63101273148148096</v>
      </c>
      <c r="C16" s="32">
        <v>36.351862232558197</v>
      </c>
      <c r="D16" s="32">
        <v>877.34722941860502</v>
      </c>
      <c r="E16" s="32">
        <v>847.36110645348799</v>
      </c>
      <c r="F16" s="28">
        <f t="shared" si="5"/>
        <v>862.35416793604645</v>
      </c>
      <c r="G16" s="32">
        <v>314.22399289534877</v>
      </c>
      <c r="H16" s="32">
        <v>315.1213920116279</v>
      </c>
      <c r="I16" s="32">
        <v>322.81497336046505</v>
      </c>
      <c r="J16" s="32">
        <v>811.46615782558092</v>
      </c>
      <c r="K16" s="32">
        <v>312.92313888372087</v>
      </c>
      <c r="L16" s="32">
        <v>302.54691154651158</v>
      </c>
      <c r="M16" s="32">
        <v>306.5435157441861</v>
      </c>
      <c r="N16" s="32">
        <v>380.46078955813999</v>
      </c>
      <c r="O16" s="32">
        <v>356.49838046511627</v>
      </c>
      <c r="P16" s="32">
        <v>13.6234674534884</v>
      </c>
      <c r="Q16" s="32">
        <v>1.90949654651163</v>
      </c>
      <c r="R16" s="32">
        <v>1403.59711227907</v>
      </c>
      <c r="S16" s="32">
        <f t="shared" si="6"/>
        <v>146.98434588452579</v>
      </c>
      <c r="T16" s="32">
        <v>1240.07021687209</v>
      </c>
      <c r="U16" s="32">
        <v>12.0784745813953</v>
      </c>
      <c r="V16" s="32">
        <v>0.93002625581395304</v>
      </c>
      <c r="W16" s="32">
        <v>4.5411116279069803E-2</v>
      </c>
      <c r="X16" s="32">
        <v>9.2891954651162791</v>
      </c>
      <c r="Y16" s="32">
        <v>71.046232953488399</v>
      </c>
      <c r="Z16" s="32">
        <v>1217.1405449418601</v>
      </c>
      <c r="AA16" s="32">
        <v>-6.7929511627907002E-2</v>
      </c>
      <c r="AB16" s="32">
        <v>9.9624796744185993</v>
      </c>
      <c r="AC16" s="32">
        <v>8.1075096627907008</v>
      </c>
      <c r="AD16" s="32">
        <v>249.41679277906999</v>
      </c>
      <c r="AE16" s="32">
        <v>-250.07722263953499</v>
      </c>
      <c r="AF16" s="32">
        <v>-20.4261316162791</v>
      </c>
      <c r="AG16" s="32">
        <v>315.64999999999998</v>
      </c>
      <c r="AH16" s="32">
        <v>993.5</v>
      </c>
      <c r="AI16" s="32">
        <v>50.9</v>
      </c>
      <c r="AJ16" s="32">
        <v>203.25293433570101</v>
      </c>
      <c r="AK16" s="32">
        <v>11.108865831055301</v>
      </c>
      <c r="AL16" s="32">
        <v>0.289705920744667</v>
      </c>
      <c r="AM16" s="28">
        <f t="shared" si="7"/>
        <v>4.1280495408580788E-3</v>
      </c>
      <c r="AN16" s="28">
        <f t="shared" si="8"/>
        <v>2.1341988462034318</v>
      </c>
      <c r="AO16" s="32">
        <v>0.29999678108801597</v>
      </c>
      <c r="AP16" s="32">
        <v>0.30299267559820903</v>
      </c>
      <c r="AQ16" s="32">
        <v>37047.097236055801</v>
      </c>
      <c r="AR16" s="32">
        <f t="shared" si="9"/>
        <v>1.0290860343348834E-2</v>
      </c>
      <c r="AS16" s="32">
        <f t="shared" si="10"/>
        <v>0.59202911219401166</v>
      </c>
      <c r="AT16" s="32">
        <v>0.14663553028602599</v>
      </c>
      <c r="AU16" s="32">
        <v>117.66334999999999</v>
      </c>
      <c r="AV16" s="34">
        <v>14.6446680409684</v>
      </c>
      <c r="AW16" s="32">
        <f t="shared" si="11"/>
        <v>1.923526255813953</v>
      </c>
      <c r="AX16" s="32">
        <f t="shared" si="12"/>
        <v>1.7311736302325578</v>
      </c>
      <c r="AY16" s="35">
        <f t="shared" si="13"/>
        <v>150000</v>
      </c>
      <c r="AZ16" s="32">
        <f t="shared" si="0"/>
        <v>1.0389111162790698</v>
      </c>
      <c r="BA16" s="32">
        <f t="shared" si="1"/>
        <v>182270.90967782622</v>
      </c>
      <c r="BB16" s="32">
        <f t="shared" si="2"/>
        <v>182270.90967782619</v>
      </c>
      <c r="BC16" s="32">
        <v>353.2</v>
      </c>
      <c r="BD16" s="32"/>
      <c r="BE16" s="32">
        <v>550</v>
      </c>
      <c r="BF16" s="32">
        <v>500</v>
      </c>
      <c r="BG16" s="32">
        <v>530</v>
      </c>
      <c r="BH16" s="32"/>
      <c r="BI16" s="32"/>
      <c r="BJ16" s="32"/>
      <c r="BK16" s="32"/>
      <c r="BL16" s="32"/>
      <c r="BM16" s="32"/>
      <c r="BN16" s="28"/>
      <c r="BO16" s="28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>
        <v>1.0348803726403699</v>
      </c>
      <c r="CA16" s="2">
        <v>360</v>
      </c>
      <c r="CB16" s="2">
        <v>80</v>
      </c>
    </row>
    <row r="17" spans="1:80" ht="14.4">
      <c r="A17" s="2">
        <v>15</v>
      </c>
      <c r="B17" s="32">
        <v>0.64727148261065903</v>
      </c>
      <c r="C17" s="32">
        <v>36.679921146341499</v>
      </c>
      <c r="D17" s="32">
        <v>954.77000256097597</v>
      </c>
      <c r="E17" s="32">
        <v>924.34400023170701</v>
      </c>
      <c r="F17" s="28">
        <f t="shared" si="5"/>
        <v>939.55700139634155</v>
      </c>
      <c r="G17" s="32">
        <v>315.20561239024386</v>
      </c>
      <c r="H17" s="32">
        <v>316.33328618292677</v>
      </c>
      <c r="I17" s="32">
        <v>323.69287515853659</v>
      </c>
      <c r="J17" s="32">
        <v>902.33854132926797</v>
      </c>
      <c r="K17" s="32">
        <v>312.10614573170727</v>
      </c>
      <c r="L17" s="32">
        <v>302.30795334146336</v>
      </c>
      <c r="M17" s="32">
        <v>305.4627206707317</v>
      </c>
      <c r="N17" s="32">
        <v>375.49306598780498</v>
      </c>
      <c r="O17" s="32">
        <v>356.48130603658535</v>
      </c>
      <c r="P17" s="32">
        <v>12.8245776219512</v>
      </c>
      <c r="Q17" s="32">
        <v>1.9508425365853701</v>
      </c>
      <c r="R17" s="32">
        <v>1198.8645007073201</v>
      </c>
      <c r="S17" s="32">
        <f t="shared" si="6"/>
        <v>125.54479693572374</v>
      </c>
      <c r="T17" s="32">
        <v>1394.6764323658499</v>
      </c>
      <c r="U17" s="32">
        <v>11.9203419634146</v>
      </c>
      <c r="V17" s="32">
        <v>0.87375320731707296</v>
      </c>
      <c r="W17" s="32">
        <v>4.0610560975609798E-2</v>
      </c>
      <c r="X17" s="32">
        <v>7.6780663292682902</v>
      </c>
      <c r="Y17" s="32">
        <v>71.172557475609807</v>
      </c>
      <c r="Z17" s="32">
        <v>1200.2990921463399</v>
      </c>
      <c r="AA17" s="32">
        <v>-6.4144012195121905E-2</v>
      </c>
      <c r="AB17" s="32">
        <v>11.277089231707301</v>
      </c>
      <c r="AC17" s="32">
        <v>5.8474423414634096</v>
      </c>
      <c r="AD17" s="32">
        <v>808.38023018292699</v>
      </c>
      <c r="AE17" s="32">
        <v>-250.05125370731699</v>
      </c>
      <c r="AF17" s="32">
        <v>-20.4248297682927</v>
      </c>
      <c r="AG17" s="32">
        <v>313.25</v>
      </c>
      <c r="AH17" s="32">
        <v>993.6</v>
      </c>
      <c r="AI17" s="32">
        <v>0</v>
      </c>
      <c r="AJ17" s="32">
        <v>208.81352710642199</v>
      </c>
      <c r="AK17" s="32">
        <v>10.408117403068101</v>
      </c>
      <c r="AL17" s="32">
        <v>0.264392282967711</v>
      </c>
      <c r="AM17" s="28">
        <f t="shared" si="7"/>
        <v>4.4107116827918711E-3</v>
      </c>
      <c r="AN17" s="28">
        <f t="shared" si="8"/>
        <v>2.2629967805704605</v>
      </c>
      <c r="AO17" s="32">
        <v>0.27454841432054</v>
      </c>
      <c r="AP17" s="32">
        <v>0.27810707214935498</v>
      </c>
      <c r="AQ17" s="32">
        <v>36562.072870185402</v>
      </c>
      <c r="AR17" s="32">
        <f t="shared" si="9"/>
        <v>1.0156131352829278E-2</v>
      </c>
      <c r="AS17" s="32">
        <f t="shared" si="10"/>
        <v>0.64021859481110499</v>
      </c>
      <c r="AT17" s="32">
        <v>0.16942917814043601</v>
      </c>
      <c r="AU17" s="32">
        <v>113.8982</v>
      </c>
      <c r="AV17" s="34">
        <v>16.470497475601199</v>
      </c>
      <c r="AW17" s="32">
        <f t="shared" si="11"/>
        <v>1.8673532073170729</v>
      </c>
      <c r="AX17" s="32">
        <f t="shared" si="12"/>
        <v>1.6806178865853656</v>
      </c>
      <c r="AY17" s="35">
        <f t="shared" si="13"/>
        <v>150000</v>
      </c>
      <c r="AZ17" s="32">
        <f t="shared" si="0"/>
        <v>1.0342105609756098</v>
      </c>
      <c r="BA17" s="32">
        <f t="shared" si="1"/>
        <v>175094.36949241027</v>
      </c>
      <c r="BB17" s="32">
        <f t="shared" si="2"/>
        <v>175094.36949241027</v>
      </c>
      <c r="BC17" s="32">
        <v>355.3</v>
      </c>
      <c r="BD17" s="32"/>
      <c r="BE17" s="32">
        <v>550</v>
      </c>
      <c r="BF17" s="32">
        <v>500</v>
      </c>
      <c r="BG17" s="32">
        <v>530</v>
      </c>
      <c r="BH17" s="32"/>
      <c r="BI17" s="32"/>
      <c r="BJ17" s="32"/>
      <c r="BK17" s="32"/>
      <c r="BL17" s="32"/>
      <c r="BM17" s="32"/>
      <c r="BN17" s="28"/>
      <c r="BO17" s="28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>
        <v>1.0468928767337899</v>
      </c>
      <c r="CA17" s="2">
        <v>361</v>
      </c>
      <c r="CB17" s="2">
        <v>80</v>
      </c>
    </row>
    <row r="18" spans="1:80" ht="14.4">
      <c r="A18" s="2">
        <v>16</v>
      </c>
      <c r="B18" s="32">
        <v>0.46611661353976902</v>
      </c>
      <c r="C18" s="32">
        <v>32.698864295081997</v>
      </c>
      <c r="D18" s="32">
        <v>936.24071221311499</v>
      </c>
      <c r="E18" s="32">
        <v>903.47230662295101</v>
      </c>
      <c r="F18" s="28">
        <f t="shared" si="5"/>
        <v>919.85650941803306</v>
      </c>
      <c r="G18" s="32">
        <v>306.36552029508198</v>
      </c>
      <c r="H18" s="32">
        <v>304.68023926229506</v>
      </c>
      <c r="I18" s="32">
        <v>335.908317442623</v>
      </c>
      <c r="J18" s="32">
        <v>809.08010172131094</v>
      </c>
      <c r="K18" s="32">
        <v>313.05138762295076</v>
      </c>
      <c r="L18" s="32">
        <v>303.94689772131147</v>
      </c>
      <c r="M18" s="32">
        <v>313.99183857377045</v>
      </c>
      <c r="N18" s="32">
        <v>424.10476821311499</v>
      </c>
      <c r="O18" s="32">
        <v>359.60584886885249</v>
      </c>
      <c r="P18" s="32">
        <v>28.053404491803299</v>
      </c>
      <c r="Q18" s="32">
        <v>1.4215162622950801</v>
      </c>
      <c r="R18" s="32">
        <v>1796.8961723278701</v>
      </c>
      <c r="S18" s="32">
        <f t="shared" si="6"/>
        <v>188.17052714162853</v>
      </c>
      <c r="T18" s="32">
        <v>1416.7171247868901</v>
      </c>
      <c r="U18" s="32">
        <v>18.715154360655699</v>
      </c>
      <c r="V18" s="32">
        <v>1.6098735737704899</v>
      </c>
      <c r="W18" s="32">
        <v>0.12227624590163901</v>
      </c>
      <c r="X18" s="32">
        <v>15.051616163934399</v>
      </c>
      <c r="Y18" s="32">
        <v>60.154522442622998</v>
      </c>
      <c r="Z18" s="32">
        <v>776.43758944262299</v>
      </c>
      <c r="AA18" s="32">
        <v>-3.2919426229508199E-2</v>
      </c>
      <c r="AB18" s="32">
        <v>9.5064539016393503</v>
      </c>
      <c r="AC18" s="32">
        <v>8.8337400491803297</v>
      </c>
      <c r="AD18" s="32">
        <v>54.880996163934398</v>
      </c>
      <c r="AE18" s="32">
        <v>-250.113198803279</v>
      </c>
      <c r="AF18" s="32">
        <v>-20.429454196721299</v>
      </c>
      <c r="AG18" s="32">
        <v>304.54999999999995</v>
      </c>
      <c r="AH18" s="32">
        <v>993.9</v>
      </c>
      <c r="AI18" s="32">
        <v>34.6</v>
      </c>
      <c r="AJ18" s="32">
        <v>215.32812757703999</v>
      </c>
      <c r="AK18" s="32">
        <v>6.1327204655111798</v>
      </c>
      <c r="AL18" s="32">
        <v>0.36640092812706598</v>
      </c>
      <c r="AM18" s="28">
        <f t="shared" si="7"/>
        <v>4.0781535824899158E-3</v>
      </c>
      <c r="AN18" s="28">
        <f t="shared" si="8"/>
        <v>2.0342595688078231</v>
      </c>
      <c r="AO18" s="32">
        <v>0.38234623964234499</v>
      </c>
      <c r="AP18" s="32">
        <v>0.38243553129835101</v>
      </c>
      <c r="AQ18" s="32">
        <v>57403.121455003296</v>
      </c>
      <c r="AR18" s="32">
        <f t="shared" si="9"/>
        <v>1.5945311515278691E-2</v>
      </c>
      <c r="AS18" s="32">
        <f t="shared" si="10"/>
        <v>0.72531255114383597</v>
      </c>
      <c r="AT18" s="32">
        <v>0.177476158732328</v>
      </c>
      <c r="AU18" s="32">
        <v>115.62935</v>
      </c>
      <c r="AV18" s="34">
        <v>16.730788078107</v>
      </c>
      <c r="AW18" s="32">
        <f t="shared" si="11"/>
        <v>2.6037735737704901</v>
      </c>
      <c r="AX18" s="32">
        <f t="shared" si="12"/>
        <v>2.3433962163934412</v>
      </c>
      <c r="AY18" s="35">
        <f t="shared" si="13"/>
        <v>250000</v>
      </c>
      <c r="AZ18" s="32">
        <f t="shared" si="0"/>
        <v>1.1161762459016391</v>
      </c>
      <c r="BA18" s="32">
        <f t="shared" si="1"/>
        <v>266584.4081817214</v>
      </c>
      <c r="BB18" s="32">
        <f t="shared" si="2"/>
        <v>266584.4081817214</v>
      </c>
      <c r="BC18" s="32">
        <v>353.9</v>
      </c>
      <c r="BD18" s="32"/>
      <c r="BE18" s="32">
        <v>550</v>
      </c>
      <c r="BF18" s="32">
        <v>500</v>
      </c>
      <c r="BG18" s="32">
        <v>530</v>
      </c>
      <c r="BH18" s="32"/>
      <c r="BI18" s="32"/>
      <c r="BJ18" s="32"/>
      <c r="BK18" s="32"/>
      <c r="BL18" s="32"/>
      <c r="BM18" s="32"/>
      <c r="BN18" s="28"/>
      <c r="BO18" s="28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</row>
    <row r="19" spans="1:80" s="28" customFormat="1" ht="14.4">
      <c r="A19" s="2">
        <v>17</v>
      </c>
      <c r="B19" s="32">
        <v>0.47243055555555602</v>
      </c>
      <c r="C19" s="32">
        <v>32.675117666666701</v>
      </c>
      <c r="D19" s="32">
        <v>930.90965780246893</v>
      </c>
      <c r="E19" s="32">
        <v>895.97095301234492</v>
      </c>
      <c r="F19" s="28">
        <f t="shared" si="5"/>
        <v>913.44030540740687</v>
      </c>
      <c r="G19" s="32">
        <v>306.80253833333325</v>
      </c>
      <c r="H19" s="32">
        <v>304.86038601234566</v>
      </c>
      <c r="I19" s="32">
        <v>333.37467927160486</v>
      </c>
      <c r="J19" s="32">
        <v>813.27436704938293</v>
      </c>
      <c r="K19" s="32">
        <v>313.25971446913576</v>
      </c>
      <c r="L19" s="32">
        <v>303.97068053086417</v>
      </c>
      <c r="M19" s="32">
        <v>312.53625154320986</v>
      </c>
      <c r="N19" s="32">
        <v>414.23832782715999</v>
      </c>
      <c r="O19" s="32">
        <v>359.11315429629627</v>
      </c>
      <c r="P19" s="32">
        <v>26.0817282839506</v>
      </c>
      <c r="Q19" s="32">
        <v>1.46461160493827</v>
      </c>
      <c r="R19" s="32">
        <v>1598.5223451975301</v>
      </c>
      <c r="S19" s="32">
        <f t="shared" si="6"/>
        <v>167.3968685423896</v>
      </c>
      <c r="T19" s="32">
        <v>1557.5643262962999</v>
      </c>
      <c r="U19" s="32">
        <v>17.387902382716</v>
      </c>
      <c r="V19" s="32">
        <v>1.5462592345679</v>
      </c>
      <c r="W19" s="32">
        <v>9.2663765432098796E-2</v>
      </c>
      <c r="X19" s="32">
        <v>13.063528358024699</v>
      </c>
      <c r="Y19" s="32">
        <v>60.099861320987699</v>
      </c>
      <c r="Z19" s="32">
        <v>1039.54454077778</v>
      </c>
      <c r="AA19" s="32">
        <v>-2.7536209876543202E-2</v>
      </c>
      <c r="AB19" s="32">
        <v>10.138114777777799</v>
      </c>
      <c r="AC19" s="32">
        <v>8.0550062962963001</v>
      </c>
      <c r="AD19" s="32">
        <v>51.629967197530902</v>
      </c>
      <c r="AE19" s="32">
        <v>-250.10426403703701</v>
      </c>
      <c r="AF19" s="32">
        <v>-20.4286035802469</v>
      </c>
      <c r="AG19" s="32">
        <v>306.34999999999997</v>
      </c>
      <c r="AH19" s="32">
        <v>994.1</v>
      </c>
      <c r="AI19" s="32">
        <v>37.700000000000003</v>
      </c>
      <c r="AJ19" s="32">
        <v>204.548343909311</v>
      </c>
      <c r="AK19" s="32">
        <v>7.8372215194376098</v>
      </c>
      <c r="AL19" s="32">
        <v>0.34215245354194102</v>
      </c>
      <c r="AM19" s="28">
        <f t="shared" si="7"/>
        <v>4.2808591893616736E-3</v>
      </c>
      <c r="AN19" s="28">
        <f t="shared" si="8"/>
        <v>2.1479937528303679</v>
      </c>
      <c r="AO19" s="32">
        <v>0.35696694637201498</v>
      </c>
      <c r="AP19" s="32">
        <v>0.35807600316919802</v>
      </c>
      <c r="AQ19" s="32">
        <v>53332.174188266697</v>
      </c>
      <c r="AR19" s="32">
        <f t="shared" si="9"/>
        <v>1.4814492830074083E-2</v>
      </c>
      <c r="AS19" s="32">
        <f t="shared" si="10"/>
        <v>0.72163215922782231</v>
      </c>
      <c r="AT19" s="32">
        <v>0.18535233961016001</v>
      </c>
      <c r="AU19" s="32">
        <v>130.25885</v>
      </c>
      <c r="AV19" s="34">
        <v>18.394129784520601</v>
      </c>
      <c r="AW19" s="32">
        <f t="shared" si="11"/>
        <v>2.5403592345678998</v>
      </c>
      <c r="AX19" s="32">
        <f t="shared" si="12"/>
        <v>2.2863233111111101</v>
      </c>
      <c r="AY19" s="35">
        <f t="shared" si="13"/>
        <v>250000</v>
      </c>
      <c r="AZ19" s="32">
        <f t="shared" si="0"/>
        <v>1.0867637654320987</v>
      </c>
      <c r="BA19" s="32">
        <f t="shared" si="1"/>
        <v>260731.39077533732</v>
      </c>
      <c r="BB19" s="32">
        <f t="shared" si="2"/>
        <v>260731.39077533732</v>
      </c>
      <c r="BC19" s="32">
        <v>353.6</v>
      </c>
      <c r="BD19" s="32"/>
      <c r="BE19" s="32">
        <v>550</v>
      </c>
      <c r="BF19" s="32">
        <v>500</v>
      </c>
      <c r="BG19" s="32">
        <v>530</v>
      </c>
      <c r="BH19" s="32"/>
      <c r="BI19" s="32"/>
      <c r="BK19" s="32"/>
      <c r="BL19" s="32"/>
      <c r="BM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</row>
    <row r="20" spans="1:80" ht="14.4">
      <c r="A20" s="2">
        <v>18</v>
      </c>
      <c r="B20" s="32">
        <v>0.48923032407407402</v>
      </c>
      <c r="C20" s="32">
        <v>32.674301109756101</v>
      </c>
      <c r="D20" s="32">
        <v>921.23104806097592</v>
      </c>
      <c r="E20" s="32">
        <v>901.56611086585303</v>
      </c>
      <c r="F20" s="28">
        <f t="shared" si="5"/>
        <v>911.39857946341453</v>
      </c>
      <c r="G20" s="32">
        <v>307.22092662195121</v>
      </c>
      <c r="H20" s="32">
        <v>304.47278568292677</v>
      </c>
      <c r="I20" s="32">
        <v>329.34211242682926</v>
      </c>
      <c r="J20" s="32">
        <v>838.94311834146299</v>
      </c>
      <c r="K20" s="32">
        <v>313.15253164634146</v>
      </c>
      <c r="L20" s="32">
        <v>303.70210493902437</v>
      </c>
      <c r="M20" s="32">
        <v>309.920086195122</v>
      </c>
      <c r="N20" s="32">
        <v>392.45119406097598</v>
      </c>
      <c r="O20" s="32">
        <v>358.51829781707318</v>
      </c>
      <c r="P20" s="32">
        <v>24.791271243902401</v>
      </c>
      <c r="Q20" s="32">
        <v>1.5752714878048799</v>
      </c>
      <c r="R20" s="32">
        <v>1400.3606147804901</v>
      </c>
      <c r="S20" s="32">
        <f t="shared" si="6"/>
        <v>146.64542065902913</v>
      </c>
      <c r="T20" s="32">
        <v>1548.9880704146301</v>
      </c>
      <c r="U20" s="32">
        <v>14.998779853658499</v>
      </c>
      <c r="V20" s="32">
        <v>1.3102544878048801</v>
      </c>
      <c r="W20" s="32">
        <v>6.3037682926829305E-2</v>
      </c>
      <c r="X20" s="32">
        <v>10.3963266829268</v>
      </c>
      <c r="Y20" s="32">
        <v>60.077238560975601</v>
      </c>
      <c r="Z20" s="32">
        <v>1155.90557815854</v>
      </c>
      <c r="AA20" s="32">
        <v>-2.0220195121951199E-2</v>
      </c>
      <c r="AB20" s="32">
        <v>10.3694287560976</v>
      </c>
      <c r="AC20" s="32">
        <v>7.0784185975609804</v>
      </c>
      <c r="AD20" s="32">
        <v>92.896318329268297</v>
      </c>
      <c r="AE20" s="32">
        <v>-250.084961182927</v>
      </c>
      <c r="AF20" s="32">
        <v>-20.427040975609799</v>
      </c>
      <c r="AG20" s="32">
        <v>313.45</v>
      </c>
      <c r="AH20" s="32">
        <v>994.3</v>
      </c>
      <c r="AI20" s="32">
        <v>51.4</v>
      </c>
      <c r="AJ20" s="32">
        <v>202.52630887090501</v>
      </c>
      <c r="AK20" s="32">
        <v>8.9705567218154503</v>
      </c>
      <c r="AL20" s="32">
        <v>0.30695164811259301</v>
      </c>
      <c r="AM20" s="28">
        <f t="shared" si="7"/>
        <v>4.3838943322568151E-3</v>
      </c>
      <c r="AN20" s="28">
        <f t="shared" si="8"/>
        <v>2.2506737110077326</v>
      </c>
      <c r="AO20" s="32">
        <v>0.31973060854791002</v>
      </c>
      <c r="AP20" s="32">
        <v>0.32155417964798699</v>
      </c>
      <c r="AQ20" s="32">
        <v>46004.257567141503</v>
      </c>
      <c r="AR20" s="32">
        <f t="shared" si="9"/>
        <v>1.2778960435317085E-2</v>
      </c>
      <c r="AS20" s="32">
        <f t="shared" si="10"/>
        <v>0.69386392036516187</v>
      </c>
      <c r="AT20" s="32">
        <v>0.18250956647078001</v>
      </c>
      <c r="AU20" s="32">
        <v>128.60759999999999</v>
      </c>
      <c r="AV20" s="34">
        <v>18.292848083926099</v>
      </c>
      <c r="AW20" s="32">
        <f t="shared" si="11"/>
        <v>2.30455448780488</v>
      </c>
      <c r="AX20" s="32">
        <f t="shared" si="12"/>
        <v>2.0740990390243921</v>
      </c>
      <c r="AY20" s="35">
        <f t="shared" si="13"/>
        <v>200000</v>
      </c>
      <c r="AZ20" s="32">
        <f t="shared" si="0"/>
        <v>1.0573376829268293</v>
      </c>
      <c r="BA20" s="32">
        <f t="shared" si="1"/>
        <v>227152.00718177127</v>
      </c>
      <c r="BB20" s="32">
        <f t="shared" si="2"/>
        <v>227152.00718177127</v>
      </c>
      <c r="BC20" s="32">
        <v>355.6</v>
      </c>
      <c r="BD20" s="32"/>
      <c r="BE20" s="32">
        <v>550</v>
      </c>
      <c r="BF20" s="32">
        <v>500</v>
      </c>
      <c r="BG20" s="32">
        <v>530</v>
      </c>
      <c r="BH20" s="32"/>
      <c r="BI20" s="32"/>
      <c r="BK20" s="32"/>
      <c r="BL20" s="32"/>
      <c r="BM20" s="32"/>
      <c r="BN20" s="28"/>
      <c r="BO20" s="28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</row>
    <row r="21" spans="1:80" ht="14.4">
      <c r="A21" s="2">
        <v>19</v>
      </c>
      <c r="B21" s="32">
        <v>0.50218750000000001</v>
      </c>
      <c r="C21" s="32">
        <v>32.670157807228897</v>
      </c>
      <c r="D21" s="32">
        <v>969.96246618072303</v>
      </c>
      <c r="E21" s="32">
        <v>945.63290724096396</v>
      </c>
      <c r="F21" s="28">
        <f t="shared" si="5"/>
        <v>957.79768671084344</v>
      </c>
      <c r="G21" s="32">
        <v>306.67583921686747</v>
      </c>
      <c r="H21" s="32">
        <v>304.39395808433738</v>
      </c>
      <c r="I21" s="32">
        <v>327.27515783132526</v>
      </c>
      <c r="J21" s="32">
        <v>909.01384821686793</v>
      </c>
      <c r="K21" s="32">
        <v>312.41587789156625</v>
      </c>
      <c r="L21" s="32">
        <v>302.89895104819277</v>
      </c>
      <c r="M21" s="32">
        <v>307.25791487951807</v>
      </c>
      <c r="N21" s="32">
        <v>370.67482943373489</v>
      </c>
      <c r="O21" s="32">
        <v>357.63590745783137</v>
      </c>
      <c r="P21" s="32">
        <v>23.340047734939802</v>
      </c>
      <c r="Q21" s="32">
        <v>1.71996430120482</v>
      </c>
      <c r="R21" s="32">
        <v>1198.96357746988</v>
      </c>
      <c r="S21" s="32">
        <f t="shared" si="6"/>
        <v>125.55517223003706</v>
      </c>
      <c r="T21" s="32">
        <v>1562.7124668433701</v>
      </c>
      <c r="U21" s="32">
        <v>13.2693134819277</v>
      </c>
      <c r="V21" s="32">
        <v>1.07021965060241</v>
      </c>
      <c r="W21" s="32">
        <v>4.41563253012048E-2</v>
      </c>
      <c r="X21" s="32">
        <v>7.9148267590361403</v>
      </c>
      <c r="Y21" s="32">
        <v>59.859736433735002</v>
      </c>
      <c r="Z21" s="32">
        <v>1213.60228722892</v>
      </c>
      <c r="AA21" s="32">
        <v>-1.4776891566265099E-2</v>
      </c>
      <c r="AB21" s="32">
        <v>12.0964891204819</v>
      </c>
      <c r="AC21" s="32">
        <v>5.0420196867469897</v>
      </c>
      <c r="AD21" s="32">
        <v>455.42653565060198</v>
      </c>
      <c r="AE21" s="32">
        <v>-250.05760824096399</v>
      </c>
      <c r="AF21" s="32">
        <v>-20.425206686747</v>
      </c>
      <c r="AG21" s="32">
        <v>306.95</v>
      </c>
      <c r="AH21" s="32">
        <v>994.7</v>
      </c>
      <c r="AI21" s="32">
        <v>41.7</v>
      </c>
      <c r="AJ21" s="32">
        <v>207.43253021548</v>
      </c>
      <c r="AK21" s="32">
        <v>9.5272937071187993</v>
      </c>
      <c r="AL21" s="32">
        <v>0.26827472646133299</v>
      </c>
      <c r="AM21" s="28">
        <f t="shared" si="7"/>
        <v>4.4751105288362691E-3</v>
      </c>
      <c r="AN21" s="28">
        <f t="shared" si="8"/>
        <v>2.2498604969902929</v>
      </c>
      <c r="AO21" s="32">
        <v>0.27958018154793501</v>
      </c>
      <c r="AP21" s="32">
        <v>0.28309707392400202</v>
      </c>
      <c r="AQ21" s="32">
        <v>40699.6383117687</v>
      </c>
      <c r="AR21" s="32">
        <f t="shared" si="9"/>
        <v>1.1305455086602417E-2</v>
      </c>
      <c r="AS21" s="32">
        <f t="shared" si="10"/>
        <v>0.70235558126841147</v>
      </c>
      <c r="AT21" s="32">
        <v>0.18858713140327099</v>
      </c>
      <c r="AU21" s="32">
        <v>118.84175</v>
      </c>
      <c r="AV21" s="34">
        <v>18.454926994480498</v>
      </c>
      <c r="AW21" s="32">
        <f t="shared" si="11"/>
        <v>2.0649196506024099</v>
      </c>
      <c r="AX21" s="32">
        <f t="shared" si="12"/>
        <v>1.8584276855421689</v>
      </c>
      <c r="AY21" s="35">
        <f t="shared" si="13"/>
        <v>200000</v>
      </c>
      <c r="AZ21" s="32">
        <f t="shared" si="0"/>
        <v>1.0388563253012049</v>
      </c>
      <c r="BA21" s="32">
        <f t="shared" si="1"/>
        <v>196206.63292054541</v>
      </c>
      <c r="BB21" s="32">
        <f t="shared" si="2"/>
        <v>196206.63292054541</v>
      </c>
      <c r="BC21" s="32">
        <v>356.4</v>
      </c>
      <c r="BD21" s="32"/>
      <c r="BE21" s="32">
        <v>550</v>
      </c>
      <c r="BF21" s="32">
        <v>500</v>
      </c>
      <c r="BG21" s="32">
        <v>530</v>
      </c>
      <c r="BH21" s="32"/>
      <c r="BI21" s="32"/>
      <c r="BJ21" s="32"/>
      <c r="BK21" s="32"/>
      <c r="BL21" s="32"/>
      <c r="BM21" s="32"/>
      <c r="BN21" s="28"/>
      <c r="BO21" s="28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</row>
    <row r="22" spans="1:80" ht="14.4">
      <c r="A22" s="2">
        <v>20</v>
      </c>
      <c r="B22" s="32">
        <v>0.51637152777777795</v>
      </c>
      <c r="C22" s="32">
        <v>33.852034048780503</v>
      </c>
      <c r="D22" s="32">
        <v>935.98554668292695</v>
      </c>
      <c r="E22" s="32">
        <v>910.24578945121903</v>
      </c>
      <c r="F22" s="28">
        <f t="shared" si="5"/>
        <v>923.11566806707299</v>
      </c>
      <c r="G22" s="32">
        <v>306.37384997560969</v>
      </c>
      <c r="H22" s="32">
        <v>303.9197912804878</v>
      </c>
      <c r="I22" s="32">
        <v>320.3771888780488</v>
      </c>
      <c r="J22" s="32">
        <v>919.32134062195098</v>
      </c>
      <c r="K22" s="32">
        <v>312.81254239024389</v>
      </c>
      <c r="L22" s="32">
        <v>302.6917241585366</v>
      </c>
      <c r="M22" s="32">
        <v>304.47401335365851</v>
      </c>
      <c r="N22" s="32">
        <v>332.04313740243896</v>
      </c>
      <c r="O22" s="32">
        <v>356.62472718292679</v>
      </c>
      <c r="P22" s="32">
        <v>23.0282319512195</v>
      </c>
      <c r="Q22" s="32">
        <v>1.7906675000000001</v>
      </c>
      <c r="R22" s="32">
        <v>999.006887780488</v>
      </c>
      <c r="S22" s="32">
        <f t="shared" si="6"/>
        <v>104.61575665122614</v>
      </c>
      <c r="T22" s="32">
        <v>1222.3408789756099</v>
      </c>
      <c r="U22" s="32">
        <v>8.9887270121951293</v>
      </c>
      <c r="V22" s="32">
        <v>0.569747</v>
      </c>
      <c r="W22" s="32">
        <v>1.49097926829268E-2</v>
      </c>
      <c r="X22" s="32">
        <v>4.9457860975609798</v>
      </c>
      <c r="Y22" s="32">
        <v>59.335706207317102</v>
      </c>
      <c r="Z22" s="32">
        <v>1212.00254231707</v>
      </c>
      <c r="AA22" s="32">
        <v>-9.1598292682926793E-3</v>
      </c>
      <c r="AB22" s="32">
        <v>12.316390487804901</v>
      </c>
      <c r="AC22" s="32">
        <v>4.4713389268292696</v>
      </c>
      <c r="AD22" s="32">
        <v>2087.85046885366</v>
      </c>
      <c r="AE22" s="32">
        <v>-250.03364756097599</v>
      </c>
      <c r="AF22" s="32">
        <v>-20.423972695122</v>
      </c>
      <c r="AG22" s="32">
        <v>313.54999999999995</v>
      </c>
      <c r="AH22" s="32">
        <v>994.9</v>
      </c>
      <c r="AI22" s="32">
        <v>53.3</v>
      </c>
      <c r="AJ22" s="32">
        <v>215.60103924952699</v>
      </c>
      <c r="AK22" s="32">
        <v>11.6467794266444</v>
      </c>
      <c r="AL22" s="32">
        <v>0.214072480045818</v>
      </c>
      <c r="AM22" s="28">
        <f t="shared" si="7"/>
        <v>4.2857057877033616E-3</v>
      </c>
      <c r="AN22" s="28">
        <f t="shared" si="8"/>
        <v>2.2009660578930172</v>
      </c>
      <c r="AO22" s="32">
        <v>0.221730875460208</v>
      </c>
      <c r="AP22" s="32">
        <v>0.226270160358507</v>
      </c>
      <c r="AQ22" s="32">
        <v>27570.2234918049</v>
      </c>
      <c r="AR22" s="32">
        <f t="shared" si="9"/>
        <v>7.6583954143902497E-3</v>
      </c>
      <c r="AS22" s="32">
        <f t="shared" si="10"/>
        <v>0.59624629726274025</v>
      </c>
      <c r="AT22" s="32">
        <v>0.15332017242453699</v>
      </c>
      <c r="AU22" s="32">
        <v>104.4314</v>
      </c>
      <c r="AV22" s="34">
        <v>14.4352925842019</v>
      </c>
      <c r="AW22" s="32">
        <f t="shared" si="11"/>
        <v>1.5646469999999999</v>
      </c>
      <c r="AX22" s="32">
        <f t="shared" si="12"/>
        <v>1.4081823</v>
      </c>
      <c r="AY22" s="35">
        <f t="shared" si="13"/>
        <v>150000</v>
      </c>
      <c r="AZ22" s="32">
        <f t="shared" si="0"/>
        <v>1.0098097926829268</v>
      </c>
      <c r="BA22" s="32">
        <f t="shared" si="1"/>
        <v>127876.11593975825</v>
      </c>
      <c r="BB22" s="32">
        <f t="shared" si="2"/>
        <v>127876.11593975827</v>
      </c>
      <c r="BC22" s="32">
        <v>358.4</v>
      </c>
      <c r="BD22" s="32"/>
      <c r="BE22" s="32">
        <v>550</v>
      </c>
      <c r="BF22" s="32">
        <v>500</v>
      </c>
      <c r="BG22" s="32">
        <v>530</v>
      </c>
      <c r="BH22" s="32"/>
      <c r="BI22" s="32"/>
      <c r="BJ22" s="32"/>
      <c r="BK22" s="32"/>
      <c r="BL22" s="32"/>
      <c r="BM22" s="32"/>
      <c r="BN22" s="28"/>
      <c r="BO22" s="28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</row>
    <row r="23" spans="1:80">
      <c r="V23" s="2" t="s">
        <v>295</v>
      </c>
      <c r="W23" s="2" t="s">
        <v>296</v>
      </c>
      <c r="X23" s="2" t="s">
        <v>297</v>
      </c>
      <c r="Y23" s="2" t="s">
        <v>298</v>
      </c>
      <c r="Z23" s="2" t="s">
        <v>299</v>
      </c>
      <c r="AA23" s="2" t="s">
        <v>301</v>
      </c>
      <c r="AB23" s="2" t="s">
        <v>300</v>
      </c>
      <c r="AH23" s="2">
        <v>273.14999999999998</v>
      </c>
    </row>
    <row r="24" spans="1:80">
      <c r="X24" s="2" t="s">
        <v>302</v>
      </c>
      <c r="AA24" s="2">
        <v>1</v>
      </c>
      <c r="AB24" s="2">
        <v>0</v>
      </c>
    </row>
    <row r="25" spans="1:80">
      <c r="D25" s="2">
        <v>273.14999999999998</v>
      </c>
      <c r="I25" s="2">
        <f>1800/30*PI()</f>
        <v>188.49555921538757</v>
      </c>
      <c r="U25" s="2">
        <v>1</v>
      </c>
      <c r="V25" s="28">
        <f t="shared" ref="V25:V44" si="24">(V3+AH3/1000)*100000</f>
        <v>108670.49342553999</v>
      </c>
      <c r="W25" s="2">
        <f>V25*X25</f>
        <v>102824.74452978959</v>
      </c>
      <c r="X25" s="2">
        <f t="shared" ref="X25:X44" si="25">0.95+(V25-100000)/(260000-100000)*(-0.07)</f>
        <v>0.94620665912632618</v>
      </c>
      <c r="Y25" s="2">
        <v>665.59542618346541</v>
      </c>
      <c r="Z25" s="28">
        <v>0.15767956125669599</v>
      </c>
      <c r="AA25" s="28">
        <f>W25/100000</f>
        <v>1.0282474452978958</v>
      </c>
      <c r="AB25" s="31">
        <f>Z25/(W25/1000)*SQRT(Y25)</f>
        <v>3.9562427194286279E-2</v>
      </c>
    </row>
    <row r="26" spans="1:80">
      <c r="U26" s="2">
        <v>2</v>
      </c>
      <c r="V26" s="28">
        <f t="shared" si="24"/>
        <v>118650.2580783133</v>
      </c>
      <c r="W26" s="2">
        <f t="shared" ref="W26:W44" si="26">V26*X26</f>
        <v>111749.61982817682</v>
      </c>
      <c r="X26" s="2">
        <f t="shared" si="25"/>
        <v>0.94184051209073794</v>
      </c>
      <c r="Y26" s="2">
        <v>855.85094985777141</v>
      </c>
      <c r="Z26" s="32">
        <v>0.17010676835114899</v>
      </c>
      <c r="AA26" s="28">
        <f t="shared" ref="AA26:AA44" si="27">W26/100000</f>
        <v>1.1174961982817682</v>
      </c>
      <c r="AB26" s="31">
        <f t="shared" ref="AB26:AB44" si="28">Z26/(W26/1000)*SQRT(Y26)</f>
        <v>4.4532246893049694E-2</v>
      </c>
    </row>
    <row r="27" spans="1:80">
      <c r="U27" s="2">
        <v>3</v>
      </c>
      <c r="V27" s="28">
        <f t="shared" si="24"/>
        <v>128982.52465504721</v>
      </c>
      <c r="W27" s="2">
        <f t="shared" si="26"/>
        <v>120897.91877190759</v>
      </c>
      <c r="X27" s="2">
        <f t="shared" si="25"/>
        <v>0.9373201454634168</v>
      </c>
      <c r="Y27" s="2">
        <v>670.42271067142292</v>
      </c>
      <c r="Z27" s="32">
        <v>0.23554849686853299</v>
      </c>
      <c r="AA27" s="28">
        <f t="shared" si="27"/>
        <v>1.2089791877190759</v>
      </c>
      <c r="AB27" s="31">
        <f t="shared" si="28"/>
        <v>5.0447061190997795E-2</v>
      </c>
    </row>
    <row r="28" spans="1:80">
      <c r="U28" s="2">
        <v>4</v>
      </c>
      <c r="V28" s="28">
        <f t="shared" si="24"/>
        <v>147808.14656319289</v>
      </c>
      <c r="W28" s="2">
        <f t="shared" si="26"/>
        <v>137326.17456385266</v>
      </c>
      <c r="X28" s="2">
        <f t="shared" si="25"/>
        <v>0.92908393587860305</v>
      </c>
      <c r="Y28" s="2">
        <v>687.37802482323991</v>
      </c>
      <c r="Z28" s="32">
        <v>0.286740232707968</v>
      </c>
      <c r="AA28" s="28">
        <f t="shared" si="27"/>
        <v>1.3732617456385265</v>
      </c>
      <c r="AB28" s="31">
        <f t="shared" si="28"/>
        <v>5.4743572180163375E-2</v>
      </c>
    </row>
    <row r="29" spans="1:80">
      <c r="U29" s="2">
        <v>5</v>
      </c>
      <c r="V29" s="28">
        <f t="shared" si="24"/>
        <v>170818.82502204587</v>
      </c>
      <c r="W29" s="2">
        <f t="shared" si="26"/>
        <v>156985.36381107144</v>
      </c>
      <c r="X29" s="2">
        <f t="shared" si="25"/>
        <v>0.91901676405285493</v>
      </c>
      <c r="Y29" s="2">
        <v>766.41003787974</v>
      </c>
      <c r="Z29" s="32">
        <v>0.29398528823275299</v>
      </c>
      <c r="AA29" s="28">
        <f t="shared" si="27"/>
        <v>1.5698536381107144</v>
      </c>
      <c r="AB29" s="31">
        <f t="shared" si="28"/>
        <v>5.1843823815622893E-2</v>
      </c>
    </row>
    <row r="30" spans="1:80">
      <c r="U30" s="2">
        <v>6</v>
      </c>
      <c r="V30" s="28">
        <f t="shared" si="24"/>
        <v>142949.99542868751</v>
      </c>
      <c r="W30" s="2">
        <f t="shared" si="26"/>
        <v>133116.37618529369</v>
      </c>
      <c r="X30" s="2">
        <f t="shared" si="25"/>
        <v>0.93120937699994921</v>
      </c>
      <c r="Y30" s="2">
        <v>726.64025404411291</v>
      </c>
      <c r="Z30" s="32">
        <v>0.251061542473418</v>
      </c>
      <c r="AA30" s="28">
        <f t="shared" si="27"/>
        <v>1.3311637618529368</v>
      </c>
      <c r="AB30" s="31">
        <f t="shared" si="28"/>
        <v>5.0840338430879185E-2</v>
      </c>
    </row>
    <row r="31" spans="1:80">
      <c r="U31" s="2">
        <v>7</v>
      </c>
      <c r="V31" s="28">
        <f t="shared" si="24"/>
        <v>144104.52867821549</v>
      </c>
      <c r="W31" s="2">
        <f t="shared" si="26"/>
        <v>134118.6999802895</v>
      </c>
      <c r="X31" s="2">
        <f t="shared" si="25"/>
        <v>0.93070426870328071</v>
      </c>
      <c r="Y31" s="2">
        <v>797.1200361346705</v>
      </c>
      <c r="Z31" s="32">
        <v>0.234131531045462</v>
      </c>
      <c r="AA31" s="28">
        <f t="shared" si="27"/>
        <v>1.3411869998028949</v>
      </c>
      <c r="AB31" s="31">
        <f t="shared" si="28"/>
        <v>4.9287005492695588E-2</v>
      </c>
    </row>
    <row r="32" spans="1:80">
      <c r="U32" s="2">
        <v>8</v>
      </c>
      <c r="V32" s="28">
        <f t="shared" si="24"/>
        <v>142067.70017507</v>
      </c>
      <c r="W32" s="2">
        <f t="shared" si="26"/>
        <v>132349.61329702361</v>
      </c>
      <c r="X32" s="2">
        <f t="shared" si="25"/>
        <v>0.93159538117340679</v>
      </c>
      <c r="Y32" s="2">
        <v>885.48087253382346</v>
      </c>
      <c r="Z32" s="32">
        <v>0.213589762069505</v>
      </c>
      <c r="AA32" s="28">
        <f t="shared" si="27"/>
        <v>1.3234961329702362</v>
      </c>
      <c r="AB32" s="31">
        <f t="shared" si="28"/>
        <v>4.8022785530279805E-2</v>
      </c>
    </row>
    <row r="33" spans="21:28">
      <c r="U33" s="2">
        <v>9</v>
      </c>
      <c r="V33" s="28">
        <f t="shared" si="24"/>
        <v>209695.28018077597</v>
      </c>
      <c r="W33" s="2">
        <f t="shared" si="26"/>
        <v>189146.88632272993</v>
      </c>
      <c r="X33" s="2">
        <f t="shared" si="25"/>
        <v>0.90200831492091049</v>
      </c>
      <c r="Y33" s="2">
        <v>822.30553502447094</v>
      </c>
      <c r="Z33" s="32">
        <v>0.34756071124986698</v>
      </c>
      <c r="AA33" s="28">
        <f t="shared" si="27"/>
        <v>1.8914688632272993</v>
      </c>
      <c r="AB33" s="31">
        <f t="shared" si="28"/>
        <v>5.2692413056153325E-2</v>
      </c>
    </row>
    <row r="34" spans="21:28">
      <c r="U34" s="2">
        <v>10</v>
      </c>
      <c r="V34" s="28">
        <f t="shared" si="24"/>
        <v>210545.53344541098</v>
      </c>
      <c r="W34" s="2">
        <f t="shared" si="26"/>
        <v>189835.50188783411</v>
      </c>
      <c r="X34" s="2">
        <f t="shared" si="25"/>
        <v>0.9016363291176327</v>
      </c>
      <c r="Y34" s="2">
        <v>845.55082318990651</v>
      </c>
      <c r="Z34" s="32">
        <v>0.32990648983335702</v>
      </c>
      <c r="AA34" s="28">
        <f t="shared" si="27"/>
        <v>1.8983550188783411</v>
      </c>
      <c r="AB34" s="31">
        <f t="shared" si="28"/>
        <v>5.0533954208883729E-2</v>
      </c>
    </row>
    <row r="35" spans="21:28">
      <c r="U35" s="2">
        <v>11</v>
      </c>
      <c r="V35" s="28">
        <f t="shared" si="24"/>
        <v>124318.69318181821</v>
      </c>
      <c r="W35" s="2">
        <f t="shared" si="26"/>
        <v>116780.0787043665</v>
      </c>
      <c r="X35" s="2">
        <f t="shared" si="25"/>
        <v>0.93936057173295451</v>
      </c>
      <c r="Y35" s="2">
        <v>748.09560746590898</v>
      </c>
      <c r="Z35" s="32">
        <v>0.19505239727625201</v>
      </c>
      <c r="AA35" s="28">
        <f t="shared" si="27"/>
        <v>1.1678007870436651</v>
      </c>
      <c r="AB35" s="31">
        <f t="shared" si="28"/>
        <v>4.5683680034475586E-2</v>
      </c>
    </row>
    <row r="36" spans="21:28">
      <c r="U36" s="2">
        <v>12</v>
      </c>
      <c r="V36" s="28">
        <f t="shared" si="24"/>
        <v>121581.8837209302</v>
      </c>
      <c r="W36" s="2">
        <f t="shared" si="26"/>
        <v>114354.80437618009</v>
      </c>
      <c r="X36" s="2">
        <f t="shared" si="25"/>
        <v>0.94055792587209297</v>
      </c>
      <c r="Y36" s="2">
        <v>686.82732891279102</v>
      </c>
      <c r="Z36" s="32">
        <v>0.21153774768432901</v>
      </c>
      <c r="AA36" s="28">
        <f t="shared" si="27"/>
        <v>1.1435480437618009</v>
      </c>
      <c r="AB36" s="31">
        <f t="shared" si="28"/>
        <v>4.8479400914572333E-2</v>
      </c>
    </row>
    <row r="37" spans="21:28">
      <c r="U37" s="2">
        <v>13</v>
      </c>
      <c r="V37" s="28">
        <f t="shared" si="24"/>
        <v>136122.19534883721</v>
      </c>
      <c r="W37" s="2">
        <f t="shared" si="26"/>
        <v>127164.88384877516</v>
      </c>
      <c r="X37" s="2">
        <f t="shared" si="25"/>
        <v>0.93419653953488369</v>
      </c>
      <c r="Y37" s="2">
        <v>670.73610269186099</v>
      </c>
      <c r="Z37" s="32">
        <v>0.26098202992371899</v>
      </c>
      <c r="AA37" s="28">
        <f t="shared" si="27"/>
        <v>1.2716488384877516</v>
      </c>
      <c r="AB37" s="31">
        <f t="shared" si="28"/>
        <v>5.3151955525121995E-2</v>
      </c>
    </row>
    <row r="38" spans="21:28">
      <c r="U38" s="2">
        <v>14</v>
      </c>
      <c r="V38" s="28">
        <f t="shared" si="24"/>
        <v>192352.62558139529</v>
      </c>
      <c r="W38" s="2">
        <f t="shared" si="26"/>
        <v>174963.12617298687</v>
      </c>
      <c r="X38" s="2">
        <f t="shared" si="25"/>
        <v>0.90959572630813956</v>
      </c>
      <c r="Y38" s="2">
        <v>862.35416793604645</v>
      </c>
      <c r="Z38" s="32">
        <v>0.29999678108801597</v>
      </c>
      <c r="AA38" s="28">
        <f t="shared" si="27"/>
        <v>1.7496312617298686</v>
      </c>
      <c r="AB38" s="31">
        <f t="shared" si="28"/>
        <v>5.0351556270388668E-2</v>
      </c>
    </row>
    <row r="39" spans="21:28">
      <c r="U39" s="2">
        <v>15</v>
      </c>
      <c r="V39" s="28">
        <f t="shared" si="24"/>
        <v>186735.3207317073</v>
      </c>
      <c r="W39" s="2">
        <f t="shared" si="26"/>
        <v>170312.56497329567</v>
      </c>
      <c r="X39" s="2">
        <f t="shared" si="25"/>
        <v>0.91205329717987804</v>
      </c>
      <c r="Y39" s="2">
        <v>939.55700139634155</v>
      </c>
      <c r="Z39" s="32">
        <v>0.27454841432054</v>
      </c>
      <c r="AA39" s="28">
        <f t="shared" si="27"/>
        <v>1.7031256497329568</v>
      </c>
      <c r="AB39" s="31">
        <f t="shared" si="28"/>
        <v>4.9412157459391204E-2</v>
      </c>
    </row>
    <row r="40" spans="21:28">
      <c r="U40" s="2">
        <v>16</v>
      </c>
      <c r="V40" s="28">
        <f t="shared" si="24"/>
        <v>260377.35737704902</v>
      </c>
      <c r="W40" s="2">
        <f t="shared" si="26"/>
        <v>229089.08779078067</v>
      </c>
      <c r="X40" s="2">
        <f t="shared" si="25"/>
        <v>0.87983490614754101</v>
      </c>
      <c r="Y40" s="2">
        <v>919.85650941803306</v>
      </c>
      <c r="Z40" s="32">
        <v>0.38234623964234499</v>
      </c>
      <c r="AA40" s="28">
        <f t="shared" si="27"/>
        <v>2.2908908779078065</v>
      </c>
      <c r="AB40" s="31">
        <f t="shared" si="28"/>
        <v>5.0618872038970641E-2</v>
      </c>
    </row>
    <row r="41" spans="21:28">
      <c r="U41" s="2">
        <v>17</v>
      </c>
      <c r="V41" s="28">
        <f t="shared" si="24"/>
        <v>254035.92345678998</v>
      </c>
      <c r="W41" s="2">
        <f t="shared" si="26"/>
        <v>224214.46438232201</v>
      </c>
      <c r="X41" s="2">
        <f t="shared" si="25"/>
        <v>0.88260928348765433</v>
      </c>
      <c r="Y41" s="2">
        <v>913.44030540740687</v>
      </c>
      <c r="Z41" s="32">
        <v>0.35696694637201498</v>
      </c>
      <c r="AA41" s="28">
        <f t="shared" si="27"/>
        <v>2.2421446438232202</v>
      </c>
      <c r="AB41" s="31">
        <f t="shared" si="28"/>
        <v>4.8117656054247088E-2</v>
      </c>
    </row>
    <row r="42" spans="21:28">
      <c r="U42" s="2">
        <v>18</v>
      </c>
      <c r="V42" s="28">
        <f t="shared" si="24"/>
        <v>230455.44878048799</v>
      </c>
      <c r="W42" s="2">
        <f t="shared" si="26"/>
        <v>205779.60240634036</v>
      </c>
      <c r="X42" s="2">
        <f t="shared" si="25"/>
        <v>0.8929257411585364</v>
      </c>
      <c r="Y42" s="2">
        <v>911.39857946341453</v>
      </c>
      <c r="Z42" s="32">
        <v>0.31973060854791002</v>
      </c>
      <c r="AA42" s="28">
        <f t="shared" si="27"/>
        <v>2.0577960240634035</v>
      </c>
      <c r="AB42" s="31">
        <f t="shared" si="28"/>
        <v>4.6906827860488838E-2</v>
      </c>
    </row>
    <row r="43" spans="21:28">
      <c r="U43" s="2">
        <v>19</v>
      </c>
      <c r="V43" s="28">
        <f t="shared" si="24"/>
        <v>206491.965060241</v>
      </c>
      <c r="W43" s="2">
        <f t="shared" si="26"/>
        <v>186546.85768854705</v>
      </c>
      <c r="X43" s="2">
        <f t="shared" si="25"/>
        <v>0.90340976528614447</v>
      </c>
      <c r="Y43" s="2">
        <v>957.79768671084344</v>
      </c>
      <c r="Z43" s="32">
        <v>0.27958018154793501</v>
      </c>
      <c r="AA43" s="28">
        <f t="shared" si="27"/>
        <v>1.8654685768854706</v>
      </c>
      <c r="AB43" s="31">
        <f t="shared" si="28"/>
        <v>4.6382626375992414E-2</v>
      </c>
    </row>
    <row r="44" spans="21:28">
      <c r="U44" s="2">
        <v>20</v>
      </c>
      <c r="V44" s="28">
        <f t="shared" si="24"/>
        <v>156464.69999999998</v>
      </c>
      <c r="W44" s="2">
        <f t="shared" si="26"/>
        <v>144776.26959858561</v>
      </c>
      <c r="X44" s="2">
        <f t="shared" si="25"/>
        <v>0.92529669375000001</v>
      </c>
      <c r="Y44" s="2">
        <v>923.11566806707299</v>
      </c>
      <c r="Z44" s="32">
        <v>0.221730875460208</v>
      </c>
      <c r="AA44" s="28">
        <f t="shared" si="27"/>
        <v>1.4477626959858561</v>
      </c>
      <c r="AB44" s="31">
        <f t="shared" si="28"/>
        <v>4.6532549796001889E-2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8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09375" defaultRowHeight="13.8"/>
  <cols>
    <col min="1" max="19" width="9.109375" style="2"/>
    <col min="20" max="20" width="19.88671875" style="2" bestFit="1" customWidth="1"/>
    <col min="21" max="71" width="9.109375" style="2"/>
    <col min="72" max="72" width="12.5546875" style="2" bestFit="1" customWidth="1"/>
    <col min="73" max="16384" width="9.109375" style="2"/>
  </cols>
  <sheetData>
    <row r="1" spans="1:75">
      <c r="B1" s="2">
        <v>1</v>
      </c>
      <c r="C1" s="2">
        <v>2</v>
      </c>
      <c r="D1" s="2">
        <v>3</v>
      </c>
      <c r="E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M1" s="2">
        <v>36</v>
      </c>
      <c r="BA1" s="2" t="s">
        <v>209</v>
      </c>
      <c r="BB1" s="2" t="s">
        <v>78</v>
      </c>
      <c r="BT1" s="31">
        <v>100000</v>
      </c>
    </row>
    <row r="2" spans="1:75">
      <c r="B2" s="2" t="s">
        <v>160</v>
      </c>
      <c r="C2" s="2" t="s">
        <v>162</v>
      </c>
      <c r="D2" s="2" t="s">
        <v>165</v>
      </c>
      <c r="E2" s="2" t="s">
        <v>166</v>
      </c>
      <c r="F2" s="2" t="s">
        <v>199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167</v>
      </c>
      <c r="L2" s="2" t="s">
        <v>168</v>
      </c>
      <c r="M2" s="2" t="s">
        <v>169</v>
      </c>
      <c r="N2" s="2" t="s">
        <v>186</v>
      </c>
      <c r="O2" s="2" t="s">
        <v>170</v>
      </c>
      <c r="P2" s="2" t="s">
        <v>171</v>
      </c>
      <c r="R2" s="2" t="s">
        <v>76</v>
      </c>
      <c r="T2" s="2" t="s">
        <v>172</v>
      </c>
      <c r="U2" s="2" t="s">
        <v>173</v>
      </c>
      <c r="V2" s="2" t="s">
        <v>174</v>
      </c>
      <c r="W2" s="2" t="s">
        <v>175</v>
      </c>
      <c r="X2" s="2" t="s">
        <v>176</v>
      </c>
      <c r="Y2" s="2" t="s">
        <v>177</v>
      </c>
      <c r="Z2" s="2" t="s">
        <v>179</v>
      </c>
      <c r="AA2" s="2" t="s">
        <v>178</v>
      </c>
      <c r="AB2" s="2" t="s">
        <v>180</v>
      </c>
      <c r="AC2" s="2" t="s">
        <v>181</v>
      </c>
      <c r="AD2" s="2" t="s">
        <v>182</v>
      </c>
      <c r="AG2" s="2" t="s">
        <v>185</v>
      </c>
      <c r="AH2" s="2" t="s">
        <v>183</v>
      </c>
      <c r="AI2" s="2" t="s">
        <v>184</v>
      </c>
      <c r="AJ2" s="2" t="s">
        <v>187</v>
      </c>
      <c r="AK2" s="2" t="s">
        <v>188</v>
      </c>
      <c r="AL2" s="2" t="s">
        <v>189</v>
      </c>
      <c r="AM2" s="2" t="s">
        <v>190</v>
      </c>
      <c r="AN2" s="2" t="s">
        <v>193</v>
      </c>
      <c r="AO2" s="2" t="s">
        <v>191</v>
      </c>
      <c r="AP2" s="2" t="s">
        <v>224</v>
      </c>
      <c r="AQ2" s="2" t="s">
        <v>212</v>
      </c>
      <c r="AR2" s="2" t="s">
        <v>192</v>
      </c>
      <c r="AS2" s="2" t="s">
        <v>194</v>
      </c>
      <c r="AT2" s="2" t="s">
        <v>195</v>
      </c>
      <c r="AU2" s="2" t="s">
        <v>197</v>
      </c>
      <c r="AX2" s="2" t="s">
        <v>198</v>
      </c>
      <c r="AY2" s="2" t="s">
        <v>208</v>
      </c>
      <c r="AZ2" s="2" t="s">
        <v>208</v>
      </c>
      <c r="BA2" s="2" t="s">
        <v>210</v>
      </c>
      <c r="BB2" s="2" t="s">
        <v>227</v>
      </c>
      <c r="BC2" s="2" t="s">
        <v>42</v>
      </c>
      <c r="BD2" s="2" t="s">
        <v>228</v>
      </c>
      <c r="BE2" s="2" t="s">
        <v>217</v>
      </c>
      <c r="BF2" s="2" t="s">
        <v>218</v>
      </c>
      <c r="BG2" s="2" t="s">
        <v>76</v>
      </c>
      <c r="BH2" s="2" t="s">
        <v>216</v>
      </c>
      <c r="BI2" s="2" t="s">
        <v>215</v>
      </c>
      <c r="BJ2" s="2" t="s">
        <v>225</v>
      </c>
      <c r="BK2" s="2" t="s">
        <v>220</v>
      </c>
      <c r="BL2" s="2" t="s">
        <v>195</v>
      </c>
      <c r="BM2" s="2" t="s">
        <v>213</v>
      </c>
      <c r="BN2" s="2" t="s">
        <v>214</v>
      </c>
      <c r="BO2" s="2" t="s">
        <v>223</v>
      </c>
      <c r="BP2" s="2" t="s">
        <v>199</v>
      </c>
      <c r="BQ2" s="2" t="s">
        <v>221</v>
      </c>
      <c r="BR2" s="2" t="s">
        <v>222</v>
      </c>
      <c r="BS2" s="2" t="s">
        <v>211</v>
      </c>
      <c r="BT2" s="2" t="s">
        <v>194</v>
      </c>
      <c r="BU2" s="2" t="s">
        <v>219</v>
      </c>
      <c r="BV2" s="2" t="s">
        <v>212</v>
      </c>
      <c r="BW2" s="2" t="s">
        <v>226</v>
      </c>
    </row>
    <row r="3" spans="1:75" ht="14.4">
      <c r="A3" s="2">
        <v>1</v>
      </c>
      <c r="B3" s="28">
        <v>0.42725115740740799</v>
      </c>
      <c r="C3" s="28">
        <v>33.292933796008597</v>
      </c>
      <c r="D3" s="28">
        <v>408.66166005507102</v>
      </c>
      <c r="E3" s="28">
        <v>376.22919231186</v>
      </c>
      <c r="F3" s="28">
        <f>AVERAGE(D3:E3)</f>
        <v>392.44542618346554</v>
      </c>
      <c r="G3" s="28">
        <v>29.262388346911699</v>
      </c>
      <c r="H3" s="28">
        <v>30.3903759540861</v>
      </c>
      <c r="I3" s="28">
        <v>30.8532393953518</v>
      </c>
      <c r="J3" s="28">
        <v>386.54227183895398</v>
      </c>
      <c r="K3" s="28">
        <v>37.588146633194398</v>
      </c>
      <c r="L3" s="28">
        <v>27.9984502719464</v>
      </c>
      <c r="M3" s="28">
        <v>29.006925059302802</v>
      </c>
      <c r="N3" s="28">
        <v>38.289898859227002</v>
      </c>
      <c r="O3" s="28">
        <v>81.462638130478695</v>
      </c>
      <c r="P3" s="28">
        <v>20.682090443476099</v>
      </c>
      <c r="Q3" s="28">
        <v>1.0871701228369299</v>
      </c>
      <c r="R3" s="28">
        <v>798.91023827144102</v>
      </c>
      <c r="S3" s="28">
        <f>R3*PI()/30</f>
        <v>83.661684514374343</v>
      </c>
      <c r="T3" s="28">
        <v>548.65643980112395</v>
      </c>
      <c r="U3" s="28">
        <v>3.2591800315776198</v>
      </c>
      <c r="V3" s="28">
        <v>9.4654934255399795E-2</v>
      </c>
      <c r="W3" s="28">
        <v>-1.1781463306808099E-3</v>
      </c>
      <c r="X3" s="28">
        <v>2.5207128141972999</v>
      </c>
      <c r="Y3" s="28">
        <v>17.122901585828</v>
      </c>
      <c r="Z3" s="28">
        <v>1347.1905036406499</v>
      </c>
      <c r="AA3" s="28">
        <v>-4.6989438297334797E-2</v>
      </c>
      <c r="AB3" s="28">
        <v>6.8330919196033797</v>
      </c>
      <c r="AC3" s="28">
        <v>10.674684968864501</v>
      </c>
      <c r="AD3" s="28">
        <v>117.198384171277</v>
      </c>
      <c r="AE3" s="28">
        <v>-250.03816323184299</v>
      </c>
      <c r="AF3" s="28">
        <v>-20.4224751576355</v>
      </c>
      <c r="AG3" s="28">
        <v>300.5</v>
      </c>
      <c r="AH3" s="28">
        <v>992.05</v>
      </c>
      <c r="AI3" s="28">
        <v>17.7</v>
      </c>
      <c r="AJ3" s="28">
        <v>217.782691359193</v>
      </c>
      <c r="AK3" s="28">
        <v>26.080648202178399</v>
      </c>
      <c r="AL3" s="28">
        <v>0.154902739869792</v>
      </c>
      <c r="AM3" s="28">
        <v>0.15767956125669599</v>
      </c>
      <c r="AN3" s="28">
        <v>0.15983830835075799</v>
      </c>
      <c r="AO3" s="28">
        <v>9996.5569928548703</v>
      </c>
      <c r="AP3" s="28">
        <f>AO3/3600/1000</f>
        <v>2.7768213869041303E-3</v>
      </c>
      <c r="AQ3" s="28">
        <f>AO3/3600/1000/AL3/0.067</f>
        <v>0.26755559883424396</v>
      </c>
      <c r="AR3" s="28">
        <v>6.9515228467022502E-2</v>
      </c>
      <c r="AS3" s="28">
        <v>76.517399999999995</v>
      </c>
      <c r="AT3" s="29">
        <v>6.47938424784844</v>
      </c>
      <c r="AU3" s="28">
        <f>V3+$AH3/1000</f>
        <v>1.0867049342553998</v>
      </c>
      <c r="AV3" s="28">
        <f>AU3*0.9+0.03</f>
        <v>1.0080344408298598</v>
      </c>
      <c r="AW3" s="33">
        <f>ROUND(AV3*2,0)/2*100000</f>
        <v>100000</v>
      </c>
      <c r="AX3" s="28">
        <f t="shared" ref="AX3:AX9" si="0">W3+$AH3/1000</f>
        <v>0.99087185366931918</v>
      </c>
      <c r="AY3" s="28">
        <f t="shared" ref="AY3:AY9" si="1">R3/30*PI()*T3</f>
        <v>45901.521973421448</v>
      </c>
      <c r="AZ3" s="28">
        <f t="shared" ref="AZ3:AZ9" si="2">T3*S3</f>
        <v>45901.521973421448</v>
      </c>
      <c r="BA3" s="28">
        <v>357.9</v>
      </c>
      <c r="BB3" s="32">
        <v>550</v>
      </c>
      <c r="BC3" s="32">
        <v>500</v>
      </c>
      <c r="BD3" s="32">
        <v>530</v>
      </c>
      <c r="BE3" s="28">
        <v>45902.2689697323</v>
      </c>
      <c r="BF3" s="28">
        <v>51841.502944674699</v>
      </c>
      <c r="BG3" s="28">
        <v>798.92323965021899</v>
      </c>
      <c r="BH3" s="28">
        <v>548.65735422673799</v>
      </c>
      <c r="BI3" s="28">
        <v>619.63803724233605</v>
      </c>
      <c r="BJ3" s="28">
        <f t="shared" ref="BJ3:BJ9" si="3">BH3/BI3</f>
        <v>0.88544815077606664</v>
      </c>
      <c r="BK3" s="28">
        <f>825700.059979517/100000</f>
        <v>8.2570005997951696</v>
      </c>
      <c r="BL3" s="28">
        <f t="shared" ref="BL3:BL9" si="4">BK3*BH3/BI3</f>
        <v>7.3111459120455065</v>
      </c>
      <c r="BM3" s="28">
        <v>7.7864636050330796E-2</v>
      </c>
      <c r="BN3" s="28">
        <v>7.8385015694950697E-2</v>
      </c>
      <c r="BO3" s="28">
        <v>3.49327589158926E-3</v>
      </c>
      <c r="BP3" s="28">
        <v>579.87864884732096</v>
      </c>
      <c r="BQ3" s="28">
        <v>210.32138607066301</v>
      </c>
      <c r="BR3" s="28">
        <f t="shared" ref="BR3:BR9" si="5">BQ3*BI3/BH3</f>
        <v>237.53100154574054</v>
      </c>
      <c r="BS3" s="28">
        <v>28</v>
      </c>
      <c r="BT3" s="28">
        <f>9005246.21274489/100000</f>
        <v>90.052462127448891</v>
      </c>
      <c r="BU3" s="28">
        <v>368.72649447758698</v>
      </c>
      <c r="BV3" s="28">
        <v>0.68243866051440505</v>
      </c>
    </row>
    <row r="4" spans="1:75" ht="14.4">
      <c r="A4" s="2">
        <v>2</v>
      </c>
      <c r="B4" s="32">
        <v>0.52051238425925905</v>
      </c>
      <c r="C4" s="32">
        <v>35.770772204879499</v>
      </c>
      <c r="D4" s="32">
        <v>597.65130345138596</v>
      </c>
      <c r="E4" s="32">
        <v>567.75059626415702</v>
      </c>
      <c r="F4" s="32">
        <f t="shared" ref="F4:F9" si="6">AVERAGE(D4:E4)</f>
        <v>582.70094985777155</v>
      </c>
      <c r="G4" s="32">
        <v>35.787772888313299</v>
      </c>
      <c r="H4" s="32">
        <v>36.869016340301201</v>
      </c>
      <c r="I4" s="32">
        <v>38.334803275361402</v>
      </c>
      <c r="J4" s="32">
        <v>593.85643711367504</v>
      </c>
      <c r="K4" s="32">
        <v>39.197239236506</v>
      </c>
      <c r="L4" s="32">
        <v>28.8898865322892</v>
      </c>
      <c r="M4" s="32">
        <v>29.7798335269277</v>
      </c>
      <c r="N4" s="32">
        <v>45.5513606257229</v>
      </c>
      <c r="O4" s="32">
        <v>82.481394327409703</v>
      </c>
      <c r="P4" s="32">
        <v>12.8542333063253</v>
      </c>
      <c r="Q4" s="32">
        <v>1.5279430743373501</v>
      </c>
      <c r="R4" s="32">
        <v>799.42451451373495</v>
      </c>
      <c r="S4" s="32">
        <f t="shared" ref="S4:S9" si="7">R4*PI()/30</f>
        <v>83.715539396531227</v>
      </c>
      <c r="T4" s="32">
        <v>891.37240642012</v>
      </c>
      <c r="U4" s="32">
        <v>5.5207999892168704</v>
      </c>
      <c r="V4" s="32">
        <v>0.192552580783133</v>
      </c>
      <c r="W4" s="32">
        <v>1.51460221686747E-2</v>
      </c>
      <c r="X4" s="32">
        <v>2.8897873180722899</v>
      </c>
      <c r="Y4" s="32">
        <v>41.123814023373498</v>
      </c>
      <c r="Z4" s="32">
        <v>1580.6103919202999</v>
      </c>
      <c r="AA4" s="32">
        <v>-5.99455924096386E-2</v>
      </c>
      <c r="AB4" s="32">
        <v>12.1254568360843</v>
      </c>
      <c r="AC4" s="32">
        <v>4.33401010704819</v>
      </c>
      <c r="AD4" s="32">
        <v>3889.7705613006001</v>
      </c>
      <c r="AE4" s="32">
        <v>-250.00300944259001</v>
      </c>
      <c r="AF4" s="32">
        <v>-20.4221093537349</v>
      </c>
      <c r="AG4" s="32">
        <v>302.54999999999995</v>
      </c>
      <c r="AH4" s="32">
        <v>993.95</v>
      </c>
      <c r="AI4" s="32">
        <v>24.8</v>
      </c>
      <c r="AJ4" s="32">
        <v>226.92317085369399</v>
      </c>
      <c r="AK4" s="32">
        <v>20.092822099140999</v>
      </c>
      <c r="AL4" s="32">
        <v>0.16540304676033599</v>
      </c>
      <c r="AM4" s="32">
        <v>0.17010676835114899</v>
      </c>
      <c r="AN4" s="32">
        <v>0.17483447404344099</v>
      </c>
      <c r="AO4" s="32">
        <v>16933.397726925999</v>
      </c>
      <c r="AP4" s="32">
        <f t="shared" ref="AP4:AP9" si="8">AO4/3600/1000</f>
        <v>4.7037215908127773E-3</v>
      </c>
      <c r="AQ4" s="28">
        <f t="shared" ref="AQ4:AQ9" si="9">AO4/3600/1000/AL4/0.067</f>
        <v>0.42444683600418742</v>
      </c>
      <c r="AR4" s="32">
        <v>0.117677692025091</v>
      </c>
      <c r="AS4" s="32">
        <v>89.9071</v>
      </c>
      <c r="AT4" s="34">
        <v>10.5267047101804</v>
      </c>
      <c r="AU4" s="32">
        <f t="shared" ref="AU4:AU9" si="10">V4+AH4/1000</f>
        <v>1.1865025807831331</v>
      </c>
      <c r="AV4" s="32">
        <f t="shared" ref="AV4:AV9" si="11">AU4*0.9</f>
        <v>1.0678523227048198</v>
      </c>
      <c r="AW4" s="35">
        <f t="shared" ref="AW4:AW9" si="12">ROUND(AV4*2,0)/2*100000</f>
        <v>100000</v>
      </c>
      <c r="AX4" s="32">
        <f t="shared" si="0"/>
        <v>1.0090960221686747</v>
      </c>
      <c r="AY4" s="32">
        <f t="shared" si="1"/>
        <v>74621.721806644404</v>
      </c>
      <c r="AZ4" s="32">
        <f t="shared" si="2"/>
        <v>74621.721806644404</v>
      </c>
      <c r="BA4" s="28">
        <v>357.9</v>
      </c>
      <c r="BB4" s="28"/>
      <c r="BC4" s="28"/>
      <c r="BD4" s="28"/>
      <c r="BE4" s="32">
        <v>74574.024103617805</v>
      </c>
      <c r="BF4" s="32">
        <v>84282.799118321695</v>
      </c>
      <c r="BG4" s="32">
        <v>798.91352775524501</v>
      </c>
      <c r="BH4" s="32">
        <v>891.38132012612198</v>
      </c>
      <c r="BI4" s="32">
        <v>1007.40190232704</v>
      </c>
      <c r="BJ4" s="32">
        <f t="shared" si="3"/>
        <v>0.88483188096735055</v>
      </c>
      <c r="BK4" s="32">
        <f>1365380.30243111/100000</f>
        <v>13.653803024311101</v>
      </c>
      <c r="BL4" s="32">
        <f t="shared" si="4"/>
        <v>12.081320212358889</v>
      </c>
      <c r="BM4" s="32">
        <v>0.110980134702235</v>
      </c>
      <c r="BN4" s="32">
        <v>0.113673963891428</v>
      </c>
      <c r="BO4" s="32">
        <v>5.1830917042012901E-3</v>
      </c>
      <c r="BP4" s="32">
        <v>370.08712499691302</v>
      </c>
      <c r="BQ4" s="32">
        <v>192.813953988468</v>
      </c>
      <c r="BR4" s="32">
        <f t="shared" si="5"/>
        <v>217.91026988954374</v>
      </c>
      <c r="BS4" s="32">
        <v>1.9928788518565701</v>
      </c>
      <c r="BT4" s="32">
        <v>111.576243529359</v>
      </c>
      <c r="BU4" s="32">
        <v>369.82300680785499</v>
      </c>
      <c r="BV4" s="32">
        <v>0.67406535808765999</v>
      </c>
      <c r="BW4" s="32"/>
    </row>
    <row r="5" spans="1:75" ht="14.4">
      <c r="A5" s="2">
        <v>4</v>
      </c>
      <c r="B5" s="32">
        <v>0.54158557757452597</v>
      </c>
      <c r="C5" s="32">
        <v>36.239717661723901</v>
      </c>
      <c r="D5" s="32">
        <v>431.66523309977799</v>
      </c>
      <c r="E5" s="32">
        <v>396.79081654670199</v>
      </c>
      <c r="F5" s="32">
        <f t="shared" si="6"/>
        <v>414.22802482323999</v>
      </c>
      <c r="G5" s="32">
        <v>33.0633724807373</v>
      </c>
      <c r="H5" s="32">
        <v>32.811683734340399</v>
      </c>
      <c r="I5" s="32">
        <v>39.772540797948999</v>
      </c>
      <c r="J5" s="32">
        <v>372.17218902688501</v>
      </c>
      <c r="K5" s="32">
        <v>41.452322504573203</v>
      </c>
      <c r="L5" s="32">
        <v>28.7665652670455</v>
      </c>
      <c r="M5" s="32">
        <v>35.450210591324797</v>
      </c>
      <c r="N5" s="32">
        <v>71.524584704268307</v>
      </c>
      <c r="O5" s="32">
        <v>-1014499916.87615</v>
      </c>
      <c r="P5" s="32">
        <v>18.855012015798199</v>
      </c>
      <c r="Q5" s="32">
        <v>1.8233827160476701</v>
      </c>
      <c r="R5" s="32">
        <v>1799.203633074</v>
      </c>
      <c r="S5" s="32">
        <f t="shared" si="7"/>
        <v>188.41216386591148</v>
      </c>
      <c r="T5" s="32">
        <v>551.21338566865302</v>
      </c>
      <c r="U5" s="32">
        <v>7.6285137091186304</v>
      </c>
      <c r="V5" s="32">
        <v>0.485531465631929</v>
      </c>
      <c r="W5" s="32">
        <v>2.8068568181818201E-2</v>
      </c>
      <c r="X5" s="32">
        <v>8.6680962199279392</v>
      </c>
      <c r="Y5" s="32">
        <v>23.5611943224778</v>
      </c>
      <c r="Z5" s="32">
        <v>657.426001969097</v>
      </c>
      <c r="AA5" s="32">
        <v>-7.4073688470066498E-2</v>
      </c>
      <c r="AB5" s="32">
        <v>5.96784654891907</v>
      </c>
      <c r="AC5" s="32">
        <v>12.863201097560999</v>
      </c>
      <c r="AD5" s="32">
        <v>90.283758821230606</v>
      </c>
      <c r="AE5" s="32">
        <v>-250.11660729614701</v>
      </c>
      <c r="AF5" s="32">
        <v>-20.429129538248301</v>
      </c>
      <c r="AG5" s="32">
        <v>316.5</v>
      </c>
      <c r="AH5" s="32">
        <v>992.55</v>
      </c>
      <c r="AI5" s="32">
        <v>55.1</v>
      </c>
      <c r="AJ5" s="32">
        <v>225.295923547792</v>
      </c>
      <c r="AK5" s="32">
        <v>10.178784333447799</v>
      </c>
      <c r="AL5" s="32">
        <v>0.280240739027799</v>
      </c>
      <c r="AM5" s="32">
        <v>0.286740232707968</v>
      </c>
      <c r="AN5" s="32">
        <v>0.28806730844073403</v>
      </c>
      <c r="AO5" s="32">
        <v>23398.177248608699</v>
      </c>
      <c r="AP5" s="32">
        <f t="shared" si="8"/>
        <v>6.4994936801690828E-3</v>
      </c>
      <c r="AQ5" s="28">
        <f t="shared" si="9"/>
        <v>0.34615726713134931</v>
      </c>
      <c r="AR5" s="32">
        <v>7.2248561093270602E-2</v>
      </c>
      <c r="AS5" s="32">
        <v>74.965000000000003</v>
      </c>
      <c r="AT5" s="34">
        <v>6.5095806213434297</v>
      </c>
      <c r="AU5" s="32">
        <f t="shared" si="10"/>
        <v>1.478081465631929</v>
      </c>
      <c r="AV5" s="32">
        <f t="shared" si="11"/>
        <v>1.3302733190687361</v>
      </c>
      <c r="AW5" s="35">
        <f t="shared" si="12"/>
        <v>150000</v>
      </c>
      <c r="AX5" s="32">
        <f t="shared" si="0"/>
        <v>1.0206185681818181</v>
      </c>
      <c r="AY5" s="32">
        <f t="shared" si="1"/>
        <v>103855.30674568612</v>
      </c>
      <c r="AZ5" s="32">
        <f t="shared" si="2"/>
        <v>103855.30674568612</v>
      </c>
      <c r="BA5" s="32">
        <v>341.6</v>
      </c>
      <c r="BB5" s="32"/>
      <c r="BC5" s="32"/>
      <c r="BD5" s="32"/>
      <c r="BE5" s="32">
        <v>103855.57317643501</v>
      </c>
      <c r="BF5" s="32">
        <v>103855.57317643501</v>
      </c>
      <c r="BG5" s="32">
        <v>1799.203633074</v>
      </c>
      <c r="BH5" s="32">
        <v>551.21889783377196</v>
      </c>
      <c r="BI5" s="32">
        <v>613.07775347742904</v>
      </c>
      <c r="BJ5" s="32">
        <f t="shared" si="3"/>
        <v>0.89910112495064709</v>
      </c>
      <c r="BK5" s="32">
        <f>769384.03093849/100000</f>
        <v>7.6938403093848997</v>
      </c>
      <c r="BL5" s="32">
        <f t="shared" si="4"/>
        <v>6.9175404773585987</v>
      </c>
      <c r="BM5" s="32">
        <v>0.27552872240360798</v>
      </c>
      <c r="BN5" s="32">
        <v>0.27469452982870401</v>
      </c>
      <c r="BO5" s="32">
        <v>6.4883805415739699E-3</v>
      </c>
      <c r="BP5" s="32">
        <v>403.00483125283898</v>
      </c>
      <c r="BQ5" s="32">
        <v>190.62258377908699</v>
      </c>
      <c r="BR5" s="32">
        <f t="shared" si="5"/>
        <v>212.01462047948223</v>
      </c>
      <c r="BS5" s="35">
        <v>-4.0771574348619499E-13</v>
      </c>
      <c r="BT5" s="32">
        <v>72.078276472049509</v>
      </c>
      <c r="BU5" s="32">
        <v>373.75531889019601</v>
      </c>
      <c r="BV5" s="32">
        <v>0.33505812601182</v>
      </c>
      <c r="BW5" s="32"/>
    </row>
    <row r="6" spans="1:75" ht="14.4">
      <c r="A6" s="2">
        <v>6</v>
      </c>
      <c r="B6" s="32">
        <v>0.54964988425925898</v>
      </c>
      <c r="C6" s="32">
        <v>36.412289988063797</v>
      </c>
      <c r="D6" s="32">
        <v>470.60480192604598</v>
      </c>
      <c r="E6" s="32">
        <v>436.37570616217999</v>
      </c>
      <c r="F6" s="32">
        <f t="shared" si="6"/>
        <v>453.49025404411299</v>
      </c>
      <c r="G6" s="32">
        <v>34.279541628098301</v>
      </c>
      <c r="H6" s="32">
        <v>33.5815571336855</v>
      </c>
      <c r="I6" s="32">
        <v>38.826923632720401</v>
      </c>
      <c r="J6" s="32">
        <v>428.19071677874803</v>
      </c>
      <c r="K6" s="32">
        <v>40.518885829388502</v>
      </c>
      <c r="L6" s="32">
        <v>28.8974419325477</v>
      </c>
      <c r="M6" s="32">
        <v>31.194910377438099</v>
      </c>
      <c r="N6" s="32">
        <v>67.482327915430702</v>
      </c>
      <c r="O6" s="32">
        <v>82.716131697988601</v>
      </c>
      <c r="P6" s="32">
        <v>18.551931342746801</v>
      </c>
      <c r="Q6" s="32">
        <v>1.8695462480698899</v>
      </c>
      <c r="R6" s="32">
        <v>1401.14707538216</v>
      </c>
      <c r="S6" s="32">
        <f t="shared" si="7"/>
        <v>146.72777862064726</v>
      </c>
      <c r="T6" s="32">
        <v>722.39400133817605</v>
      </c>
      <c r="U6" s="32">
        <v>7.2161136340410401</v>
      </c>
      <c r="V6" s="32">
        <v>0.43579995428687501</v>
      </c>
      <c r="W6" s="32">
        <v>1.8108902173913002E-2</v>
      </c>
      <c r="X6" s="32">
        <v>6.5465090029967499</v>
      </c>
      <c r="Y6" s="32">
        <v>49.418138243904899</v>
      </c>
      <c r="Z6" s="32">
        <v>1156.3410884892801</v>
      </c>
      <c r="AA6" s="32">
        <v>-5.3697892878910997E-2</v>
      </c>
      <c r="AB6" s="32">
        <v>7.6571974173100399</v>
      </c>
      <c r="AC6" s="32">
        <v>10.8460689860829</v>
      </c>
      <c r="AD6" s="32">
        <v>206.34496472948001</v>
      </c>
      <c r="AE6" s="32">
        <v>-250.08360349984801</v>
      </c>
      <c r="AF6" s="32">
        <v>-20.426698606867099</v>
      </c>
      <c r="AG6" s="32">
        <v>320.34999999999997</v>
      </c>
      <c r="AH6" s="32">
        <v>993.7</v>
      </c>
      <c r="AI6" s="32">
        <v>54.55</v>
      </c>
      <c r="AJ6" s="32">
        <v>208.81369841124001</v>
      </c>
      <c r="AK6" s="32">
        <v>15.332289777212299</v>
      </c>
      <c r="AL6" s="32">
        <v>0.244913413657215</v>
      </c>
      <c r="AM6" s="32">
        <v>0.251061542473418</v>
      </c>
      <c r="AN6" s="32">
        <v>0.25363537098661298</v>
      </c>
      <c r="AO6" s="32">
        <v>22133.263738330701</v>
      </c>
      <c r="AP6" s="32">
        <f t="shared" si="8"/>
        <v>6.1481288162029725E-3</v>
      </c>
      <c r="AQ6" s="28">
        <f t="shared" si="9"/>
        <v>0.3746757488268041</v>
      </c>
      <c r="AR6" s="32">
        <v>8.7758507643119002E-2</v>
      </c>
      <c r="AS6" s="32">
        <v>92.127799999999993</v>
      </c>
      <c r="AT6" s="34">
        <v>8.5311462209528095</v>
      </c>
      <c r="AU6" s="32">
        <f t="shared" si="10"/>
        <v>1.4294999542868752</v>
      </c>
      <c r="AV6" s="32">
        <f t="shared" si="11"/>
        <v>1.2865499588581877</v>
      </c>
      <c r="AW6" s="35">
        <f t="shared" si="12"/>
        <v>150000</v>
      </c>
      <c r="AX6" s="32">
        <f t="shared" si="0"/>
        <v>1.0118089021739129</v>
      </c>
      <c r="AY6" s="32">
        <f t="shared" si="1"/>
        <v>105995.26710523145</v>
      </c>
      <c r="AZ6" s="32">
        <f t="shared" si="2"/>
        <v>105995.26710523145</v>
      </c>
      <c r="BA6" s="32">
        <v>338</v>
      </c>
      <c r="BB6" s="32"/>
      <c r="BC6" s="32"/>
      <c r="BD6" s="32"/>
      <c r="BE6" s="32">
        <v>105995.867166068</v>
      </c>
      <c r="BF6" s="32">
        <v>121580.94863010899</v>
      </c>
      <c r="BG6" s="32">
        <v>1401.15500763566</v>
      </c>
      <c r="BH6" s="32">
        <v>722.40122523806201</v>
      </c>
      <c r="BI6" s="32">
        <v>828.61898648366503</v>
      </c>
      <c r="BJ6" s="32">
        <f t="shared" si="3"/>
        <v>0.87181350780248268</v>
      </c>
      <c r="BK6" s="32">
        <f>1066631.90342449/100000</f>
        <v>10.6663190342449</v>
      </c>
      <c r="BL6" s="32">
        <f t="shared" si="4"/>
        <v>9.2990410125854357</v>
      </c>
      <c r="BM6" s="32">
        <v>0.211954597423995</v>
      </c>
      <c r="BN6" s="32">
        <v>0.206928413326813</v>
      </c>
      <c r="BO6" s="32">
        <v>6.8007608526709897E-3</v>
      </c>
      <c r="BP6" s="32">
        <v>410.13701758505198</v>
      </c>
      <c r="BQ6" s="32">
        <v>184.998418438665</v>
      </c>
      <c r="BR6" s="32">
        <f t="shared" si="5"/>
        <v>212.19953210518281</v>
      </c>
      <c r="BS6" s="32">
        <v>3.3979699978007899E-2</v>
      </c>
      <c r="BT6" s="32">
        <v>97.871112873379403</v>
      </c>
      <c r="BU6" s="32">
        <v>371.54681623785302</v>
      </c>
      <c r="BV6" s="32">
        <v>0.46264692198082802</v>
      </c>
      <c r="BW6" s="32">
        <v>1.05240794722682</v>
      </c>
    </row>
    <row r="7" spans="1:75" ht="14.4">
      <c r="A7" s="2">
        <v>8</v>
      </c>
      <c r="B7" s="32">
        <v>0.56127032271241795</v>
      </c>
      <c r="C7" s="32">
        <v>34.772687200490203</v>
      </c>
      <c r="D7" s="32">
        <v>626.46060271253498</v>
      </c>
      <c r="E7" s="32">
        <v>598.20114235511198</v>
      </c>
      <c r="F7" s="32">
        <f t="shared" si="6"/>
        <v>612.33087253382348</v>
      </c>
      <c r="G7" s="32">
        <v>35.654711024439798</v>
      </c>
      <c r="H7" s="32">
        <v>35.754807985854299</v>
      </c>
      <c r="I7" s="32">
        <v>42.969960978501398</v>
      </c>
      <c r="J7" s="32">
        <v>613.317932401961</v>
      </c>
      <c r="K7" s="32">
        <v>39.714796042857103</v>
      </c>
      <c r="L7" s="32">
        <v>29.397907345728299</v>
      </c>
      <c r="M7" s="32">
        <v>30.8452773221989</v>
      </c>
      <c r="N7" s="32">
        <v>65.014247648459403</v>
      </c>
      <c r="O7" s="32">
        <v>82.8488096884454</v>
      </c>
      <c r="P7" s="32">
        <v>16.8820399122549</v>
      </c>
      <c r="Q7" s="32">
        <v>1.8307817836834701</v>
      </c>
      <c r="R7" s="32">
        <v>999.10263269117695</v>
      </c>
      <c r="S7" s="32">
        <f t="shared" si="7"/>
        <v>104.62578303482744</v>
      </c>
      <c r="T7" s="32">
        <v>1054.5157228691901</v>
      </c>
      <c r="U7" s="32">
        <v>7.7868528828431396</v>
      </c>
      <c r="V7" s="32">
        <v>0.42687700175069998</v>
      </c>
      <c r="W7" s="32">
        <v>1.45809731792717E-2</v>
      </c>
      <c r="X7" s="32">
        <v>4.6093887869047601</v>
      </c>
      <c r="Y7" s="32">
        <v>57.284969582563001</v>
      </c>
      <c r="Z7" s="32">
        <v>1296.35037098473</v>
      </c>
      <c r="AA7" s="32">
        <v>-3.7311792787114897E-2</v>
      </c>
      <c r="AB7" s="32">
        <v>11.6965657064426</v>
      </c>
      <c r="AC7" s="32">
        <v>5.3189122247899201</v>
      </c>
      <c r="AD7" s="32">
        <v>1982.68467611807</v>
      </c>
      <c r="AE7" s="32">
        <v>-250.02306405994401</v>
      </c>
      <c r="AF7" s="32">
        <v>-20.423399741596601</v>
      </c>
      <c r="AG7" s="32">
        <v>313.5</v>
      </c>
      <c r="AH7" s="32">
        <v>993.8</v>
      </c>
      <c r="AI7" s="32">
        <v>45.75</v>
      </c>
      <c r="AJ7" s="32">
        <v>216.47726101549799</v>
      </c>
      <c r="AK7" s="32">
        <v>13.9563834844504</v>
      </c>
      <c r="AL7" s="32">
        <v>0.20695536341332299</v>
      </c>
      <c r="AM7" s="32">
        <v>0.213589762069505</v>
      </c>
      <c r="AN7" s="32">
        <v>0.21818345985047799</v>
      </c>
      <c r="AO7" s="32">
        <v>23883.835162256499</v>
      </c>
      <c r="AP7" s="32">
        <f t="shared" si="8"/>
        <v>6.6343986561823607E-3</v>
      </c>
      <c r="AQ7" s="28">
        <f t="shared" si="9"/>
        <v>0.47846489132851239</v>
      </c>
      <c r="AR7" s="32">
        <v>0.13280714991836201</v>
      </c>
      <c r="AS7" s="32">
        <v>95.019499999999994</v>
      </c>
      <c r="AT7" s="34">
        <v>12.453353443447799</v>
      </c>
      <c r="AU7" s="32">
        <f t="shared" si="10"/>
        <v>1.4206770017507</v>
      </c>
      <c r="AV7" s="32">
        <f t="shared" si="11"/>
        <v>1.2786093015756301</v>
      </c>
      <c r="AW7" s="35">
        <f t="shared" si="12"/>
        <v>150000</v>
      </c>
      <c r="AX7" s="32">
        <f t="shared" si="0"/>
        <v>1.0083809731792717</v>
      </c>
      <c r="AY7" s="32">
        <f t="shared" si="1"/>
        <v>110329.5332277261</v>
      </c>
      <c r="AZ7" s="32">
        <f t="shared" si="2"/>
        <v>110329.5332277261</v>
      </c>
      <c r="BA7" s="32">
        <v>339.1</v>
      </c>
      <c r="BB7" s="32"/>
      <c r="BC7" s="32"/>
      <c r="BD7" s="32"/>
      <c r="BE7" s="32">
        <v>110329.697131169</v>
      </c>
      <c r="BF7" s="32">
        <v>126169.47249475701</v>
      </c>
      <c r="BG7" s="32">
        <v>999.10464344882905</v>
      </c>
      <c r="BH7" s="32">
        <v>1054.5262681583499</v>
      </c>
      <c r="BI7" s="32">
        <v>1205.9047364037699</v>
      </c>
      <c r="BJ7" s="32">
        <f t="shared" si="3"/>
        <v>0.87446896618313441</v>
      </c>
      <c r="BK7" s="32">
        <f>1579475.30951777/100000</f>
        <v>15.7947530951777</v>
      </c>
      <c r="BL7" s="32">
        <f t="shared" si="4"/>
        <v>13.812021410257907</v>
      </c>
      <c r="BM7" s="32">
        <v>0.160004193016515</v>
      </c>
      <c r="BN7" s="32">
        <v>0.155726723357031</v>
      </c>
      <c r="BO7" s="32">
        <v>7.2272900677427003E-3</v>
      </c>
      <c r="BP7" s="32">
        <v>416.88195126431202</v>
      </c>
      <c r="BQ7" s="32">
        <v>186.15259432694</v>
      </c>
      <c r="BR7" s="32">
        <f t="shared" si="5"/>
        <v>212.87501503850424</v>
      </c>
      <c r="BS7" s="32">
        <v>1.6776571996339</v>
      </c>
      <c r="BT7" s="32">
        <v>112.264054812574</v>
      </c>
      <c r="BU7" s="32">
        <v>373.019251637612</v>
      </c>
      <c r="BV7" s="32">
        <v>0.66157100584539696</v>
      </c>
      <c r="BW7" s="32">
        <v>1.0348494738663301</v>
      </c>
    </row>
    <row r="8" spans="1:75" ht="14.4">
      <c r="A8" s="2">
        <v>16</v>
      </c>
      <c r="B8" s="32">
        <v>0.46611661353976902</v>
      </c>
      <c r="C8" s="32">
        <v>32.698864295081997</v>
      </c>
      <c r="D8" s="32">
        <v>663.09071221311501</v>
      </c>
      <c r="E8" s="32">
        <v>630.32230662295103</v>
      </c>
      <c r="F8" s="32">
        <f t="shared" si="6"/>
        <v>646.70650941803297</v>
      </c>
      <c r="G8" s="32">
        <v>33.215520295082001</v>
      </c>
      <c r="H8" s="32">
        <v>31.530239262295101</v>
      </c>
      <c r="I8" s="32">
        <v>62.758317442623003</v>
      </c>
      <c r="J8" s="32">
        <v>535.93010172131096</v>
      </c>
      <c r="K8" s="32">
        <v>39.9013876229508</v>
      </c>
      <c r="L8" s="32">
        <v>30.796897721311499</v>
      </c>
      <c r="M8" s="32">
        <v>40.841838573770502</v>
      </c>
      <c r="N8" s="32">
        <v>150.95476821311499</v>
      </c>
      <c r="O8" s="32">
        <v>86.455848868852499</v>
      </c>
      <c r="P8" s="32">
        <v>28.053404491803299</v>
      </c>
      <c r="Q8" s="32">
        <v>1.4215162622950801</v>
      </c>
      <c r="R8" s="32">
        <v>1796.8961723278701</v>
      </c>
      <c r="S8" s="32">
        <f t="shared" si="7"/>
        <v>188.17052714162853</v>
      </c>
      <c r="T8" s="32">
        <v>1416.7171247868901</v>
      </c>
      <c r="U8" s="32">
        <v>18.715154360655699</v>
      </c>
      <c r="V8" s="32">
        <v>1.6098735737704899</v>
      </c>
      <c r="W8" s="32">
        <v>0.12227624590163901</v>
      </c>
      <c r="X8" s="32">
        <v>15.051616163934399</v>
      </c>
      <c r="Y8" s="32">
        <v>60.154522442622998</v>
      </c>
      <c r="Z8" s="32">
        <v>776.43758944262299</v>
      </c>
      <c r="AA8" s="32">
        <v>-3.2919426229508199E-2</v>
      </c>
      <c r="AB8" s="32">
        <v>9.5064539016393503</v>
      </c>
      <c r="AC8" s="32">
        <v>8.8337400491803297</v>
      </c>
      <c r="AD8" s="32">
        <v>54.880996163934398</v>
      </c>
      <c r="AE8" s="32">
        <v>-250.113198803279</v>
      </c>
      <c r="AF8" s="32">
        <v>-20.429454196721299</v>
      </c>
      <c r="AG8" s="32">
        <v>304.54999999999995</v>
      </c>
      <c r="AH8" s="32">
        <v>993.9</v>
      </c>
      <c r="AI8" s="32">
        <v>34.6</v>
      </c>
      <c r="AJ8" s="32">
        <v>215.32812757703999</v>
      </c>
      <c r="AK8" s="32">
        <v>6.1327204655111798</v>
      </c>
      <c r="AL8" s="32">
        <v>0.36640092812706598</v>
      </c>
      <c r="AM8" s="32">
        <v>0.38234623964234499</v>
      </c>
      <c r="AN8" s="32">
        <v>0.38243553129835101</v>
      </c>
      <c r="AO8" s="32">
        <v>57403.121455003296</v>
      </c>
      <c r="AP8" s="32">
        <f t="shared" si="8"/>
        <v>1.5945311515278691E-2</v>
      </c>
      <c r="AQ8" s="28">
        <f t="shared" si="9"/>
        <v>0.64953362789000235</v>
      </c>
      <c r="AR8" s="32">
        <v>0.177476158732328</v>
      </c>
      <c r="AS8" s="32">
        <v>115.62935</v>
      </c>
      <c r="AT8" s="34">
        <v>16.730788078107</v>
      </c>
      <c r="AU8" s="32">
        <f t="shared" si="10"/>
        <v>2.6037735737704901</v>
      </c>
      <c r="AV8" s="32">
        <f t="shared" si="11"/>
        <v>2.3433962163934412</v>
      </c>
      <c r="AW8" s="35">
        <f t="shared" si="12"/>
        <v>250000</v>
      </c>
      <c r="AX8" s="32">
        <f t="shared" ref="AX8" si="13">W8+$AG8/1000</f>
        <v>0.42682624590163892</v>
      </c>
      <c r="AY8" s="32">
        <f t="shared" si="1"/>
        <v>266584.4081817214</v>
      </c>
      <c r="AZ8" s="32">
        <f t="shared" si="2"/>
        <v>266584.4081817214</v>
      </c>
      <c r="BA8" s="32">
        <v>334.9</v>
      </c>
      <c r="BB8" s="32">
        <v>550</v>
      </c>
      <c r="BC8" s="32">
        <v>500</v>
      </c>
      <c r="BD8" s="32">
        <v>530</v>
      </c>
      <c r="BE8" s="32">
        <v>266584.73620346899</v>
      </c>
      <c r="BF8" s="32">
        <v>296131.16545739298</v>
      </c>
      <c r="BG8" s="32">
        <v>1796.8983830684199</v>
      </c>
      <c r="BH8" s="32">
        <v>1416.7194861932001</v>
      </c>
      <c r="BI8" s="32">
        <v>1573.7540439248301</v>
      </c>
      <c r="BJ8" s="32">
        <f t="shared" si="3"/>
        <v>0.90021658191263676</v>
      </c>
      <c r="BK8" s="32">
        <f>1931361.46124804/100000</f>
        <v>19.3136146124804</v>
      </c>
      <c r="BL8" s="32">
        <f t="shared" si="4"/>
        <v>17.386436130825061</v>
      </c>
      <c r="BM8" s="32">
        <v>0.43596734317838198</v>
      </c>
      <c r="BN8" s="32">
        <v>0.451097802879111</v>
      </c>
      <c r="BO8" s="32">
        <v>1.5709699567534399E-2</v>
      </c>
      <c r="BP8" s="32">
        <v>719.18719980921003</v>
      </c>
      <c r="BQ8" s="32">
        <v>183.90038797718901</v>
      </c>
      <c r="BR8" s="32">
        <f t="shared" si="5"/>
        <v>204.28460402991777</v>
      </c>
      <c r="BS8" s="32">
        <v>2.5570554947874902</v>
      </c>
      <c r="BT8" s="32">
        <f>13996713.9171161/100000</f>
        <v>139.96713917116099</v>
      </c>
      <c r="BU8" s="32">
        <v>364.82444564168497</v>
      </c>
      <c r="BV8" s="32">
        <v>0.52961153587979204</v>
      </c>
      <c r="BW8" s="32"/>
    </row>
    <row r="9" spans="1:75" s="28" customFormat="1" ht="14.4">
      <c r="A9" s="2">
        <v>17</v>
      </c>
      <c r="B9" s="32">
        <v>0.47243055555555602</v>
      </c>
      <c r="C9" s="32">
        <v>32.675117666666701</v>
      </c>
      <c r="D9" s="32">
        <v>657.75965780246895</v>
      </c>
      <c r="E9" s="32">
        <v>622.82095301234494</v>
      </c>
      <c r="F9" s="32">
        <f t="shared" si="6"/>
        <v>640.290305407407</v>
      </c>
      <c r="G9" s="32">
        <v>33.652538333333297</v>
      </c>
      <c r="H9" s="32">
        <v>31.710386012345701</v>
      </c>
      <c r="I9" s="32">
        <v>60.224679271604899</v>
      </c>
      <c r="J9" s="32">
        <v>540.12436704938295</v>
      </c>
      <c r="K9" s="32">
        <v>40.109714469135803</v>
      </c>
      <c r="L9" s="32">
        <v>30.820680530864198</v>
      </c>
      <c r="M9" s="32">
        <v>39.386251543209902</v>
      </c>
      <c r="N9" s="32">
        <v>141.08832782715999</v>
      </c>
      <c r="O9" s="32">
        <v>85.963154296296295</v>
      </c>
      <c r="P9" s="32">
        <v>26.0817282839506</v>
      </c>
      <c r="Q9" s="32">
        <v>1.46461160493827</v>
      </c>
      <c r="R9" s="32">
        <v>1598.5223451975301</v>
      </c>
      <c r="S9" s="32">
        <f t="shared" si="7"/>
        <v>167.3968685423896</v>
      </c>
      <c r="T9" s="32">
        <v>1557.5643262962999</v>
      </c>
      <c r="U9" s="32">
        <v>17.387902382716</v>
      </c>
      <c r="V9" s="32">
        <v>1.5462592345679</v>
      </c>
      <c r="W9" s="32">
        <v>9.2663765432098796E-2</v>
      </c>
      <c r="X9" s="32">
        <v>13.063528358024699</v>
      </c>
      <c r="Y9" s="32">
        <v>60.099861320987699</v>
      </c>
      <c r="Z9" s="32">
        <v>1039.54454077778</v>
      </c>
      <c r="AA9" s="32">
        <v>-2.7536209876543202E-2</v>
      </c>
      <c r="AB9" s="32">
        <v>10.138114777777799</v>
      </c>
      <c r="AC9" s="32">
        <v>8.0550062962963001</v>
      </c>
      <c r="AD9" s="32">
        <v>51.629967197530902</v>
      </c>
      <c r="AE9" s="32">
        <v>-250.10426403703701</v>
      </c>
      <c r="AF9" s="32">
        <v>-20.4286035802469</v>
      </c>
      <c r="AG9" s="32">
        <v>306.34999999999997</v>
      </c>
      <c r="AH9" s="32">
        <v>994.1</v>
      </c>
      <c r="AI9" s="32">
        <v>37.700000000000003</v>
      </c>
      <c r="AJ9" s="32">
        <v>204.548343909311</v>
      </c>
      <c r="AK9" s="32">
        <v>7.8372215194376098</v>
      </c>
      <c r="AL9" s="32">
        <v>0.34215245354194102</v>
      </c>
      <c r="AM9" s="32">
        <v>0.35696694637201498</v>
      </c>
      <c r="AN9" s="32">
        <v>0.35807600316919802</v>
      </c>
      <c r="AO9" s="32">
        <v>53332.174188266697</v>
      </c>
      <c r="AP9" s="32">
        <f t="shared" si="8"/>
        <v>1.4814492830074083E-2</v>
      </c>
      <c r="AQ9" s="28">
        <f t="shared" si="9"/>
        <v>0.64623775453237819</v>
      </c>
      <c r="AR9" s="32">
        <v>0.18535233961016001</v>
      </c>
      <c r="AS9" s="32">
        <v>130.25885</v>
      </c>
      <c r="AT9" s="34">
        <v>18.394129784520601</v>
      </c>
      <c r="AU9" s="32">
        <f t="shared" si="10"/>
        <v>2.5403592345678998</v>
      </c>
      <c r="AV9" s="32">
        <f t="shared" si="11"/>
        <v>2.2863233111111101</v>
      </c>
      <c r="AW9" s="35">
        <f t="shared" si="12"/>
        <v>250000</v>
      </c>
      <c r="AX9" s="32">
        <f t="shared" si="0"/>
        <v>1.0867637654320987</v>
      </c>
      <c r="AY9" s="32">
        <f t="shared" si="1"/>
        <v>260731.39077533732</v>
      </c>
      <c r="AZ9" s="32">
        <f t="shared" si="2"/>
        <v>260731.39077533732</v>
      </c>
      <c r="BA9" s="32">
        <v>353.8</v>
      </c>
      <c r="BB9" s="32"/>
      <c r="BC9" s="32"/>
      <c r="BD9" s="32"/>
      <c r="BE9" s="32">
        <v>260732.199271438</v>
      </c>
      <c r="BF9" s="32">
        <v>295386.13502691197</v>
      </c>
      <c r="BG9" s="28">
        <v>1598.52730232362</v>
      </c>
      <c r="BH9" s="32">
        <v>1557.56692193867</v>
      </c>
      <c r="BI9" s="32">
        <v>1764.6079279954199</v>
      </c>
      <c r="BJ9" s="32">
        <f t="shared" si="3"/>
        <v>0.88267025055704762</v>
      </c>
      <c r="BK9" s="32">
        <f>2189275.28472474/100000</f>
        <v>21.892752847247397</v>
      </c>
      <c r="BL9" s="32">
        <f t="shared" si="4"/>
        <v>19.32408164106338</v>
      </c>
      <c r="BM9" s="32">
        <v>0.37629451975950401</v>
      </c>
      <c r="BN9" s="32">
        <v>0.39025963500637501</v>
      </c>
      <c r="BO9" s="32">
        <v>1.5759660201573999E-2</v>
      </c>
      <c r="BP9" s="32">
        <v>732.31115059618605</v>
      </c>
      <c r="BQ9" s="32">
        <v>183.110069480476</v>
      </c>
      <c r="BR9" s="32">
        <f t="shared" si="5"/>
        <v>207.45014275140278</v>
      </c>
      <c r="BS9" s="32">
        <v>10.3164583048599</v>
      </c>
      <c r="BT9" s="32">
        <f>15846504.626836/100000</f>
        <v>158.46504626836</v>
      </c>
      <c r="BU9" s="32">
        <v>372.97856989835299</v>
      </c>
      <c r="BV9" s="32">
        <v>0.61613597068815495</v>
      </c>
      <c r="BW9" s="32"/>
    </row>
    <row r="10" spans="1:75">
      <c r="AG10" s="2">
        <v>273.14999999999998</v>
      </c>
    </row>
    <row r="11" spans="1:75">
      <c r="I11" s="2">
        <f>1800/30*PI()</f>
        <v>188.49555921538757</v>
      </c>
    </row>
    <row r="14" spans="1:75">
      <c r="U14" s="2" t="s">
        <v>230</v>
      </c>
    </row>
    <row r="15" spans="1:75">
      <c r="T15" s="2" t="s">
        <v>229</v>
      </c>
      <c r="U15" s="2" t="s">
        <v>231</v>
      </c>
    </row>
    <row r="16" spans="1:75">
      <c r="T16" s="2" t="s">
        <v>232</v>
      </c>
      <c r="U16" s="2" t="s">
        <v>233</v>
      </c>
    </row>
    <row r="17" spans="20:21">
      <c r="T17" s="2" t="s">
        <v>234</v>
      </c>
      <c r="U17" s="2">
        <v>6</v>
      </c>
    </row>
    <row r="18" spans="20:21">
      <c r="T18" s="2" t="s">
        <v>235</v>
      </c>
      <c r="U18" s="2" t="s">
        <v>236</v>
      </c>
    </row>
    <row r="19" spans="20:21">
      <c r="T19" s="2" t="s">
        <v>35</v>
      </c>
      <c r="U19" s="2" t="s">
        <v>237</v>
      </c>
    </row>
    <row r="20" spans="20:21">
      <c r="T20" s="2" t="s">
        <v>238</v>
      </c>
      <c r="U20" s="2" t="s">
        <v>239</v>
      </c>
    </row>
    <row r="21" spans="20:21">
      <c r="T21" s="2" t="s">
        <v>240</v>
      </c>
      <c r="U21" s="2" t="s">
        <v>146</v>
      </c>
    </row>
    <row r="22" spans="20:21">
      <c r="T22" s="2" t="s">
        <v>241</v>
      </c>
      <c r="U22" s="2" t="s">
        <v>242</v>
      </c>
    </row>
    <row r="23" spans="20:21">
      <c r="T23" s="2" t="s">
        <v>243</v>
      </c>
      <c r="U23" s="2" t="s">
        <v>242</v>
      </c>
    </row>
    <row r="24" spans="20:21">
      <c r="T24" s="2" t="s">
        <v>244</v>
      </c>
      <c r="U24" s="2" t="s">
        <v>251</v>
      </c>
    </row>
    <row r="25" spans="20:21">
      <c r="T25" s="2" t="s">
        <v>245</v>
      </c>
      <c r="U25" s="2" t="s">
        <v>246</v>
      </c>
    </row>
    <row r="26" spans="20:21">
      <c r="T26" s="2" t="s">
        <v>247</v>
      </c>
      <c r="U26" s="2" t="s">
        <v>248</v>
      </c>
    </row>
    <row r="27" spans="20:21">
      <c r="T27" s="2" t="s">
        <v>249</v>
      </c>
      <c r="U27" s="2" t="s">
        <v>250</v>
      </c>
    </row>
    <row r="28" spans="20:21">
      <c r="T28" s="2" t="s">
        <v>252</v>
      </c>
      <c r="U28" s="2" t="s">
        <v>253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75"/>
  <sheetViews>
    <sheetView zoomScale="85" zoomScaleNormal="85" workbookViewId="0">
      <pane xSplit="1" ySplit="2" topLeftCell="AQ3" activePane="bottomRight" state="frozen"/>
      <selection pane="topRight" activeCell="B1" sqref="B1"/>
      <selection pane="bottomLeft" activeCell="A3" sqref="A3"/>
      <selection pane="bottomRight" activeCell="AW14" sqref="AW14"/>
    </sheetView>
  </sheetViews>
  <sheetFormatPr defaultColWidth="9.109375" defaultRowHeight="13.8"/>
  <cols>
    <col min="1" max="36" width="9.109375" style="2"/>
    <col min="37" max="37" width="9.77734375" style="2" bestFit="1" customWidth="1"/>
    <col min="38" max="38" width="10.77734375" style="2" bestFit="1" customWidth="1"/>
    <col min="39" max="49" width="9.109375" style="2"/>
    <col min="50" max="50" width="11.77734375" style="2" bestFit="1" customWidth="1"/>
    <col min="51" max="79" width="9.109375" style="2"/>
    <col min="80" max="80" width="12.5546875" style="2" bestFit="1" customWidth="1"/>
    <col min="81" max="16384" width="9.109375" style="2"/>
  </cols>
  <sheetData>
    <row r="1" spans="1:85">
      <c r="B1" s="2">
        <v>1</v>
      </c>
      <c r="C1" s="2">
        <v>2</v>
      </c>
      <c r="D1" s="2">
        <v>3</v>
      </c>
      <c r="E1" s="2">
        <v>4</v>
      </c>
      <c r="G1" s="2">
        <v>5</v>
      </c>
      <c r="H1" s="2">
        <v>6</v>
      </c>
      <c r="I1" s="2">
        <v>7</v>
      </c>
      <c r="J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  <c r="AH1" s="2">
        <v>27</v>
      </c>
      <c r="AI1" s="2">
        <v>28</v>
      </c>
      <c r="AJ1" s="2">
        <v>29</v>
      </c>
      <c r="AK1" s="2">
        <v>30</v>
      </c>
      <c r="AL1" s="2">
        <v>31</v>
      </c>
      <c r="AM1" s="2">
        <v>32</v>
      </c>
      <c r="AN1" s="2">
        <v>33</v>
      </c>
      <c r="AO1" s="2">
        <v>34</v>
      </c>
      <c r="AP1" s="2">
        <v>35</v>
      </c>
      <c r="AU1" s="2">
        <v>36</v>
      </c>
      <c r="BI1" s="2" t="s">
        <v>209</v>
      </c>
      <c r="BJ1" s="2" t="s">
        <v>78</v>
      </c>
      <c r="BK1" s="2">
        <f>PI()*0.127^2/4*0.14</f>
        <v>1.7734761768412423E-3</v>
      </c>
      <c r="BL1" s="2" t="s">
        <v>286</v>
      </c>
      <c r="BM1" s="2">
        <f>0.0017576341989371+7.27848199546045E-07</f>
        <v>1.758362047136646E-3</v>
      </c>
      <c r="BN1" s="2" t="s">
        <v>287</v>
      </c>
      <c r="BO1" s="2">
        <f>BK1/(18-1)</f>
        <v>1.0432212804948484E-4</v>
      </c>
      <c r="BP1" s="2">
        <f>60*(BO1/BM1)^(1.4)</f>
        <v>1.1500762664078525</v>
      </c>
      <c r="BQ1" s="2">
        <f>BK1+BO1</f>
        <v>1.8777983048907272E-3</v>
      </c>
      <c r="CB1" s="31">
        <v>100000</v>
      </c>
    </row>
    <row r="2" spans="1:85">
      <c r="B2" s="2" t="s">
        <v>160</v>
      </c>
      <c r="C2" s="2" t="s">
        <v>162</v>
      </c>
      <c r="D2" s="2" t="s">
        <v>165</v>
      </c>
      <c r="E2" s="2" t="s">
        <v>166</v>
      </c>
      <c r="F2" s="2" t="s">
        <v>199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303</v>
      </c>
      <c r="O2" s="2" t="s">
        <v>167</v>
      </c>
      <c r="P2" s="2" t="s">
        <v>168</v>
      </c>
      <c r="Q2" s="2" t="s">
        <v>169</v>
      </c>
      <c r="R2" s="2" t="s">
        <v>186</v>
      </c>
      <c r="S2" s="2" t="s">
        <v>170</v>
      </c>
      <c r="T2" s="2" t="s">
        <v>171</v>
      </c>
      <c r="V2" s="2" t="s">
        <v>76</v>
      </c>
      <c r="X2" s="2" t="s">
        <v>172</v>
      </c>
      <c r="Y2" s="2" t="s">
        <v>173</v>
      </c>
      <c r="Z2" s="2" t="s">
        <v>174</v>
      </c>
      <c r="AA2" s="2" t="s">
        <v>175</v>
      </c>
      <c r="AB2" s="2" t="s">
        <v>176</v>
      </c>
      <c r="AC2" s="2" t="s">
        <v>177</v>
      </c>
      <c r="AD2" s="2" t="s">
        <v>179</v>
      </c>
      <c r="AE2" s="2" t="s">
        <v>178</v>
      </c>
      <c r="AF2" s="2" t="s">
        <v>180</v>
      </c>
      <c r="AG2" s="2" t="s">
        <v>181</v>
      </c>
      <c r="AH2" s="2" t="s">
        <v>182</v>
      </c>
      <c r="AK2" s="2" t="s">
        <v>185</v>
      </c>
      <c r="AL2" s="2" t="s">
        <v>183</v>
      </c>
      <c r="AM2" s="2" t="s">
        <v>184</v>
      </c>
      <c r="AN2" s="2" t="s">
        <v>187</v>
      </c>
      <c r="AO2" s="2" t="s">
        <v>188</v>
      </c>
      <c r="AP2" s="2" t="s">
        <v>189</v>
      </c>
      <c r="AQ2" s="2" t="s">
        <v>293</v>
      </c>
      <c r="AR2" s="2" t="s">
        <v>294</v>
      </c>
      <c r="AS2" s="2" t="s">
        <v>284</v>
      </c>
      <c r="AT2" s="2" t="s">
        <v>285</v>
      </c>
      <c r="AU2" s="2" t="s">
        <v>190</v>
      </c>
      <c r="AV2" s="2" t="s">
        <v>193</v>
      </c>
      <c r="AW2" s="2" t="s">
        <v>191</v>
      </c>
      <c r="AX2" s="2" t="s">
        <v>224</v>
      </c>
      <c r="AY2" s="2" t="s">
        <v>212</v>
      </c>
      <c r="AZ2" s="2" t="s">
        <v>192</v>
      </c>
      <c r="BA2" s="2" t="s">
        <v>194</v>
      </c>
      <c r="BB2" s="2" t="s">
        <v>195</v>
      </c>
      <c r="BC2" s="2" t="s">
        <v>197</v>
      </c>
      <c r="BF2" s="2" t="s">
        <v>198</v>
      </c>
      <c r="BG2" s="2" t="s">
        <v>208</v>
      </c>
      <c r="BH2" s="2" t="s">
        <v>208</v>
      </c>
      <c r="BI2" s="2" t="s">
        <v>210</v>
      </c>
      <c r="BJ2" s="2" t="s">
        <v>227</v>
      </c>
      <c r="BK2" s="2" t="s">
        <v>42</v>
      </c>
      <c r="BL2" s="2" t="s">
        <v>228</v>
      </c>
      <c r="BM2" s="2" t="s">
        <v>217</v>
      </c>
      <c r="BN2" s="2" t="s">
        <v>218</v>
      </c>
      <c r="BO2" s="2" t="s">
        <v>76</v>
      </c>
      <c r="BP2" s="2" t="s">
        <v>216</v>
      </c>
      <c r="BQ2" s="2" t="s">
        <v>215</v>
      </c>
      <c r="BR2" s="2" t="s">
        <v>225</v>
      </c>
      <c r="BS2" s="2" t="s">
        <v>220</v>
      </c>
      <c r="BT2" s="2" t="s">
        <v>195</v>
      </c>
      <c r="BU2" s="2" t="s">
        <v>213</v>
      </c>
      <c r="BV2" s="2" t="s">
        <v>214</v>
      </c>
      <c r="BW2" s="2" t="s">
        <v>223</v>
      </c>
      <c r="BX2" s="2" t="s">
        <v>199</v>
      </c>
      <c r="BY2" s="2" t="s">
        <v>221</v>
      </c>
      <c r="BZ2" s="2" t="s">
        <v>222</v>
      </c>
      <c r="CA2" s="2" t="s">
        <v>211</v>
      </c>
      <c r="CB2" s="2" t="s">
        <v>194</v>
      </c>
      <c r="CC2" s="2" t="s">
        <v>219</v>
      </c>
      <c r="CD2" s="2" t="s">
        <v>212</v>
      </c>
      <c r="CE2" s="2" t="s">
        <v>226</v>
      </c>
      <c r="CF2" s="2" t="s">
        <v>272</v>
      </c>
      <c r="CG2" s="2" t="s">
        <v>273</v>
      </c>
    </row>
    <row r="3" spans="1:85" ht="14.4">
      <c r="A3" s="2">
        <v>1</v>
      </c>
      <c r="B3" s="28">
        <v>0.42725115740740799</v>
      </c>
      <c r="C3" s="28">
        <v>33.292933796008597</v>
      </c>
      <c r="D3" s="28">
        <v>681.811660055071</v>
      </c>
      <c r="E3" s="28">
        <v>649.37919231185992</v>
      </c>
      <c r="F3" s="28">
        <f t="shared" ref="F3:F22" si="0">(AVERAGE(D3:E3))</f>
        <v>665.59542618346541</v>
      </c>
      <c r="G3" s="28">
        <v>302.41238834691165</v>
      </c>
      <c r="H3" s="28">
        <v>303.54037595408607</v>
      </c>
      <c r="I3" s="28">
        <v>304.00323939535178</v>
      </c>
      <c r="J3" s="28">
        <v>659.69227183895396</v>
      </c>
      <c r="K3" s="28">
        <f>F3-(F3-J3)/0.65</f>
        <v>656.51365026883241</v>
      </c>
      <c r="L3" s="28">
        <f>K3/F3</f>
        <v>0.98635541117416015</v>
      </c>
      <c r="M3" s="28">
        <f>L3^(1.3/0.3)</f>
        <v>0.94220383960436016</v>
      </c>
      <c r="N3" s="28">
        <f>1/M3</f>
        <v>1.0613414613337906</v>
      </c>
      <c r="O3" s="28">
        <v>310.73814663319439</v>
      </c>
      <c r="P3" s="28">
        <v>301.14845027194639</v>
      </c>
      <c r="Q3" s="28">
        <v>302.15692505930281</v>
      </c>
      <c r="R3" s="28">
        <v>311.43989885922696</v>
      </c>
      <c r="S3" s="28">
        <v>354.61263813047867</v>
      </c>
      <c r="T3" s="28">
        <v>20.682090443476099</v>
      </c>
      <c r="U3" s="28">
        <v>1.0871701228369299</v>
      </c>
      <c r="V3" s="28">
        <v>798.91023827144102</v>
      </c>
      <c r="W3" s="28">
        <f t="shared" ref="W3:W22" si="1">V3*PI()/30</f>
        <v>83.661684514374343</v>
      </c>
      <c r="X3" s="28">
        <v>548.65643980112395</v>
      </c>
      <c r="Y3" s="28">
        <v>3.2591800315776198</v>
      </c>
      <c r="Z3" s="28">
        <v>9.4654934255399795E-2</v>
      </c>
      <c r="AA3" s="28">
        <v>-1.1781463306808099E-3</v>
      </c>
      <c r="AB3" s="28">
        <v>2.5207128141972999</v>
      </c>
      <c r="AC3" s="28">
        <v>17.122901585828</v>
      </c>
      <c r="AD3" s="28">
        <v>1347.1905036406499</v>
      </c>
      <c r="AE3" s="28">
        <v>-4.6989438297334797E-2</v>
      </c>
      <c r="AF3" s="28">
        <v>6.8330919196033797</v>
      </c>
      <c r="AG3" s="28">
        <v>10.674684968864501</v>
      </c>
      <c r="AH3" s="28">
        <v>117.198384171277</v>
      </c>
      <c r="AI3" s="28">
        <v>-250.03816323184299</v>
      </c>
      <c r="AJ3" s="28">
        <v>-20.4224751576355</v>
      </c>
      <c r="AK3" s="28">
        <v>300.5</v>
      </c>
      <c r="AL3" s="28">
        <v>992.05</v>
      </c>
      <c r="AM3" s="28">
        <v>17.7</v>
      </c>
      <c r="AN3" s="28">
        <v>217.782691359193</v>
      </c>
      <c r="AO3" s="2">
        <v>10.2453545989788</v>
      </c>
      <c r="AP3" s="2">
        <v>6.08351018052821E-2</v>
      </c>
      <c r="AQ3" s="2">
        <f>(Z3+1)*100000/AK3/287*$BK$1*6*(V3/60/2)</f>
        <v>8.9917498439291699E-2</v>
      </c>
      <c r="AR3" s="2">
        <f>AP3/AQ3</f>
        <v>0.67656577263829532</v>
      </c>
      <c r="AS3" s="28">
        <f t="shared" ref="AS3:AS22" si="2">AP3/(V3/60/2)/6</f>
        <v>1.5229521137921007E-3</v>
      </c>
      <c r="AT3" s="28">
        <f t="shared" ref="AT3:AT22" si="3">AS3*288*AK3/$BM$1/100000</f>
        <v>0.74957468486454959</v>
      </c>
      <c r="AU3" s="28">
        <f t="shared" ref="AU3:AU22" si="4">AP3+AX3</f>
        <v>6.3611923192186226E-2</v>
      </c>
      <c r="AV3" s="28">
        <v>0.15983830835075799</v>
      </c>
      <c r="AW3" s="28">
        <v>9996.5569928548703</v>
      </c>
      <c r="AX3" s="28">
        <f t="shared" ref="AX3:AX22" si="5">AW3/3600/1000</f>
        <v>2.7768213869041303E-3</v>
      </c>
      <c r="AY3" s="28">
        <f>AX3/AP3/0.067</f>
        <v>0.68126943322265932</v>
      </c>
      <c r="AZ3" s="28">
        <v>6.9515228467022502E-2</v>
      </c>
      <c r="BA3" s="28">
        <v>76.517399999999995</v>
      </c>
      <c r="BB3" s="29">
        <v>6.47938424784844</v>
      </c>
      <c r="BC3" s="28">
        <f>Z3+$AL3/1000</f>
        <v>1.0867049342553998</v>
      </c>
      <c r="BD3" s="28">
        <f>BC3*0.9+0.03</f>
        <v>1.0080344408298598</v>
      </c>
      <c r="BE3" s="33">
        <f t="shared" ref="BE3:BE22" si="6">ROUND(BD3*2,0)/2*100000</f>
        <v>100000</v>
      </c>
      <c r="BF3" s="28">
        <f t="shared" ref="BF3:BF22" si="7">AA3+$AL3/1000</f>
        <v>0.99087185366931918</v>
      </c>
      <c r="BG3" s="28">
        <f t="shared" ref="BG3:BG22" si="8">V3/30*PI()*X3</f>
        <v>45901.521973421448</v>
      </c>
      <c r="BH3" s="28">
        <f t="shared" ref="BH3:BH22" si="9">X3*W3</f>
        <v>45901.521973421448</v>
      </c>
      <c r="BI3" s="28">
        <v>357.9</v>
      </c>
      <c r="BJ3" s="32">
        <v>550</v>
      </c>
      <c r="BK3" s="32">
        <v>500</v>
      </c>
      <c r="BL3" s="32">
        <v>530</v>
      </c>
      <c r="BM3" s="28">
        <v>45902.607044317898</v>
      </c>
      <c r="BN3" s="28">
        <v>51853.504150312903</v>
      </c>
      <c r="BO3" s="28">
        <v>798.92912379611403</v>
      </c>
      <c r="BP3" s="28">
        <v>548.65735422673799</v>
      </c>
      <c r="BQ3" s="28">
        <v>619.77552284682497</v>
      </c>
      <c r="BR3" s="28">
        <f t="shared" ref="BR3:BR22" si="10">BP3/BQ3</f>
        <v>0.88525173066948704</v>
      </c>
      <c r="BS3" s="28">
        <f t="shared" ref="BS3:BS22" si="11">BT3/BR3</f>
        <v>7.3192562334045075</v>
      </c>
      <c r="BT3" s="28">
        <f t="shared" ref="BT3:BT22" si="12">BM3*2/(BO3/60)/($BK$1*6)/100000</f>
        <v>6.479384247834771</v>
      </c>
      <c r="BU3" s="28">
        <v>7.5501553241951097E-2</v>
      </c>
      <c r="BV3" s="28">
        <v>7.7468125475425198E-2</v>
      </c>
      <c r="BW3" s="28">
        <v>3.5209589308852398E-3</v>
      </c>
      <c r="BX3" s="28">
        <v>587.89632348337398</v>
      </c>
      <c r="BY3" s="28">
        <v>212.73367722450899</v>
      </c>
      <c r="BZ3" s="28">
        <f t="shared" ref="BZ3:BZ22" si="13">BY3*BQ3/BP3</f>
        <v>240.30868266546676</v>
      </c>
      <c r="CA3" s="28">
        <v>9.8224634882857007</v>
      </c>
      <c r="CB3" s="28">
        <f>8987247.46922537/100000</f>
        <v>89.872474692253689</v>
      </c>
      <c r="CC3" s="28">
        <v>368.76453989038299</v>
      </c>
      <c r="CD3" s="28">
        <f>BW3/BU3/0.067</f>
        <v>0.69603370497163064</v>
      </c>
      <c r="CF3" s="2">
        <v>361</v>
      </c>
      <c r="CG3" s="2">
        <v>80</v>
      </c>
    </row>
    <row r="4" spans="1:85" ht="14.4">
      <c r="A4" s="2">
        <v>2</v>
      </c>
      <c r="B4" s="32">
        <v>0.52051238425925905</v>
      </c>
      <c r="C4" s="32">
        <v>35.770772204879499</v>
      </c>
      <c r="D4" s="32">
        <v>870.80130345138593</v>
      </c>
      <c r="E4" s="32">
        <v>840.900596264157</v>
      </c>
      <c r="F4" s="28">
        <f t="shared" si="0"/>
        <v>855.85094985777141</v>
      </c>
      <c r="G4" s="32">
        <v>308.93777288831325</v>
      </c>
      <c r="H4" s="32">
        <v>310.01901634030116</v>
      </c>
      <c r="I4" s="32">
        <v>311.4848032753614</v>
      </c>
      <c r="J4" s="32">
        <v>867.00643711367502</v>
      </c>
      <c r="K4" s="28">
        <f t="shared" ref="K4:K22" si="14">F4-(F4-J4)/0.65</f>
        <v>873.01323794377697</v>
      </c>
      <c r="L4" s="28">
        <f t="shared" ref="L4:L22" si="15">K4/F4</f>
        <v>1.0200528936596467</v>
      </c>
      <c r="M4" s="28">
        <f t="shared" ref="M4:M22" si="16">L4^(1.3/0.3)</f>
        <v>1.0898456609425102</v>
      </c>
      <c r="N4" s="28">
        <f t="shared" ref="N4:N22" si="17">1/M4</f>
        <v>0.91756111515385519</v>
      </c>
      <c r="O4" s="32">
        <v>312.34723923650597</v>
      </c>
      <c r="P4" s="32">
        <v>302.03988653228919</v>
      </c>
      <c r="Q4" s="32">
        <v>302.92983352692767</v>
      </c>
      <c r="R4" s="32">
        <v>318.70136062572288</v>
      </c>
      <c r="S4" s="32">
        <v>355.63139432740968</v>
      </c>
      <c r="T4" s="32">
        <v>12.8542333063253</v>
      </c>
      <c r="U4" s="32">
        <v>1.5279430743373501</v>
      </c>
      <c r="V4" s="32">
        <v>799.42451451373495</v>
      </c>
      <c r="W4" s="32">
        <f t="shared" si="1"/>
        <v>83.715539396531227</v>
      </c>
      <c r="X4" s="32">
        <v>891.37240642012</v>
      </c>
      <c r="Y4" s="32">
        <v>5.5207999892168704</v>
      </c>
      <c r="Z4" s="32">
        <v>0.192552580783133</v>
      </c>
      <c r="AA4" s="32">
        <v>1.51460221686747E-2</v>
      </c>
      <c r="AB4" s="32">
        <v>2.8897873180722899</v>
      </c>
      <c r="AC4" s="32">
        <v>41.123814023373498</v>
      </c>
      <c r="AD4" s="32">
        <v>1580.6103919202999</v>
      </c>
      <c r="AE4" s="32">
        <v>-5.99455924096386E-2</v>
      </c>
      <c r="AF4" s="32">
        <v>12.1254568360843</v>
      </c>
      <c r="AG4" s="32">
        <v>4.33401010704819</v>
      </c>
      <c r="AH4" s="32">
        <v>3889.7705613006001</v>
      </c>
      <c r="AI4" s="32">
        <v>-250.00300944259001</v>
      </c>
      <c r="AJ4" s="32">
        <v>-20.4221093537349</v>
      </c>
      <c r="AK4" s="32">
        <v>302.54999999999995</v>
      </c>
      <c r="AL4" s="32">
        <v>993.95</v>
      </c>
      <c r="AM4" s="32">
        <v>24.8</v>
      </c>
      <c r="AN4" s="32">
        <v>226.92317085369399</v>
      </c>
      <c r="AO4" s="2">
        <v>8.4685523214266407</v>
      </c>
      <c r="AP4" s="2">
        <v>6.9686986800950507E-2</v>
      </c>
      <c r="AQ4" s="2">
        <f t="shared" ref="AQ4:AQ22" si="18">(Z4+1)*100000/AK4/287*$BK$1*6*(V4/60/2)</f>
        <v>9.735792468250816E-2</v>
      </c>
      <c r="AR4" s="2">
        <f t="shared" ref="AR4:AR22" si="19">AP4/AQ4</f>
        <v>0.71578135039551471</v>
      </c>
      <c r="AS4" s="28">
        <f t="shared" si="2"/>
        <v>1.7434288174997719E-3</v>
      </c>
      <c r="AT4" s="28">
        <f t="shared" si="3"/>
        <v>0.86394394261938157</v>
      </c>
      <c r="AU4" s="28">
        <f t="shared" si="4"/>
        <v>7.4390708391763288E-2</v>
      </c>
      <c r="AV4" s="32">
        <v>0.17483447404344099</v>
      </c>
      <c r="AW4" s="32">
        <v>16933.397726925999</v>
      </c>
      <c r="AX4" s="32">
        <f t="shared" si="5"/>
        <v>4.7037215908127773E-3</v>
      </c>
      <c r="AY4" s="28">
        <f t="shared" ref="AY4:AY22" si="20">AX4/AP4/0.067</f>
        <v>1.0074305560578449</v>
      </c>
      <c r="AZ4" s="32">
        <v>0.117677692025091</v>
      </c>
      <c r="BA4" s="32">
        <v>89.9071</v>
      </c>
      <c r="BB4" s="34">
        <v>10.5267047101804</v>
      </c>
      <c r="BC4" s="32">
        <f t="shared" ref="BC4:BC22" si="21">Z4+AL4/1000</f>
        <v>1.1865025807831331</v>
      </c>
      <c r="BD4" s="32">
        <f t="shared" ref="BD4:BD22" si="22">BC4*0.9</f>
        <v>1.0678523227048198</v>
      </c>
      <c r="BE4" s="35">
        <f t="shared" si="6"/>
        <v>100000</v>
      </c>
      <c r="BF4" s="32">
        <f t="shared" si="7"/>
        <v>1.0090960221686747</v>
      </c>
      <c r="BG4" s="32">
        <f t="shared" si="8"/>
        <v>74621.721806644404</v>
      </c>
      <c r="BH4" s="32">
        <f t="shared" si="9"/>
        <v>74621.721806644404</v>
      </c>
      <c r="BI4" s="28">
        <v>356</v>
      </c>
      <c r="BJ4" s="28">
        <v>550</v>
      </c>
      <c r="BK4" s="28">
        <v>500</v>
      </c>
      <c r="BL4" s="28">
        <v>530</v>
      </c>
      <c r="BM4" s="32">
        <v>74610.641499064906</v>
      </c>
      <c r="BN4" s="32">
        <v>84370.110579708504</v>
      </c>
      <c r="BO4" s="32">
        <v>799.30581089842201</v>
      </c>
      <c r="BP4" s="32">
        <v>891.37389202273505</v>
      </c>
      <c r="BQ4" s="32">
        <v>1007.9565541959799</v>
      </c>
      <c r="BR4" s="28">
        <f t="shared" si="10"/>
        <v>0.88433761188621884</v>
      </c>
      <c r="BS4" s="28">
        <f t="shared" si="11"/>
        <v>11.903490893585147</v>
      </c>
      <c r="BT4" s="28">
        <f t="shared" si="12"/>
        <v>10.526704709942441</v>
      </c>
      <c r="BU4" s="32">
        <v>8.3528197577657198E-2</v>
      </c>
      <c r="BV4" s="32">
        <v>8.74268048991515E-2</v>
      </c>
      <c r="BW4" s="32">
        <v>5.9974298612432897E-3</v>
      </c>
      <c r="BX4" s="32">
        <v>664.32622204431595</v>
      </c>
      <c r="BY4" s="32">
        <v>220.84293640364601</v>
      </c>
      <c r="BZ4" s="28">
        <f t="shared" si="13"/>
        <v>249.7269520546642</v>
      </c>
      <c r="CA4" s="32">
        <v>10.0131081706201</v>
      </c>
      <c r="CB4" s="32">
        <v>113.843186220322</v>
      </c>
      <c r="CC4" s="32"/>
      <c r="CD4" s="28"/>
      <c r="CE4" s="32"/>
      <c r="CF4" s="2">
        <v>361</v>
      </c>
      <c r="CG4" s="2">
        <v>80</v>
      </c>
    </row>
    <row r="5" spans="1:85" ht="14.4">
      <c r="A5" s="2">
        <v>20</v>
      </c>
      <c r="B5" s="32">
        <v>0.51637152777777795</v>
      </c>
      <c r="C5" s="32">
        <v>33.852034048780503</v>
      </c>
      <c r="D5" s="32">
        <v>935.98554668292695</v>
      </c>
      <c r="E5" s="32">
        <v>910.24578945121903</v>
      </c>
      <c r="F5" s="28">
        <f t="shared" si="0"/>
        <v>923.11566806707299</v>
      </c>
      <c r="G5" s="32">
        <v>306.37384997560969</v>
      </c>
      <c r="H5" s="32">
        <v>303.9197912804878</v>
      </c>
      <c r="I5" s="32">
        <v>320.3771888780488</v>
      </c>
      <c r="J5" s="32">
        <v>919.32134062195098</v>
      </c>
      <c r="K5" s="28">
        <f t="shared" si="14"/>
        <v>917.27824122842378</v>
      </c>
      <c r="L5" s="28">
        <f t="shared" si="15"/>
        <v>0.99367638635050759</v>
      </c>
      <c r="M5" s="28">
        <f t="shared" si="16"/>
        <v>0.97288505960935523</v>
      </c>
      <c r="N5" s="28">
        <f t="shared" si="17"/>
        <v>1.0278706514431748</v>
      </c>
      <c r="O5" s="32">
        <v>312.81254239024389</v>
      </c>
      <c r="P5" s="32">
        <v>302.6917241585366</v>
      </c>
      <c r="Q5" s="32">
        <v>304.47401335365851</v>
      </c>
      <c r="R5" s="32">
        <v>332.04313740243896</v>
      </c>
      <c r="S5" s="32">
        <v>356.62472718292679</v>
      </c>
      <c r="T5" s="32">
        <v>23.0282319512195</v>
      </c>
      <c r="U5" s="32">
        <v>1.7906675000000001</v>
      </c>
      <c r="V5" s="32">
        <v>999.006887780488</v>
      </c>
      <c r="W5" s="32">
        <f t="shared" si="1"/>
        <v>104.61575665122614</v>
      </c>
      <c r="X5" s="32">
        <v>1222.3408789756099</v>
      </c>
      <c r="Y5" s="32">
        <v>8.9887270121951293</v>
      </c>
      <c r="Z5" s="32">
        <v>0.569747</v>
      </c>
      <c r="AA5" s="32">
        <v>1.49097926829268E-2</v>
      </c>
      <c r="AB5" s="32">
        <v>4.9457860975609798</v>
      </c>
      <c r="AC5" s="32">
        <v>59.335706207317102</v>
      </c>
      <c r="AD5" s="32">
        <v>1212.00254231707</v>
      </c>
      <c r="AE5" s="32">
        <v>-9.1598292682926793E-3</v>
      </c>
      <c r="AF5" s="32">
        <v>12.316390487804901</v>
      </c>
      <c r="AG5" s="32">
        <v>4.4713389268292696</v>
      </c>
      <c r="AH5" s="32">
        <v>2087.85046885366</v>
      </c>
      <c r="AI5" s="32">
        <v>-250.03364756097599</v>
      </c>
      <c r="AJ5" s="32">
        <v>-20.423972695122</v>
      </c>
      <c r="AK5" s="32">
        <v>313.54999999999995</v>
      </c>
      <c r="AL5" s="32">
        <v>994.9</v>
      </c>
      <c r="AM5" s="32">
        <v>53.3</v>
      </c>
      <c r="AN5" s="32">
        <v>215.60103924952699</v>
      </c>
      <c r="AO5" s="2">
        <v>6.4618412218254901</v>
      </c>
      <c r="AP5" s="2">
        <v>0.118739128002938</v>
      </c>
      <c r="AQ5" s="2">
        <f t="shared" si="18"/>
        <v>0.15452715387591354</v>
      </c>
      <c r="AR5" s="2">
        <f t="shared" si="19"/>
        <v>0.76840299600862649</v>
      </c>
      <c r="AS5" s="28">
        <f t="shared" si="2"/>
        <v>2.377143330147461E-3</v>
      </c>
      <c r="AT5" s="28">
        <f t="shared" si="3"/>
        <v>1.220805170390636</v>
      </c>
      <c r="AU5" s="28">
        <f t="shared" si="4"/>
        <v>0.12639752341732824</v>
      </c>
      <c r="AV5" s="32">
        <v>0.226270160358507</v>
      </c>
      <c r="AW5" s="32">
        <v>27570.2234918049</v>
      </c>
      <c r="AX5" s="32">
        <f t="shared" si="5"/>
        <v>7.6583954143902497E-3</v>
      </c>
      <c r="AY5" s="28">
        <f t="shared" si="20"/>
        <v>0.96265157991707218</v>
      </c>
      <c r="AZ5" s="32">
        <v>0.15332017242453699</v>
      </c>
      <c r="BA5" s="32">
        <v>104.4314</v>
      </c>
      <c r="BB5" s="34">
        <v>14.4352925842019</v>
      </c>
      <c r="BC5" s="32">
        <f t="shared" si="21"/>
        <v>1.5646469999999999</v>
      </c>
      <c r="BD5" s="32">
        <f t="shared" si="22"/>
        <v>1.4081823</v>
      </c>
      <c r="BE5" s="35">
        <f t="shared" si="6"/>
        <v>150000</v>
      </c>
      <c r="BF5" s="32">
        <f t="shared" si="7"/>
        <v>1.0098097926829268</v>
      </c>
      <c r="BG5" s="32">
        <f t="shared" si="8"/>
        <v>127876.11593975825</v>
      </c>
      <c r="BH5" s="32">
        <f t="shared" si="9"/>
        <v>127876.11593975827</v>
      </c>
      <c r="BI5" s="32">
        <v>358.4</v>
      </c>
      <c r="BJ5" s="32">
        <v>550</v>
      </c>
      <c r="BK5" s="32">
        <v>500</v>
      </c>
      <c r="BL5" s="32">
        <v>530</v>
      </c>
      <c r="BM5" s="32">
        <v>127876.054465546</v>
      </c>
      <c r="BN5" s="32">
        <v>146298.52175648499</v>
      </c>
      <c r="BO5" s="32">
        <v>999.00640750529794</v>
      </c>
      <c r="BP5" s="32">
        <v>1222.34291623381</v>
      </c>
      <c r="BQ5" s="32">
        <v>1398.43166960035</v>
      </c>
      <c r="BR5" s="28">
        <f t="shared" si="10"/>
        <v>0.87408126031866584</v>
      </c>
      <c r="BS5" s="28">
        <f t="shared" si="11"/>
        <v>16.514817603147055</v>
      </c>
      <c r="BT5" s="28">
        <f t="shared" si="12"/>
        <v>14.435292584491666</v>
      </c>
      <c r="BU5" s="32">
        <v>0.13745610722167501</v>
      </c>
      <c r="BV5" s="32">
        <v>0.14756459208716999</v>
      </c>
      <c r="BW5" s="32">
        <v>9.3908217651485892E-3</v>
      </c>
      <c r="BX5" s="32">
        <v>738.36501886200006</v>
      </c>
      <c r="BY5" s="32">
        <v>209.921718824343</v>
      </c>
      <c r="BZ5" s="28">
        <f t="shared" si="13"/>
        <v>240.16270380606417</v>
      </c>
      <c r="CA5" s="32">
        <v>8.8737359978178194</v>
      </c>
      <c r="CB5" s="32">
        <f>13209925.2505131/100000</f>
        <v>132.09925250513101</v>
      </c>
      <c r="CC5" s="32">
        <v>373.36991106973602</v>
      </c>
      <c r="CD5" s="28"/>
      <c r="CE5" s="32"/>
      <c r="CF5" s="2">
        <v>361</v>
      </c>
      <c r="CG5" s="2">
        <v>80</v>
      </c>
    </row>
    <row r="6" spans="1:85" ht="14.4">
      <c r="A6" s="2">
        <v>11</v>
      </c>
      <c r="B6" s="32">
        <v>0.44561921296296297</v>
      </c>
      <c r="C6" s="32">
        <v>34.974962920454502</v>
      </c>
      <c r="D6" s="32">
        <v>767.87953239772696</v>
      </c>
      <c r="E6" s="32">
        <v>728.31168253409101</v>
      </c>
      <c r="F6" s="28">
        <f t="shared" si="0"/>
        <v>748.09560746590898</v>
      </c>
      <c r="G6" s="32">
        <v>305.3589337272727</v>
      </c>
      <c r="H6" s="32">
        <v>305.81619738636357</v>
      </c>
      <c r="I6" s="32">
        <v>308.0322266818182</v>
      </c>
      <c r="J6" s="32">
        <v>739.3147845340909</v>
      </c>
      <c r="K6" s="28">
        <f t="shared" si="14"/>
        <v>734.58664910926575</v>
      </c>
      <c r="L6" s="28">
        <f t="shared" si="15"/>
        <v>0.98194220334697147</v>
      </c>
      <c r="M6" s="28">
        <f t="shared" si="16"/>
        <v>0.92407172136465443</v>
      </c>
      <c r="N6" s="28">
        <f t="shared" si="17"/>
        <v>1.082167083874416</v>
      </c>
      <c r="O6" s="32">
        <v>311.78983281818176</v>
      </c>
      <c r="P6" s="32">
        <v>301.43567989772725</v>
      </c>
      <c r="Q6" s="32">
        <v>302.98101582954536</v>
      </c>
      <c r="R6" s="32">
        <v>328.61819980681815</v>
      </c>
      <c r="S6" s="32">
        <v>355.19346771590909</v>
      </c>
      <c r="T6" s="32">
        <v>15.5083847272727</v>
      </c>
      <c r="U6" s="32">
        <v>1.19496971590909</v>
      </c>
      <c r="V6" s="32">
        <v>999.04963235227297</v>
      </c>
      <c r="W6" s="32">
        <f t="shared" si="1"/>
        <v>104.62023285231615</v>
      </c>
      <c r="X6" s="32">
        <v>724.17011857954606</v>
      </c>
      <c r="Y6" s="32">
        <v>5.2330098863636403</v>
      </c>
      <c r="Z6" s="32">
        <v>0.24928693181818201</v>
      </c>
      <c r="AA6" s="32">
        <v>5.0057272727272702E-3</v>
      </c>
      <c r="AB6" s="32">
        <v>3.8826406136363598</v>
      </c>
      <c r="AC6" s="32">
        <v>27.202765488636398</v>
      </c>
      <c r="AD6" s="32">
        <v>1249.40598720455</v>
      </c>
      <c r="AE6" s="32">
        <v>-0.100595056818182</v>
      </c>
      <c r="AF6" s="32">
        <v>8.3299462159090893</v>
      </c>
      <c r="AG6" s="32">
        <v>9.1896636590909093</v>
      </c>
      <c r="AH6" s="32">
        <v>273.99655701136402</v>
      </c>
      <c r="AI6" s="32">
        <v>-250.05177731818199</v>
      </c>
      <c r="AJ6" s="32">
        <v>-20.423993500000002</v>
      </c>
      <c r="AK6" s="32">
        <v>303.25</v>
      </c>
      <c r="AL6" s="32">
        <v>993.9</v>
      </c>
      <c r="AM6" s="32">
        <v>27.5</v>
      </c>
      <c r="AN6" s="32">
        <v>211.85434127243801</v>
      </c>
      <c r="AO6" s="2">
        <v>8.8366798552297592</v>
      </c>
      <c r="AP6" s="2">
        <v>9.3429359655262806E-2</v>
      </c>
      <c r="AQ6" s="2">
        <f t="shared" si="18"/>
        <v>0.127163337679461</v>
      </c>
      <c r="AR6" s="2">
        <f t="shared" si="19"/>
        <v>0.73471930951332054</v>
      </c>
      <c r="AS6" s="28">
        <f t="shared" si="2"/>
        <v>1.8703647272314665E-3</v>
      </c>
      <c r="AT6" s="28">
        <f t="shared" si="3"/>
        <v>0.92899055733994174</v>
      </c>
      <c r="AU6" s="28">
        <f t="shared" si="4"/>
        <v>9.7887884078444606E-2</v>
      </c>
      <c r="AV6" s="32">
        <v>0.19796060074784899</v>
      </c>
      <c r="AW6" s="32">
        <v>16050.687923454499</v>
      </c>
      <c r="AX6" s="32">
        <f t="shared" si="5"/>
        <v>4.4585244231818057E-3</v>
      </c>
      <c r="AY6" s="28">
        <f t="shared" si="20"/>
        <v>0.71225084802083538</v>
      </c>
      <c r="AZ6" s="32">
        <v>8.9255313826284599E-2</v>
      </c>
      <c r="BA6" s="32">
        <v>81.675150000000002</v>
      </c>
      <c r="BB6" s="34">
        <v>8.5521213617535494</v>
      </c>
      <c r="BC6" s="32">
        <f t="shared" si="21"/>
        <v>1.2431869318181821</v>
      </c>
      <c r="BD6" s="32">
        <f t="shared" si="22"/>
        <v>1.118868238636364</v>
      </c>
      <c r="BE6" s="35">
        <f t="shared" si="6"/>
        <v>100000</v>
      </c>
      <c r="BF6" s="32">
        <f t="shared" si="7"/>
        <v>0.99890572727272731</v>
      </c>
      <c r="BG6" s="32">
        <f t="shared" si="8"/>
        <v>75762.846430481499</v>
      </c>
      <c r="BH6" s="32">
        <f t="shared" si="9"/>
        <v>75762.846430481499</v>
      </c>
      <c r="BI6" s="32">
        <v>358.5</v>
      </c>
      <c r="BJ6" s="32">
        <v>550</v>
      </c>
      <c r="BK6" s="32">
        <v>500</v>
      </c>
      <c r="BL6" s="32">
        <v>530</v>
      </c>
      <c r="BM6" s="32">
        <v>75762.928771078601</v>
      </c>
      <c r="BN6" s="32">
        <v>86664.493470161702</v>
      </c>
      <c r="BO6" s="32">
        <v>999.05071811150003</v>
      </c>
      <c r="BP6" s="32">
        <v>724.17132555096396</v>
      </c>
      <c r="BQ6" s="32">
        <v>828.36995228708201</v>
      </c>
      <c r="BR6" s="28">
        <f t="shared" si="10"/>
        <v>0.87421245006722947</v>
      </c>
      <c r="BS6" s="28">
        <f t="shared" si="11"/>
        <v>9.7826579355360916</v>
      </c>
      <c r="BT6" s="28">
        <f t="shared" si="12"/>
        <v>8.5521213619946312</v>
      </c>
      <c r="BU6" s="32">
        <v>0.110182643868258</v>
      </c>
      <c r="BV6" s="32">
        <v>0.11491955834657901</v>
      </c>
      <c r="BW6" s="32">
        <v>5.4733990871404297E-3</v>
      </c>
      <c r="BX6" s="32">
        <v>642.44302088420295</v>
      </c>
      <c r="BY6" s="32">
        <v>205.60455706868899</v>
      </c>
      <c r="BZ6" s="28">
        <f t="shared" si="13"/>
        <v>235.18831955879534</v>
      </c>
      <c r="CA6" s="32">
        <v>8.72454117917178</v>
      </c>
      <c r="CB6" s="32">
        <f>9750741.06234246/100000</f>
        <v>97.50741062342459</v>
      </c>
      <c r="CC6" s="32">
        <v>371.50223876824703</v>
      </c>
      <c r="CD6" s="28"/>
      <c r="CE6" s="32">
        <v>1.0357520634508599</v>
      </c>
      <c r="CF6" s="2">
        <v>361</v>
      </c>
      <c r="CG6" s="2">
        <v>80</v>
      </c>
    </row>
    <row r="7" spans="1:85" ht="14.4">
      <c r="A7" s="2">
        <v>8</v>
      </c>
      <c r="B7" s="32">
        <v>0.56127032271241795</v>
      </c>
      <c r="C7" s="32">
        <v>34.772687200490203</v>
      </c>
      <c r="D7" s="32">
        <v>899.61060271253496</v>
      </c>
      <c r="E7" s="32">
        <v>871.35114235511196</v>
      </c>
      <c r="F7" s="28">
        <f t="shared" si="0"/>
        <v>885.48087253382346</v>
      </c>
      <c r="G7" s="32">
        <v>308.80471102443977</v>
      </c>
      <c r="H7" s="32">
        <v>308.90480798585429</v>
      </c>
      <c r="I7" s="32">
        <v>316.11996097850135</v>
      </c>
      <c r="J7" s="32">
        <v>886.46793240196098</v>
      </c>
      <c r="K7" s="28">
        <f t="shared" si="14"/>
        <v>886.9994261771119</v>
      </c>
      <c r="L7" s="28">
        <f t="shared" si="15"/>
        <v>1.0017149479908505</v>
      </c>
      <c r="M7" s="28">
        <f t="shared" si="16"/>
        <v>1.007452710534207</v>
      </c>
      <c r="N7" s="28">
        <f t="shared" si="17"/>
        <v>0.99260242147717759</v>
      </c>
      <c r="O7" s="32">
        <v>312.86479604285705</v>
      </c>
      <c r="P7" s="32">
        <v>302.54790734572828</v>
      </c>
      <c r="Q7" s="32">
        <v>303.99527732219889</v>
      </c>
      <c r="R7" s="32">
        <v>338.16424764845937</v>
      </c>
      <c r="S7" s="32">
        <v>355.99880968844536</v>
      </c>
      <c r="T7" s="32">
        <v>16.8820399122549</v>
      </c>
      <c r="U7" s="32">
        <v>1.8307817836834701</v>
      </c>
      <c r="V7" s="32">
        <v>999.10263269117695</v>
      </c>
      <c r="W7" s="32">
        <f t="shared" si="1"/>
        <v>104.62578303482744</v>
      </c>
      <c r="X7" s="32">
        <v>1054.5157228691901</v>
      </c>
      <c r="Y7" s="32">
        <v>7.7868528828431396</v>
      </c>
      <c r="Z7" s="32">
        <v>0.42687700175069998</v>
      </c>
      <c r="AA7" s="32">
        <v>1.45809731792717E-2</v>
      </c>
      <c r="AB7" s="32">
        <v>4.6093887869047601</v>
      </c>
      <c r="AC7" s="32">
        <v>57.284969582563001</v>
      </c>
      <c r="AD7" s="32">
        <v>1296.35037098473</v>
      </c>
      <c r="AE7" s="32">
        <v>-3.7311792787114897E-2</v>
      </c>
      <c r="AF7" s="32">
        <v>11.6965657064426</v>
      </c>
      <c r="AG7" s="32">
        <v>5.3189122247899201</v>
      </c>
      <c r="AH7" s="32">
        <v>1982.68467611807</v>
      </c>
      <c r="AI7" s="32">
        <v>-250.02306405994401</v>
      </c>
      <c r="AJ7" s="32">
        <v>-20.423399741596601</v>
      </c>
      <c r="AK7" s="32">
        <v>313.5</v>
      </c>
      <c r="AL7" s="32">
        <v>993.8</v>
      </c>
      <c r="AM7" s="32">
        <v>45.75</v>
      </c>
      <c r="AN7" s="32">
        <v>216.47726101549799</v>
      </c>
      <c r="AO7" s="2">
        <v>7.4701253612224301</v>
      </c>
      <c r="AP7" s="2">
        <v>0.110743383755048</v>
      </c>
      <c r="AQ7" s="2">
        <f t="shared" si="18"/>
        <v>0.14049878314771799</v>
      </c>
      <c r="AR7" s="2">
        <f t="shared" si="19"/>
        <v>0.78821596368286206</v>
      </c>
      <c r="AS7" s="28">
        <f t="shared" si="2"/>
        <v>2.2168570101101679E-3</v>
      </c>
      <c r="AT7" s="28">
        <f t="shared" si="3"/>
        <v>1.1383070173447183</v>
      </c>
      <c r="AU7" s="28">
        <f t="shared" si="4"/>
        <v>0.11737778241123036</v>
      </c>
      <c r="AV7" s="32">
        <v>0.21818345985047799</v>
      </c>
      <c r="AW7" s="32">
        <v>23883.835162256499</v>
      </c>
      <c r="AX7" s="32">
        <f t="shared" si="5"/>
        <v>6.6343986561823607E-3</v>
      </c>
      <c r="AY7" s="28">
        <f t="shared" si="20"/>
        <v>0.89414710033090083</v>
      </c>
      <c r="AZ7" s="32">
        <v>0.13280714991836201</v>
      </c>
      <c r="BA7" s="32">
        <v>95.019499999999994</v>
      </c>
      <c r="BB7" s="34">
        <v>12.453353443447799</v>
      </c>
      <c r="BC7" s="32">
        <f t="shared" si="21"/>
        <v>1.4206770017507</v>
      </c>
      <c r="BD7" s="32">
        <f t="shared" si="22"/>
        <v>1.2786093015756301</v>
      </c>
      <c r="BE7" s="35">
        <f t="shared" si="6"/>
        <v>150000</v>
      </c>
      <c r="BF7" s="32">
        <f t="shared" si="7"/>
        <v>1.0083809731792717</v>
      </c>
      <c r="BG7" s="32">
        <f t="shared" si="8"/>
        <v>110329.5332277261</v>
      </c>
      <c r="BH7" s="32">
        <f t="shared" si="9"/>
        <v>110329.5332277261</v>
      </c>
      <c r="BI7" s="32">
        <v>358.5</v>
      </c>
      <c r="BJ7" s="32">
        <v>550</v>
      </c>
      <c r="BK7" s="32">
        <v>500</v>
      </c>
      <c r="BL7" s="32">
        <v>530</v>
      </c>
      <c r="BM7" s="32">
        <v>110329.525424619</v>
      </c>
      <c r="BN7" s="32">
        <v>126113.10338389099</v>
      </c>
      <c r="BO7" s="32">
        <v>999.10256190523705</v>
      </c>
      <c r="BP7" s="32">
        <v>1054.51748052733</v>
      </c>
      <c r="BQ7" s="32">
        <v>1205.3715841978999</v>
      </c>
      <c r="BR7" s="28">
        <f t="shared" si="10"/>
        <v>0.87484846527973037</v>
      </c>
      <c r="BS7" s="28">
        <f t="shared" si="11"/>
        <v>14.234869167897321</v>
      </c>
      <c r="BT7" s="28">
        <f t="shared" si="12"/>
        <v>12.453353444992723</v>
      </c>
      <c r="BU7" s="32">
        <v>0.123178594827739</v>
      </c>
      <c r="BV7" s="32">
        <v>0.13123047118203801</v>
      </c>
      <c r="BW7" s="32">
        <v>8.14981750630101E-3</v>
      </c>
      <c r="BX7" s="32">
        <v>713.99249777171201</v>
      </c>
      <c r="BY7" s="32">
        <v>210.76666874053501</v>
      </c>
      <c r="BZ7" s="28">
        <f t="shared" si="13"/>
        <v>240.91791562227061</v>
      </c>
      <c r="CA7" s="32">
        <v>9.3415727528153205</v>
      </c>
      <c r="CB7" s="32">
        <f>12065137.1000259/100000</f>
        <v>120.65137100025899</v>
      </c>
      <c r="CC7" s="32">
        <v>372.81117410464901</v>
      </c>
      <c r="CD7" s="28"/>
      <c r="CE7" s="32">
        <v>1.0348494738663301</v>
      </c>
      <c r="CF7" s="2">
        <v>361</v>
      </c>
      <c r="CG7" s="2">
        <v>80</v>
      </c>
    </row>
    <row r="8" spans="1:85" ht="14.4">
      <c r="A8" s="2">
        <v>12</v>
      </c>
      <c r="B8" s="32">
        <v>0.47635995370370399</v>
      </c>
      <c r="C8" s="32">
        <v>36.119086744186099</v>
      </c>
      <c r="D8" s="32">
        <v>705.22922854651199</v>
      </c>
      <c r="E8" s="32">
        <v>668.42542927906993</v>
      </c>
      <c r="F8" s="28">
        <f t="shared" si="0"/>
        <v>686.82732891279102</v>
      </c>
      <c r="G8" s="32">
        <v>307.38346077906976</v>
      </c>
      <c r="H8" s="32">
        <v>307.91064822093017</v>
      </c>
      <c r="I8" s="32">
        <v>307.57308258139528</v>
      </c>
      <c r="J8" s="32">
        <v>660.61401480232598</v>
      </c>
      <c r="K8" s="28">
        <f t="shared" si="14"/>
        <v>646.49915335822948</v>
      </c>
      <c r="L8" s="28">
        <f t="shared" si="15"/>
        <v>0.94128338542032275</v>
      </c>
      <c r="M8" s="28">
        <f t="shared" si="16"/>
        <v>0.76934600530650132</v>
      </c>
      <c r="N8" s="28">
        <f t="shared" si="17"/>
        <v>1.2998052802023816</v>
      </c>
      <c r="O8" s="32">
        <v>313.21551712790699</v>
      </c>
      <c r="P8" s="32">
        <v>301.88756146511628</v>
      </c>
      <c r="Q8" s="32">
        <v>303.73687069767436</v>
      </c>
      <c r="R8" s="32">
        <v>323.19650438372088</v>
      </c>
      <c r="S8" s="32">
        <v>355.1223498372093</v>
      </c>
      <c r="T8" s="32">
        <v>13.7859122325581</v>
      </c>
      <c r="U8" s="32">
        <v>1.40423594186047</v>
      </c>
      <c r="V8" s="32">
        <v>1198.6672809069801</v>
      </c>
      <c r="W8" s="32">
        <f t="shared" si="1"/>
        <v>125.52414412652737</v>
      </c>
      <c r="X8" s="32">
        <v>553.98948739534899</v>
      </c>
      <c r="Y8" s="32">
        <v>4.8749744767441898</v>
      </c>
      <c r="Z8" s="32">
        <v>0.22211883720930201</v>
      </c>
      <c r="AA8" s="32">
        <v>7.9326860465116205E-3</v>
      </c>
      <c r="AB8" s="32">
        <v>4.6293127093023303</v>
      </c>
      <c r="AC8" s="32">
        <v>27.2458571976744</v>
      </c>
      <c r="AD8" s="32">
        <v>1101.7850733953501</v>
      </c>
      <c r="AE8" s="32">
        <v>-7.6380616279069793E-2</v>
      </c>
      <c r="AF8" s="32">
        <v>6.8000156162790697</v>
      </c>
      <c r="AG8" s="32">
        <v>11.5780690116279</v>
      </c>
      <c r="AH8" s="32">
        <v>137.118560674419</v>
      </c>
      <c r="AI8" s="32">
        <v>-250.07180887209299</v>
      </c>
      <c r="AJ8" s="32">
        <v>-20.425549825581399</v>
      </c>
      <c r="AK8" s="32">
        <v>304.45</v>
      </c>
      <c r="AL8" s="32">
        <v>993.7</v>
      </c>
      <c r="AM8" s="32">
        <v>31.4</v>
      </c>
      <c r="AN8" s="32">
        <v>215.02336268526301</v>
      </c>
      <c r="AO8" s="2">
        <v>10.105446637395399</v>
      </c>
      <c r="AP8" s="2">
        <v>0.11121727799572501</v>
      </c>
      <c r="AQ8" s="2">
        <f t="shared" si="18"/>
        <v>0.14866528824285008</v>
      </c>
      <c r="AR8" s="2">
        <f t="shared" si="19"/>
        <v>0.74810521884602676</v>
      </c>
      <c r="AS8" s="28">
        <f t="shared" si="2"/>
        <v>1.8556822191988368E-3</v>
      </c>
      <c r="AT8" s="28">
        <f t="shared" si="3"/>
        <v>0.92534518892661377</v>
      </c>
      <c r="AU8" s="28">
        <f t="shared" si="4"/>
        <v>0.11537075624991106</v>
      </c>
      <c r="AV8" s="32">
        <v>0.21396302498009701</v>
      </c>
      <c r="AW8" s="32">
        <v>14952.521715069801</v>
      </c>
      <c r="AX8" s="32">
        <f t="shared" si="5"/>
        <v>4.1534782541860563E-3</v>
      </c>
      <c r="AY8" s="28">
        <f t="shared" si="20"/>
        <v>0.55739732050831592</v>
      </c>
      <c r="AZ8" s="32">
        <v>6.9301603878655998E-2</v>
      </c>
      <c r="BA8" s="32">
        <v>76.446550000000002</v>
      </c>
      <c r="BB8" s="34">
        <v>6.5423651263515197</v>
      </c>
      <c r="BC8" s="32">
        <f t="shared" si="21"/>
        <v>1.215818837209302</v>
      </c>
      <c r="BD8" s="32">
        <f t="shared" si="22"/>
        <v>1.0942369534883718</v>
      </c>
      <c r="BE8" s="35">
        <f t="shared" si="6"/>
        <v>100000</v>
      </c>
      <c r="BF8" s="32">
        <f t="shared" si="7"/>
        <v>1.0016326860465117</v>
      </c>
      <c r="BG8" s="32">
        <f t="shared" si="8"/>
        <v>69539.05626039482</v>
      </c>
      <c r="BH8" s="32">
        <f t="shared" si="9"/>
        <v>69539.056260394806</v>
      </c>
      <c r="BI8" s="32">
        <v>358.3</v>
      </c>
      <c r="BJ8" s="32">
        <v>550</v>
      </c>
      <c r="BK8" s="32">
        <v>500</v>
      </c>
      <c r="BL8" s="32">
        <v>530</v>
      </c>
      <c r="BM8" s="32">
        <v>69539.158007221195</v>
      </c>
      <c r="BN8" s="32">
        <v>79866.615174940598</v>
      </c>
      <c r="BO8" s="32">
        <v>1198.6690347399301</v>
      </c>
      <c r="BP8" s="32">
        <v>553.99041071481599</v>
      </c>
      <c r="BQ8" s="32">
        <v>636.264543392684</v>
      </c>
      <c r="BR8" s="28">
        <f t="shared" si="10"/>
        <v>0.8706919416895893</v>
      </c>
      <c r="BS8" s="28">
        <f t="shared" si="11"/>
        <v>7.513983779051852</v>
      </c>
      <c r="BT8" s="28">
        <f t="shared" si="12"/>
        <v>6.5423651264067351</v>
      </c>
      <c r="BU8" s="32">
        <v>0.12988597283904499</v>
      </c>
      <c r="BV8" s="32">
        <v>0.13398127102862301</v>
      </c>
      <c r="BW8" s="32">
        <v>4.7450084861780598E-3</v>
      </c>
      <c r="BX8" s="32">
        <v>606.72040606564701</v>
      </c>
      <c r="BY8" s="32">
        <v>196.62291247112799</v>
      </c>
      <c r="BZ8" s="28">
        <f t="shared" si="13"/>
        <v>225.82374207986652</v>
      </c>
      <c r="CA8" s="32">
        <v>9.2456589665089002</v>
      </c>
      <c r="CB8" s="32">
        <f>8401310.19752178/100000</f>
        <v>84.013101975217793</v>
      </c>
      <c r="CC8" s="32">
        <v>370.78503367594902</v>
      </c>
      <c r="CD8" s="28"/>
      <c r="CE8" s="32">
        <v>1.0471020207432999</v>
      </c>
      <c r="CF8" s="2">
        <v>361</v>
      </c>
      <c r="CG8" s="2">
        <v>80</v>
      </c>
    </row>
    <row r="9" spans="1:85" ht="14.4">
      <c r="A9" s="2">
        <v>15</v>
      </c>
      <c r="B9" s="32">
        <v>0.64727148261065903</v>
      </c>
      <c r="C9" s="32">
        <v>36.679921146341499</v>
      </c>
      <c r="D9" s="32">
        <v>954.77000256097597</v>
      </c>
      <c r="E9" s="32">
        <v>924.34400023170701</v>
      </c>
      <c r="F9" s="28">
        <f t="shared" si="0"/>
        <v>939.55700139634155</v>
      </c>
      <c r="G9" s="32">
        <v>315.20561239024386</v>
      </c>
      <c r="H9" s="32">
        <v>316.33328618292677</v>
      </c>
      <c r="I9" s="32">
        <v>323.69287515853659</v>
      </c>
      <c r="J9" s="32">
        <v>902.33854132926797</v>
      </c>
      <c r="K9" s="28">
        <f t="shared" si="14"/>
        <v>882.29783206238221</v>
      </c>
      <c r="L9" s="28">
        <f t="shared" si="15"/>
        <v>0.93905726927811461</v>
      </c>
      <c r="M9" s="28">
        <f t="shared" si="16"/>
        <v>0.76149257899231637</v>
      </c>
      <c r="N9" s="28">
        <f t="shared" si="17"/>
        <v>1.3132104338079047</v>
      </c>
      <c r="O9" s="32">
        <v>312.10614573170727</v>
      </c>
      <c r="P9" s="32">
        <v>302.30795334146336</v>
      </c>
      <c r="Q9" s="32">
        <v>305.4627206707317</v>
      </c>
      <c r="R9" s="32">
        <v>375.49306598780498</v>
      </c>
      <c r="S9" s="32">
        <v>356.48130603658535</v>
      </c>
      <c r="T9" s="32">
        <v>12.8245776219512</v>
      </c>
      <c r="U9" s="32">
        <v>1.9508425365853701</v>
      </c>
      <c r="V9" s="32">
        <v>1198.8645007073201</v>
      </c>
      <c r="W9" s="32">
        <f t="shared" si="1"/>
        <v>125.54479693572374</v>
      </c>
      <c r="X9" s="32">
        <v>1394.6764323658499</v>
      </c>
      <c r="Y9" s="32">
        <v>11.9203419634146</v>
      </c>
      <c r="Z9" s="32">
        <v>0.87375320731707296</v>
      </c>
      <c r="AA9" s="32">
        <v>4.0610560975609798E-2</v>
      </c>
      <c r="AB9" s="32">
        <v>7.6780663292682902</v>
      </c>
      <c r="AC9" s="32">
        <v>71.172557475609807</v>
      </c>
      <c r="AD9" s="32">
        <v>1200.2990921463399</v>
      </c>
      <c r="AE9" s="32">
        <v>-6.4144012195121905E-2</v>
      </c>
      <c r="AF9" s="32">
        <v>11.277089231707301</v>
      </c>
      <c r="AG9" s="32">
        <v>5.8474423414634096</v>
      </c>
      <c r="AH9" s="32">
        <v>808.38023018292699</v>
      </c>
      <c r="AI9" s="32">
        <v>-250.05125370731699</v>
      </c>
      <c r="AJ9" s="32">
        <v>-20.4248297682927</v>
      </c>
      <c r="AK9" s="32">
        <v>313.25</v>
      </c>
      <c r="AL9" s="32">
        <v>993.6</v>
      </c>
      <c r="AM9" s="32">
        <v>0</v>
      </c>
      <c r="AN9" s="32">
        <v>208.81352710642199</v>
      </c>
      <c r="AO9" s="2">
        <v>7.2148734341513601</v>
      </c>
      <c r="AP9" s="2">
        <v>0.183246570872416</v>
      </c>
      <c r="AQ9" s="2">
        <f t="shared" si="18"/>
        <v>0.22156689761128873</v>
      </c>
      <c r="AR9" s="2">
        <f t="shared" si="19"/>
        <v>0.82704850249742212</v>
      </c>
      <c r="AS9" s="28">
        <f t="shared" si="2"/>
        <v>3.0570022010711312E-3</v>
      </c>
      <c r="AT9" s="28">
        <f t="shared" si="3"/>
        <v>1.568451224370637</v>
      </c>
      <c r="AU9" s="28">
        <f t="shared" si="4"/>
        <v>0.19340270222524528</v>
      </c>
      <c r="AV9" s="32">
        <v>0.27810707214935498</v>
      </c>
      <c r="AW9" s="32">
        <v>36562.072870185402</v>
      </c>
      <c r="AX9" s="32">
        <f t="shared" si="5"/>
        <v>1.0156131352829278E-2</v>
      </c>
      <c r="AY9" s="28">
        <f t="shared" si="20"/>
        <v>0.82721356978498251</v>
      </c>
      <c r="AZ9" s="32">
        <v>0.16942917814043601</v>
      </c>
      <c r="BA9" s="32">
        <v>113.8982</v>
      </c>
      <c r="BB9" s="34">
        <v>16.470497475601199</v>
      </c>
      <c r="BC9" s="32">
        <f t="shared" si="21"/>
        <v>1.8673532073170729</v>
      </c>
      <c r="BD9" s="32">
        <f t="shared" si="22"/>
        <v>1.6806178865853656</v>
      </c>
      <c r="BE9" s="35">
        <f t="shared" si="6"/>
        <v>150000</v>
      </c>
      <c r="BF9" s="32">
        <f t="shared" si="7"/>
        <v>1.0342105609756098</v>
      </c>
      <c r="BG9" s="32">
        <f t="shared" si="8"/>
        <v>175094.36949241027</v>
      </c>
      <c r="BH9" s="32">
        <f t="shared" si="9"/>
        <v>175094.36949241027</v>
      </c>
      <c r="BI9" s="32">
        <v>355.3</v>
      </c>
      <c r="BJ9" s="32">
        <v>550</v>
      </c>
      <c r="BK9" s="32">
        <v>500</v>
      </c>
      <c r="BL9" s="32">
        <v>530</v>
      </c>
      <c r="BM9" s="32">
        <v>175095.92992260199</v>
      </c>
      <c r="BN9" s="32">
        <v>201343.939380111</v>
      </c>
      <c r="BO9" s="32">
        <v>1198.87518522798</v>
      </c>
      <c r="BP9" s="32">
        <v>1394.67875645768</v>
      </c>
      <c r="BQ9" s="32">
        <v>1603.7472222716499</v>
      </c>
      <c r="BR9" s="28">
        <f t="shared" si="10"/>
        <v>0.8696375196099595</v>
      </c>
      <c r="BS9" s="28">
        <f t="shared" si="11"/>
        <v>18.93949731914666</v>
      </c>
      <c r="BT9" s="28">
        <f t="shared" si="12"/>
        <v>16.470497471282179</v>
      </c>
      <c r="BU9" s="32">
        <v>0.197313846063704</v>
      </c>
      <c r="BV9" s="32">
        <v>0.205553686907919</v>
      </c>
      <c r="BW9" s="32">
        <v>1.1970537190903199E-2</v>
      </c>
      <c r="BX9" s="32">
        <v>763.31736148737002</v>
      </c>
      <c r="BY9" s="32">
        <v>199.308086944835</v>
      </c>
      <c r="BZ9" s="28">
        <f t="shared" si="13"/>
        <v>229.18524379470944</v>
      </c>
      <c r="CA9" s="32">
        <v>7.84942026050925</v>
      </c>
      <c r="CB9" s="32">
        <f>14454235.4424918/100000</f>
        <v>144.54235442491799</v>
      </c>
      <c r="CC9" s="32">
        <v>374.50557688483502</v>
      </c>
      <c r="CD9" s="28"/>
      <c r="CE9" s="32">
        <v>1.0468928767337899</v>
      </c>
      <c r="CF9" s="2">
        <v>361</v>
      </c>
      <c r="CG9" s="2">
        <v>80</v>
      </c>
    </row>
    <row r="10" spans="1:85" ht="14.4">
      <c r="A10" s="2">
        <v>7</v>
      </c>
      <c r="B10" s="32">
        <v>0.55160321113264399</v>
      </c>
      <c r="C10" s="32">
        <v>35.419502341243501</v>
      </c>
      <c r="D10" s="32">
        <v>814.45120423516903</v>
      </c>
      <c r="E10" s="32">
        <v>779.78886803417197</v>
      </c>
      <c r="F10" s="28">
        <f t="shared" si="0"/>
        <v>797.1200361346705</v>
      </c>
      <c r="G10" s="32">
        <v>308.01900113431418</v>
      </c>
      <c r="H10" s="32">
        <v>307.73848782475079</v>
      </c>
      <c r="I10" s="32">
        <v>313.54756503429047</v>
      </c>
      <c r="J10" s="32">
        <v>780.43360612636502</v>
      </c>
      <c r="K10" s="28">
        <f t="shared" si="14"/>
        <v>771.44860535266207</v>
      </c>
      <c r="L10" s="28">
        <f t="shared" si="15"/>
        <v>0.96779477416413684</v>
      </c>
      <c r="M10" s="28">
        <f t="shared" si="16"/>
        <v>0.86774911959574019</v>
      </c>
      <c r="N10" s="28">
        <f t="shared" si="17"/>
        <v>1.15240681599985</v>
      </c>
      <c r="O10" s="32">
        <v>313.3591223023256</v>
      </c>
      <c r="P10" s="32">
        <v>302.44916306502137</v>
      </c>
      <c r="Q10" s="32">
        <v>304.56901802479825</v>
      </c>
      <c r="R10" s="32">
        <v>341.29201538194116</v>
      </c>
      <c r="S10" s="32">
        <v>356.00804045965828</v>
      </c>
      <c r="T10" s="32">
        <v>17.2528877736118</v>
      </c>
      <c r="U10" s="32">
        <v>1.8311910727337399</v>
      </c>
      <c r="V10" s="32">
        <v>1198.8876409949</v>
      </c>
      <c r="W10" s="32">
        <f t="shared" si="1"/>
        <v>125.54722018097252</v>
      </c>
      <c r="X10" s="32">
        <v>885.57843969364001</v>
      </c>
      <c r="Y10" s="32">
        <v>7.5331630645467502</v>
      </c>
      <c r="Z10" s="32">
        <v>0.44724528678215503</v>
      </c>
      <c r="AA10" s="32">
        <v>1.7182629330802099E-2</v>
      </c>
      <c r="AB10" s="32">
        <v>5.62504469530138</v>
      </c>
      <c r="AC10" s="32">
        <v>46.564768671333603</v>
      </c>
      <c r="AD10" s="32">
        <v>1342.3484576042999</v>
      </c>
      <c r="AE10" s="32">
        <v>-3.7590679639297603E-2</v>
      </c>
      <c r="AF10" s="32">
        <v>9.3644614145704796</v>
      </c>
      <c r="AG10" s="32">
        <v>8.4075877581870007</v>
      </c>
      <c r="AH10" s="32">
        <v>620.21811046013295</v>
      </c>
      <c r="AI10" s="32">
        <v>-250.05348302847699</v>
      </c>
      <c r="AJ10" s="32">
        <v>-20.424710454556202</v>
      </c>
      <c r="AK10" s="32">
        <v>317.64999999999998</v>
      </c>
      <c r="AL10" s="32">
        <v>993.8</v>
      </c>
      <c r="AM10" s="32">
        <v>49.6</v>
      </c>
      <c r="AN10" s="32">
        <v>207.819037016268</v>
      </c>
      <c r="AO10" s="2">
        <v>9.3441035523619504</v>
      </c>
      <c r="AP10" s="2">
        <v>0.13484842755794099</v>
      </c>
      <c r="AQ10" s="2">
        <f t="shared" si="18"/>
        <v>0.16876610758888819</v>
      </c>
      <c r="AR10" s="2">
        <f t="shared" si="19"/>
        <v>0.79902552404911664</v>
      </c>
      <c r="AS10" s="28">
        <f t="shared" si="2"/>
        <v>2.2495590570278412E-3</v>
      </c>
      <c r="AT10" s="28">
        <f t="shared" si="3"/>
        <v>1.1703895762594134</v>
      </c>
      <c r="AU10" s="28">
        <f t="shared" si="4"/>
        <v>0.14126668248893481</v>
      </c>
      <c r="AV10" s="32">
        <v>0.23759747845420701</v>
      </c>
      <c r="AW10" s="32">
        <v>23105.717751577798</v>
      </c>
      <c r="AX10" s="32">
        <f t="shared" si="5"/>
        <v>6.4182549309938332E-3</v>
      </c>
      <c r="AY10" s="28">
        <f t="shared" si="20"/>
        <v>0.71038907498691606</v>
      </c>
      <c r="AZ10" s="32">
        <v>0.10707016590258001</v>
      </c>
      <c r="BA10" s="32">
        <v>96.520899999999997</v>
      </c>
      <c r="BB10" s="34">
        <v>10.4582805853242</v>
      </c>
      <c r="BC10" s="32">
        <f t="shared" si="21"/>
        <v>1.4410452867821548</v>
      </c>
      <c r="BD10" s="32">
        <f t="shared" si="22"/>
        <v>1.2969407581039394</v>
      </c>
      <c r="BE10" s="35">
        <f t="shared" si="6"/>
        <v>150000</v>
      </c>
      <c r="BF10" s="32">
        <f t="shared" si="7"/>
        <v>1.010982629330802</v>
      </c>
      <c r="BG10" s="32">
        <f t="shared" si="8"/>
        <v>111181.9113557395</v>
      </c>
      <c r="BH10" s="32">
        <f t="shared" si="9"/>
        <v>111181.91135573952</v>
      </c>
      <c r="BI10" s="32">
        <v>357</v>
      </c>
      <c r="BJ10" s="32">
        <v>550</v>
      </c>
      <c r="BK10" s="32">
        <v>500</v>
      </c>
      <c r="BL10" s="32">
        <v>530</v>
      </c>
      <c r="BM10" s="32">
        <v>111181.688739882</v>
      </c>
      <c r="BN10" s="32">
        <v>127882.961577817</v>
      </c>
      <c r="BO10" s="32">
        <v>1198.88524049329</v>
      </c>
      <c r="BP10" s="32">
        <v>885.57991566549697</v>
      </c>
      <c r="BQ10" s="32">
        <v>1018.61041227147</v>
      </c>
      <c r="BR10" s="28">
        <f t="shared" si="10"/>
        <v>0.86940002281213768</v>
      </c>
      <c r="BS10" s="28">
        <f t="shared" si="11"/>
        <v>12.029307926138729</v>
      </c>
      <c r="BT10" s="28">
        <f t="shared" si="12"/>
        <v>10.45828058539924</v>
      </c>
      <c r="BU10" s="32">
        <v>0.148820488548842</v>
      </c>
      <c r="BV10" s="32">
        <v>0.15554537553235701</v>
      </c>
      <c r="BW10" s="32">
        <v>7.69960980018771E-3</v>
      </c>
      <c r="BX10" s="32">
        <v>684.27322231487403</v>
      </c>
      <c r="BY10" s="32">
        <v>198.30820828164201</v>
      </c>
      <c r="BZ10" s="28">
        <f t="shared" si="13"/>
        <v>228.09777211668305</v>
      </c>
      <c r="CA10" s="32">
        <v>8.9835134031233697</v>
      </c>
      <c r="CB10" s="32">
        <f>11575992.5632632/100000</f>
        <v>115.759925632632</v>
      </c>
      <c r="CC10" s="32">
        <v>371.66966625223603</v>
      </c>
      <c r="CD10" s="28"/>
      <c r="CE10" s="32">
        <v>1.0441684393288999</v>
      </c>
      <c r="CF10" s="2">
        <v>361</v>
      </c>
      <c r="CG10" s="2">
        <v>80</v>
      </c>
    </row>
    <row r="11" spans="1:85" ht="14.4">
      <c r="A11" s="2">
        <v>19</v>
      </c>
      <c r="B11" s="32">
        <v>0.50218750000000001</v>
      </c>
      <c r="C11" s="32">
        <v>32.670157807228897</v>
      </c>
      <c r="D11" s="32">
        <v>969.96246618072303</v>
      </c>
      <c r="E11" s="32">
        <v>945.63290724096396</v>
      </c>
      <c r="F11" s="28">
        <f t="shared" si="0"/>
        <v>957.79768671084344</v>
      </c>
      <c r="G11" s="32">
        <v>306.67583921686747</v>
      </c>
      <c r="H11" s="32">
        <v>304.39395808433738</v>
      </c>
      <c r="I11" s="32">
        <v>327.27515783132526</v>
      </c>
      <c r="J11" s="32">
        <v>909.01384821686793</v>
      </c>
      <c r="K11" s="28">
        <f t="shared" si="14"/>
        <v>882.74562748934261</v>
      </c>
      <c r="L11" s="28">
        <f t="shared" si="15"/>
        <v>0.92164101013937938</v>
      </c>
      <c r="M11" s="28">
        <f t="shared" si="16"/>
        <v>0.70215732167116574</v>
      </c>
      <c r="N11" s="28">
        <f t="shared" si="17"/>
        <v>1.4241822582152321</v>
      </c>
      <c r="O11" s="32">
        <v>312.41587789156625</v>
      </c>
      <c r="P11" s="32">
        <v>302.89895104819277</v>
      </c>
      <c r="Q11" s="32">
        <v>307.25791487951807</v>
      </c>
      <c r="R11" s="32">
        <v>370.67482943373489</v>
      </c>
      <c r="S11" s="32">
        <v>357.63590745783137</v>
      </c>
      <c r="T11" s="32">
        <v>23.340047734939802</v>
      </c>
      <c r="U11" s="32">
        <v>1.71996430120482</v>
      </c>
      <c r="V11" s="32">
        <v>1198.96357746988</v>
      </c>
      <c r="W11" s="32">
        <f t="shared" si="1"/>
        <v>125.55517223003706</v>
      </c>
      <c r="X11" s="32">
        <v>1562.7124668433701</v>
      </c>
      <c r="Y11" s="32">
        <v>13.2693134819277</v>
      </c>
      <c r="Z11" s="32">
        <v>1.07021965060241</v>
      </c>
      <c r="AA11" s="32">
        <v>4.41563253012048E-2</v>
      </c>
      <c r="AB11" s="32">
        <v>7.9148267590361403</v>
      </c>
      <c r="AC11" s="32">
        <v>59.859736433735002</v>
      </c>
      <c r="AD11" s="32">
        <v>1213.60228722892</v>
      </c>
      <c r="AE11" s="32">
        <v>-1.4776891566265099E-2</v>
      </c>
      <c r="AF11" s="32">
        <v>12.0964891204819</v>
      </c>
      <c r="AG11" s="32">
        <v>5.0420196867469897</v>
      </c>
      <c r="AH11" s="32">
        <v>455.42653565060198</v>
      </c>
      <c r="AI11" s="32">
        <v>-250.05760824096399</v>
      </c>
      <c r="AJ11" s="32">
        <v>-20.425206686747</v>
      </c>
      <c r="AK11" s="32">
        <v>306.95</v>
      </c>
      <c r="AL11" s="32">
        <v>994.7</v>
      </c>
      <c r="AM11" s="32">
        <v>41.7</v>
      </c>
      <c r="AN11" s="32">
        <v>207.43253021548</v>
      </c>
      <c r="AO11" s="2">
        <v>6.7060049982314798</v>
      </c>
      <c r="AP11" s="2">
        <v>0.188799830102854</v>
      </c>
      <c r="AQ11" s="2">
        <f t="shared" si="18"/>
        <v>0.24984360953779719</v>
      </c>
      <c r="AR11" s="2">
        <f t="shared" si="19"/>
        <v>0.75567204000985955</v>
      </c>
      <c r="AS11" s="28">
        <f t="shared" si="2"/>
        <v>3.1493839120829668E-3</v>
      </c>
      <c r="AT11" s="28">
        <f t="shared" si="3"/>
        <v>1.5833518318696838</v>
      </c>
      <c r="AU11" s="28">
        <f t="shared" si="4"/>
        <v>0.20010528518945642</v>
      </c>
      <c r="AV11" s="32">
        <v>0.28309707392400202</v>
      </c>
      <c r="AW11" s="32">
        <v>40699.6383117687</v>
      </c>
      <c r="AX11" s="32">
        <f t="shared" si="5"/>
        <v>1.1305455086602417E-2</v>
      </c>
      <c r="AY11" s="28">
        <f t="shared" si="20"/>
        <v>0.89374092936951666</v>
      </c>
      <c r="AZ11" s="32">
        <v>0.18858713140327099</v>
      </c>
      <c r="BA11" s="32">
        <v>118.84175</v>
      </c>
      <c r="BB11" s="34">
        <v>18.454926994480498</v>
      </c>
      <c r="BC11" s="32">
        <f t="shared" si="21"/>
        <v>2.0649196506024099</v>
      </c>
      <c r="BD11" s="32">
        <f t="shared" si="22"/>
        <v>1.8584276855421689</v>
      </c>
      <c r="BE11" s="35">
        <f t="shared" si="6"/>
        <v>200000</v>
      </c>
      <c r="BF11" s="32">
        <f t="shared" si="7"/>
        <v>1.0388563253012049</v>
      </c>
      <c r="BG11" s="32">
        <f t="shared" si="8"/>
        <v>196206.63292054541</v>
      </c>
      <c r="BH11" s="32">
        <f t="shared" si="9"/>
        <v>196206.63292054541</v>
      </c>
      <c r="BI11" s="32">
        <v>356.4</v>
      </c>
      <c r="BJ11" s="32">
        <v>550</v>
      </c>
      <c r="BK11" s="32">
        <v>500</v>
      </c>
      <c r="BL11" s="32">
        <v>530</v>
      </c>
      <c r="BM11" s="32">
        <v>196206.93055374501</v>
      </c>
      <c r="BN11" s="32">
        <v>225460.47886707899</v>
      </c>
      <c r="BO11" s="32">
        <v>1198.9653961025899</v>
      </c>
      <c r="BP11" s="32">
        <v>1562.71507152258</v>
      </c>
      <c r="BQ11" s="32">
        <v>1795.70901067348</v>
      </c>
      <c r="BR11" s="28">
        <f t="shared" si="10"/>
        <v>0.87024961295732672</v>
      </c>
      <c r="BS11" s="28">
        <f t="shared" si="11"/>
        <v>21.206475385395077</v>
      </c>
      <c r="BT11" s="28">
        <f t="shared" si="12"/>
        <v>18.454926996329142</v>
      </c>
      <c r="BU11" s="32">
        <v>0.22603839698341099</v>
      </c>
      <c r="BV11" s="32">
        <v>0.229765176859414</v>
      </c>
      <c r="BW11" s="32">
        <v>1.32759005818036E-2</v>
      </c>
      <c r="BX11" s="32">
        <v>776.47050911496103</v>
      </c>
      <c r="BY11" s="32">
        <v>199.169956182032</v>
      </c>
      <c r="BZ11" s="28">
        <f t="shared" si="13"/>
        <v>228.86532003754931</v>
      </c>
      <c r="CA11" s="32">
        <v>6.72205391457695</v>
      </c>
      <c r="CB11" s="32">
        <f>14826275.5983862/100000</f>
        <v>148.26275598386201</v>
      </c>
      <c r="CC11" s="32">
        <v>375.62400016367098</v>
      </c>
      <c r="CD11" s="28"/>
      <c r="CE11" s="32"/>
      <c r="CF11" s="2">
        <v>361</v>
      </c>
      <c r="CG11" s="2">
        <v>80</v>
      </c>
    </row>
    <row r="12" spans="1:85" ht="14.4">
      <c r="A12" s="2">
        <v>3</v>
      </c>
      <c r="B12" s="32">
        <v>0.45766203703703701</v>
      </c>
      <c r="C12" s="32">
        <v>34.708950542411003</v>
      </c>
      <c r="D12" s="32">
        <v>684.54202116419697</v>
      </c>
      <c r="E12" s="32">
        <v>656.30340017864899</v>
      </c>
      <c r="F12" s="28">
        <f t="shared" si="0"/>
        <v>670.42271067142292</v>
      </c>
      <c r="G12" s="32">
        <v>305.17573086637617</v>
      </c>
      <c r="H12" s="32">
        <v>306.17307390610017</v>
      </c>
      <c r="I12" s="32">
        <v>309.1872225641975</v>
      </c>
      <c r="J12" s="32">
        <v>648.36203746412502</v>
      </c>
      <c r="K12" s="28">
        <f t="shared" si="14"/>
        <v>636.4832134294262</v>
      </c>
      <c r="L12" s="28">
        <f t="shared" si="15"/>
        <v>0.94937597324528789</v>
      </c>
      <c r="M12" s="28">
        <f t="shared" si="16"/>
        <v>0.79842174753896344</v>
      </c>
      <c r="N12" s="28">
        <f t="shared" si="17"/>
        <v>1.2524708940887153</v>
      </c>
      <c r="O12" s="32">
        <v>313.78894787414669</v>
      </c>
      <c r="P12" s="32">
        <v>302.09637658264336</v>
      </c>
      <c r="Q12" s="32">
        <v>305.80554998366006</v>
      </c>
      <c r="R12" s="32">
        <v>328.45247222069719</v>
      </c>
      <c r="S12" s="32">
        <v>356.08587934422656</v>
      </c>
      <c r="T12" s="32">
        <v>19.176688968917901</v>
      </c>
      <c r="U12" s="32">
        <v>1.2936103737109701</v>
      </c>
      <c r="V12" s="32">
        <v>1398.8489351595499</v>
      </c>
      <c r="W12" s="32">
        <f t="shared" si="1"/>
        <v>146.48711793930488</v>
      </c>
      <c r="X12" s="32">
        <v>559.31531528024698</v>
      </c>
      <c r="Y12" s="32">
        <v>5.7205516999999997</v>
      </c>
      <c r="Z12" s="32">
        <v>0.29757524655047202</v>
      </c>
      <c r="AA12" s="32">
        <v>1.08597681190995E-2</v>
      </c>
      <c r="AB12" s="32">
        <v>5.7785169821350797</v>
      </c>
      <c r="AC12" s="32">
        <v>21.2487689665214</v>
      </c>
      <c r="AD12" s="32">
        <v>1061.81552780116</v>
      </c>
      <c r="AE12" s="32">
        <v>-5.6588585475671797E-2</v>
      </c>
      <c r="AF12" s="32">
        <v>6.0690994378358702</v>
      </c>
      <c r="AG12" s="32">
        <v>12.1318655724764</v>
      </c>
      <c r="AH12" s="32">
        <v>114.615378933188</v>
      </c>
      <c r="AI12" s="32">
        <v>-250.08739822360201</v>
      </c>
      <c r="AJ12" s="32">
        <v>-20.426976570806101</v>
      </c>
      <c r="AK12" s="32">
        <v>306.75</v>
      </c>
      <c r="AL12" s="32">
        <v>992.25</v>
      </c>
      <c r="AM12" s="32">
        <v>38.65</v>
      </c>
      <c r="AN12" s="32">
        <v>214.15285296164501</v>
      </c>
      <c r="AO12" s="2">
        <v>10.299742070359301</v>
      </c>
      <c r="AP12" s="2">
        <v>0.13848153956064399</v>
      </c>
      <c r="AQ12" s="2">
        <f t="shared" si="18"/>
        <v>0.18282360309677156</v>
      </c>
      <c r="AR12" s="2">
        <f t="shared" si="19"/>
        <v>0.75745985318615239</v>
      </c>
      <c r="AS12" s="28">
        <f t="shared" si="2"/>
        <v>1.9799355896117413E-3</v>
      </c>
      <c r="AT12" s="28">
        <f t="shared" si="3"/>
        <v>0.99476345052769788</v>
      </c>
      <c r="AU12" s="28">
        <f t="shared" si="4"/>
        <v>0.14335544960904398</v>
      </c>
      <c r="AV12" s="32">
        <v>0.23722577514614601</v>
      </c>
      <c r="AW12" s="32">
        <v>17546.076174239999</v>
      </c>
      <c r="AX12" s="32">
        <f t="shared" si="5"/>
        <v>4.8739100483999997E-3</v>
      </c>
      <c r="AY12" s="28">
        <f t="shared" si="20"/>
        <v>0.52530414036641926</v>
      </c>
      <c r="AZ12" s="32">
        <v>6.9684580313085706E-2</v>
      </c>
      <c r="BA12" s="32">
        <v>81.115624999999994</v>
      </c>
      <c r="BB12" s="34">
        <v>6.6052607433548802</v>
      </c>
      <c r="BC12" s="32">
        <f t="shared" si="21"/>
        <v>1.289825246550472</v>
      </c>
      <c r="BD12" s="32">
        <f t="shared" si="22"/>
        <v>1.1608427218954249</v>
      </c>
      <c r="BE12" s="35">
        <f t="shared" si="6"/>
        <v>100000</v>
      </c>
      <c r="BF12" s="32">
        <f t="shared" si="7"/>
        <v>1.0031097681190995</v>
      </c>
      <c r="BG12" s="32">
        <f t="shared" si="8"/>
        <v>81932.488554717027</v>
      </c>
      <c r="BH12" s="32">
        <f t="shared" si="9"/>
        <v>81932.488554717027</v>
      </c>
      <c r="BI12" s="32">
        <v>357.5</v>
      </c>
      <c r="BJ12" s="32">
        <v>550</v>
      </c>
      <c r="BK12" s="32">
        <v>500</v>
      </c>
      <c r="BL12" s="32">
        <v>530</v>
      </c>
      <c r="BM12" s="32">
        <v>81932.847958978498</v>
      </c>
      <c r="BN12" s="32">
        <v>93986.442003769494</v>
      </c>
      <c r="BO12" s="32">
        <v>1398.8550712874201</v>
      </c>
      <c r="BP12" s="32">
        <v>559.316247492961</v>
      </c>
      <c r="BQ12" s="36">
        <v>641.60318478268402</v>
      </c>
      <c r="BR12" s="28">
        <f t="shared" si="10"/>
        <v>0.87174792887352293</v>
      </c>
      <c r="BS12" s="28">
        <f t="shared" si="11"/>
        <v>7.5770306126487439</v>
      </c>
      <c r="BT12" s="28">
        <f t="shared" si="12"/>
        <v>6.6052607435878228</v>
      </c>
      <c r="BU12" s="32">
        <v>0.16194936222828399</v>
      </c>
      <c r="BV12" s="32">
        <v>0.166059106282017</v>
      </c>
      <c r="BW12" s="32">
        <v>5.3370784343972702E-3</v>
      </c>
      <c r="BX12" s="32">
        <v>607.47591903654597</v>
      </c>
      <c r="BY12" s="32">
        <v>191.89024918956301</v>
      </c>
      <c r="BZ12" s="28">
        <f t="shared" si="13"/>
        <v>220.12125619561215</v>
      </c>
      <c r="CA12" s="35">
        <v>9.2002989895944491</v>
      </c>
      <c r="CB12" s="32">
        <f>8738596.27309241/100000</f>
        <v>87.385962730924092</v>
      </c>
      <c r="CC12" s="32">
        <v>370.37042562980599</v>
      </c>
      <c r="CD12" s="28"/>
      <c r="CE12" s="32"/>
      <c r="CF12" s="2">
        <v>361</v>
      </c>
      <c r="CG12" s="2">
        <v>80</v>
      </c>
    </row>
    <row r="13" spans="1:85" ht="14.4">
      <c r="A13" s="2">
        <v>18</v>
      </c>
      <c r="B13" s="32">
        <v>0.48923032407407402</v>
      </c>
      <c r="C13" s="32">
        <v>32.674301109756101</v>
      </c>
      <c r="D13" s="32">
        <v>921.23104806097592</v>
      </c>
      <c r="E13" s="32">
        <v>901.56611086585303</v>
      </c>
      <c r="F13" s="28">
        <f t="shared" si="0"/>
        <v>911.39857946341453</v>
      </c>
      <c r="G13" s="32">
        <v>307.22092662195121</v>
      </c>
      <c r="H13" s="32">
        <v>304.47278568292677</v>
      </c>
      <c r="I13" s="32">
        <v>329.34211242682926</v>
      </c>
      <c r="J13" s="32">
        <v>838.94311834146299</v>
      </c>
      <c r="K13" s="28">
        <f t="shared" si="14"/>
        <v>799.92863927579674</v>
      </c>
      <c r="L13" s="28">
        <f t="shared" si="15"/>
        <v>0.87769353310464271</v>
      </c>
      <c r="M13" s="28">
        <f t="shared" si="16"/>
        <v>0.56817993575660997</v>
      </c>
      <c r="N13" s="28">
        <f t="shared" si="17"/>
        <v>1.7600058310196436</v>
      </c>
      <c r="O13" s="32">
        <v>313.15253164634146</v>
      </c>
      <c r="P13" s="32">
        <v>303.70210493902437</v>
      </c>
      <c r="Q13" s="32">
        <v>309.920086195122</v>
      </c>
      <c r="R13" s="32">
        <v>392.45119406097598</v>
      </c>
      <c r="S13" s="32">
        <v>358.51829781707318</v>
      </c>
      <c r="T13" s="32">
        <v>24.791271243902401</v>
      </c>
      <c r="U13" s="32">
        <v>1.5752714878048799</v>
      </c>
      <c r="V13" s="32">
        <v>1400.3606147804901</v>
      </c>
      <c r="W13" s="32">
        <f t="shared" si="1"/>
        <v>146.64542065902913</v>
      </c>
      <c r="X13" s="32">
        <v>1548.9880704146301</v>
      </c>
      <c r="Y13" s="32">
        <v>14.998779853658499</v>
      </c>
      <c r="Z13" s="32">
        <v>1.3102544878048801</v>
      </c>
      <c r="AA13" s="32">
        <v>6.3037682926829305E-2</v>
      </c>
      <c r="AB13" s="32">
        <v>10.3963266829268</v>
      </c>
      <c r="AC13" s="32">
        <v>60.077238560975601</v>
      </c>
      <c r="AD13" s="32">
        <v>1155.90557815854</v>
      </c>
      <c r="AE13" s="32">
        <v>-2.0220195121951199E-2</v>
      </c>
      <c r="AF13" s="32">
        <v>10.3694287560976</v>
      </c>
      <c r="AG13" s="32">
        <v>7.0784185975609804</v>
      </c>
      <c r="AH13" s="32">
        <v>92.896318329268297</v>
      </c>
      <c r="AI13" s="32">
        <v>-250.084961182927</v>
      </c>
      <c r="AJ13" s="32">
        <v>-20.427040975609799</v>
      </c>
      <c r="AK13" s="32">
        <v>313.45</v>
      </c>
      <c r="AL13" s="32">
        <v>994.3</v>
      </c>
      <c r="AM13" s="32">
        <v>51.4</v>
      </c>
      <c r="AN13" s="32">
        <v>202.52630887090501</v>
      </c>
      <c r="AO13" s="2">
        <v>7.2090549467427998</v>
      </c>
      <c r="AP13" s="2">
        <v>0.246653544753869</v>
      </c>
      <c r="AQ13" s="2">
        <f t="shared" si="18"/>
        <v>0.31889293866903395</v>
      </c>
      <c r="AR13" s="2">
        <f t="shared" si="19"/>
        <v>0.77346819212532236</v>
      </c>
      <c r="AS13" s="28">
        <f t="shared" si="2"/>
        <v>3.522714680068784E-3</v>
      </c>
      <c r="AT13" s="28">
        <f t="shared" si="3"/>
        <v>1.8085475426434989</v>
      </c>
      <c r="AU13" s="28">
        <f t="shared" si="4"/>
        <v>0.25943250518918609</v>
      </c>
      <c r="AV13" s="32">
        <v>0.32155417964798699</v>
      </c>
      <c r="AW13" s="32">
        <v>46004.257567141503</v>
      </c>
      <c r="AX13" s="32">
        <f t="shared" si="5"/>
        <v>1.2778960435317085E-2</v>
      </c>
      <c r="AY13" s="28">
        <f t="shared" si="20"/>
        <v>0.77327391729258665</v>
      </c>
      <c r="AZ13" s="32">
        <v>0.18250956647078001</v>
      </c>
      <c r="BA13" s="32">
        <v>128.60759999999999</v>
      </c>
      <c r="BB13" s="34">
        <v>18.292848083926099</v>
      </c>
      <c r="BC13" s="32">
        <f t="shared" si="21"/>
        <v>2.30455448780488</v>
      </c>
      <c r="BD13" s="32">
        <f t="shared" si="22"/>
        <v>2.0740990390243921</v>
      </c>
      <c r="BE13" s="35">
        <f t="shared" si="6"/>
        <v>200000</v>
      </c>
      <c r="BF13" s="32">
        <f t="shared" si="7"/>
        <v>1.0573376829268293</v>
      </c>
      <c r="BG13" s="32">
        <f t="shared" si="8"/>
        <v>227152.00718177127</v>
      </c>
      <c r="BH13" s="32">
        <f t="shared" si="9"/>
        <v>227152.00718177127</v>
      </c>
      <c r="BI13" s="32">
        <v>355.6</v>
      </c>
      <c r="BJ13" s="32">
        <v>550</v>
      </c>
      <c r="BK13" s="32">
        <v>500</v>
      </c>
      <c r="BL13" s="32">
        <v>530</v>
      </c>
      <c r="BM13" s="32">
        <v>227153.51144737899</v>
      </c>
      <c r="BN13" s="32">
        <v>260190.97249401099</v>
      </c>
      <c r="BO13" s="2">
        <v>1400.3698887442199</v>
      </c>
      <c r="BP13" s="32">
        <v>1548.9906516501101</v>
      </c>
      <c r="BQ13" s="32">
        <v>1774.2941804798299</v>
      </c>
      <c r="BR13" s="28">
        <f t="shared" si="10"/>
        <v>0.87301794070654615</v>
      </c>
      <c r="BS13" s="28">
        <f t="shared" si="11"/>
        <v>20.953576354025255</v>
      </c>
      <c r="BT13" s="28">
        <f t="shared" si="12"/>
        <v>18.292848079028509</v>
      </c>
      <c r="BU13" s="32">
        <v>0.28818653343307399</v>
      </c>
      <c r="BV13" s="32">
        <v>0.29979442846229898</v>
      </c>
      <c r="BW13" s="32">
        <v>1.4587098578017E-2</v>
      </c>
      <c r="BX13" s="32">
        <v>769.39100716348105</v>
      </c>
      <c r="BY13" s="32">
        <v>191.583845689133</v>
      </c>
      <c r="BZ13" s="28">
        <f t="shared" si="13"/>
        <v>219.45006712471613</v>
      </c>
      <c r="CA13" s="32">
        <v>7.0849466021311898</v>
      </c>
      <c r="CB13" s="32">
        <f>15372628.9091718/100000</f>
        <v>153.726289091718</v>
      </c>
      <c r="CC13" s="32">
        <v>375.03700782846801</v>
      </c>
      <c r="CD13" s="28"/>
      <c r="CE13" s="32"/>
      <c r="CF13" s="2">
        <v>361</v>
      </c>
      <c r="CG13" s="2">
        <v>80</v>
      </c>
    </row>
    <row r="14" spans="1:85" ht="14.4">
      <c r="A14" s="2">
        <v>6</v>
      </c>
      <c r="B14" s="32">
        <v>0.54964988425925898</v>
      </c>
      <c r="C14" s="32">
        <v>36.412289988063797</v>
      </c>
      <c r="D14" s="32">
        <v>743.75480192604596</v>
      </c>
      <c r="E14" s="32">
        <v>709.52570616217997</v>
      </c>
      <c r="F14" s="28">
        <f t="shared" si="0"/>
        <v>726.64025404411291</v>
      </c>
      <c r="G14" s="32">
        <v>307.42954162809826</v>
      </c>
      <c r="H14" s="32">
        <v>306.7315571336855</v>
      </c>
      <c r="I14" s="32">
        <v>311.9769236327204</v>
      </c>
      <c r="J14" s="32">
        <v>701.34071677874795</v>
      </c>
      <c r="K14" s="28">
        <f t="shared" si="14"/>
        <v>687.71788902047456</v>
      </c>
      <c r="L14" s="28">
        <f t="shared" si="15"/>
        <v>0.94643516539716033</v>
      </c>
      <c r="M14" s="28">
        <f t="shared" si="16"/>
        <v>0.7877597064780828</v>
      </c>
      <c r="N14" s="28">
        <f t="shared" si="17"/>
        <v>1.2694226320241757</v>
      </c>
      <c r="O14" s="32">
        <v>313.6688858293885</v>
      </c>
      <c r="P14" s="32">
        <v>302.04744193254766</v>
      </c>
      <c r="Q14" s="32">
        <v>304.34491037743805</v>
      </c>
      <c r="R14" s="32">
        <v>340.63232791543066</v>
      </c>
      <c r="S14" s="32">
        <v>355.86613169798858</v>
      </c>
      <c r="T14" s="32">
        <v>18.551931342746801</v>
      </c>
      <c r="U14" s="32">
        <v>1.8695462480698899</v>
      </c>
      <c r="V14" s="32">
        <v>1401.14707538216</v>
      </c>
      <c r="W14" s="32">
        <f t="shared" si="1"/>
        <v>146.72777862064726</v>
      </c>
      <c r="X14" s="32">
        <v>722.39400133817605</v>
      </c>
      <c r="Y14" s="32">
        <v>7.2161136340410401</v>
      </c>
      <c r="Z14" s="32">
        <v>0.43579995428687501</v>
      </c>
      <c r="AA14" s="32">
        <v>1.8108902173913002E-2</v>
      </c>
      <c r="AB14" s="32">
        <v>6.5465090029967499</v>
      </c>
      <c r="AC14" s="32">
        <v>49.418138243904899</v>
      </c>
      <c r="AD14" s="32">
        <v>1156.3410884892801</v>
      </c>
      <c r="AE14" s="32">
        <v>-5.3697892878910997E-2</v>
      </c>
      <c r="AF14" s="32">
        <v>7.6571974173100399</v>
      </c>
      <c r="AG14" s="32">
        <v>10.8460689860829</v>
      </c>
      <c r="AH14" s="32">
        <v>206.34496472948001</v>
      </c>
      <c r="AI14" s="32">
        <v>-250.08360349984801</v>
      </c>
      <c r="AJ14" s="32">
        <v>-20.426698606867099</v>
      </c>
      <c r="AK14" s="32">
        <v>320.34999999999997</v>
      </c>
      <c r="AL14" s="32">
        <v>993.7</v>
      </c>
      <c r="AM14" s="32">
        <v>54.55</v>
      </c>
      <c r="AN14" s="32">
        <v>208.81369841124001</v>
      </c>
      <c r="AO14" s="2">
        <v>9.80650325424571</v>
      </c>
      <c r="AP14" s="2">
        <v>0.156625274081856</v>
      </c>
      <c r="AQ14" s="2">
        <f t="shared" si="18"/>
        <v>0.1940288894897218</v>
      </c>
      <c r="AR14" s="2">
        <f t="shared" si="19"/>
        <v>0.80722656555818117</v>
      </c>
      <c r="AS14" s="28">
        <f t="shared" si="2"/>
        <v>2.2356721408298527E-3</v>
      </c>
      <c r="AT14" s="28">
        <f t="shared" si="3"/>
        <v>1.1730513666770788</v>
      </c>
      <c r="AU14" s="28">
        <f t="shared" si="4"/>
        <v>0.16277340289805897</v>
      </c>
      <c r="AV14" s="32">
        <v>0.25363537098661298</v>
      </c>
      <c r="AW14" s="32">
        <v>22133.263738330701</v>
      </c>
      <c r="AX14" s="32">
        <f t="shared" si="5"/>
        <v>6.1481288162029725E-3</v>
      </c>
      <c r="AY14" s="28">
        <f t="shared" si="20"/>
        <v>0.58587681456690266</v>
      </c>
      <c r="AZ14" s="32">
        <v>8.7758507643119002E-2</v>
      </c>
      <c r="BA14" s="32">
        <v>92.127799999999993</v>
      </c>
      <c r="BB14" s="34">
        <v>8.5311462209528095</v>
      </c>
      <c r="BC14" s="32">
        <f t="shared" si="21"/>
        <v>1.4294999542868752</v>
      </c>
      <c r="BD14" s="32">
        <f t="shared" si="22"/>
        <v>1.2865499588581877</v>
      </c>
      <c r="BE14" s="35">
        <f t="shared" si="6"/>
        <v>150000</v>
      </c>
      <c r="BF14" s="32">
        <f t="shared" si="7"/>
        <v>1.0118089021739129</v>
      </c>
      <c r="BG14" s="32">
        <f t="shared" si="8"/>
        <v>105995.26710523145</v>
      </c>
      <c r="BH14" s="32">
        <f t="shared" si="9"/>
        <v>105995.26710523145</v>
      </c>
      <c r="BI14" s="32">
        <v>357</v>
      </c>
      <c r="BJ14" s="32">
        <v>550</v>
      </c>
      <c r="BK14" s="32">
        <v>500</v>
      </c>
      <c r="BL14" s="32">
        <v>530</v>
      </c>
      <c r="BM14" s="32">
        <v>105995.32776751</v>
      </c>
      <c r="BN14" s="32">
        <v>121569.275984669</v>
      </c>
      <c r="BO14" s="32">
        <v>1401.14787734836</v>
      </c>
      <c r="BP14" s="32">
        <v>722.39520528805099</v>
      </c>
      <c r="BQ14" s="32">
        <v>828.54166143182204</v>
      </c>
      <c r="BR14" s="28">
        <f t="shared" si="10"/>
        <v>0.87188760555463574</v>
      </c>
      <c r="BS14" s="28">
        <f t="shared" si="11"/>
        <v>9.7846857394825459</v>
      </c>
      <c r="BT14" s="28">
        <f t="shared" si="12"/>
        <v>8.531146220502027</v>
      </c>
      <c r="BU14" s="32">
        <v>0.17243105903463299</v>
      </c>
      <c r="BV14" s="32">
        <v>0.178712034520916</v>
      </c>
      <c r="BW14" s="32">
        <v>6.9704353463618399E-3</v>
      </c>
      <c r="BX14" s="32">
        <v>651.01217880573597</v>
      </c>
      <c r="BY14" s="32">
        <v>191.115273272634</v>
      </c>
      <c r="BZ14" s="28">
        <f t="shared" si="13"/>
        <v>219.19714428221451</v>
      </c>
      <c r="CA14" s="32">
        <v>9.2841827276958</v>
      </c>
      <c r="CB14" s="32">
        <f>10301567.2288427/100000</f>
        <v>103.015672288427</v>
      </c>
      <c r="CC14" s="32">
        <v>371.18556822028398</v>
      </c>
      <c r="CD14" s="28"/>
      <c r="CE14" s="32">
        <v>1.05240794722682</v>
      </c>
      <c r="CF14" s="2">
        <v>361</v>
      </c>
      <c r="CG14" s="2">
        <v>80</v>
      </c>
    </row>
    <row r="15" spans="1:85" ht="14.4">
      <c r="A15" s="2">
        <v>14</v>
      </c>
      <c r="B15" s="32">
        <v>0.63101273148148096</v>
      </c>
      <c r="C15" s="32">
        <v>36.351862232558197</v>
      </c>
      <c r="D15" s="32">
        <v>877.34722941860502</v>
      </c>
      <c r="E15" s="32">
        <v>847.36110645348799</v>
      </c>
      <c r="F15" s="28">
        <f t="shared" si="0"/>
        <v>862.35416793604645</v>
      </c>
      <c r="G15" s="32">
        <v>314.22399289534877</v>
      </c>
      <c r="H15" s="32">
        <v>315.1213920116279</v>
      </c>
      <c r="I15" s="32">
        <v>322.81497336046505</v>
      </c>
      <c r="J15" s="32">
        <v>811.46615782558092</v>
      </c>
      <c r="K15" s="28">
        <f t="shared" si="14"/>
        <v>784.06492161225333</v>
      </c>
      <c r="L15" s="28">
        <f t="shared" si="15"/>
        <v>0.90921450926459813</v>
      </c>
      <c r="M15" s="28">
        <f t="shared" si="16"/>
        <v>0.6620450603472775</v>
      </c>
      <c r="N15" s="28">
        <f t="shared" si="17"/>
        <v>1.510471204898723</v>
      </c>
      <c r="O15" s="32">
        <v>312.92313888372087</v>
      </c>
      <c r="P15" s="32">
        <v>302.54691154651158</v>
      </c>
      <c r="Q15" s="32">
        <v>306.5435157441861</v>
      </c>
      <c r="R15" s="32">
        <v>380.46078955813999</v>
      </c>
      <c r="S15" s="32">
        <v>356.49838046511627</v>
      </c>
      <c r="T15" s="32">
        <v>13.6234674534884</v>
      </c>
      <c r="U15" s="32">
        <v>1.90949654651163</v>
      </c>
      <c r="V15" s="32">
        <v>1403.59711227907</v>
      </c>
      <c r="W15" s="32">
        <f t="shared" si="1"/>
        <v>146.98434588452579</v>
      </c>
      <c r="X15" s="32">
        <v>1240.07021687209</v>
      </c>
      <c r="Y15" s="32">
        <v>12.0784745813953</v>
      </c>
      <c r="Z15" s="32">
        <v>0.93002625581395304</v>
      </c>
      <c r="AA15" s="32">
        <v>4.5411116279069803E-2</v>
      </c>
      <c r="AB15" s="32">
        <v>9.2891954651162791</v>
      </c>
      <c r="AC15" s="32">
        <v>71.046232953488399</v>
      </c>
      <c r="AD15" s="32">
        <v>1217.1405449418601</v>
      </c>
      <c r="AE15" s="32">
        <v>-6.7929511627907002E-2</v>
      </c>
      <c r="AF15" s="32">
        <v>9.9624796744185993</v>
      </c>
      <c r="AG15" s="32">
        <v>8.1075096627907008</v>
      </c>
      <c r="AH15" s="32">
        <v>249.41679277906999</v>
      </c>
      <c r="AI15" s="32">
        <v>-250.07722263953499</v>
      </c>
      <c r="AJ15" s="32">
        <v>-20.4261316162791</v>
      </c>
      <c r="AK15" s="32">
        <v>315.64999999999998</v>
      </c>
      <c r="AL15" s="32">
        <v>993.5</v>
      </c>
      <c r="AM15" s="32">
        <v>50.9</v>
      </c>
      <c r="AN15" s="32">
        <v>203.25293433570101</v>
      </c>
      <c r="AO15" s="2">
        <v>8.4721632528882704</v>
      </c>
      <c r="AP15" s="2">
        <v>0.220920900831717</v>
      </c>
      <c r="AQ15" s="2">
        <f t="shared" si="18"/>
        <v>0.26516326386762357</v>
      </c>
      <c r="AR15" s="2">
        <f t="shared" si="19"/>
        <v>0.83315048098822053</v>
      </c>
      <c r="AS15" s="28">
        <f t="shared" si="2"/>
        <v>3.147924698605285E-3</v>
      </c>
      <c r="AT15" s="28">
        <f t="shared" si="3"/>
        <v>1.6274749595912517</v>
      </c>
      <c r="AU15" s="28">
        <f t="shared" si="4"/>
        <v>0.23121176117506584</v>
      </c>
      <c r="AV15" s="32">
        <v>0.30299267559820903</v>
      </c>
      <c r="AW15" s="32">
        <v>37047.097236055801</v>
      </c>
      <c r="AX15" s="32">
        <f t="shared" si="5"/>
        <v>1.0290860343348834E-2</v>
      </c>
      <c r="AY15" s="28">
        <f t="shared" si="20"/>
        <v>0.69524852523909586</v>
      </c>
      <c r="AZ15" s="32">
        <v>0.14663553028602599</v>
      </c>
      <c r="BA15" s="32">
        <v>117.66334999999999</v>
      </c>
      <c r="BB15" s="34">
        <v>14.6446680409684</v>
      </c>
      <c r="BC15" s="32">
        <f t="shared" si="21"/>
        <v>1.923526255813953</v>
      </c>
      <c r="BD15" s="32">
        <f t="shared" si="22"/>
        <v>1.7311736302325578</v>
      </c>
      <c r="BE15" s="35">
        <f t="shared" si="6"/>
        <v>150000</v>
      </c>
      <c r="BF15" s="32">
        <f t="shared" si="7"/>
        <v>1.0389111162790698</v>
      </c>
      <c r="BG15" s="32">
        <f t="shared" si="8"/>
        <v>182270.90967782622</v>
      </c>
      <c r="BH15" s="32">
        <f t="shared" si="9"/>
        <v>182270.90967782619</v>
      </c>
      <c r="BI15" s="32">
        <v>353.2</v>
      </c>
      <c r="BJ15" s="32">
        <v>550</v>
      </c>
      <c r="BK15" s="32">
        <v>500</v>
      </c>
      <c r="BL15" s="32">
        <v>530</v>
      </c>
      <c r="BM15" s="32">
        <v>182271.40383312901</v>
      </c>
      <c r="BN15" s="32">
        <v>208936.36847801</v>
      </c>
      <c r="BO15" s="32">
        <v>1403.6009174312901</v>
      </c>
      <c r="BP15" s="32">
        <v>1240.0722837866001</v>
      </c>
      <c r="BQ15" s="32">
        <v>1421.4983642662201</v>
      </c>
      <c r="BR15" s="28">
        <f t="shared" si="10"/>
        <v>0.87236982817544617</v>
      </c>
      <c r="BS15" s="28">
        <f t="shared" si="11"/>
        <v>16.787224373759855</v>
      </c>
      <c r="BT15" s="28">
        <f t="shared" si="12"/>
        <v>14.644668042479548</v>
      </c>
      <c r="BU15" s="32">
        <v>0.238772170777238</v>
      </c>
      <c r="BV15" s="32">
        <v>0.248595329748793</v>
      </c>
      <c r="BW15" s="32">
        <v>1.17519873894599E-2</v>
      </c>
      <c r="BX15" s="32">
        <v>730.780209246553</v>
      </c>
      <c r="BY15" s="32">
        <v>189.77835463999401</v>
      </c>
      <c r="BZ15" s="28">
        <f t="shared" si="13"/>
        <v>217.54346437784736</v>
      </c>
      <c r="CA15" s="32">
        <v>8.1751220796039004</v>
      </c>
      <c r="CB15" s="32">
        <f>14147011.3885336/100000</f>
        <v>141.47011388533599</v>
      </c>
      <c r="CC15" s="32">
        <v>373.51685019391903</v>
      </c>
      <c r="CD15" s="28"/>
      <c r="CE15" s="32">
        <v>1.0348803726403699</v>
      </c>
      <c r="CF15" s="2">
        <v>361</v>
      </c>
      <c r="CG15" s="2">
        <v>80</v>
      </c>
    </row>
    <row r="16" spans="1:85" ht="14.4">
      <c r="A16" s="2">
        <v>17</v>
      </c>
      <c r="B16" s="32">
        <v>0.47243055555555602</v>
      </c>
      <c r="C16" s="32">
        <v>32.675117666666701</v>
      </c>
      <c r="D16" s="32">
        <v>930.90965780246893</v>
      </c>
      <c r="E16" s="32">
        <v>895.97095301234492</v>
      </c>
      <c r="F16" s="28">
        <f t="shared" si="0"/>
        <v>913.44030540740687</v>
      </c>
      <c r="G16" s="32">
        <v>306.80253833333325</v>
      </c>
      <c r="H16" s="32">
        <v>304.86038601234566</v>
      </c>
      <c r="I16" s="32">
        <v>333.37467927160486</v>
      </c>
      <c r="J16" s="32">
        <v>813.27436704938293</v>
      </c>
      <c r="K16" s="28">
        <f t="shared" si="14"/>
        <v>759.3388617796777</v>
      </c>
      <c r="L16" s="28">
        <f t="shared" si="15"/>
        <v>0.83129555077055872</v>
      </c>
      <c r="M16" s="28">
        <f t="shared" si="16"/>
        <v>0.44902822742165571</v>
      </c>
      <c r="N16" s="28">
        <f t="shared" si="17"/>
        <v>2.2270314847288195</v>
      </c>
      <c r="O16" s="32">
        <v>313.25971446913576</v>
      </c>
      <c r="P16" s="32">
        <v>303.97068053086417</v>
      </c>
      <c r="Q16" s="32">
        <v>312.53625154320986</v>
      </c>
      <c r="R16" s="32">
        <v>414.23832782715999</v>
      </c>
      <c r="S16" s="32">
        <v>359.11315429629627</v>
      </c>
      <c r="T16" s="32">
        <v>26.0817282839506</v>
      </c>
      <c r="U16" s="32">
        <v>1.46461160493827</v>
      </c>
      <c r="V16" s="32">
        <v>1598.5223451975301</v>
      </c>
      <c r="W16" s="32">
        <f t="shared" si="1"/>
        <v>167.3968685423896</v>
      </c>
      <c r="X16" s="32">
        <v>1557.5643262962999</v>
      </c>
      <c r="Y16" s="32">
        <v>17.387902382716</v>
      </c>
      <c r="Z16" s="32">
        <v>1.5462592345679</v>
      </c>
      <c r="AA16" s="32">
        <v>9.2663765432098796E-2</v>
      </c>
      <c r="AB16" s="32">
        <v>13.063528358024699</v>
      </c>
      <c r="AC16" s="32">
        <v>60.099861320987699</v>
      </c>
      <c r="AD16" s="32">
        <v>1039.54454077778</v>
      </c>
      <c r="AE16" s="32">
        <v>-2.7536209876543202E-2</v>
      </c>
      <c r="AF16" s="32">
        <v>10.138114777777799</v>
      </c>
      <c r="AG16" s="32">
        <v>8.0550062962963001</v>
      </c>
      <c r="AH16" s="32">
        <v>51.629967197530902</v>
      </c>
      <c r="AI16" s="32">
        <v>-250.10426403703701</v>
      </c>
      <c r="AJ16" s="32">
        <v>-20.4286035802469</v>
      </c>
      <c r="AK16" s="32">
        <v>306.34999999999997</v>
      </c>
      <c r="AL16" s="32">
        <v>994.1</v>
      </c>
      <c r="AM16" s="32">
        <v>37.700000000000003</v>
      </c>
      <c r="AN16" s="32">
        <v>204.548343909311</v>
      </c>
      <c r="AO16" s="2">
        <v>7.0580835676811198</v>
      </c>
      <c r="AP16" s="2">
        <v>0.30812350802835697</v>
      </c>
      <c r="AQ16" s="2">
        <f t="shared" si="18"/>
        <v>0.410503543625727</v>
      </c>
      <c r="AR16" s="2">
        <f t="shared" si="19"/>
        <v>0.75059889935879798</v>
      </c>
      <c r="AS16" s="28">
        <f t="shared" si="2"/>
        <v>3.8551041710997418E-3</v>
      </c>
      <c r="AT16" s="28">
        <f t="shared" si="3"/>
        <v>1.9343639465205802</v>
      </c>
      <c r="AU16" s="28">
        <f t="shared" si="4"/>
        <v>0.32293800085843105</v>
      </c>
      <c r="AV16" s="32">
        <v>0.35807600316919802</v>
      </c>
      <c r="AW16" s="32">
        <v>53332.174188266697</v>
      </c>
      <c r="AX16" s="32">
        <f t="shared" si="5"/>
        <v>1.4814492830074083E-2</v>
      </c>
      <c r="AY16" s="28">
        <f t="shared" si="20"/>
        <v>0.71760780181802486</v>
      </c>
      <c r="AZ16" s="32">
        <v>0.18535233961016001</v>
      </c>
      <c r="BA16" s="32">
        <v>130.25885</v>
      </c>
      <c r="BB16" s="34">
        <v>18.394129784520601</v>
      </c>
      <c r="BC16" s="32">
        <f t="shared" si="21"/>
        <v>2.5403592345678998</v>
      </c>
      <c r="BD16" s="32">
        <f t="shared" si="22"/>
        <v>2.2863233111111101</v>
      </c>
      <c r="BE16" s="35">
        <f t="shared" si="6"/>
        <v>250000</v>
      </c>
      <c r="BF16" s="32">
        <f t="shared" si="7"/>
        <v>1.0867637654320987</v>
      </c>
      <c r="BG16" s="32">
        <f t="shared" si="8"/>
        <v>260731.39077533732</v>
      </c>
      <c r="BH16" s="32">
        <f t="shared" si="9"/>
        <v>260731.39077533732</v>
      </c>
      <c r="BI16" s="32">
        <v>353.6</v>
      </c>
      <c r="BJ16" s="32">
        <v>550</v>
      </c>
      <c r="BK16" s="32">
        <v>500</v>
      </c>
      <c r="BL16" s="32">
        <v>530</v>
      </c>
      <c r="BM16" s="32">
        <v>260732.155034036</v>
      </c>
      <c r="BN16" s="32">
        <v>295507.55171275098</v>
      </c>
      <c r="BO16" s="28">
        <v>1598.52703110786</v>
      </c>
      <c r="BP16" s="32">
        <v>1557.56692193867</v>
      </c>
      <c r="BQ16" s="32">
        <v>1765.32762961051</v>
      </c>
      <c r="BR16" s="28">
        <f t="shared" si="10"/>
        <v>0.88231039712572845</v>
      </c>
      <c r="BS16" s="28">
        <f t="shared" si="11"/>
        <v>20.847685622817473</v>
      </c>
      <c r="BT16" s="28">
        <f t="shared" si="12"/>
        <v>18.394129781020425</v>
      </c>
      <c r="BU16" s="32">
        <v>0.37174556251955698</v>
      </c>
      <c r="BV16" s="32">
        <v>0.387677816429572</v>
      </c>
      <c r="BW16" s="32">
        <v>1.5765885345263301E-2</v>
      </c>
      <c r="BX16" s="32">
        <v>741.672923068003</v>
      </c>
      <c r="BY16" s="32">
        <v>183.49504144437401</v>
      </c>
      <c r="BZ16" s="28">
        <f t="shared" si="13"/>
        <v>207.9710746265026</v>
      </c>
      <c r="CA16" s="32">
        <v>7.18904264650826</v>
      </c>
      <c r="CB16" s="32">
        <f>15861788.6444421/100000</f>
        <v>158.617886444421</v>
      </c>
      <c r="CC16" s="32">
        <v>373.08492398251298</v>
      </c>
      <c r="CD16" s="28"/>
      <c r="CE16" s="32"/>
      <c r="CF16" s="2">
        <v>361</v>
      </c>
      <c r="CG16" s="2">
        <v>80</v>
      </c>
    </row>
    <row r="17" spans="1:85" ht="14.4">
      <c r="A17" s="2">
        <v>13</v>
      </c>
      <c r="B17" s="32">
        <v>0.495978009259259</v>
      </c>
      <c r="C17" s="32">
        <v>36.5362117093023</v>
      </c>
      <c r="D17" s="32">
        <v>690.13345132558197</v>
      </c>
      <c r="E17" s="32">
        <v>651.33875405814001</v>
      </c>
      <c r="F17" s="28">
        <f t="shared" si="0"/>
        <v>670.73610269186099</v>
      </c>
      <c r="G17" s="32">
        <v>307.98027198837207</v>
      </c>
      <c r="H17" s="32">
        <v>309.1087716976744</v>
      </c>
      <c r="I17" s="32">
        <v>310.36770812790701</v>
      </c>
      <c r="J17" s="32">
        <v>638.94078816279102</v>
      </c>
      <c r="K17" s="28">
        <f t="shared" si="14"/>
        <v>621.82023418559947</v>
      </c>
      <c r="L17" s="28">
        <f t="shared" si="15"/>
        <v>0.92707136486324837</v>
      </c>
      <c r="M17" s="28">
        <f t="shared" si="16"/>
        <v>0.72026181312588966</v>
      </c>
      <c r="N17" s="28">
        <f t="shared" si="17"/>
        <v>1.3883840317176677</v>
      </c>
      <c r="O17" s="32">
        <v>314.41555936046507</v>
      </c>
      <c r="P17" s="32">
        <v>301.66350773255806</v>
      </c>
      <c r="Q17" s="32">
        <v>305.79307379069769</v>
      </c>
      <c r="R17" s="32">
        <v>339.76546125581388</v>
      </c>
      <c r="S17" s="32">
        <v>356.09077237209294</v>
      </c>
      <c r="T17" s="32">
        <v>13.623776790697701</v>
      </c>
      <c r="U17" s="32">
        <v>1.5034329534883699</v>
      </c>
      <c r="V17" s="32">
        <v>1598.7568733023199</v>
      </c>
      <c r="W17" s="32">
        <f t="shared" si="1"/>
        <v>167.42142826809186</v>
      </c>
      <c r="X17" s="32">
        <v>549.12107009302304</v>
      </c>
      <c r="Y17" s="32">
        <v>6.5133069302325604</v>
      </c>
      <c r="Z17" s="32">
        <v>0.36732195348837199</v>
      </c>
      <c r="AA17" s="32">
        <v>1.91573720930233E-2</v>
      </c>
      <c r="AB17" s="32">
        <v>7.1459435465116297</v>
      </c>
      <c r="AC17" s="32">
        <v>27.255788337209299</v>
      </c>
      <c r="AD17" s="32">
        <v>1067.1698804534899</v>
      </c>
      <c r="AE17" s="32">
        <v>-9.9256290697674401E-2</v>
      </c>
      <c r="AF17" s="32">
        <v>6.3074564418604702</v>
      </c>
      <c r="AG17" s="32">
        <v>12.4434184418605</v>
      </c>
      <c r="AH17" s="32">
        <v>110.50072241860499</v>
      </c>
      <c r="AI17" s="32">
        <v>-250.103686127907</v>
      </c>
      <c r="AJ17" s="32">
        <v>-20.428200058139499</v>
      </c>
      <c r="AK17" s="32">
        <v>309.54999999999995</v>
      </c>
      <c r="AL17" s="32">
        <v>993.9</v>
      </c>
      <c r="AM17" s="32">
        <v>45.1</v>
      </c>
      <c r="AN17" s="32">
        <v>217.302383013129</v>
      </c>
      <c r="AO17" s="2">
        <v>11.3675340932671</v>
      </c>
      <c r="AP17" s="2">
        <v>0.17074428487236401</v>
      </c>
      <c r="AQ17" s="2">
        <f t="shared" si="18"/>
        <v>0.2181905161282876</v>
      </c>
      <c r="AR17" s="2">
        <f t="shared" si="19"/>
        <v>0.78254677564433162</v>
      </c>
      <c r="AS17" s="28">
        <f t="shared" si="2"/>
        <v>2.1359631063813016E-3</v>
      </c>
      <c r="AT17" s="28">
        <f t="shared" si="3"/>
        <v>1.0829508384193274</v>
      </c>
      <c r="AU17" s="28">
        <f t="shared" si="4"/>
        <v>0.17629362237692214</v>
      </c>
      <c r="AV17" s="32">
        <v>0.26296295811056902</v>
      </c>
      <c r="AW17" s="32">
        <v>19977.615016409301</v>
      </c>
      <c r="AX17" s="32">
        <f t="shared" si="5"/>
        <v>5.5493375045581397E-3</v>
      </c>
      <c r="AY17" s="28">
        <f t="shared" si="20"/>
        <v>0.48508758560069792</v>
      </c>
      <c r="AZ17" s="32">
        <v>6.9420655475846901E-2</v>
      </c>
      <c r="BA17" s="32">
        <v>79.253349999999998</v>
      </c>
      <c r="BB17" s="34">
        <v>6.4848713213173896</v>
      </c>
      <c r="BC17" s="32">
        <f t="shared" si="21"/>
        <v>1.361221953488372</v>
      </c>
      <c r="BD17" s="32">
        <f t="shared" si="22"/>
        <v>1.2250997581395349</v>
      </c>
      <c r="BE17" s="35">
        <f t="shared" si="6"/>
        <v>100000</v>
      </c>
      <c r="BF17" s="32">
        <f t="shared" si="7"/>
        <v>1.0130573720930234</v>
      </c>
      <c r="BG17" s="32">
        <f t="shared" si="8"/>
        <v>91934.633847076897</v>
      </c>
      <c r="BH17" s="32">
        <f t="shared" si="9"/>
        <v>91934.633847076897</v>
      </c>
      <c r="BI17" s="32">
        <v>356.2</v>
      </c>
      <c r="BJ17" s="32">
        <v>550</v>
      </c>
      <c r="BK17" s="32">
        <v>500</v>
      </c>
      <c r="BL17" s="32">
        <v>530</v>
      </c>
      <c r="BM17" s="32">
        <v>91934.697125202802</v>
      </c>
      <c r="BN17" s="32">
        <v>104263.00019406001</v>
      </c>
      <c r="BO17" s="32">
        <v>1598.7579736979901</v>
      </c>
      <c r="BP17" s="32">
        <v>549.12198530087801</v>
      </c>
      <c r="BQ17" s="32">
        <v>622.76168946432801</v>
      </c>
      <c r="BR17" s="28">
        <f t="shared" si="10"/>
        <v>0.88175299571367083</v>
      </c>
      <c r="BS17" s="28">
        <f t="shared" si="11"/>
        <v>7.3545214509319559</v>
      </c>
      <c r="BT17" s="28">
        <f t="shared" si="12"/>
        <v>6.4848713213997051</v>
      </c>
      <c r="BU17" s="32">
        <v>0.19483162953451599</v>
      </c>
      <c r="BV17" s="32">
        <v>0.19941538008382301</v>
      </c>
      <c r="BW17" s="32">
        <v>5.7544415979342498E-3</v>
      </c>
      <c r="BX17" s="32">
        <v>599.95427175133295</v>
      </c>
      <c r="BY17" s="32">
        <v>186.38334318040799</v>
      </c>
      <c r="BZ17" s="28">
        <f t="shared" si="13"/>
        <v>211.37817970162217</v>
      </c>
      <c r="CA17" s="35">
        <v>9.3242918890402393</v>
      </c>
      <c r="CB17" s="32">
        <f>8784233.35575965/100000</f>
        <v>87.842333557596504</v>
      </c>
      <c r="CC17" s="32">
        <v>369.64623734758499</v>
      </c>
      <c r="CD17" s="28"/>
      <c r="CE17" s="32">
        <v>1.05030346391772</v>
      </c>
      <c r="CF17" s="2">
        <v>361</v>
      </c>
      <c r="CG17" s="2">
        <v>80</v>
      </c>
    </row>
    <row r="18" spans="1:85" ht="14.4">
      <c r="A18" s="2">
        <v>5</v>
      </c>
      <c r="B18" s="32">
        <v>0.53973668981481504</v>
      </c>
      <c r="C18" s="32">
        <v>36.083635783289203</v>
      </c>
      <c r="D18" s="32">
        <v>791.03726069179902</v>
      </c>
      <c r="E18" s="32">
        <v>741.78281506768099</v>
      </c>
      <c r="F18" s="28">
        <f t="shared" si="0"/>
        <v>766.41003787974</v>
      </c>
      <c r="G18" s="32">
        <v>307.33464697001756</v>
      </c>
      <c r="H18" s="32">
        <v>306.73168661596117</v>
      </c>
      <c r="I18" s="32">
        <v>316.74401250286598</v>
      </c>
      <c r="J18" s="32">
        <v>717.48550057076704</v>
      </c>
      <c r="K18" s="28">
        <f t="shared" si="14"/>
        <v>691.14151894285851</v>
      </c>
      <c r="L18" s="28">
        <f t="shared" si="15"/>
        <v>0.90179079707109455</v>
      </c>
      <c r="M18" s="28">
        <f t="shared" si="16"/>
        <v>0.63893762351029604</v>
      </c>
      <c r="N18" s="28">
        <f t="shared" si="17"/>
        <v>1.5650980051950028</v>
      </c>
      <c r="O18" s="32">
        <v>313.38670553791889</v>
      </c>
      <c r="P18" s="32">
        <v>301.9664390705467</v>
      </c>
      <c r="Q18" s="32">
        <v>306.49559697905636</v>
      </c>
      <c r="R18" s="32">
        <v>361.95072028064368</v>
      </c>
      <c r="S18" s="32">
        <v>356.51820520502639</v>
      </c>
      <c r="T18" s="32">
        <v>19.079661343915301</v>
      </c>
      <c r="U18" s="32">
        <v>1.82709186618166</v>
      </c>
      <c r="V18" s="32">
        <v>1599.1848142056899</v>
      </c>
      <c r="W18" s="32">
        <f t="shared" si="1"/>
        <v>167.46624213469846</v>
      </c>
      <c r="X18" s="32">
        <v>883.30485231150794</v>
      </c>
      <c r="Y18" s="32">
        <v>9.9460688910934802</v>
      </c>
      <c r="Z18" s="32">
        <v>0.71508825022045897</v>
      </c>
      <c r="AA18" s="32">
        <v>3.6090411375661401E-2</v>
      </c>
      <c r="AB18" s="32">
        <v>9.0111854045414503</v>
      </c>
      <c r="AC18" s="32">
        <v>49.505267457671998</v>
      </c>
      <c r="AD18" s="32">
        <v>1144.44139370723</v>
      </c>
      <c r="AE18" s="32">
        <v>-6.0513144841269802E-2</v>
      </c>
      <c r="AF18" s="32">
        <v>7.8085717039241596</v>
      </c>
      <c r="AG18" s="32">
        <v>10.4206437663139</v>
      </c>
      <c r="AH18" s="32">
        <v>222.216940929674</v>
      </c>
      <c r="AI18" s="32">
        <v>-250.099066804453</v>
      </c>
      <c r="AJ18" s="32">
        <v>-20.4280105330688</v>
      </c>
      <c r="AK18" s="32">
        <v>317.7</v>
      </c>
      <c r="AL18" s="32">
        <v>993.1</v>
      </c>
      <c r="AM18" s="32">
        <v>56.15</v>
      </c>
      <c r="AN18" s="32">
        <v>206.231816616619</v>
      </c>
      <c r="AO18" s="2">
        <v>9.52270345366348</v>
      </c>
      <c r="AP18" s="2">
        <v>0.214439215891713</v>
      </c>
      <c r="AQ18" s="2">
        <f t="shared" si="18"/>
        <v>0.26673584419618895</v>
      </c>
      <c r="AR18" s="2">
        <f t="shared" si="19"/>
        <v>0.80393850529510813</v>
      </c>
      <c r="AS18" s="28">
        <f t="shared" si="2"/>
        <v>2.6818565807632967E-3</v>
      </c>
      <c r="AT18" s="28">
        <f t="shared" si="3"/>
        <v>1.3955228451594222</v>
      </c>
      <c r="AU18" s="28">
        <f t="shared" si="4"/>
        <v>0.22291326658692465</v>
      </c>
      <c r="AV18" s="32">
        <v>0.29587474664011798</v>
      </c>
      <c r="AW18" s="32">
        <v>30506.582502761899</v>
      </c>
      <c r="AX18" s="32">
        <f t="shared" si="5"/>
        <v>8.4740506952116386E-3</v>
      </c>
      <c r="AY18" s="28">
        <f t="shared" si="20"/>
        <v>0.5898098818320483</v>
      </c>
      <c r="AZ18" s="32">
        <v>0.105979629370364</v>
      </c>
      <c r="BA18" s="32">
        <v>101.45215</v>
      </c>
      <c r="BB18" s="34">
        <v>10.431430547301799</v>
      </c>
      <c r="BC18" s="32">
        <f t="shared" si="21"/>
        <v>1.7081882502204588</v>
      </c>
      <c r="BD18" s="32">
        <f t="shared" si="22"/>
        <v>1.5373694251984129</v>
      </c>
      <c r="BE18" s="35">
        <f t="shared" si="6"/>
        <v>150000</v>
      </c>
      <c r="BF18" s="32">
        <f t="shared" si="7"/>
        <v>1.0291904113756614</v>
      </c>
      <c r="BG18" s="32">
        <f t="shared" si="8"/>
        <v>147923.74427595307</v>
      </c>
      <c r="BH18" s="32">
        <f t="shared" si="9"/>
        <v>147923.74427595307</v>
      </c>
      <c r="BI18" s="32">
        <v>355.5</v>
      </c>
      <c r="BJ18" s="32">
        <v>550</v>
      </c>
      <c r="BK18" s="32">
        <v>500</v>
      </c>
      <c r="BL18" s="32">
        <v>530</v>
      </c>
      <c r="BM18" s="32">
        <v>147923.63392223799</v>
      </c>
      <c r="BN18" s="32">
        <v>167589.02948198901</v>
      </c>
      <c r="BO18" s="32">
        <v>1599.18362120646</v>
      </c>
      <c r="BP18" s="32">
        <v>883.30632447314099</v>
      </c>
      <c r="BQ18" s="32">
        <v>1000.7427507198601</v>
      </c>
      <c r="BR18" s="28">
        <f t="shared" si="10"/>
        <v>0.88265073500433155</v>
      </c>
      <c r="BS18" s="28">
        <f t="shared" si="11"/>
        <v>11.818299281329086</v>
      </c>
      <c r="BT18" s="28">
        <f t="shared" si="12"/>
        <v>10.431430547166281</v>
      </c>
      <c r="BU18" s="32">
        <v>0.23989333208695701</v>
      </c>
      <c r="BV18" s="32">
        <v>0.24787363059645801</v>
      </c>
      <c r="BW18" s="32">
        <v>9.14590111475104E-3</v>
      </c>
      <c r="BX18" s="32">
        <v>668.19643781343495</v>
      </c>
      <c r="BY18" s="32">
        <v>185.13692996473</v>
      </c>
      <c r="BZ18" s="28">
        <f t="shared" si="13"/>
        <v>209.75106304513693</v>
      </c>
      <c r="CA18" s="32">
        <v>9.0202846564393599</v>
      </c>
      <c r="CB18" s="32">
        <f>11642510.4982503/100000</f>
        <v>116.425104982503</v>
      </c>
      <c r="CC18" s="32">
        <v>371.972037070346</v>
      </c>
      <c r="CD18" s="28"/>
      <c r="CE18" s="32">
        <v>1.05107680746347</v>
      </c>
      <c r="CF18" s="2">
        <v>361</v>
      </c>
      <c r="CG18" s="2">
        <v>80</v>
      </c>
    </row>
    <row r="19" spans="1:85" s="28" customFormat="1" ht="14.4">
      <c r="A19" s="2">
        <v>10</v>
      </c>
      <c r="B19" s="32">
        <v>0.533562287564463</v>
      </c>
      <c r="C19" s="32">
        <v>34.341577197850697</v>
      </c>
      <c r="D19" s="32">
        <v>867.15556329061201</v>
      </c>
      <c r="E19" s="32">
        <v>823.94608308920101</v>
      </c>
      <c r="F19" s="28">
        <f t="shared" si="0"/>
        <v>845.55082318990651</v>
      </c>
      <c r="G19" s="32">
        <v>309.76408609388187</v>
      </c>
      <c r="H19" s="32">
        <v>308.63534903738127</v>
      </c>
      <c r="I19" s="32">
        <v>325.90490556058808</v>
      </c>
      <c r="J19" s="32">
        <v>772.22765270826699</v>
      </c>
      <c r="K19" s="28">
        <f t="shared" si="14"/>
        <v>732.74594552584574</v>
      </c>
      <c r="L19" s="28">
        <f t="shared" si="15"/>
        <v>0.86659006818951989</v>
      </c>
      <c r="M19" s="28">
        <f t="shared" si="16"/>
        <v>0.53768270251146266</v>
      </c>
      <c r="N19" s="28">
        <f t="shared" si="17"/>
        <v>1.8598329373980211</v>
      </c>
      <c r="O19" s="32">
        <v>313.8140825348101</v>
      </c>
      <c r="P19" s="32">
        <v>303.06053887335179</v>
      </c>
      <c r="Q19" s="32">
        <v>309.09971957357595</v>
      </c>
      <c r="R19" s="32">
        <v>386.86325372817799</v>
      </c>
      <c r="S19" s="32">
        <v>357.9027808643196</v>
      </c>
      <c r="T19" s="32">
        <v>19.665437908359699</v>
      </c>
      <c r="U19" s="32">
        <v>1.56811642721519</v>
      </c>
      <c r="V19" s="32">
        <v>1599.27545799473</v>
      </c>
      <c r="W19" s="32">
        <f t="shared" si="1"/>
        <v>167.47573433008986</v>
      </c>
      <c r="X19" s="32">
        <v>1229.13756327136</v>
      </c>
      <c r="Y19" s="32">
        <v>13.6106628842959</v>
      </c>
      <c r="Z19" s="32">
        <v>1.11175533445411</v>
      </c>
      <c r="AA19" s="32">
        <v>6.10631537447257E-2</v>
      </c>
      <c r="AB19" s="32">
        <v>11.228069530656599</v>
      </c>
      <c r="AC19" s="32">
        <v>62.837489681170901</v>
      </c>
      <c r="AD19" s="32">
        <v>1122.70727070873</v>
      </c>
      <c r="AE19" s="32">
        <v>-5.2473269448839698E-2</v>
      </c>
      <c r="AF19" s="32">
        <v>8.8193688368275307</v>
      </c>
      <c r="AG19" s="32">
        <v>9.1616391041666692</v>
      </c>
      <c r="AH19" s="32">
        <v>97.288490810126603</v>
      </c>
      <c r="AI19" s="32">
        <v>-250.09834244007101</v>
      </c>
      <c r="AJ19" s="32">
        <v>-20.427952056302701</v>
      </c>
      <c r="AK19" s="32">
        <v>313.7</v>
      </c>
      <c r="AL19" s="32">
        <v>993.7</v>
      </c>
      <c r="AM19" s="32">
        <v>47.9</v>
      </c>
      <c r="AN19" s="32">
        <v>202.800485757817</v>
      </c>
      <c r="AO19" s="2">
        <v>8.3289560913665692</v>
      </c>
      <c r="AP19" s="2">
        <v>0.26590168532179997</v>
      </c>
      <c r="AQ19" s="2">
        <f t="shared" si="18"/>
        <v>0.33263337363059536</v>
      </c>
      <c r="AR19" s="2">
        <f t="shared" si="19"/>
        <v>0.79938366502302927</v>
      </c>
      <c r="AS19" s="28">
        <f t="shared" si="2"/>
        <v>3.3252768807595389E-3</v>
      </c>
      <c r="AT19" s="28">
        <f t="shared" si="3"/>
        <v>1.7085453786241918</v>
      </c>
      <c r="AU19" s="28">
        <f t="shared" si="4"/>
        <v>0.27749797009922006</v>
      </c>
      <c r="AV19" s="32">
        <v>0.331279162944209</v>
      </c>
      <c r="AW19" s="32">
        <v>41746.625198712303</v>
      </c>
      <c r="AX19" s="32">
        <f t="shared" si="5"/>
        <v>1.1596284777420085E-2</v>
      </c>
      <c r="AY19" s="28">
        <f t="shared" si="20"/>
        <v>0.65091305106044295</v>
      </c>
      <c r="AZ19" s="32">
        <v>0.14501923004508899</v>
      </c>
      <c r="BA19" s="32">
        <v>117.9863</v>
      </c>
      <c r="BB19" s="34">
        <v>14.515558349749901</v>
      </c>
      <c r="BC19" s="32">
        <f t="shared" si="21"/>
        <v>2.1054553344541098</v>
      </c>
      <c r="BD19" s="32">
        <f t="shared" si="22"/>
        <v>1.8949098010086989</v>
      </c>
      <c r="BE19" s="35">
        <f t="shared" si="6"/>
        <v>200000</v>
      </c>
      <c r="BF19" s="32">
        <f t="shared" si="7"/>
        <v>1.0547631537447257</v>
      </c>
      <c r="BG19" s="32">
        <f t="shared" si="8"/>
        <v>205850.7160015683</v>
      </c>
      <c r="BH19" s="32">
        <f t="shared" si="9"/>
        <v>205850.7160015683</v>
      </c>
      <c r="BI19" s="32">
        <v>353</v>
      </c>
      <c r="BJ19" s="32">
        <v>550</v>
      </c>
      <c r="BK19" s="32">
        <v>500</v>
      </c>
      <c r="BL19" s="32">
        <v>530</v>
      </c>
      <c r="BM19" s="32">
        <v>205850.66241216799</v>
      </c>
      <c r="BN19" s="32">
        <v>233349.37801012801</v>
      </c>
      <c r="BO19" s="32">
        <v>1599.27504200621</v>
      </c>
      <c r="BP19" s="32">
        <v>1229.1396115628199</v>
      </c>
      <c r="BQ19" s="32">
        <v>1393.3465586188699</v>
      </c>
      <c r="BR19" s="28">
        <f t="shared" si="10"/>
        <v>0.88214924274200868</v>
      </c>
      <c r="BS19" s="28">
        <f t="shared" si="11"/>
        <v>16.454764843901341</v>
      </c>
      <c r="BT19" s="28">
        <f t="shared" si="12"/>
        <v>14.515558346545394</v>
      </c>
      <c r="BU19" s="32">
        <v>0.300925972025543</v>
      </c>
      <c r="BV19" s="32">
        <v>0.31241986782801301</v>
      </c>
      <c r="BW19" s="32">
        <v>1.2563959003704999E-2</v>
      </c>
      <c r="BX19" s="32">
        <v>708.92740188226003</v>
      </c>
      <c r="BY19" s="32">
        <v>184.34927672217799</v>
      </c>
      <c r="BZ19" s="28">
        <f t="shared" si="13"/>
        <v>208.97742444255815</v>
      </c>
      <c r="CA19" s="32">
        <v>8.3187133084721498</v>
      </c>
      <c r="CB19" s="32">
        <f>14261810.1357409/100000</f>
        <v>142.61810135740902</v>
      </c>
      <c r="CC19" s="32">
        <v>373.11668493972201</v>
      </c>
      <c r="CE19" s="32">
        <v>1.04274456714799</v>
      </c>
      <c r="CF19" s="2">
        <v>361</v>
      </c>
      <c r="CG19" s="2">
        <v>80</v>
      </c>
    </row>
    <row r="20" spans="1:85" ht="14.4">
      <c r="A20" s="2">
        <v>16</v>
      </c>
      <c r="B20" s="32">
        <v>0.46611661353976902</v>
      </c>
      <c r="C20" s="32">
        <v>32.698864295081997</v>
      </c>
      <c r="D20" s="32">
        <v>936.24071221311499</v>
      </c>
      <c r="E20" s="32">
        <v>903.47230662295101</v>
      </c>
      <c r="F20" s="28">
        <f t="shared" si="0"/>
        <v>919.85650941803306</v>
      </c>
      <c r="G20" s="32">
        <v>306.36552029508198</v>
      </c>
      <c r="H20" s="32">
        <v>304.68023926229506</v>
      </c>
      <c r="I20" s="32">
        <v>335.908317442623</v>
      </c>
      <c r="J20" s="32">
        <v>809.08010172131094</v>
      </c>
      <c r="K20" s="28">
        <f t="shared" si="14"/>
        <v>749.43126680769137</v>
      </c>
      <c r="L20" s="28">
        <f t="shared" si="15"/>
        <v>0.81472627429884159</v>
      </c>
      <c r="M20" s="28">
        <f t="shared" si="16"/>
        <v>0.41151354018507635</v>
      </c>
      <c r="N20" s="28">
        <f t="shared" si="17"/>
        <v>2.4300536977477205</v>
      </c>
      <c r="O20" s="32">
        <v>313.05138762295076</v>
      </c>
      <c r="P20" s="32">
        <v>303.94689772131147</v>
      </c>
      <c r="Q20" s="32">
        <v>313.99183857377045</v>
      </c>
      <c r="R20" s="32">
        <v>424.10476821311499</v>
      </c>
      <c r="S20" s="32">
        <v>359.60584886885249</v>
      </c>
      <c r="T20" s="32">
        <v>28.053404491803299</v>
      </c>
      <c r="U20" s="32">
        <v>1.4215162622950801</v>
      </c>
      <c r="V20" s="32">
        <v>1796.8961723278701</v>
      </c>
      <c r="W20" s="32">
        <f t="shared" si="1"/>
        <v>188.17052714162853</v>
      </c>
      <c r="X20" s="32">
        <v>1416.7171247868901</v>
      </c>
      <c r="Y20" s="32">
        <v>18.715154360655699</v>
      </c>
      <c r="Z20" s="32">
        <v>1.6098735737704899</v>
      </c>
      <c r="AA20" s="32">
        <v>0.12227624590163901</v>
      </c>
      <c r="AB20" s="32">
        <v>15.051616163934399</v>
      </c>
      <c r="AC20" s="32">
        <v>60.154522442622998</v>
      </c>
      <c r="AD20" s="32">
        <v>776.43758944262299</v>
      </c>
      <c r="AE20" s="32">
        <v>-3.2919426229508199E-2</v>
      </c>
      <c r="AF20" s="32">
        <v>9.5064539016393503</v>
      </c>
      <c r="AG20" s="32">
        <v>8.8337400491803297</v>
      </c>
      <c r="AH20" s="32">
        <v>54.880996163934398</v>
      </c>
      <c r="AI20" s="32">
        <v>-250.113198803279</v>
      </c>
      <c r="AJ20" s="32">
        <v>-20.429454196721299</v>
      </c>
      <c r="AK20" s="32">
        <v>304.54999999999995</v>
      </c>
      <c r="AL20" s="32">
        <v>993.9</v>
      </c>
      <c r="AM20" s="32">
        <v>34.6</v>
      </c>
      <c r="AN20" s="32">
        <v>215.32812757703999</v>
      </c>
      <c r="AO20" s="2">
        <v>5.9162327272112396</v>
      </c>
      <c r="AP20" s="2">
        <v>0.35346153228694999</v>
      </c>
      <c r="AQ20" s="2">
        <f t="shared" si="18"/>
        <v>0.47577028748755612</v>
      </c>
      <c r="AR20" s="2">
        <f t="shared" si="19"/>
        <v>0.74292477185472594</v>
      </c>
      <c r="AS20" s="28">
        <f t="shared" si="2"/>
        <v>3.934134177925732E-3</v>
      </c>
      <c r="AT20" s="28">
        <f t="shared" si="3"/>
        <v>1.9624199860401184</v>
      </c>
      <c r="AU20" s="28">
        <f t="shared" si="4"/>
        <v>0.36940684380222866</v>
      </c>
      <c r="AV20" s="32">
        <v>0.38243553129835101</v>
      </c>
      <c r="AW20" s="32">
        <v>57403.121455003296</v>
      </c>
      <c r="AX20" s="32">
        <f t="shared" si="5"/>
        <v>1.5945311515278691E-2</v>
      </c>
      <c r="AY20" s="28">
        <f t="shared" si="20"/>
        <v>0.67331152719450793</v>
      </c>
      <c r="AZ20" s="32">
        <v>0.177476158732328</v>
      </c>
      <c r="BA20" s="32">
        <v>115.62935</v>
      </c>
      <c r="BB20" s="34">
        <v>16.730788078107</v>
      </c>
      <c r="BC20" s="32">
        <f t="shared" si="21"/>
        <v>2.6037735737704901</v>
      </c>
      <c r="BD20" s="32">
        <f t="shared" si="22"/>
        <v>2.3433962163934412</v>
      </c>
      <c r="BE20" s="35">
        <f t="shared" si="6"/>
        <v>250000</v>
      </c>
      <c r="BF20" s="32">
        <f t="shared" si="7"/>
        <v>1.1161762459016391</v>
      </c>
      <c r="BG20" s="32">
        <f t="shared" si="8"/>
        <v>266584.4081817214</v>
      </c>
      <c r="BH20" s="32">
        <f t="shared" si="9"/>
        <v>266584.4081817214</v>
      </c>
      <c r="BI20" s="32">
        <v>353.9</v>
      </c>
      <c r="BJ20" s="32">
        <v>550</v>
      </c>
      <c r="BK20" s="32">
        <v>500</v>
      </c>
      <c r="BL20" s="32">
        <v>530</v>
      </c>
      <c r="BM20" s="32">
        <v>266585.62396618299</v>
      </c>
      <c r="BN20" s="32">
        <v>296378.83809126401</v>
      </c>
      <c r="BO20" s="32">
        <v>1796.90436697939</v>
      </c>
      <c r="BP20" s="32">
        <v>1416.7194861932001</v>
      </c>
      <c r="BQ20" s="32">
        <v>1575.0657849608101</v>
      </c>
      <c r="BR20" s="28">
        <f t="shared" si="10"/>
        <v>0.89946686654008556</v>
      </c>
      <c r="BS20" s="28">
        <f t="shared" si="11"/>
        <v>18.600783089412801</v>
      </c>
      <c r="BT20" s="28">
        <f t="shared" si="12"/>
        <v>16.730788080625945</v>
      </c>
      <c r="BU20" s="32">
        <v>0.43262668709869401</v>
      </c>
      <c r="BV20" s="32">
        <v>0.447889251663322</v>
      </c>
      <c r="BW20" s="32">
        <v>1.57682191755186E-2</v>
      </c>
      <c r="BX20" s="32">
        <v>726.67261452139098</v>
      </c>
      <c r="BY20" s="32">
        <v>185.878221888741</v>
      </c>
      <c r="BZ20" s="28">
        <f t="shared" si="13"/>
        <v>206.65377325542337</v>
      </c>
      <c r="CA20" s="32">
        <v>6.8289731213847897</v>
      </c>
      <c r="CB20" s="32">
        <f>13991356.7701703/100000</f>
        <v>139.91356770170299</v>
      </c>
      <c r="CC20" s="32">
        <v>365.09225990896903</v>
      </c>
      <c r="CD20" s="28"/>
      <c r="CE20" s="32"/>
      <c r="CF20" s="2">
        <v>361</v>
      </c>
      <c r="CG20" s="2">
        <v>80</v>
      </c>
    </row>
    <row r="21" spans="1:85" ht="14.4">
      <c r="A21" s="2">
        <v>4</v>
      </c>
      <c r="B21" s="32">
        <v>0.54158557757452597</v>
      </c>
      <c r="C21" s="32">
        <v>36.239717661723901</v>
      </c>
      <c r="D21" s="32">
        <v>704.81523309977797</v>
      </c>
      <c r="E21" s="32">
        <v>669.94081654670197</v>
      </c>
      <c r="F21" s="28">
        <f t="shared" si="0"/>
        <v>687.37802482323991</v>
      </c>
      <c r="G21" s="32">
        <v>306.21337248073729</v>
      </c>
      <c r="H21" s="32">
        <v>305.9616837343404</v>
      </c>
      <c r="I21" s="32">
        <v>312.92254079794895</v>
      </c>
      <c r="J21" s="32">
        <v>645.32218902688498</v>
      </c>
      <c r="K21" s="28">
        <f t="shared" si="14"/>
        <v>622.67673898269391</v>
      </c>
      <c r="L21" s="28">
        <f t="shared" si="15"/>
        <v>0.90587233879467699</v>
      </c>
      <c r="M21" s="28">
        <f t="shared" si="16"/>
        <v>0.65156386895363116</v>
      </c>
      <c r="N21" s="28">
        <f t="shared" si="17"/>
        <v>1.5347689576555779</v>
      </c>
      <c r="O21" s="32">
        <v>314.60232250457318</v>
      </c>
      <c r="P21" s="32">
        <v>301.91656526704548</v>
      </c>
      <c r="Q21" s="32">
        <v>308.60021059132475</v>
      </c>
      <c r="R21" s="32">
        <v>344.67458470426828</v>
      </c>
      <c r="S21" s="32">
        <v>-1014499643.72615</v>
      </c>
      <c r="T21" s="32">
        <v>18.855012015798199</v>
      </c>
      <c r="U21" s="32">
        <v>1.8233827160476701</v>
      </c>
      <c r="V21" s="32">
        <v>1799.203633074</v>
      </c>
      <c r="W21" s="32">
        <f t="shared" si="1"/>
        <v>188.41216386591148</v>
      </c>
      <c r="X21" s="32">
        <v>551.21338566865302</v>
      </c>
      <c r="Y21" s="32">
        <v>7.6285137091186304</v>
      </c>
      <c r="Z21" s="32">
        <v>0.485531465631929</v>
      </c>
      <c r="AA21" s="32">
        <v>2.8068568181818201E-2</v>
      </c>
      <c r="AB21" s="32">
        <v>8.6680962199279392</v>
      </c>
      <c r="AC21" s="32">
        <v>23.5611943224778</v>
      </c>
      <c r="AD21" s="32">
        <v>657.426001969097</v>
      </c>
      <c r="AE21" s="32">
        <v>-7.4073688470066498E-2</v>
      </c>
      <c r="AF21" s="32">
        <v>5.96784654891907</v>
      </c>
      <c r="AG21" s="32">
        <v>12.863201097560999</v>
      </c>
      <c r="AH21" s="32">
        <v>90.283758821230606</v>
      </c>
      <c r="AI21" s="32">
        <v>-250.11660729614701</v>
      </c>
      <c r="AJ21" s="32">
        <v>-20.429129538248301</v>
      </c>
      <c r="AK21" s="32">
        <v>316.5</v>
      </c>
      <c r="AL21" s="32">
        <v>992.55</v>
      </c>
      <c r="AM21" s="32">
        <v>55.1</v>
      </c>
      <c r="AN21" s="32">
        <v>225.295923547792</v>
      </c>
      <c r="AO21" s="2">
        <v>7.4984180199449</v>
      </c>
      <c r="AP21" s="2">
        <v>0.20642917222148399</v>
      </c>
      <c r="AQ21" s="2">
        <f t="shared" si="18"/>
        <v>0.2609167298822575</v>
      </c>
      <c r="AR21" s="2">
        <f t="shared" si="19"/>
        <v>0.79116878520836198</v>
      </c>
      <c r="AS21" s="28">
        <f t="shared" si="2"/>
        <v>2.2946726921487235E-3</v>
      </c>
      <c r="AT21" s="28">
        <f t="shared" si="3"/>
        <v>1.1895388982908699</v>
      </c>
      <c r="AU21" s="28">
        <f t="shared" si="4"/>
        <v>0.21292866590165307</v>
      </c>
      <c r="AV21" s="32">
        <v>0.28806730844073403</v>
      </c>
      <c r="AW21" s="32">
        <v>23398.177248608699</v>
      </c>
      <c r="AX21" s="32">
        <f t="shared" si="5"/>
        <v>6.4994936801690828E-3</v>
      </c>
      <c r="AY21" s="28">
        <f t="shared" si="20"/>
        <v>0.46993052055961593</v>
      </c>
      <c r="AZ21" s="32">
        <v>7.2248561093270602E-2</v>
      </c>
      <c r="BA21" s="32">
        <v>74.965000000000003</v>
      </c>
      <c r="BB21" s="34">
        <v>6.5095806213434297</v>
      </c>
      <c r="BC21" s="32">
        <f t="shared" si="21"/>
        <v>1.478081465631929</v>
      </c>
      <c r="BD21" s="32">
        <f t="shared" si="22"/>
        <v>1.3302733190687361</v>
      </c>
      <c r="BE21" s="35">
        <f t="shared" si="6"/>
        <v>150000</v>
      </c>
      <c r="BF21" s="32">
        <f t="shared" si="7"/>
        <v>1.0206185681818181</v>
      </c>
      <c r="BG21" s="32">
        <f t="shared" si="8"/>
        <v>103855.30674568612</v>
      </c>
      <c r="BH21" s="32">
        <f t="shared" si="9"/>
        <v>103855.30674568612</v>
      </c>
      <c r="BI21" s="32">
        <v>360</v>
      </c>
      <c r="BJ21" s="32">
        <v>550</v>
      </c>
      <c r="BK21" s="32">
        <v>500</v>
      </c>
      <c r="BL21" s="32">
        <v>530</v>
      </c>
      <c r="BM21" s="32">
        <v>103855.577131421</v>
      </c>
      <c r="BN21" s="32">
        <v>115499.079354257</v>
      </c>
      <c r="BO21" s="32">
        <v>1799.20831717136</v>
      </c>
      <c r="BP21" s="32">
        <v>551.21430438889104</v>
      </c>
      <c r="BQ21" s="32">
        <v>613.014387971838</v>
      </c>
      <c r="BR21" s="28">
        <f t="shared" si="10"/>
        <v>0.89918656919715545</v>
      </c>
      <c r="BS21" s="28">
        <f t="shared" si="11"/>
        <v>7.2394104234962215</v>
      </c>
      <c r="BT21" s="28">
        <f t="shared" si="12"/>
        <v>6.5095806217136936</v>
      </c>
      <c r="BU21" s="32">
        <v>0.23413982882602399</v>
      </c>
      <c r="BV21" s="32">
        <v>0.23957016982665699</v>
      </c>
      <c r="BW21" s="32">
        <v>6.3115648182594398E-3</v>
      </c>
      <c r="BX21" s="32">
        <v>609.58862140214706</v>
      </c>
      <c r="BY21" s="32">
        <v>189.71729813044499</v>
      </c>
      <c r="BZ21" s="28">
        <f t="shared" si="13"/>
        <v>210.9876911304795</v>
      </c>
      <c r="CA21" s="35">
        <v>9.0689832026891004</v>
      </c>
      <c r="CB21" s="32">
        <f>7828064.91006808/100000</f>
        <v>78.280649100680805</v>
      </c>
      <c r="CC21" s="32">
        <v>372.168870871889</v>
      </c>
      <c r="CD21" s="28"/>
      <c r="CE21" s="32"/>
      <c r="CF21" s="2">
        <v>361</v>
      </c>
      <c r="CG21" s="2">
        <v>80</v>
      </c>
    </row>
    <row r="22" spans="1:85" ht="14.4">
      <c r="A22" s="2">
        <v>9</v>
      </c>
      <c r="B22" s="32">
        <v>0.534532462011725</v>
      </c>
      <c r="C22" s="32">
        <v>34.182682860229299</v>
      </c>
      <c r="D22" s="32">
        <v>842.92827716975296</v>
      </c>
      <c r="E22" s="32">
        <v>801.68279287918892</v>
      </c>
      <c r="F22" s="28">
        <f t="shared" si="0"/>
        <v>822.30553502447094</v>
      </c>
      <c r="G22" s="32">
        <v>309.6252304872134</v>
      </c>
      <c r="H22" s="32">
        <v>308.5119395284392</v>
      </c>
      <c r="I22" s="32">
        <v>325.89448670524689</v>
      </c>
      <c r="J22" s="32">
        <v>742.41857049779605</v>
      </c>
      <c r="K22" s="28">
        <f t="shared" si="14"/>
        <v>699.40251267574035</v>
      </c>
      <c r="L22" s="28">
        <f t="shared" si="15"/>
        <v>0.85053849559084738</v>
      </c>
      <c r="M22" s="28">
        <f t="shared" si="16"/>
        <v>0.49583885602952354</v>
      </c>
      <c r="N22" s="28">
        <f t="shared" si="17"/>
        <v>2.0167842593208496</v>
      </c>
      <c r="O22" s="32">
        <v>314.34140499779539</v>
      </c>
      <c r="P22" s="32">
        <v>303.02082108311288</v>
      </c>
      <c r="Q22" s="32">
        <v>309.70627724029976</v>
      </c>
      <c r="R22" s="32">
        <v>386.55918474096097</v>
      </c>
      <c r="S22" s="32">
        <v>358.22569376587296</v>
      </c>
      <c r="T22" s="32">
        <v>21.157511058421498</v>
      </c>
      <c r="U22" s="32">
        <v>1.60041102865961</v>
      </c>
      <c r="V22" s="32">
        <v>1799.3838367568401</v>
      </c>
      <c r="W22" s="32">
        <f t="shared" si="1"/>
        <v>188.43103475145014</v>
      </c>
      <c r="X22" s="32">
        <v>1053.54275880974</v>
      </c>
      <c r="Y22" s="32">
        <v>13.674598247134</v>
      </c>
      <c r="Z22" s="32">
        <v>1.10340280180776</v>
      </c>
      <c r="AA22" s="32">
        <v>7.2905304453262806E-2</v>
      </c>
      <c r="AB22" s="32">
        <v>12.5713772440476</v>
      </c>
      <c r="AC22" s="32">
        <v>62.637335045855401</v>
      </c>
      <c r="AD22" s="32">
        <v>779.68821194709005</v>
      </c>
      <c r="AE22" s="32">
        <v>-5.7531384479717798E-2</v>
      </c>
      <c r="AF22" s="32">
        <v>8.2046401503527306</v>
      </c>
      <c r="AG22" s="32">
        <v>10.4165218201058</v>
      </c>
      <c r="AH22" s="32">
        <v>1685.4267800714299</v>
      </c>
      <c r="AI22" s="32">
        <v>-250.11542478064399</v>
      </c>
      <c r="AJ22" s="32">
        <v>-20.4292678829365</v>
      </c>
      <c r="AK22" s="32">
        <v>319.2</v>
      </c>
      <c r="AL22" s="32">
        <v>993.55</v>
      </c>
      <c r="AM22" s="32">
        <v>55.7</v>
      </c>
      <c r="AN22" s="32">
        <v>211.276927200317</v>
      </c>
      <c r="AO22" s="2">
        <v>6.6973183888131897</v>
      </c>
      <c r="AP22" s="2">
        <v>0.29683668605376101</v>
      </c>
      <c r="AQ22" s="2">
        <f t="shared" si="18"/>
        <v>0.36635054926021299</v>
      </c>
      <c r="AR22" s="2">
        <f t="shared" si="19"/>
        <v>0.81025314866642284</v>
      </c>
      <c r="AS22" s="28">
        <f t="shared" si="2"/>
        <v>3.2993147986565365E-3</v>
      </c>
      <c r="AT22" s="28">
        <f t="shared" si="3"/>
        <v>1.724927413034669</v>
      </c>
      <c r="AU22" s="28">
        <f t="shared" si="4"/>
        <v>0.30848744376031922</v>
      </c>
      <c r="AV22" s="32">
        <v>0.34893293515588097</v>
      </c>
      <c r="AW22" s="32">
        <v>41942.727743609503</v>
      </c>
      <c r="AX22" s="32">
        <f t="shared" si="5"/>
        <v>1.1650757706558195E-2</v>
      </c>
      <c r="AY22" s="28">
        <f t="shared" si="20"/>
        <v>0.58581676133029814</v>
      </c>
      <c r="AZ22" s="32">
        <v>0.129497191967193</v>
      </c>
      <c r="BA22" s="32">
        <v>102.411725</v>
      </c>
      <c r="BB22" s="34">
        <v>12.4418631782414</v>
      </c>
      <c r="BC22" s="32">
        <f t="shared" si="21"/>
        <v>2.0969528018077597</v>
      </c>
      <c r="BD22" s="32">
        <f t="shared" si="22"/>
        <v>1.8872575216269838</v>
      </c>
      <c r="BE22" s="35">
        <f t="shared" si="6"/>
        <v>200000</v>
      </c>
      <c r="BF22" s="32">
        <f t="shared" si="7"/>
        <v>1.0664553044532628</v>
      </c>
      <c r="BG22" s="32">
        <f t="shared" si="8"/>
        <v>198520.15219741678</v>
      </c>
      <c r="BH22" s="32">
        <f t="shared" si="9"/>
        <v>198520.15219741678</v>
      </c>
      <c r="BI22" s="32">
        <v>355.5</v>
      </c>
      <c r="BJ22" s="32">
        <v>550</v>
      </c>
      <c r="BK22" s="32">
        <v>500</v>
      </c>
      <c r="BL22" s="32">
        <v>530</v>
      </c>
      <c r="BM22" s="32">
        <v>198520.33157645099</v>
      </c>
      <c r="BN22" s="32">
        <v>220744.91554210501</v>
      </c>
      <c r="BO22" s="32">
        <v>1799.3854623208099</v>
      </c>
      <c r="BP22" s="32">
        <v>1053.5445149048601</v>
      </c>
      <c r="BQ22" s="32">
        <f>BN22/BM22*BP22</f>
        <v>1171.490059057048</v>
      </c>
      <c r="BR22" s="28">
        <f t="shared" si="10"/>
        <v>0.89932006401563125</v>
      </c>
      <c r="BS22" s="28">
        <f t="shared" si="11"/>
        <v>13.834744356679511</v>
      </c>
      <c r="BT22" s="28">
        <f t="shared" si="12"/>
        <v>12.441863180488911</v>
      </c>
      <c r="BU22" s="32">
        <v>0.33276216311374701</v>
      </c>
      <c r="BV22" s="32">
        <v>0.34408018338067797</v>
      </c>
      <c r="BW22" s="32">
        <v>1.1896277721032199E-2</v>
      </c>
      <c r="BX22" s="32">
        <v>695.97457062537705</v>
      </c>
      <c r="BY22" s="32">
        <v>187.22961062223001</v>
      </c>
      <c r="BZ22" s="28">
        <f t="shared" si="13"/>
        <v>208.19018513410563</v>
      </c>
      <c r="CA22" s="32">
        <v>8.0886307218130504</v>
      </c>
      <c r="CB22" s="32">
        <f>11817972.5329312/100000</f>
        <v>118.17972532931199</v>
      </c>
      <c r="CC22" s="32">
        <v>373.37541471050702</v>
      </c>
      <c r="CD22" s="28"/>
      <c r="CE22" s="32">
        <v>1.0437248173362399</v>
      </c>
      <c r="CF22" s="2">
        <v>361</v>
      </c>
      <c r="CG22" s="2">
        <v>80</v>
      </c>
    </row>
    <row r="23" spans="1:85">
      <c r="T23" s="2">
        <f>W3*X3</f>
        <v>45901.521973421448</v>
      </c>
      <c r="AK23" s="2">
        <v>273.14999999999998</v>
      </c>
    </row>
    <row r="24" spans="1:85">
      <c r="D24" s="2">
        <v>273.14999999999998</v>
      </c>
      <c r="I24" s="2">
        <f>1800/30*PI()</f>
        <v>188.49555921538757</v>
      </c>
      <c r="T24" s="2">
        <f t="shared" ref="T24:T42" si="23">W4*X4</f>
        <v>74621.721806644404</v>
      </c>
      <c r="AX24" s="2">
        <f>AX15/BH15</f>
        <v>5.6459148426583776E-8</v>
      </c>
    </row>
    <row r="25" spans="1:85">
      <c r="T25" s="2">
        <f t="shared" si="23"/>
        <v>127876.11593975827</v>
      </c>
    </row>
    <row r="26" spans="1:85">
      <c r="T26" s="2">
        <f t="shared" si="23"/>
        <v>75762.846430481499</v>
      </c>
      <c r="AM26" s="2" t="s">
        <v>212</v>
      </c>
    </row>
    <row r="27" spans="1:85">
      <c r="T27" s="2">
        <f t="shared" si="23"/>
        <v>110329.5332277261</v>
      </c>
      <c r="V27" s="2">
        <v>1</v>
      </c>
      <c r="W27" s="2">
        <v>6.08351018052821E-2</v>
      </c>
      <c r="X27" s="2">
        <v>10.2453545989788</v>
      </c>
      <c r="AG27" s="2">
        <v>1</v>
      </c>
      <c r="AH27" s="2">
        <v>10.2453545989788</v>
      </c>
      <c r="AI27" s="32">
        <v>9.8224634882857007</v>
      </c>
      <c r="AJ27" s="32">
        <f>AI27/AH27</f>
        <v>0.958723623803587</v>
      </c>
      <c r="AK27" s="51">
        <v>798.91023827144102</v>
      </c>
      <c r="AL27" s="51">
        <v>548.65643980112395</v>
      </c>
      <c r="AM27" s="2">
        <v>0.68126943322265932</v>
      </c>
    </row>
    <row r="28" spans="1:85">
      <c r="T28" s="2">
        <f t="shared" si="23"/>
        <v>69539.056260394806</v>
      </c>
      <c r="V28" s="2">
        <v>2</v>
      </c>
      <c r="W28" s="2">
        <v>6.9686986800950507E-2</v>
      </c>
      <c r="X28" s="2">
        <v>8.4685523214266407</v>
      </c>
      <c r="AG28" s="2">
        <v>2</v>
      </c>
      <c r="AH28" s="28">
        <v>8.4685523214266407</v>
      </c>
      <c r="AI28" s="28">
        <v>10.0131081706201</v>
      </c>
      <c r="AJ28" s="2">
        <f t="shared" ref="AJ28:AJ46" si="24">AI28/AH28</f>
        <v>1.1823872358071772</v>
      </c>
      <c r="AK28" s="52">
        <v>799.42451451373495</v>
      </c>
      <c r="AL28" s="52">
        <v>891.37240642012</v>
      </c>
      <c r="AM28" s="2">
        <v>1.0074305560578449</v>
      </c>
    </row>
    <row r="29" spans="1:85">
      <c r="T29" s="2">
        <f t="shared" si="23"/>
        <v>175094.36949241027</v>
      </c>
      <c r="V29" s="2">
        <v>20</v>
      </c>
      <c r="W29" s="2">
        <v>0.118739128002938</v>
      </c>
      <c r="X29" s="2">
        <v>6.4618412218254901</v>
      </c>
      <c r="AG29" s="2">
        <v>3</v>
      </c>
      <c r="AH29" s="28">
        <v>6.4618412218254901</v>
      </c>
      <c r="AI29" s="28">
        <v>8.8737359978178194</v>
      </c>
      <c r="AJ29" s="2">
        <f t="shared" si="24"/>
        <v>1.3732519406149941</v>
      </c>
      <c r="AK29" s="52">
        <v>999.006887780488</v>
      </c>
      <c r="AL29" s="52">
        <v>1222.3408789756099</v>
      </c>
      <c r="AM29" s="2">
        <v>0.96265157991707218</v>
      </c>
    </row>
    <row r="30" spans="1:85">
      <c r="T30" s="2">
        <f t="shared" si="23"/>
        <v>111181.91135573952</v>
      </c>
      <c r="V30" s="2">
        <v>11</v>
      </c>
      <c r="W30" s="2">
        <v>9.3429359655262806E-2</v>
      </c>
      <c r="X30" s="2">
        <v>8.8366798552297592</v>
      </c>
      <c r="AG30" s="2">
        <v>4</v>
      </c>
      <c r="AH30" s="2">
        <v>8.8366798552297592</v>
      </c>
      <c r="AI30" s="32">
        <v>8.72454117917178</v>
      </c>
      <c r="AJ30" s="2">
        <f t="shared" si="24"/>
        <v>0.98730986321841085</v>
      </c>
      <c r="AK30" s="51">
        <v>999.04963235227297</v>
      </c>
      <c r="AL30" s="51">
        <v>724.17011857954606</v>
      </c>
      <c r="AM30" s="2">
        <v>0.71225084802083538</v>
      </c>
    </row>
    <row r="31" spans="1:85">
      <c r="T31" s="2">
        <f t="shared" si="23"/>
        <v>196206.63292054541</v>
      </c>
      <c r="V31" s="2">
        <v>8</v>
      </c>
      <c r="W31" s="2">
        <v>0.110743383755048</v>
      </c>
      <c r="X31" s="2">
        <v>7.4701253612224301</v>
      </c>
      <c r="AG31" s="2">
        <v>5</v>
      </c>
      <c r="AH31" s="28">
        <v>7.4701253612224301</v>
      </c>
      <c r="AI31" s="28">
        <v>9.3415727528153205</v>
      </c>
      <c r="AJ31" s="2">
        <f t="shared" si="24"/>
        <v>1.2505242283225408</v>
      </c>
      <c r="AK31" s="52">
        <v>999.10263269117695</v>
      </c>
      <c r="AL31" s="52">
        <v>1054.5157228691901</v>
      </c>
      <c r="AM31" s="2">
        <v>0.89414710033090083</v>
      </c>
    </row>
    <row r="32" spans="1:85">
      <c r="T32" s="2">
        <f t="shared" si="23"/>
        <v>81932.488554717027</v>
      </c>
      <c r="V32" s="2">
        <v>12</v>
      </c>
      <c r="W32" s="2">
        <v>0.11121727799572501</v>
      </c>
      <c r="X32" s="2">
        <v>10.105446637395399</v>
      </c>
      <c r="AG32" s="2">
        <v>6</v>
      </c>
      <c r="AH32" s="2">
        <v>10.105446637395399</v>
      </c>
      <c r="AI32" s="32">
        <v>9.2456589665089002</v>
      </c>
      <c r="AJ32" s="2">
        <f t="shared" si="24"/>
        <v>0.91491838988047902</v>
      </c>
      <c r="AK32" s="51">
        <v>1198.6672809069801</v>
      </c>
      <c r="AL32" s="51">
        <v>553.98948739534899</v>
      </c>
      <c r="AM32" s="2">
        <v>0.55739732050831592</v>
      </c>
    </row>
    <row r="33" spans="20:39">
      <c r="T33" s="2">
        <f t="shared" si="23"/>
        <v>227152.00718177127</v>
      </c>
      <c r="V33" s="2">
        <v>15</v>
      </c>
      <c r="W33" s="2">
        <v>0.183246570872416</v>
      </c>
      <c r="X33" s="2">
        <v>7.2148734341513601</v>
      </c>
      <c r="AG33" s="2">
        <v>7</v>
      </c>
      <c r="AH33" s="2">
        <v>7.2148734341513601</v>
      </c>
      <c r="AI33" s="32">
        <v>7.84942026050925</v>
      </c>
      <c r="AJ33" s="2">
        <f t="shared" si="24"/>
        <v>1.087949820901124</v>
      </c>
      <c r="AK33" s="51">
        <v>1198.8645007073201</v>
      </c>
      <c r="AL33" s="51">
        <v>1394.6764323658499</v>
      </c>
      <c r="AM33" s="2">
        <v>0.82721356978498251</v>
      </c>
    </row>
    <row r="34" spans="20:39">
      <c r="T34" s="2">
        <f t="shared" si="23"/>
        <v>105995.26710523145</v>
      </c>
      <c r="V34" s="2">
        <v>7</v>
      </c>
      <c r="W34" s="2">
        <v>0.13484842755794099</v>
      </c>
      <c r="X34" s="2">
        <v>9.3441035523619504</v>
      </c>
      <c r="AG34" s="2">
        <v>8</v>
      </c>
      <c r="AH34" s="2">
        <v>9.3441035523619504</v>
      </c>
      <c r="AI34" s="32">
        <v>8.9835134031233697</v>
      </c>
      <c r="AJ34" s="2">
        <f t="shared" si="24"/>
        <v>0.96140987230953445</v>
      </c>
      <c r="AK34" s="51">
        <v>1198.8876409949</v>
      </c>
      <c r="AL34" s="51">
        <v>885.57843969364001</v>
      </c>
      <c r="AM34" s="2">
        <v>0.71038907498691606</v>
      </c>
    </row>
    <row r="35" spans="20:39">
      <c r="T35" s="2">
        <f t="shared" si="23"/>
        <v>182270.90967782619</v>
      </c>
      <c r="V35" s="2">
        <v>19</v>
      </c>
      <c r="W35" s="2">
        <v>0.188799830102854</v>
      </c>
      <c r="X35" s="2">
        <v>6.7060049982314798</v>
      </c>
      <c r="AG35" s="2">
        <v>9</v>
      </c>
      <c r="AH35" s="2">
        <v>6.7060049982314798</v>
      </c>
      <c r="AI35" s="32">
        <v>6.72205391457695</v>
      </c>
      <c r="AJ35" s="2">
        <f t="shared" si="24"/>
        <v>1.0023932156850022</v>
      </c>
      <c r="AK35" s="51">
        <v>1198.96357746988</v>
      </c>
      <c r="AL35" s="51">
        <v>1562.7124668433701</v>
      </c>
      <c r="AM35" s="2">
        <v>0.89374092936951666</v>
      </c>
    </row>
    <row r="36" spans="20:39">
      <c r="T36" s="2">
        <f t="shared" si="23"/>
        <v>260731.39077533732</v>
      </c>
      <c r="V36" s="2">
        <v>3</v>
      </c>
      <c r="W36" s="2">
        <v>0.13848153956064399</v>
      </c>
      <c r="X36" s="2">
        <v>10.299742070359301</v>
      </c>
      <c r="AG36" s="2">
        <v>10</v>
      </c>
      <c r="AH36" s="28">
        <v>10.299742070359301</v>
      </c>
      <c r="AI36" s="33">
        <v>9.2002989895944491</v>
      </c>
      <c r="AJ36" s="2">
        <f t="shared" si="24"/>
        <v>0.89325528025319778</v>
      </c>
      <c r="AK36" s="52">
        <v>1398.8489351595499</v>
      </c>
      <c r="AL36" s="52">
        <v>559.31531528024698</v>
      </c>
      <c r="AM36" s="2">
        <v>0.52530414036641926</v>
      </c>
    </row>
    <row r="37" spans="20:39">
      <c r="T37" s="2">
        <f t="shared" si="23"/>
        <v>91934.633847076897</v>
      </c>
      <c r="V37" s="2">
        <v>18</v>
      </c>
      <c r="W37" s="2">
        <v>0.246653544753869</v>
      </c>
      <c r="X37" s="2">
        <v>7.2090549467427998</v>
      </c>
      <c r="AG37" s="2">
        <v>11</v>
      </c>
      <c r="AH37" s="2">
        <v>7.2090549467427998</v>
      </c>
      <c r="AI37" s="32">
        <v>7.0849466021311898</v>
      </c>
      <c r="AJ37" s="2">
        <f t="shared" si="24"/>
        <v>0.98278438081989028</v>
      </c>
      <c r="AK37" s="51">
        <v>1400.3606147804901</v>
      </c>
      <c r="AL37" s="51">
        <v>1548.9880704146301</v>
      </c>
      <c r="AM37" s="2">
        <v>0.77327391729258665</v>
      </c>
    </row>
    <row r="38" spans="20:39">
      <c r="T38" s="2">
        <f t="shared" si="23"/>
        <v>147923.74427595307</v>
      </c>
      <c r="V38" s="2">
        <v>6</v>
      </c>
      <c r="W38" s="2">
        <v>0.156625274081856</v>
      </c>
      <c r="X38" s="2">
        <v>9.80650325424571</v>
      </c>
      <c r="AE38" s="2">
        <v>5</v>
      </c>
      <c r="AF38" s="2">
        <v>5</v>
      </c>
      <c r="AG38" s="2">
        <v>12</v>
      </c>
      <c r="AH38" s="2">
        <v>9.80650325424571</v>
      </c>
      <c r="AI38" s="32">
        <v>9.2841827276958</v>
      </c>
      <c r="AJ38" s="2">
        <f t="shared" si="24"/>
        <v>0.94673733205321964</v>
      </c>
      <c r="AK38" s="51">
        <v>1401.14707538216</v>
      </c>
      <c r="AL38" s="51">
        <v>722.39400133817605</v>
      </c>
      <c r="AM38" s="2">
        <v>0.58587681456690266</v>
      </c>
    </row>
    <row r="39" spans="20:39">
      <c r="T39" s="2">
        <f t="shared" si="23"/>
        <v>205850.7160015683</v>
      </c>
      <c r="V39" s="2">
        <v>14</v>
      </c>
      <c r="W39" s="2">
        <v>0.220920900831717</v>
      </c>
      <c r="X39" s="2">
        <v>8.4721632528882704</v>
      </c>
      <c r="AE39" s="2">
        <v>12</v>
      </c>
      <c r="AF39" s="2">
        <v>12</v>
      </c>
      <c r="AG39" s="2">
        <v>13</v>
      </c>
      <c r="AH39" s="2">
        <v>8.4721632528882704</v>
      </c>
      <c r="AI39" s="32">
        <v>8.1751220796039004</v>
      </c>
      <c r="AJ39" s="2">
        <f t="shared" si="24"/>
        <v>0.96493915846308731</v>
      </c>
      <c r="AK39" s="51">
        <v>1403.59711227907</v>
      </c>
      <c r="AL39" s="51">
        <v>1240.07021687209</v>
      </c>
      <c r="AM39" s="2">
        <v>0.69524852523909586</v>
      </c>
    </row>
    <row r="40" spans="20:39">
      <c r="T40" s="2">
        <f t="shared" si="23"/>
        <v>266584.4081817214</v>
      </c>
      <c r="V40" s="2">
        <v>17</v>
      </c>
      <c r="W40" s="2">
        <v>0.30812350802835697</v>
      </c>
      <c r="X40" s="2">
        <v>7.0580835676811198</v>
      </c>
      <c r="AE40" s="2">
        <v>5</v>
      </c>
      <c r="AF40" s="2">
        <v>4.5</v>
      </c>
      <c r="AG40" s="2">
        <v>14</v>
      </c>
      <c r="AH40" s="2">
        <v>7.0580835676811198</v>
      </c>
      <c r="AI40" s="32">
        <v>7.18904264650826</v>
      </c>
      <c r="AJ40" s="2">
        <f t="shared" si="24"/>
        <v>1.0185544811946972</v>
      </c>
      <c r="AK40" s="51">
        <v>1598.5223451975301</v>
      </c>
      <c r="AL40" s="51">
        <v>1557.5643262962999</v>
      </c>
      <c r="AM40" s="2">
        <v>0.71760780181802486</v>
      </c>
    </row>
    <row r="41" spans="20:39">
      <c r="T41" s="2">
        <f t="shared" si="23"/>
        <v>103855.30674568612</v>
      </c>
      <c r="V41" s="2">
        <v>13</v>
      </c>
      <c r="W41" s="2">
        <v>0.17074428487236401</v>
      </c>
      <c r="X41" s="2">
        <v>11.3675340932671</v>
      </c>
      <c r="AE41" s="2">
        <v>12</v>
      </c>
      <c r="AF41" s="2">
        <f>AE41*0.9</f>
        <v>10.8</v>
      </c>
      <c r="AG41" s="2">
        <v>15</v>
      </c>
      <c r="AH41" s="28">
        <v>11.3675340932671</v>
      </c>
      <c r="AI41" s="33">
        <v>9.3242918890402393</v>
      </c>
      <c r="AJ41" s="2">
        <f t="shared" si="24"/>
        <v>0.82025633814135146</v>
      </c>
      <c r="AK41" s="52">
        <v>1598.7568733023199</v>
      </c>
      <c r="AL41" s="52">
        <v>549.12107009302304</v>
      </c>
      <c r="AM41" s="2">
        <v>0.48508758560069792</v>
      </c>
    </row>
    <row r="42" spans="20:39">
      <c r="T42" s="2">
        <f t="shared" si="23"/>
        <v>198520.15219741678</v>
      </c>
      <c r="V42" s="2">
        <v>5</v>
      </c>
      <c r="W42" s="2">
        <v>0.214439215891713</v>
      </c>
      <c r="X42" s="2">
        <v>9.52270345366348</v>
      </c>
      <c r="AE42" s="2">
        <v>5</v>
      </c>
      <c r="AF42" s="2">
        <v>5.5</v>
      </c>
      <c r="AG42" s="2">
        <v>16</v>
      </c>
      <c r="AH42" s="2">
        <v>9.52270345366348</v>
      </c>
      <c r="AI42" s="32">
        <v>9.0202846564393599</v>
      </c>
      <c r="AJ42" s="2">
        <f t="shared" si="24"/>
        <v>0.94723989887232762</v>
      </c>
      <c r="AK42" s="51">
        <v>1599.1848142056899</v>
      </c>
      <c r="AL42" s="51">
        <v>883.30485231150794</v>
      </c>
      <c r="AM42" s="2">
        <v>0.5898098818320483</v>
      </c>
    </row>
    <row r="43" spans="20:39">
      <c r="V43" s="2">
        <v>10</v>
      </c>
      <c r="W43" s="2">
        <v>0.26590168532179997</v>
      </c>
      <c r="X43" s="2">
        <v>8.3289560913665692</v>
      </c>
      <c r="AE43" s="2">
        <v>12</v>
      </c>
      <c r="AF43" s="2">
        <v>13.2</v>
      </c>
      <c r="AG43" s="2">
        <v>17</v>
      </c>
      <c r="AH43" s="2">
        <v>8.3289560913665692</v>
      </c>
      <c r="AI43" s="32">
        <v>8.3187133084721498</v>
      </c>
      <c r="AJ43" s="2">
        <f t="shared" si="24"/>
        <v>0.99877022008736049</v>
      </c>
      <c r="AK43" s="51">
        <v>1599.27545799473</v>
      </c>
      <c r="AL43" s="51">
        <v>1229.13756327136</v>
      </c>
      <c r="AM43" s="2">
        <v>0.65091305106044295</v>
      </c>
    </row>
    <row r="44" spans="20:39">
      <c r="V44" s="2">
        <v>16</v>
      </c>
      <c r="W44" s="2">
        <v>0.35346153228694999</v>
      </c>
      <c r="X44" s="2">
        <v>5.9162327272112396</v>
      </c>
      <c r="AE44" s="2">
        <v>5</v>
      </c>
      <c r="AF44" s="2">
        <v>4</v>
      </c>
      <c r="AG44" s="2">
        <v>18</v>
      </c>
      <c r="AH44" s="28">
        <v>5.9162327272112396</v>
      </c>
      <c r="AI44" s="28">
        <v>6.8289731213847897</v>
      </c>
      <c r="AJ44" s="2">
        <f t="shared" si="24"/>
        <v>1.1542772971008177</v>
      </c>
      <c r="AK44" s="52">
        <v>1796.8961723278701</v>
      </c>
      <c r="AL44" s="52">
        <v>1416.7171247868901</v>
      </c>
      <c r="AM44" s="2">
        <v>0.67331152719450793</v>
      </c>
    </row>
    <row r="45" spans="20:39">
      <c r="V45" s="2">
        <v>4</v>
      </c>
      <c r="W45" s="2">
        <v>0.20642917222148399</v>
      </c>
      <c r="X45" s="2">
        <v>7.4984180199449</v>
      </c>
      <c r="AE45" s="2">
        <v>12</v>
      </c>
      <c r="AF45" s="2">
        <f>AE45*0.8</f>
        <v>9.6000000000000014</v>
      </c>
      <c r="AG45" s="2">
        <v>19</v>
      </c>
      <c r="AH45" s="28">
        <v>7.4984180199449</v>
      </c>
      <c r="AI45" s="33">
        <v>9.0689832026891004</v>
      </c>
      <c r="AJ45" s="2">
        <f t="shared" si="24"/>
        <v>1.2094528710678285</v>
      </c>
      <c r="AK45" s="52">
        <v>1799.203633074</v>
      </c>
      <c r="AL45" s="52">
        <v>551.21338566865302</v>
      </c>
      <c r="AM45" s="2">
        <v>0.46993052055961593</v>
      </c>
    </row>
    <row r="46" spans="20:39">
      <c r="V46" s="2">
        <v>9</v>
      </c>
      <c r="W46" s="2">
        <v>0.29683668605376101</v>
      </c>
      <c r="X46" s="2">
        <v>6.6973183888131897</v>
      </c>
      <c r="AE46" s="2">
        <v>5</v>
      </c>
      <c r="AF46" s="2">
        <f>AE46*1.2</f>
        <v>6</v>
      </c>
      <c r="AG46" s="2">
        <v>20</v>
      </c>
      <c r="AH46" s="28">
        <v>6.6973183888131897</v>
      </c>
      <c r="AI46" s="28">
        <v>8.0886307218130504</v>
      </c>
      <c r="AJ46" s="2">
        <f t="shared" si="24"/>
        <v>1.2077417038024991</v>
      </c>
      <c r="AK46" s="52">
        <v>1799.3838367568401</v>
      </c>
      <c r="AL46" s="52">
        <v>1053.54275880974</v>
      </c>
      <c r="AM46" s="2">
        <v>0.58581676133029814</v>
      </c>
    </row>
    <row r="47" spans="20:39">
      <c r="AE47" s="2">
        <v>12</v>
      </c>
      <c r="AF47" s="2">
        <f>AE47*1.2</f>
        <v>14.399999999999999</v>
      </c>
    </row>
    <row r="54" spans="33:40">
      <c r="AH54" s="2" t="s">
        <v>295</v>
      </c>
      <c r="AI54" s="2" t="s">
        <v>296</v>
      </c>
      <c r="AJ54" s="2" t="s">
        <v>297</v>
      </c>
      <c r="AK54" s="2" t="s">
        <v>298</v>
      </c>
      <c r="AL54" s="2" t="s">
        <v>299</v>
      </c>
      <c r="AM54" s="2" t="s">
        <v>301</v>
      </c>
      <c r="AN54" s="2" t="s">
        <v>300</v>
      </c>
    </row>
    <row r="55" spans="33:40">
      <c r="AJ55" s="2" t="s">
        <v>302</v>
      </c>
      <c r="AM55" s="2">
        <v>1</v>
      </c>
      <c r="AN55" s="2">
        <v>0</v>
      </c>
    </row>
    <row r="56" spans="33:40">
      <c r="AG56" s="2">
        <v>1</v>
      </c>
      <c r="AH56" s="28">
        <f>(Z3+AL3/1000)*100000</f>
        <v>108670.49342553999</v>
      </c>
      <c r="AI56" s="2">
        <f>AH56*AJ56</f>
        <v>106084.85933255579</v>
      </c>
      <c r="AJ56" s="2">
        <f>0.98+(AH56-100000)/(260000-100000)*(-0.07)</f>
        <v>0.9762066591263262</v>
      </c>
      <c r="AK56" s="2">
        <v>665.59542618346541</v>
      </c>
      <c r="AL56" s="28">
        <v>6.3611923192186226E-2</v>
      </c>
      <c r="AM56" s="28">
        <f>N3</f>
        <v>1.0613414613337906</v>
      </c>
      <c r="AN56" s="31">
        <f>AL56/(AI56/1000)*SQRT(AK56)</f>
        <v>1.5469998995556788E-2</v>
      </c>
    </row>
    <row r="57" spans="33:40">
      <c r="AG57" s="2">
        <v>2</v>
      </c>
      <c r="AH57" s="28">
        <f t="shared" ref="AH57:AH75" si="25">(Z4+AL4/1000)*100000</f>
        <v>118650.2580783133</v>
      </c>
      <c r="AI57" s="2">
        <f t="shared" ref="AI57:AI75" si="26">AH57*AJ57</f>
        <v>115309.12757052622</v>
      </c>
      <c r="AJ57" s="2">
        <f t="shared" ref="AJ57:AJ75" si="27">0.98+(AH57-100000)/(260000-100000)*(-0.07)</f>
        <v>0.97184051209073796</v>
      </c>
      <c r="AK57" s="2">
        <v>855.85094985777141</v>
      </c>
      <c r="AL57" s="28">
        <v>7.4390708391763288E-2</v>
      </c>
      <c r="AM57" s="28"/>
      <c r="AN57" s="31"/>
    </row>
    <row r="58" spans="33:40">
      <c r="AG58" s="2">
        <v>20</v>
      </c>
      <c r="AH58" s="28">
        <f t="shared" si="25"/>
        <v>156464.69999999998</v>
      </c>
      <c r="AI58" s="2">
        <f t="shared" si="26"/>
        <v>149470.2105985856</v>
      </c>
      <c r="AJ58" s="2">
        <f t="shared" si="27"/>
        <v>0.95529669375000004</v>
      </c>
      <c r="AK58" s="2">
        <v>670.42271067142292</v>
      </c>
      <c r="AL58" s="28">
        <v>0.12639752341732824</v>
      </c>
      <c r="AM58" s="28"/>
      <c r="AN58" s="31"/>
    </row>
    <row r="59" spans="33:40">
      <c r="AG59" s="2">
        <v>11</v>
      </c>
      <c r="AH59" s="28">
        <f t="shared" si="25"/>
        <v>124318.69318181821</v>
      </c>
      <c r="AI59" s="2">
        <f t="shared" si="26"/>
        <v>120509.63949982105</v>
      </c>
      <c r="AJ59" s="2">
        <f t="shared" si="27"/>
        <v>0.96936057173295453</v>
      </c>
      <c r="AK59" s="2">
        <v>687.37802482323991</v>
      </c>
      <c r="AL59" s="28">
        <v>9.7887884078444606E-2</v>
      </c>
      <c r="AM59" s="28">
        <f t="shared" ref="AM59:AM75" si="28">N6</f>
        <v>1.082167083874416</v>
      </c>
      <c r="AN59" s="31">
        <f t="shared" ref="AN59:AN75" si="29">AL59/(AI59/1000)*SQRT(AK59)</f>
        <v>2.1296340189044253E-2</v>
      </c>
    </row>
    <row r="60" spans="33:40">
      <c r="AG60" s="2">
        <v>8</v>
      </c>
      <c r="AH60" s="28">
        <f t="shared" si="25"/>
        <v>142067.70017507</v>
      </c>
      <c r="AI60" s="2">
        <f t="shared" si="26"/>
        <v>136611.6443022757</v>
      </c>
      <c r="AJ60" s="2">
        <f t="shared" si="27"/>
        <v>0.96159538117340682</v>
      </c>
      <c r="AK60" s="2">
        <v>766.41003787974</v>
      </c>
      <c r="AL60" s="28">
        <v>0.11737778241123036</v>
      </c>
      <c r="AM60" s="28"/>
      <c r="AN60" s="31"/>
    </row>
    <row r="61" spans="33:40">
      <c r="AG61" s="2">
        <v>12</v>
      </c>
      <c r="AH61" s="28">
        <f t="shared" si="25"/>
        <v>121581.8837209302</v>
      </c>
      <c r="AI61" s="2">
        <f t="shared" si="26"/>
        <v>118002.26088780801</v>
      </c>
      <c r="AJ61" s="2">
        <f t="shared" si="27"/>
        <v>0.970557925872093</v>
      </c>
      <c r="AK61" s="2">
        <v>726.64025404411291</v>
      </c>
      <c r="AL61" s="28">
        <v>0.11537075624991106</v>
      </c>
      <c r="AM61" s="28">
        <f t="shared" si="28"/>
        <v>1.2998052802023816</v>
      </c>
      <c r="AN61" s="31">
        <f t="shared" si="29"/>
        <v>2.6355128472051632E-2</v>
      </c>
    </row>
    <row r="62" spans="33:40">
      <c r="AG62" s="2">
        <v>15</v>
      </c>
      <c r="AH62" s="28">
        <f t="shared" si="25"/>
        <v>186735.3207317073</v>
      </c>
      <c r="AI62" s="2">
        <f t="shared" si="26"/>
        <v>175914.62459524689</v>
      </c>
      <c r="AJ62" s="2">
        <f t="shared" si="27"/>
        <v>0.94205329717987807</v>
      </c>
      <c r="AK62" s="2">
        <v>797.1200361346705</v>
      </c>
      <c r="AL62" s="28">
        <v>0.19340270222524528</v>
      </c>
      <c r="AM62" s="28">
        <f t="shared" si="28"/>
        <v>1.3132104338079047</v>
      </c>
      <c r="AN62" s="31">
        <f t="shared" si="29"/>
        <v>3.1040053038100694E-2</v>
      </c>
    </row>
    <row r="63" spans="33:40">
      <c r="AG63" s="2">
        <v>7</v>
      </c>
      <c r="AH63" s="28">
        <f t="shared" si="25"/>
        <v>144104.52867821549</v>
      </c>
      <c r="AI63" s="2">
        <f t="shared" si="26"/>
        <v>138441.83584063596</v>
      </c>
      <c r="AJ63" s="2">
        <f t="shared" si="27"/>
        <v>0.96070426870328074</v>
      </c>
      <c r="AK63" s="2">
        <v>885.48087253382346</v>
      </c>
      <c r="AL63" s="28">
        <v>0.14126668248893481</v>
      </c>
      <c r="AM63" s="28">
        <f t="shared" si="28"/>
        <v>1.15240681599985</v>
      </c>
      <c r="AN63" s="31">
        <f t="shared" si="29"/>
        <v>3.0364210166427846E-2</v>
      </c>
    </row>
    <row r="64" spans="33:40">
      <c r="AG64" s="2">
        <v>19</v>
      </c>
      <c r="AH64" s="28">
        <f t="shared" si="25"/>
        <v>206491.965060241</v>
      </c>
      <c r="AI64" s="2">
        <f t="shared" si="26"/>
        <v>192741.6166403543</v>
      </c>
      <c r="AJ64" s="2">
        <f t="shared" si="27"/>
        <v>0.9334097652861445</v>
      </c>
      <c r="AK64" s="2">
        <v>822.30553502447094</v>
      </c>
      <c r="AL64" s="28">
        <v>0.20010528518945642</v>
      </c>
      <c r="AM64" s="28">
        <f t="shared" si="28"/>
        <v>1.4241822582152321</v>
      </c>
      <c r="AN64" s="31">
        <f t="shared" si="29"/>
        <v>2.9771428173907575E-2</v>
      </c>
    </row>
    <row r="65" spans="33:40">
      <c r="AG65" s="2">
        <v>3</v>
      </c>
      <c r="AH65" s="28">
        <f t="shared" si="25"/>
        <v>128982.52465504721</v>
      </c>
      <c r="AI65" s="2">
        <f t="shared" si="26"/>
        <v>124767.39451155902</v>
      </c>
      <c r="AJ65" s="2">
        <f t="shared" si="27"/>
        <v>0.96732014546341683</v>
      </c>
      <c r="AK65" s="2">
        <v>845.55082318990651</v>
      </c>
      <c r="AL65" s="28">
        <v>0.14335544960904398</v>
      </c>
      <c r="AM65" s="28">
        <f t="shared" si="28"/>
        <v>1.2524708940887153</v>
      </c>
      <c r="AN65" s="31">
        <f t="shared" si="29"/>
        <v>3.3410498809924305E-2</v>
      </c>
    </row>
    <row r="66" spans="33:40">
      <c r="AG66" s="2">
        <v>18</v>
      </c>
      <c r="AH66" s="28">
        <f t="shared" si="25"/>
        <v>230455.44878048799</v>
      </c>
      <c r="AI66" s="2">
        <f t="shared" si="26"/>
        <v>212693.26586975501</v>
      </c>
      <c r="AJ66" s="2">
        <f t="shared" si="27"/>
        <v>0.92292574115853643</v>
      </c>
      <c r="AK66" s="2">
        <v>748.09560746590898</v>
      </c>
      <c r="AL66" s="28">
        <v>0.25943250518918609</v>
      </c>
      <c r="AM66" s="28">
        <f t="shared" si="28"/>
        <v>1.7600058310196436</v>
      </c>
      <c r="AN66" s="31">
        <f t="shared" si="29"/>
        <v>3.3361779063964536E-2</v>
      </c>
    </row>
    <row r="67" spans="33:40">
      <c r="AG67" s="2">
        <v>6</v>
      </c>
      <c r="AH67" s="28">
        <f t="shared" si="25"/>
        <v>142949.99542868751</v>
      </c>
      <c r="AI67" s="2">
        <f t="shared" si="26"/>
        <v>137404.87604815431</v>
      </c>
      <c r="AJ67" s="2">
        <f t="shared" si="27"/>
        <v>0.96120937699994924</v>
      </c>
      <c r="AK67" s="2">
        <v>686.82732891279102</v>
      </c>
      <c r="AL67" s="28">
        <v>0.16277340289805897</v>
      </c>
      <c r="AM67" s="28">
        <f t="shared" si="28"/>
        <v>1.2694226320241757</v>
      </c>
      <c r="AN67" s="31">
        <f t="shared" si="29"/>
        <v>3.1045959161040616E-2</v>
      </c>
    </row>
    <row r="68" spans="33:40">
      <c r="AG68" s="2">
        <v>14</v>
      </c>
      <c r="AH68" s="28">
        <f t="shared" si="25"/>
        <v>192352.62558139529</v>
      </c>
      <c r="AI68" s="2">
        <f t="shared" si="26"/>
        <v>180733.70494042872</v>
      </c>
      <c r="AJ68" s="2">
        <f t="shared" si="27"/>
        <v>0.93959572630813959</v>
      </c>
      <c r="AK68" s="2">
        <v>670.73610269186099</v>
      </c>
      <c r="AL68" s="28">
        <v>0.23121176117506584</v>
      </c>
      <c r="AM68" s="28">
        <f t="shared" si="28"/>
        <v>1.510471204898723</v>
      </c>
      <c r="AN68" s="31">
        <f t="shared" si="29"/>
        <v>3.3131920596534192E-2</v>
      </c>
    </row>
    <row r="69" spans="33:40">
      <c r="AG69" s="2">
        <v>17</v>
      </c>
      <c r="AH69" s="28">
        <f t="shared" si="25"/>
        <v>254035.92345678998</v>
      </c>
      <c r="AI69" s="2">
        <f t="shared" si="26"/>
        <v>231835.5420860257</v>
      </c>
      <c r="AJ69" s="2">
        <f t="shared" si="27"/>
        <v>0.91260928348765435</v>
      </c>
      <c r="AK69" s="2">
        <v>862.35416793604645</v>
      </c>
      <c r="AL69" s="28">
        <v>0.32293800085843105</v>
      </c>
      <c r="AM69" s="28">
        <f t="shared" si="28"/>
        <v>2.2270314847288195</v>
      </c>
      <c r="AN69" s="31">
        <f t="shared" si="29"/>
        <v>4.0905524774584902E-2</v>
      </c>
    </row>
    <row r="70" spans="33:40">
      <c r="AG70" s="2">
        <v>13</v>
      </c>
      <c r="AH70" s="28">
        <f t="shared" si="25"/>
        <v>136122.19534883721</v>
      </c>
      <c r="AI70" s="2">
        <f t="shared" si="26"/>
        <v>131248.54970924027</v>
      </c>
      <c r="AJ70" s="2">
        <f t="shared" si="27"/>
        <v>0.96419653953488371</v>
      </c>
      <c r="AK70" s="2">
        <v>939.55700139634155</v>
      </c>
      <c r="AL70" s="28">
        <v>0.17629362237692214</v>
      </c>
      <c r="AM70" s="28">
        <f t="shared" si="28"/>
        <v>1.3883840317176677</v>
      </c>
      <c r="AN70" s="31">
        <f t="shared" si="29"/>
        <v>4.1172160291559436E-2</v>
      </c>
    </row>
    <row r="71" spans="33:40">
      <c r="AG71" s="2">
        <v>5</v>
      </c>
      <c r="AH71" s="28">
        <f t="shared" si="25"/>
        <v>170818.82502204587</v>
      </c>
      <c r="AI71" s="2">
        <f t="shared" si="26"/>
        <v>162109.92856173281</v>
      </c>
      <c r="AJ71" s="2">
        <f t="shared" si="27"/>
        <v>0.94901676405285496</v>
      </c>
      <c r="AK71" s="2">
        <v>919.85650941803306</v>
      </c>
      <c r="AL71" s="28">
        <v>0.22291326658692465</v>
      </c>
      <c r="AM71" s="28">
        <f t="shared" si="28"/>
        <v>1.5650980051950028</v>
      </c>
      <c r="AN71" s="31">
        <f t="shared" si="29"/>
        <v>4.1704828988574881E-2</v>
      </c>
    </row>
    <row r="72" spans="33:40">
      <c r="AG72" s="2">
        <v>10</v>
      </c>
      <c r="AH72" s="28">
        <f t="shared" si="25"/>
        <v>210545.53344541098</v>
      </c>
      <c r="AI72" s="2">
        <f t="shared" si="26"/>
        <v>196151.86789119645</v>
      </c>
      <c r="AJ72" s="2">
        <f t="shared" si="27"/>
        <v>0.93163632911763272</v>
      </c>
      <c r="AK72" s="2">
        <v>913.44030540740687</v>
      </c>
      <c r="AL72" s="28">
        <v>0.27749797009922006</v>
      </c>
      <c r="AM72" s="28">
        <f t="shared" si="28"/>
        <v>1.8598329373980211</v>
      </c>
      <c r="AN72" s="31">
        <f t="shared" si="29"/>
        <v>4.2757021867485742E-2</v>
      </c>
    </row>
    <row r="73" spans="33:40">
      <c r="AG73" s="2">
        <v>16</v>
      </c>
      <c r="AH73" s="28">
        <f t="shared" si="25"/>
        <v>260377.35737704902</v>
      </c>
      <c r="AI73" s="2">
        <f t="shared" si="26"/>
        <v>236900.40851209214</v>
      </c>
      <c r="AJ73" s="2">
        <f t="shared" si="27"/>
        <v>0.90983490614754103</v>
      </c>
      <c r="AK73" s="2">
        <v>911.39857946341453</v>
      </c>
      <c r="AL73" s="28">
        <v>0.36940684380222866</v>
      </c>
      <c r="AM73" s="28">
        <f t="shared" si="28"/>
        <v>2.4300536977477205</v>
      </c>
      <c r="AN73" s="31">
        <f t="shared" si="29"/>
        <v>4.7075322200508286E-2</v>
      </c>
    </row>
    <row r="74" spans="33:40">
      <c r="AG74" s="2">
        <v>4</v>
      </c>
      <c r="AH74" s="28">
        <f t="shared" si="25"/>
        <v>147808.14656319289</v>
      </c>
      <c r="AI74" s="2">
        <f t="shared" si="26"/>
        <v>141760.41896074844</v>
      </c>
      <c r="AJ74" s="2">
        <f t="shared" si="27"/>
        <v>0.95908393587860308</v>
      </c>
      <c r="AK74" s="2">
        <v>957.79768671084344</v>
      </c>
      <c r="AL74" s="28">
        <v>0.21292866590165307</v>
      </c>
      <c r="AM74" s="28">
        <f t="shared" si="28"/>
        <v>1.5347689576555779</v>
      </c>
      <c r="AN74" s="31">
        <f t="shared" si="29"/>
        <v>4.6485342684557548E-2</v>
      </c>
    </row>
    <row r="75" spans="33:40">
      <c r="AG75" s="2">
        <v>9</v>
      </c>
      <c r="AH75" s="28">
        <f t="shared" si="25"/>
        <v>209695.28018077597</v>
      </c>
      <c r="AI75" s="2">
        <f t="shared" si="26"/>
        <v>195437.74472815322</v>
      </c>
      <c r="AJ75" s="2">
        <f t="shared" si="27"/>
        <v>0.93200831492091052</v>
      </c>
      <c r="AK75" s="2">
        <v>923.11566806707299</v>
      </c>
      <c r="AL75" s="28">
        <v>0.30848744376031922</v>
      </c>
      <c r="AM75" s="28">
        <f t="shared" si="28"/>
        <v>2.0167842593208496</v>
      </c>
      <c r="AN75" s="31">
        <f t="shared" si="29"/>
        <v>4.7957563505809722E-2</v>
      </c>
    </row>
  </sheetData>
  <sortState ref="A3:CG22">
    <sortCondition ref="BO3:BO22"/>
    <sortCondition ref="BP3:BP22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4"/>
  <sheetViews>
    <sheetView zoomScale="55" zoomScaleNormal="55"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AS64" sqref="AS64"/>
    </sheetView>
  </sheetViews>
  <sheetFormatPr defaultColWidth="9.109375" defaultRowHeight="13.8"/>
  <cols>
    <col min="1" max="43" width="9.109375" style="2"/>
    <col min="44" max="44" width="11.77734375" style="2" bestFit="1" customWidth="1"/>
    <col min="45" max="71" width="9.109375" style="2"/>
    <col min="72" max="72" width="12.5546875" style="2" bestFit="1" customWidth="1"/>
    <col min="73" max="16384" width="9.109375" style="2"/>
  </cols>
  <sheetData>
    <row r="1" spans="1:79">
      <c r="B1" s="2">
        <v>1</v>
      </c>
      <c r="C1" s="2">
        <v>2</v>
      </c>
      <c r="D1" s="2">
        <v>3</v>
      </c>
      <c r="E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O1" s="2">
        <v>36</v>
      </c>
      <c r="BA1" s="2" t="s">
        <v>209</v>
      </c>
      <c r="BB1" s="2" t="s">
        <v>78</v>
      </c>
      <c r="BC1" s="2">
        <f>PI()*0.127^2/4*0.14</f>
        <v>1.7734761768412423E-3</v>
      </c>
      <c r="BD1" s="2" t="s">
        <v>286</v>
      </c>
      <c r="BE1" s="2">
        <f>0.0017576341989371+7.27848199546045E-07</f>
        <v>1.758362047136646E-3</v>
      </c>
      <c r="BF1" s="2" t="s">
        <v>287</v>
      </c>
      <c r="BG1" s="2">
        <f>BC1/(18-1)</f>
        <v>1.0432212804948484E-4</v>
      </c>
      <c r="BH1" s="2">
        <f>60*(BG1/BE1)^(1.4)</f>
        <v>1.1500762664078525</v>
      </c>
      <c r="BI1" s="2">
        <f>BC1+BG1</f>
        <v>1.8777983048907272E-3</v>
      </c>
      <c r="BT1" s="31">
        <v>100000</v>
      </c>
    </row>
    <row r="2" spans="1:79">
      <c r="B2" s="2" t="s">
        <v>160</v>
      </c>
      <c r="C2" s="2" t="s">
        <v>162</v>
      </c>
      <c r="D2" s="2" t="s">
        <v>165</v>
      </c>
      <c r="E2" s="2" t="s">
        <v>166</v>
      </c>
      <c r="F2" s="2" t="s">
        <v>199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167</v>
      </c>
      <c r="L2" s="2" t="s">
        <v>168</v>
      </c>
      <c r="M2" s="2" t="s">
        <v>169</v>
      </c>
      <c r="N2" s="2" t="s">
        <v>186</v>
      </c>
      <c r="O2" s="2" t="s">
        <v>170</v>
      </c>
      <c r="P2" s="2" t="s">
        <v>171</v>
      </c>
      <c r="R2" s="2" t="s">
        <v>76</v>
      </c>
      <c r="T2" s="2" t="s">
        <v>172</v>
      </c>
      <c r="U2" s="2" t="s">
        <v>173</v>
      </c>
      <c r="V2" s="2" t="s">
        <v>174</v>
      </c>
      <c r="W2" s="2" t="s">
        <v>175</v>
      </c>
      <c r="X2" s="2" t="s">
        <v>176</v>
      </c>
      <c r="Y2" s="2" t="s">
        <v>177</v>
      </c>
      <c r="Z2" s="2" t="s">
        <v>179</v>
      </c>
      <c r="AA2" s="2" t="s">
        <v>178</v>
      </c>
      <c r="AB2" s="2" t="s">
        <v>180</v>
      </c>
      <c r="AC2" s="2" t="s">
        <v>181</v>
      </c>
      <c r="AD2" s="2" t="s">
        <v>182</v>
      </c>
      <c r="AG2" s="2" t="s">
        <v>185</v>
      </c>
      <c r="AH2" s="2" t="s">
        <v>183</v>
      </c>
      <c r="AI2" s="2" t="s">
        <v>184</v>
      </c>
      <c r="AJ2" s="2" t="s">
        <v>187</v>
      </c>
      <c r="AK2" s="2" t="s">
        <v>188</v>
      </c>
      <c r="AL2" s="2" t="s">
        <v>189</v>
      </c>
      <c r="AM2" s="2" t="s">
        <v>284</v>
      </c>
      <c r="AN2" s="2" t="s">
        <v>285</v>
      </c>
      <c r="AO2" s="2" t="s">
        <v>190</v>
      </c>
      <c r="AP2" s="2" t="s">
        <v>193</v>
      </c>
      <c r="AQ2" s="2" t="s">
        <v>191</v>
      </c>
      <c r="AR2" s="2" t="s">
        <v>224</v>
      </c>
      <c r="AS2" s="2" t="s">
        <v>212</v>
      </c>
      <c r="AT2" s="2" t="s">
        <v>192</v>
      </c>
      <c r="AU2" s="2" t="s">
        <v>194</v>
      </c>
      <c r="AV2" s="2" t="s">
        <v>195</v>
      </c>
      <c r="AW2" s="2" t="s">
        <v>197</v>
      </c>
      <c r="AX2" s="2" t="s">
        <v>198</v>
      </c>
      <c r="AY2" s="2" t="s">
        <v>208</v>
      </c>
      <c r="AZ2" s="2" t="s">
        <v>208</v>
      </c>
      <c r="BA2" s="2" t="s">
        <v>210</v>
      </c>
      <c r="BB2" s="2" t="s">
        <v>227</v>
      </c>
      <c r="BC2" s="2" t="s">
        <v>42</v>
      </c>
      <c r="BD2" s="2" t="s">
        <v>228</v>
      </c>
      <c r="BE2" s="2" t="s">
        <v>217</v>
      </c>
      <c r="BF2" s="2" t="s">
        <v>218</v>
      </c>
      <c r="BG2" s="2" t="s">
        <v>76</v>
      </c>
      <c r="BH2" s="2" t="s">
        <v>216</v>
      </c>
      <c r="BI2" s="2" t="s">
        <v>215</v>
      </c>
      <c r="BJ2" s="2" t="s">
        <v>225</v>
      </c>
      <c r="BK2" s="2" t="s">
        <v>220</v>
      </c>
      <c r="BL2" s="2" t="s">
        <v>195</v>
      </c>
      <c r="BM2" s="2" t="s">
        <v>213</v>
      </c>
      <c r="BN2" s="2" t="s">
        <v>214</v>
      </c>
      <c r="BO2" s="2" t="s">
        <v>223</v>
      </c>
      <c r="BP2" s="2" t="s">
        <v>199</v>
      </c>
      <c r="BQ2" s="2" t="s">
        <v>221</v>
      </c>
      <c r="BR2" s="2" t="s">
        <v>222</v>
      </c>
      <c r="BS2" s="2" t="s">
        <v>211</v>
      </c>
      <c r="BT2" s="2" t="s">
        <v>194</v>
      </c>
      <c r="BU2" s="2" t="s">
        <v>219</v>
      </c>
      <c r="BV2" s="2" t="s">
        <v>212</v>
      </c>
      <c r="BW2" s="2" t="s">
        <v>226</v>
      </c>
      <c r="BX2" s="2" t="s">
        <v>272</v>
      </c>
      <c r="BY2" s="2" t="s">
        <v>273</v>
      </c>
    </row>
    <row r="3" spans="1:79" ht="14.4">
      <c r="A3" s="2">
        <v>1</v>
      </c>
      <c r="B3" s="28">
        <v>0.42725115740740799</v>
      </c>
      <c r="C3" s="28">
        <v>33.292933796008597</v>
      </c>
      <c r="D3" s="28">
        <v>681.811660055071</v>
      </c>
      <c r="E3" s="28">
        <v>649.37919231185992</v>
      </c>
      <c r="F3" s="28">
        <f t="shared" ref="F3:F22" si="0">(AVERAGE(D3:E3))</f>
        <v>665.59542618346541</v>
      </c>
      <c r="G3" s="28">
        <v>302.41238834691165</v>
      </c>
      <c r="H3" s="28">
        <v>303.54037595408607</v>
      </c>
      <c r="I3" s="28">
        <v>304.00323939535178</v>
      </c>
      <c r="J3" s="28">
        <v>659.69227183895396</v>
      </c>
      <c r="K3" s="28">
        <v>310.73814663319439</v>
      </c>
      <c r="L3" s="28">
        <v>301.14845027194639</v>
      </c>
      <c r="M3" s="28">
        <v>302.15692505930281</v>
      </c>
      <c r="N3" s="28">
        <v>311.43989885922696</v>
      </c>
      <c r="O3" s="28">
        <v>354.61263813047867</v>
      </c>
      <c r="P3" s="28">
        <v>20.682090443476099</v>
      </c>
      <c r="Q3" s="28">
        <v>1.0871701228369299</v>
      </c>
      <c r="R3" s="28">
        <v>798.91023827144102</v>
      </c>
      <c r="S3" s="28">
        <f t="shared" ref="S3:S22" si="1">R3*PI()/30</f>
        <v>83.661684514374343</v>
      </c>
      <c r="T3" s="28">
        <v>548.65643980112395</v>
      </c>
      <c r="U3" s="28">
        <v>3.2591800315776198</v>
      </c>
      <c r="V3" s="28">
        <v>9.4654934255399795E-2</v>
      </c>
      <c r="W3" s="28">
        <v>-1.1781463306808099E-3</v>
      </c>
      <c r="X3" s="28">
        <v>2.5207128141972999</v>
      </c>
      <c r="Y3" s="28">
        <v>17.122901585828</v>
      </c>
      <c r="Z3" s="28">
        <v>1347.1905036406499</v>
      </c>
      <c r="AA3" s="28">
        <v>-4.6989438297334797E-2</v>
      </c>
      <c r="AB3" s="28">
        <v>6.8330919196033797</v>
      </c>
      <c r="AC3" s="28">
        <v>10.674684968864501</v>
      </c>
      <c r="AD3" s="28">
        <v>117.198384171277</v>
      </c>
      <c r="AE3" s="28">
        <v>-250.03816323184299</v>
      </c>
      <c r="AF3" s="28">
        <v>-20.4224751576355</v>
      </c>
      <c r="AG3" s="28">
        <v>300.5</v>
      </c>
      <c r="AH3" s="28">
        <v>992.05</v>
      </c>
      <c r="AI3" s="28">
        <v>17.7</v>
      </c>
      <c r="AJ3" s="28">
        <v>217.782691359193</v>
      </c>
      <c r="AK3" s="28">
        <v>26.080648202178399</v>
      </c>
      <c r="AL3" s="28">
        <v>0.154902739869792</v>
      </c>
      <c r="AM3" s="28">
        <f t="shared" ref="AM3:AM22" si="2">AL3/(R3/60/2)/6</f>
        <v>3.8778509136382249E-3</v>
      </c>
      <c r="AN3" s="28">
        <f t="shared" ref="AN3:AN22" si="3">AM3*288*AG3/$BG$1/100000</f>
        <v>32.170042515880581</v>
      </c>
      <c r="AO3" s="28">
        <v>0.15767956125669599</v>
      </c>
      <c r="AP3" s="28">
        <v>0.15983830835075799</v>
      </c>
      <c r="AQ3" s="28">
        <v>9996.5569928548703</v>
      </c>
      <c r="AR3" s="28">
        <f t="shared" ref="AR3:AR22" si="4">AQ3/3600/1000</f>
        <v>2.7768213869041303E-3</v>
      </c>
      <c r="AS3" s="28">
        <f t="shared" ref="AS3:AS22" si="5">AQ3/3600/1000/AL3/0.06</f>
        <v>0.29877041869823912</v>
      </c>
      <c r="AT3" s="28">
        <v>6.9515228467022502E-2</v>
      </c>
      <c r="AU3" s="28">
        <v>76.517399999999995</v>
      </c>
      <c r="AV3" s="29">
        <v>6.47938424784844</v>
      </c>
      <c r="AW3" s="28">
        <f>V3+$AH3/1000</f>
        <v>1.0867049342553998</v>
      </c>
      <c r="AX3" s="28">
        <f>AW3*0.9+0.03</f>
        <v>1.0080344408298598</v>
      </c>
      <c r="AY3" s="28">
        <f t="shared" ref="AY3:AY22" si="6">P3/30*PI()*R3</f>
        <v>1730.2985257798539</v>
      </c>
      <c r="AZ3" s="28">
        <f t="shared" ref="AZ3:AZ22" si="7">R3*Q3</f>
        <v>868.55134187724354</v>
      </c>
      <c r="BA3" s="28">
        <v>358.4</v>
      </c>
      <c r="BB3" s="32">
        <v>550</v>
      </c>
      <c r="BC3" s="32">
        <v>500</v>
      </c>
      <c r="BD3" s="32">
        <v>530</v>
      </c>
      <c r="BE3" s="28">
        <v>45901.092622397002</v>
      </c>
      <c r="BF3" s="28">
        <v>51974.939588499401</v>
      </c>
      <c r="BG3" s="28">
        <v>798.90276547225994</v>
      </c>
      <c r="BH3" s="28">
        <v>548.65735422673799</v>
      </c>
      <c r="BI3" s="28">
        <v>621.23908723203499</v>
      </c>
      <c r="BJ3" s="28">
        <f t="shared" ref="BJ3:BJ22" si="8">BH3/BI3</f>
        <v>0.8831661843289853</v>
      </c>
      <c r="BK3" s="28">
        <f t="shared" ref="BK3:BK22" si="9">BL3/BJ3</f>
        <v>7.3996020063359635</v>
      </c>
      <c r="BL3" s="28">
        <f t="shared" ref="BL3:BL22" si="10">BE3*2/(BG3/60)/($BE$1*6)/100000</f>
        <v>6.535078269488837</v>
      </c>
      <c r="BM3" s="28">
        <v>0.13623880844474301</v>
      </c>
      <c r="BN3" s="28">
        <v>0.137377689902242</v>
      </c>
      <c r="BO3" s="28">
        <v>3.0910112413146699E-3</v>
      </c>
      <c r="BP3" s="28">
        <v>527.17276442880495</v>
      </c>
      <c r="BQ3" s="28">
        <v>194.33722094351799</v>
      </c>
      <c r="BR3" s="28">
        <f t="shared" ref="BR3:BR22" si="11">BQ3*BI3/BH3</f>
        <v>220.04603934328861</v>
      </c>
      <c r="BS3" s="28">
        <v>8.2607305914453395</v>
      </c>
      <c r="BT3" s="28">
        <f>12365730.1041003/100000</f>
        <v>123.657301041003</v>
      </c>
      <c r="BU3" s="28">
        <v>367.662498790916</v>
      </c>
      <c r="BV3" s="28">
        <f t="shared" ref="BV3:BV22" si="12">BO3/BM3/0.067</f>
        <v>0.33862962151299625</v>
      </c>
      <c r="BX3" s="2">
        <v>361</v>
      </c>
      <c r="BY3" s="2">
        <v>80</v>
      </c>
      <c r="BZ3" s="2">
        <v>361</v>
      </c>
      <c r="CA3" s="2">
        <v>80</v>
      </c>
    </row>
    <row r="4" spans="1:79" ht="14.4">
      <c r="A4" s="2">
        <v>2</v>
      </c>
      <c r="B4" s="32">
        <v>0.52051238425925905</v>
      </c>
      <c r="C4" s="32">
        <v>35.770772204879499</v>
      </c>
      <c r="D4" s="32">
        <v>870.80130345138593</v>
      </c>
      <c r="E4" s="32">
        <v>840.900596264157</v>
      </c>
      <c r="F4" s="28">
        <f t="shared" si="0"/>
        <v>855.85094985777141</v>
      </c>
      <c r="G4" s="32">
        <v>308.93777288831325</v>
      </c>
      <c r="H4" s="32">
        <v>310.01901634030116</v>
      </c>
      <c r="I4" s="32">
        <v>311.4848032753614</v>
      </c>
      <c r="J4" s="32">
        <v>867.00643711367502</v>
      </c>
      <c r="K4" s="32">
        <v>312.34723923650597</v>
      </c>
      <c r="L4" s="32">
        <v>302.03988653228919</v>
      </c>
      <c r="M4" s="32">
        <v>302.92983352692767</v>
      </c>
      <c r="N4" s="32">
        <v>318.70136062572288</v>
      </c>
      <c r="O4" s="32">
        <v>355.63139432740968</v>
      </c>
      <c r="P4" s="32">
        <v>12.8542333063253</v>
      </c>
      <c r="Q4" s="32">
        <v>1.5279430743373501</v>
      </c>
      <c r="R4" s="32">
        <v>799.42451451373495</v>
      </c>
      <c r="S4" s="32">
        <f t="shared" si="1"/>
        <v>83.715539396531227</v>
      </c>
      <c r="T4" s="32">
        <v>891.37240642012</v>
      </c>
      <c r="U4" s="32">
        <v>5.5207999892168704</v>
      </c>
      <c r="V4" s="32">
        <v>0.192552580783133</v>
      </c>
      <c r="W4" s="32">
        <v>1.51460221686747E-2</v>
      </c>
      <c r="X4" s="32">
        <v>2.8897873180722899</v>
      </c>
      <c r="Y4" s="32">
        <v>41.123814023373498</v>
      </c>
      <c r="Z4" s="32">
        <v>1580.6103919202999</v>
      </c>
      <c r="AA4" s="32">
        <v>-5.99455924096386E-2</v>
      </c>
      <c r="AB4" s="32">
        <v>12.1254568360843</v>
      </c>
      <c r="AC4" s="32">
        <v>4.33401010704819</v>
      </c>
      <c r="AD4" s="32">
        <v>3889.7705613006001</v>
      </c>
      <c r="AE4" s="32">
        <v>-250.00300944259001</v>
      </c>
      <c r="AF4" s="32">
        <v>-20.4221093537349</v>
      </c>
      <c r="AG4" s="32">
        <v>302.54999999999995</v>
      </c>
      <c r="AH4" s="32">
        <v>993.95</v>
      </c>
      <c r="AI4" s="32">
        <v>24.8</v>
      </c>
      <c r="AJ4" s="32">
        <v>226.92317085369399</v>
      </c>
      <c r="AK4" s="32">
        <v>20.092822099140999</v>
      </c>
      <c r="AL4" s="32">
        <v>0.16540304676033599</v>
      </c>
      <c r="AM4" s="28">
        <f t="shared" si="2"/>
        <v>4.1380529057442154E-3</v>
      </c>
      <c r="AN4" s="28">
        <f t="shared" si="3"/>
        <v>34.562826109072965</v>
      </c>
      <c r="AO4" s="32">
        <v>0.17010676835114899</v>
      </c>
      <c r="AP4" s="32">
        <v>0.17483447404344099</v>
      </c>
      <c r="AQ4" s="32">
        <v>16933.397726925999</v>
      </c>
      <c r="AR4" s="32">
        <f t="shared" si="4"/>
        <v>4.7037215908127773E-3</v>
      </c>
      <c r="AS4" s="32">
        <f t="shared" si="5"/>
        <v>0.4739656335380093</v>
      </c>
      <c r="AT4" s="32">
        <v>0.117677692025091</v>
      </c>
      <c r="AU4" s="32">
        <v>89.9071</v>
      </c>
      <c r="AV4" s="34">
        <v>10.5267047101804</v>
      </c>
      <c r="AW4" s="32">
        <f t="shared" ref="AW4:AW22" si="13">V4+AH4/1000</f>
        <v>1.1865025807831331</v>
      </c>
      <c r="AX4" s="32">
        <f t="shared" ref="AX4:AX22" si="14">AW4*0.9</f>
        <v>1.0678523227048198</v>
      </c>
      <c r="AY4" s="32">
        <f t="shared" si="6"/>
        <v>1076.0990747678793</v>
      </c>
      <c r="AZ4" s="32">
        <f t="shared" si="7"/>
        <v>1221.4751504067597</v>
      </c>
      <c r="BA4" s="28">
        <v>356</v>
      </c>
      <c r="BB4" s="28">
        <v>550</v>
      </c>
      <c r="BC4" s="28">
        <v>500</v>
      </c>
      <c r="BD4" s="28">
        <v>530</v>
      </c>
      <c r="BE4" s="32">
        <v>74624.204025709696</v>
      </c>
      <c r="BF4" s="32">
        <v>84163.412697895605</v>
      </c>
      <c r="BG4" s="32">
        <v>799.45110661147396</v>
      </c>
      <c r="BH4" s="32">
        <v>891.37389202273505</v>
      </c>
      <c r="BI4" s="32">
        <v>1005.23864475994</v>
      </c>
      <c r="BJ4" s="28">
        <f t="shared" si="8"/>
        <v>0.88672863570182692</v>
      </c>
      <c r="BK4" s="28">
        <f t="shared" si="9"/>
        <v>11.973435100047253</v>
      </c>
      <c r="BL4" s="28">
        <f t="shared" si="10"/>
        <v>10.617187770929268</v>
      </c>
      <c r="BM4" s="32">
        <v>0.14563021877030599</v>
      </c>
      <c r="BN4" s="32">
        <v>0.14902232297613199</v>
      </c>
      <c r="BO4" s="32">
        <v>5.03135704993205E-3</v>
      </c>
      <c r="BP4" s="32">
        <v>591.29282460065497</v>
      </c>
      <c r="BQ4" s="32">
        <v>194.02791153606</v>
      </c>
      <c r="BR4" s="28">
        <f t="shared" si="11"/>
        <v>218.81317882836953</v>
      </c>
      <c r="BS4" s="32">
        <v>7.5297210325686503</v>
      </c>
      <c r="BT4" s="32">
        <f>15201479.2593356/100000</f>
        <v>152.01479259335599</v>
      </c>
      <c r="BU4" s="32">
        <v>368.25920053704101</v>
      </c>
      <c r="BV4" s="28">
        <f t="shared" si="12"/>
        <v>0.51565452538880097</v>
      </c>
      <c r="BW4" s="32"/>
      <c r="BX4" s="2">
        <v>361</v>
      </c>
      <c r="BY4" s="2">
        <v>80</v>
      </c>
      <c r="BZ4" s="2">
        <v>361</v>
      </c>
      <c r="CA4" s="2">
        <v>80</v>
      </c>
    </row>
    <row r="5" spans="1:79" ht="14.4">
      <c r="A5" s="2">
        <v>20</v>
      </c>
      <c r="B5" s="32">
        <v>0.51637152777777795</v>
      </c>
      <c r="C5" s="32">
        <v>33.852034048780503</v>
      </c>
      <c r="D5" s="32">
        <v>935.98554668292695</v>
      </c>
      <c r="E5" s="32">
        <v>910.24578945121903</v>
      </c>
      <c r="F5" s="28">
        <f t="shared" si="0"/>
        <v>923.11566806707299</v>
      </c>
      <c r="G5" s="32">
        <v>306.37384997560969</v>
      </c>
      <c r="H5" s="32">
        <v>303.9197912804878</v>
      </c>
      <c r="I5" s="32">
        <v>320.3771888780488</v>
      </c>
      <c r="J5" s="32">
        <v>919.32134062195098</v>
      </c>
      <c r="K5" s="32">
        <v>312.81254239024389</v>
      </c>
      <c r="L5" s="32">
        <v>302.6917241585366</v>
      </c>
      <c r="M5" s="32">
        <v>304.47401335365851</v>
      </c>
      <c r="N5" s="32">
        <v>332.04313740243896</v>
      </c>
      <c r="O5" s="32">
        <v>356.62472718292679</v>
      </c>
      <c r="P5" s="32">
        <v>23.0282319512195</v>
      </c>
      <c r="Q5" s="32">
        <v>1.7906675000000001</v>
      </c>
      <c r="R5" s="32">
        <v>999.006887780488</v>
      </c>
      <c r="S5" s="32">
        <f t="shared" si="1"/>
        <v>104.61575665122614</v>
      </c>
      <c r="T5" s="32">
        <v>1222.3408789756099</v>
      </c>
      <c r="U5" s="32">
        <v>8.9887270121951293</v>
      </c>
      <c r="V5" s="32">
        <v>0.569747</v>
      </c>
      <c r="W5" s="32">
        <v>1.49097926829268E-2</v>
      </c>
      <c r="X5" s="32">
        <v>4.9457860975609798</v>
      </c>
      <c r="Y5" s="32">
        <v>59.335706207317102</v>
      </c>
      <c r="Z5" s="32">
        <v>1212.00254231707</v>
      </c>
      <c r="AA5" s="32">
        <v>-9.1598292682926793E-3</v>
      </c>
      <c r="AB5" s="32">
        <v>12.316390487804901</v>
      </c>
      <c r="AC5" s="32">
        <v>4.4713389268292696</v>
      </c>
      <c r="AD5" s="32">
        <v>2087.85046885366</v>
      </c>
      <c r="AE5" s="32">
        <v>-250.03364756097599</v>
      </c>
      <c r="AF5" s="32">
        <v>-20.423972695122</v>
      </c>
      <c r="AG5" s="32">
        <v>313.54999999999995</v>
      </c>
      <c r="AH5" s="32">
        <v>994.9</v>
      </c>
      <c r="AI5" s="32">
        <v>53.3</v>
      </c>
      <c r="AJ5" s="32">
        <v>215.60103924952699</v>
      </c>
      <c r="AK5" s="32">
        <v>11.6467794266444</v>
      </c>
      <c r="AL5" s="32">
        <v>0.214072480045818</v>
      </c>
      <c r="AM5" s="28">
        <f t="shared" si="2"/>
        <v>4.2857057877033616E-3</v>
      </c>
      <c r="AN5" s="28">
        <f t="shared" si="3"/>
        <v>37.097548291952727</v>
      </c>
      <c r="AO5" s="32">
        <v>0.221730875460208</v>
      </c>
      <c r="AP5" s="32">
        <v>0.226270160358507</v>
      </c>
      <c r="AQ5" s="32">
        <v>27570.2234918049</v>
      </c>
      <c r="AR5" s="32">
        <f t="shared" si="4"/>
        <v>7.6583954143902497E-3</v>
      </c>
      <c r="AS5" s="32">
        <f t="shared" si="5"/>
        <v>0.59624629726274025</v>
      </c>
      <c r="AT5" s="32">
        <v>0.15332017242453699</v>
      </c>
      <c r="AU5" s="32">
        <v>104.4314</v>
      </c>
      <c r="AV5" s="34">
        <v>14.4352925842019</v>
      </c>
      <c r="AW5" s="32">
        <f t="shared" si="13"/>
        <v>1.5646469999999999</v>
      </c>
      <c r="AX5" s="32">
        <f t="shared" si="14"/>
        <v>1.4081823</v>
      </c>
      <c r="AY5" s="32">
        <f t="shared" si="6"/>
        <v>2409.1159099167699</v>
      </c>
      <c r="AZ5" s="32">
        <f t="shared" si="7"/>
        <v>1788.8891662246672</v>
      </c>
      <c r="BA5" s="32">
        <v>358.4</v>
      </c>
      <c r="BB5" s="32">
        <v>550</v>
      </c>
      <c r="BC5" s="32">
        <v>500</v>
      </c>
      <c r="BD5" s="32">
        <v>530</v>
      </c>
      <c r="BE5" s="32">
        <v>127875.05051327099</v>
      </c>
      <c r="BF5" s="32">
        <v>146149.02931697</v>
      </c>
      <c r="BG5" s="32">
        <v>998.99856432664296</v>
      </c>
      <c r="BH5" s="32">
        <v>1222.34291623381</v>
      </c>
      <c r="BI5" s="32">
        <v>1396.9910605674199</v>
      </c>
      <c r="BJ5" s="28">
        <f t="shared" si="8"/>
        <v>0.87498263284328204</v>
      </c>
      <c r="BK5" s="28">
        <f t="shared" si="9"/>
        <v>16.639612778811816</v>
      </c>
      <c r="BL5" s="28">
        <f t="shared" si="10"/>
        <v>14.559372198697483</v>
      </c>
      <c r="BM5" s="32">
        <v>0.19278205332983001</v>
      </c>
      <c r="BN5" s="32">
        <v>0.20005769288047801</v>
      </c>
      <c r="BO5" s="32">
        <v>8.4764989114879691E-3</v>
      </c>
      <c r="BP5" s="32">
        <v>673.55308671755597</v>
      </c>
      <c r="BQ5" s="32">
        <v>194.45720290881499</v>
      </c>
      <c r="BR5" s="28">
        <f t="shared" si="11"/>
        <v>222.24121440778836</v>
      </c>
      <c r="BS5" s="32">
        <v>7.1256585916582198</v>
      </c>
      <c r="BT5" s="32">
        <f>15369902.3651383/100000</f>
        <v>153.69902365138299</v>
      </c>
      <c r="BU5" s="32">
        <v>372.41907740105</v>
      </c>
      <c r="BV5" s="28">
        <f t="shared" si="12"/>
        <v>0.65625874889003422</v>
      </c>
      <c r="BW5" s="32"/>
      <c r="BX5" s="2">
        <v>361</v>
      </c>
      <c r="BY5" s="2">
        <v>80</v>
      </c>
      <c r="BZ5" s="2">
        <v>361</v>
      </c>
      <c r="CA5" s="2">
        <v>80</v>
      </c>
    </row>
    <row r="6" spans="1:79" ht="14.4">
      <c r="A6" s="2">
        <v>11</v>
      </c>
      <c r="B6" s="32">
        <v>0.44561921296296297</v>
      </c>
      <c r="C6" s="32">
        <v>34.974962920454502</v>
      </c>
      <c r="D6" s="32">
        <v>767.87953239772696</v>
      </c>
      <c r="E6" s="32">
        <v>728.31168253409101</v>
      </c>
      <c r="F6" s="28">
        <f t="shared" si="0"/>
        <v>748.09560746590898</v>
      </c>
      <c r="G6" s="32">
        <v>305.3589337272727</v>
      </c>
      <c r="H6" s="32">
        <v>305.81619738636357</v>
      </c>
      <c r="I6" s="32">
        <v>308.0322266818182</v>
      </c>
      <c r="J6" s="32">
        <v>739.3147845340909</v>
      </c>
      <c r="K6" s="32">
        <v>311.78983281818176</v>
      </c>
      <c r="L6" s="32">
        <v>301.43567989772725</v>
      </c>
      <c r="M6" s="32">
        <v>302.98101582954536</v>
      </c>
      <c r="N6" s="32">
        <v>328.61819980681815</v>
      </c>
      <c r="O6" s="32">
        <v>355.19346771590909</v>
      </c>
      <c r="P6" s="32">
        <v>15.5083847272727</v>
      </c>
      <c r="Q6" s="32">
        <v>1.19496971590909</v>
      </c>
      <c r="R6" s="32">
        <v>999.04963235227297</v>
      </c>
      <c r="S6" s="32">
        <f t="shared" si="1"/>
        <v>104.62023285231615</v>
      </c>
      <c r="T6" s="32">
        <v>724.17011857954606</v>
      </c>
      <c r="U6" s="32">
        <v>5.2330098863636403</v>
      </c>
      <c r="V6" s="32">
        <v>0.24928693181818201</v>
      </c>
      <c r="W6" s="32">
        <v>5.0057272727272702E-3</v>
      </c>
      <c r="X6" s="32">
        <v>3.8826406136363598</v>
      </c>
      <c r="Y6" s="32">
        <v>27.202765488636398</v>
      </c>
      <c r="Z6" s="32">
        <v>1249.40598720455</v>
      </c>
      <c r="AA6" s="32">
        <v>-0.100595056818182</v>
      </c>
      <c r="AB6" s="32">
        <v>8.3299462159090893</v>
      </c>
      <c r="AC6" s="32">
        <v>9.1896636590909093</v>
      </c>
      <c r="AD6" s="32">
        <v>273.99655701136402</v>
      </c>
      <c r="AE6" s="32">
        <v>-250.05177731818199</v>
      </c>
      <c r="AF6" s="32">
        <v>-20.423993500000002</v>
      </c>
      <c r="AG6" s="32">
        <v>303.25</v>
      </c>
      <c r="AH6" s="32">
        <v>993.9</v>
      </c>
      <c r="AI6" s="32">
        <v>27.5</v>
      </c>
      <c r="AJ6" s="32">
        <v>211.85434127243801</v>
      </c>
      <c r="AK6" s="32">
        <v>18.022496701598499</v>
      </c>
      <c r="AL6" s="32">
        <v>0.19059387285307</v>
      </c>
      <c r="AM6" s="28">
        <f t="shared" si="2"/>
        <v>3.8155035882314419E-3</v>
      </c>
      <c r="AN6" s="28">
        <f t="shared" si="3"/>
        <v>31.942486950008764</v>
      </c>
      <c r="AO6" s="32">
        <v>0.19505239727625201</v>
      </c>
      <c r="AP6" s="32">
        <v>0.19796060074784899</v>
      </c>
      <c r="AQ6" s="32">
        <v>16050.687923454499</v>
      </c>
      <c r="AR6" s="32">
        <f t="shared" si="4"/>
        <v>4.4585244231818057E-3</v>
      </c>
      <c r="AS6" s="32">
        <f t="shared" si="5"/>
        <v>0.38988000649763022</v>
      </c>
      <c r="AT6" s="32">
        <v>8.9255313826284599E-2</v>
      </c>
      <c r="AU6" s="32">
        <v>81.675150000000002</v>
      </c>
      <c r="AV6" s="34">
        <v>8.5521213617535494</v>
      </c>
      <c r="AW6" s="32">
        <f t="shared" si="13"/>
        <v>1.2431869318181821</v>
      </c>
      <c r="AX6" s="32">
        <f t="shared" si="14"/>
        <v>1.118868238636364</v>
      </c>
      <c r="AY6" s="32">
        <f t="shared" si="6"/>
        <v>1622.4908213305732</v>
      </c>
      <c r="AZ6" s="32">
        <f t="shared" si="7"/>
        <v>1193.8340553510764</v>
      </c>
      <c r="BA6" s="32">
        <v>358.5</v>
      </c>
      <c r="BB6" s="32">
        <v>550</v>
      </c>
      <c r="BC6" s="32">
        <v>500</v>
      </c>
      <c r="BD6" s="32">
        <v>530</v>
      </c>
      <c r="BE6" s="32">
        <v>75762.510037150103</v>
      </c>
      <c r="BF6" s="32">
        <v>86780.753530711896</v>
      </c>
      <c r="BG6" s="32">
        <v>999.04519646073004</v>
      </c>
      <c r="BH6" s="32">
        <f>BE6/(BG6*PI()/30)</f>
        <v>724.17011859997922</v>
      </c>
      <c r="BI6" s="32">
        <f>BF6/(BG6*PI()/30)</f>
        <v>829.48715064635087</v>
      </c>
      <c r="BJ6" s="28">
        <f t="shared" si="8"/>
        <v>0.8730335581879638</v>
      </c>
      <c r="BK6" s="28">
        <f t="shared" si="9"/>
        <v>9.880068946215129</v>
      </c>
      <c r="BL6" s="28">
        <f t="shared" si="10"/>
        <v>8.6256317472566</v>
      </c>
      <c r="BM6" s="32">
        <v>0.16997809922329199</v>
      </c>
      <c r="BN6" s="32">
        <v>0.173303957402273</v>
      </c>
      <c r="BO6" s="32">
        <v>4.9317828260274496E-3</v>
      </c>
      <c r="BP6" s="32">
        <v>580.69361252072702</v>
      </c>
      <c r="BQ6" s="32">
        <v>191.03217002901599</v>
      </c>
      <c r="BR6" s="28">
        <f t="shared" si="11"/>
        <v>218.81423484512476</v>
      </c>
      <c r="BS6" s="32">
        <v>7.6247572019204197</v>
      </c>
      <c r="BT6" s="32">
        <f>12253126.2778575/100000</f>
        <v>122.531262778575</v>
      </c>
      <c r="BU6" s="32">
        <v>370.09056276720599</v>
      </c>
      <c r="BV6" s="28">
        <f t="shared" si="12"/>
        <v>0.43304813521438368</v>
      </c>
      <c r="BW6" s="32">
        <v>1.0357520634508599</v>
      </c>
      <c r="BX6" s="2">
        <v>361</v>
      </c>
      <c r="BY6" s="2">
        <v>80</v>
      </c>
      <c r="BZ6" s="2">
        <v>361</v>
      </c>
      <c r="CA6" s="2">
        <v>80</v>
      </c>
    </row>
    <row r="7" spans="1:79" ht="14.4">
      <c r="A7" s="2">
        <v>8</v>
      </c>
      <c r="B7" s="32">
        <v>0.56127032271241795</v>
      </c>
      <c r="C7" s="32">
        <v>34.772687200490203</v>
      </c>
      <c r="D7" s="32">
        <v>899.61060271253496</v>
      </c>
      <c r="E7" s="32">
        <v>871.35114235511196</v>
      </c>
      <c r="F7" s="28">
        <f t="shared" si="0"/>
        <v>885.48087253382346</v>
      </c>
      <c r="G7" s="32">
        <v>308.80471102443977</v>
      </c>
      <c r="H7" s="32">
        <v>308.90480798585429</v>
      </c>
      <c r="I7" s="32">
        <v>316.11996097850135</v>
      </c>
      <c r="J7" s="32">
        <v>886.46793240196098</v>
      </c>
      <c r="K7" s="32">
        <v>312.86479604285705</v>
      </c>
      <c r="L7" s="32">
        <v>302.54790734572828</v>
      </c>
      <c r="M7" s="32">
        <v>303.99527732219889</v>
      </c>
      <c r="N7" s="32">
        <v>338.16424764845937</v>
      </c>
      <c r="O7" s="32">
        <v>355.99880968844536</v>
      </c>
      <c r="P7" s="32">
        <v>16.8820399122549</v>
      </c>
      <c r="Q7" s="32">
        <v>1.8307817836834701</v>
      </c>
      <c r="R7" s="32">
        <v>999.10263269117695</v>
      </c>
      <c r="S7" s="32">
        <f t="shared" si="1"/>
        <v>104.62578303482744</v>
      </c>
      <c r="T7" s="32">
        <v>1054.5157228691901</v>
      </c>
      <c r="U7" s="32">
        <v>7.7868528828431396</v>
      </c>
      <c r="V7" s="32">
        <v>0.42687700175069998</v>
      </c>
      <c r="W7" s="32">
        <v>1.45809731792717E-2</v>
      </c>
      <c r="X7" s="32">
        <v>4.6093887869047601</v>
      </c>
      <c r="Y7" s="32">
        <v>57.284969582563001</v>
      </c>
      <c r="Z7" s="32">
        <v>1296.35037098473</v>
      </c>
      <c r="AA7" s="32">
        <v>-3.7311792787114897E-2</v>
      </c>
      <c r="AB7" s="32">
        <v>11.6965657064426</v>
      </c>
      <c r="AC7" s="32">
        <v>5.3189122247899201</v>
      </c>
      <c r="AD7" s="32">
        <v>1982.68467611807</v>
      </c>
      <c r="AE7" s="32">
        <v>-250.02306405994401</v>
      </c>
      <c r="AF7" s="32">
        <v>-20.423399741596601</v>
      </c>
      <c r="AG7" s="32">
        <v>313.5</v>
      </c>
      <c r="AH7" s="32">
        <v>993.8</v>
      </c>
      <c r="AI7" s="32">
        <v>45.75</v>
      </c>
      <c r="AJ7" s="32">
        <v>216.47726101549799</v>
      </c>
      <c r="AK7" s="32">
        <v>13.9563834844504</v>
      </c>
      <c r="AL7" s="32">
        <v>0.20695536341332299</v>
      </c>
      <c r="AM7" s="28">
        <f t="shared" si="2"/>
        <v>4.1428249039013989E-3</v>
      </c>
      <c r="AN7" s="28">
        <f t="shared" si="3"/>
        <v>35.855036885944415</v>
      </c>
      <c r="AO7" s="32">
        <v>0.213589762069505</v>
      </c>
      <c r="AP7" s="32">
        <v>0.21818345985047799</v>
      </c>
      <c r="AQ7" s="32">
        <v>23883.835162256499</v>
      </c>
      <c r="AR7" s="32">
        <f t="shared" si="4"/>
        <v>6.6343986561823607E-3</v>
      </c>
      <c r="AS7" s="32">
        <f t="shared" si="5"/>
        <v>0.53428579531683884</v>
      </c>
      <c r="AT7" s="32">
        <v>0.13280714991836201</v>
      </c>
      <c r="AU7" s="32">
        <v>95.019499999999994</v>
      </c>
      <c r="AV7" s="34">
        <v>12.453353443447799</v>
      </c>
      <c r="AW7" s="32">
        <f t="shared" si="13"/>
        <v>1.4206770017507</v>
      </c>
      <c r="AX7" s="32">
        <f t="shared" si="14"/>
        <v>1.2786093015756301</v>
      </c>
      <c r="AY7" s="32">
        <f t="shared" si="6"/>
        <v>1766.2966450448782</v>
      </c>
      <c r="AZ7" s="32">
        <f t="shared" si="7"/>
        <v>1829.1388999612038</v>
      </c>
      <c r="BA7" s="32">
        <v>358.5</v>
      </c>
      <c r="BB7" s="32">
        <v>550</v>
      </c>
      <c r="BC7" s="32">
        <v>500</v>
      </c>
      <c r="BD7" s="32">
        <v>530</v>
      </c>
      <c r="BE7" s="32">
        <v>110328.93106334801</v>
      </c>
      <c r="BF7" s="32">
        <v>126163.929062742</v>
      </c>
      <c r="BG7" s="32">
        <v>999.09717959371403</v>
      </c>
      <c r="BH7" s="32">
        <v>1054.51748052733</v>
      </c>
      <c r="BI7" s="32">
        <v>1205.8521334892901</v>
      </c>
      <c r="BJ7" s="28">
        <f t="shared" si="8"/>
        <v>0.87449982567592799</v>
      </c>
      <c r="BK7" s="28">
        <f t="shared" si="9"/>
        <v>14.362949868540941</v>
      </c>
      <c r="BL7" s="28">
        <f t="shared" si="10"/>
        <v>12.560397156231145</v>
      </c>
      <c r="BM7" s="32">
        <v>0.18578510347302499</v>
      </c>
      <c r="BN7" s="32">
        <v>0.191198659121086</v>
      </c>
      <c r="BO7" s="32">
        <v>7.2573862886850804E-3</v>
      </c>
      <c r="BP7" s="32">
        <v>642.98174174599797</v>
      </c>
      <c r="BQ7" s="32">
        <v>192.64809720483001</v>
      </c>
      <c r="BR7" s="28">
        <f t="shared" si="11"/>
        <v>220.29518079769349</v>
      </c>
      <c r="BS7" s="32">
        <v>7.42445951406867</v>
      </c>
      <c r="BT7" s="32">
        <f>14490145.2719832/100000</f>
        <v>144.90145271983201</v>
      </c>
      <c r="BU7" s="32">
        <v>371.65207737325198</v>
      </c>
      <c r="BV7" s="28">
        <f t="shared" si="12"/>
        <v>0.58303489522942653</v>
      </c>
      <c r="BW7" s="32">
        <v>1.0348494738663301</v>
      </c>
      <c r="BX7" s="2">
        <v>361</v>
      </c>
      <c r="BY7" s="2">
        <v>80</v>
      </c>
      <c r="BZ7" s="2">
        <v>361</v>
      </c>
      <c r="CA7" s="2">
        <v>80</v>
      </c>
    </row>
    <row r="8" spans="1:79" ht="14.4">
      <c r="A8" s="2">
        <v>12</v>
      </c>
      <c r="B8" s="32">
        <v>0.47635995370370399</v>
      </c>
      <c r="C8" s="32">
        <v>36.119086744186099</v>
      </c>
      <c r="D8" s="32">
        <v>705.22922854651199</v>
      </c>
      <c r="E8" s="32">
        <v>668.42542927906993</v>
      </c>
      <c r="F8" s="28">
        <f t="shared" si="0"/>
        <v>686.82732891279102</v>
      </c>
      <c r="G8" s="32">
        <v>307.38346077906976</v>
      </c>
      <c r="H8" s="32">
        <v>307.91064822093017</v>
      </c>
      <c r="I8" s="32">
        <v>307.57308258139528</v>
      </c>
      <c r="J8" s="32">
        <v>660.61401480232598</v>
      </c>
      <c r="K8" s="32">
        <v>313.21551712790699</v>
      </c>
      <c r="L8" s="32">
        <v>301.88756146511628</v>
      </c>
      <c r="M8" s="32">
        <v>303.73687069767436</v>
      </c>
      <c r="N8" s="32">
        <v>323.19650438372088</v>
      </c>
      <c r="O8" s="32">
        <v>355.1223498372093</v>
      </c>
      <c r="P8" s="32">
        <v>13.7859122325581</v>
      </c>
      <c r="Q8" s="32">
        <v>1.40423594186047</v>
      </c>
      <c r="R8" s="32">
        <v>1198.6672809069801</v>
      </c>
      <c r="S8" s="32">
        <f t="shared" si="1"/>
        <v>125.52414412652737</v>
      </c>
      <c r="T8" s="32">
        <v>553.98948739534899</v>
      </c>
      <c r="U8" s="32">
        <v>4.8749744767441898</v>
      </c>
      <c r="V8" s="32">
        <v>0.22211883720930201</v>
      </c>
      <c r="W8" s="32">
        <v>7.9326860465116205E-3</v>
      </c>
      <c r="X8" s="32">
        <v>4.6293127093023303</v>
      </c>
      <c r="Y8" s="32">
        <v>27.2458571976744</v>
      </c>
      <c r="Z8" s="32">
        <v>1101.7850733953501</v>
      </c>
      <c r="AA8" s="32">
        <v>-7.6380616279069793E-2</v>
      </c>
      <c r="AB8" s="32">
        <v>6.8000156162790697</v>
      </c>
      <c r="AC8" s="32">
        <v>11.5780690116279</v>
      </c>
      <c r="AD8" s="32">
        <v>137.118560674419</v>
      </c>
      <c r="AE8" s="32">
        <v>-250.07180887209299</v>
      </c>
      <c r="AF8" s="32">
        <v>-20.425549825581399</v>
      </c>
      <c r="AG8" s="32">
        <v>304.45</v>
      </c>
      <c r="AH8" s="32">
        <v>993.7</v>
      </c>
      <c r="AI8" s="32">
        <v>31.4</v>
      </c>
      <c r="AJ8" s="32">
        <v>215.02336268526301</v>
      </c>
      <c r="AK8" s="32">
        <v>18.840311038509999</v>
      </c>
      <c r="AL8" s="32">
        <v>0.20738426943014299</v>
      </c>
      <c r="AM8" s="28">
        <f t="shared" si="2"/>
        <v>3.4602474386924817E-3</v>
      </c>
      <c r="AN8" s="28">
        <f t="shared" si="3"/>
        <v>29.08299873604399</v>
      </c>
      <c r="AO8" s="32">
        <v>0.21153774768432901</v>
      </c>
      <c r="AP8" s="32">
        <v>0.21396302498009701</v>
      </c>
      <c r="AQ8" s="32">
        <v>14952.521715069801</v>
      </c>
      <c r="AR8" s="32">
        <f t="shared" si="4"/>
        <v>4.1534782541860563E-3</v>
      </c>
      <c r="AS8" s="32">
        <f t="shared" si="5"/>
        <v>0.33379888339643715</v>
      </c>
      <c r="AT8" s="32">
        <v>6.9301603878655998E-2</v>
      </c>
      <c r="AU8" s="32">
        <v>76.446550000000002</v>
      </c>
      <c r="AV8" s="34">
        <v>6.5423651263515197</v>
      </c>
      <c r="AW8" s="32">
        <f t="shared" si="13"/>
        <v>1.215818837209302</v>
      </c>
      <c r="AX8" s="32">
        <f t="shared" si="14"/>
        <v>1.0942369534883718</v>
      </c>
      <c r="AY8" s="32">
        <f t="shared" si="6"/>
        <v>1730.4648339952798</v>
      </c>
      <c r="AZ8" s="32">
        <f t="shared" si="7"/>
        <v>1683.2116781817417</v>
      </c>
      <c r="BA8" s="32">
        <v>358.3</v>
      </c>
      <c r="BB8" s="32">
        <v>550</v>
      </c>
      <c r="BC8" s="32">
        <v>500</v>
      </c>
      <c r="BD8" s="32">
        <v>530</v>
      </c>
      <c r="BE8" s="32">
        <v>69539.038812812694</v>
      </c>
      <c r="BF8" s="32">
        <v>80059.518527164197</v>
      </c>
      <c r="BG8" s="32">
        <v>1198.6669801472999</v>
      </c>
      <c r="BH8" s="32">
        <v>553.99041071481599</v>
      </c>
      <c r="BI8" s="32">
        <v>637.80634758164001</v>
      </c>
      <c r="BJ8" s="28">
        <f t="shared" si="8"/>
        <v>0.86858717040896893</v>
      </c>
      <c r="BK8" s="28">
        <f t="shared" si="9"/>
        <v>7.5969352640856389</v>
      </c>
      <c r="BL8" s="28">
        <f t="shared" si="10"/>
        <v>6.598600504812258</v>
      </c>
      <c r="BM8" s="32">
        <v>0.18693614292992999</v>
      </c>
      <c r="BN8" s="32">
        <v>0.19043841419594901</v>
      </c>
      <c r="BO8" s="32">
        <v>4.4536404466163004E-3</v>
      </c>
      <c r="BP8" s="32">
        <v>555.61973786940803</v>
      </c>
      <c r="BQ8" s="32">
        <v>189.118180330223</v>
      </c>
      <c r="BR8" s="28">
        <f t="shared" si="11"/>
        <v>217.73080097554038</v>
      </c>
      <c r="BS8" s="32">
        <v>8.6874724955871692</v>
      </c>
      <c r="BT8" s="32">
        <f>10518187.3232026/100000</f>
        <v>105.18187323202601</v>
      </c>
      <c r="BU8" s="32">
        <v>369.38010823562701</v>
      </c>
      <c r="BV8" s="28">
        <f t="shared" si="12"/>
        <v>0.35558798009864329</v>
      </c>
      <c r="BW8" s="32">
        <v>1.0471020207432999</v>
      </c>
      <c r="BX8" s="2">
        <v>361</v>
      </c>
      <c r="BY8" s="2">
        <v>80</v>
      </c>
      <c r="BZ8" s="2">
        <v>361</v>
      </c>
      <c r="CA8" s="2">
        <v>80</v>
      </c>
    </row>
    <row r="9" spans="1:79" ht="14.4">
      <c r="A9" s="2">
        <v>15</v>
      </c>
      <c r="B9" s="32">
        <v>0.64727148261065903</v>
      </c>
      <c r="C9" s="32">
        <v>36.679921146341499</v>
      </c>
      <c r="D9" s="32">
        <v>954.77000256097597</v>
      </c>
      <c r="E9" s="32">
        <v>924.34400023170701</v>
      </c>
      <c r="F9" s="28">
        <f t="shared" si="0"/>
        <v>939.55700139634155</v>
      </c>
      <c r="G9" s="32">
        <v>315.20561239024386</v>
      </c>
      <c r="H9" s="32">
        <v>316.33328618292677</v>
      </c>
      <c r="I9" s="32">
        <v>323.69287515853659</v>
      </c>
      <c r="J9" s="32">
        <v>902.33854132926797</v>
      </c>
      <c r="K9" s="32">
        <v>312.10614573170727</v>
      </c>
      <c r="L9" s="32">
        <v>302.30795334146336</v>
      </c>
      <c r="M9" s="32">
        <v>305.4627206707317</v>
      </c>
      <c r="N9" s="32">
        <v>375.49306598780498</v>
      </c>
      <c r="O9" s="32">
        <v>356.48130603658535</v>
      </c>
      <c r="P9" s="32">
        <v>12.8245776219512</v>
      </c>
      <c r="Q9" s="32">
        <v>1.9508425365853701</v>
      </c>
      <c r="R9" s="32">
        <v>1198.8645007073201</v>
      </c>
      <c r="S9" s="32">
        <f t="shared" si="1"/>
        <v>125.54479693572374</v>
      </c>
      <c r="T9" s="32">
        <v>1394.6764323658499</v>
      </c>
      <c r="U9" s="32">
        <v>11.9203419634146</v>
      </c>
      <c r="V9" s="32">
        <v>0.87375320731707296</v>
      </c>
      <c r="W9" s="32">
        <v>4.0610560975609798E-2</v>
      </c>
      <c r="X9" s="32">
        <v>7.6780663292682902</v>
      </c>
      <c r="Y9" s="32">
        <v>71.172557475609807</v>
      </c>
      <c r="Z9" s="32">
        <v>1200.2990921463399</v>
      </c>
      <c r="AA9" s="32">
        <v>-6.4144012195121905E-2</v>
      </c>
      <c r="AB9" s="32">
        <v>11.277089231707301</v>
      </c>
      <c r="AC9" s="32">
        <v>5.8474423414634096</v>
      </c>
      <c r="AD9" s="32">
        <v>808.38023018292699</v>
      </c>
      <c r="AE9" s="32">
        <v>-250.05125370731699</v>
      </c>
      <c r="AF9" s="32">
        <v>-20.4248297682927</v>
      </c>
      <c r="AG9" s="32">
        <v>313.25</v>
      </c>
      <c r="AH9" s="32">
        <v>993.6</v>
      </c>
      <c r="AI9" s="32">
        <v>0</v>
      </c>
      <c r="AJ9" s="32">
        <v>208.81352710642199</v>
      </c>
      <c r="AK9" s="32">
        <v>10.408117403068101</v>
      </c>
      <c r="AL9" s="32">
        <v>0.264392282967711</v>
      </c>
      <c r="AM9" s="28">
        <f t="shared" si="2"/>
        <v>4.4107116827918711E-3</v>
      </c>
      <c r="AN9" s="28">
        <f t="shared" si="3"/>
        <v>38.143083602167415</v>
      </c>
      <c r="AO9" s="32">
        <v>0.27454841432054</v>
      </c>
      <c r="AP9" s="32">
        <v>0.27810707214935498</v>
      </c>
      <c r="AQ9" s="32">
        <v>36562.072870185402</v>
      </c>
      <c r="AR9" s="32">
        <f t="shared" si="4"/>
        <v>1.0156131352829278E-2</v>
      </c>
      <c r="AS9" s="32">
        <f t="shared" si="5"/>
        <v>0.64021859481110499</v>
      </c>
      <c r="AT9" s="32">
        <v>0.16942917814043601</v>
      </c>
      <c r="AU9" s="32">
        <v>113.8982</v>
      </c>
      <c r="AV9" s="34">
        <v>16.470497475601199</v>
      </c>
      <c r="AW9" s="32">
        <f t="shared" si="13"/>
        <v>1.8673532073170729</v>
      </c>
      <c r="AX9" s="32">
        <f t="shared" si="14"/>
        <v>1.6806178865853656</v>
      </c>
      <c r="AY9" s="32">
        <f t="shared" si="6"/>
        <v>1610.0589933342903</v>
      </c>
      <c r="AZ9" s="32">
        <f t="shared" si="7"/>
        <v>2338.7958635820214</v>
      </c>
      <c r="BA9" s="32">
        <v>355.3</v>
      </c>
      <c r="BB9" s="32">
        <v>550</v>
      </c>
      <c r="BC9" s="32">
        <v>500</v>
      </c>
      <c r="BD9" s="32">
        <v>530</v>
      </c>
      <c r="BE9" s="32">
        <v>175096.26050672299</v>
      </c>
      <c r="BF9" s="32">
        <v>201377.995586748</v>
      </c>
      <c r="BG9" s="32">
        <v>1198.87744872499</v>
      </c>
      <c r="BH9" s="32">
        <v>1394.67875645768</v>
      </c>
      <c r="BI9" s="32">
        <v>1604.01476013876</v>
      </c>
      <c r="BJ9" s="28">
        <f t="shared" si="8"/>
        <v>0.86949247046643707</v>
      </c>
      <c r="BK9" s="28">
        <f t="shared" si="9"/>
        <v>19.105479808441949</v>
      </c>
      <c r="BL9" s="28">
        <f t="shared" si="10"/>
        <v>16.612070838088822</v>
      </c>
      <c r="BM9" s="32">
        <v>0.24032204514179301</v>
      </c>
      <c r="BN9" s="32">
        <v>0.25050595171307699</v>
      </c>
      <c r="BO9" s="32">
        <v>1.1351784488807399E-2</v>
      </c>
      <c r="BP9" s="32">
        <v>717.60466108866797</v>
      </c>
      <c r="BQ9" s="32">
        <v>191.05648227040899</v>
      </c>
      <c r="BR9" s="28">
        <f t="shared" si="11"/>
        <v>219.73333727423449</v>
      </c>
      <c r="BS9" s="32">
        <v>7.2235625528357703</v>
      </c>
      <c r="BT9" s="32">
        <f>15763460.178616/100000</f>
        <v>157.63460178616</v>
      </c>
      <c r="BU9" s="32">
        <v>373.746893467105</v>
      </c>
      <c r="BV9" s="28">
        <f t="shared" si="12"/>
        <v>0.70501072482121119</v>
      </c>
      <c r="BW9" s="32">
        <v>1.0468928767337899</v>
      </c>
      <c r="BX9" s="2">
        <v>361</v>
      </c>
      <c r="BY9" s="2">
        <v>80</v>
      </c>
      <c r="BZ9" s="2">
        <v>361</v>
      </c>
      <c r="CA9" s="2">
        <v>80</v>
      </c>
    </row>
    <row r="10" spans="1:79" ht="14.4">
      <c r="A10" s="2">
        <v>7</v>
      </c>
      <c r="B10" s="32">
        <v>0.55160321113264399</v>
      </c>
      <c r="C10" s="32">
        <v>35.419502341243501</v>
      </c>
      <c r="D10" s="32">
        <v>814.45120423516903</v>
      </c>
      <c r="E10" s="32">
        <v>779.78886803417197</v>
      </c>
      <c r="F10" s="28">
        <f t="shared" si="0"/>
        <v>797.1200361346705</v>
      </c>
      <c r="G10" s="32">
        <v>308.01900113431418</v>
      </c>
      <c r="H10" s="32">
        <v>307.73848782475079</v>
      </c>
      <c r="I10" s="32">
        <v>313.54756503429047</v>
      </c>
      <c r="J10" s="32">
        <v>780.43360612636502</v>
      </c>
      <c r="K10" s="32">
        <v>313.3591223023256</v>
      </c>
      <c r="L10" s="32">
        <v>302.44916306502137</v>
      </c>
      <c r="M10" s="32">
        <v>304.56901802479825</v>
      </c>
      <c r="N10" s="32">
        <v>341.29201538194116</v>
      </c>
      <c r="O10" s="32">
        <v>356.00804045965828</v>
      </c>
      <c r="P10" s="32">
        <v>17.2528877736118</v>
      </c>
      <c r="Q10" s="32">
        <v>1.8311910727337399</v>
      </c>
      <c r="R10" s="32">
        <v>1198.8876409949</v>
      </c>
      <c r="S10" s="32">
        <f t="shared" si="1"/>
        <v>125.54722018097252</v>
      </c>
      <c r="T10" s="32">
        <v>885.57843969364001</v>
      </c>
      <c r="U10" s="32">
        <v>7.5331630645467502</v>
      </c>
      <c r="V10" s="32">
        <v>0.44724528678215503</v>
      </c>
      <c r="W10" s="32">
        <v>1.7182629330802099E-2</v>
      </c>
      <c r="X10" s="32">
        <v>5.62504469530138</v>
      </c>
      <c r="Y10" s="32">
        <v>46.564768671333603</v>
      </c>
      <c r="Z10" s="32">
        <v>1342.3484576042999</v>
      </c>
      <c r="AA10" s="32">
        <v>-3.7590679639297603E-2</v>
      </c>
      <c r="AB10" s="32">
        <v>9.3644614145704796</v>
      </c>
      <c r="AC10" s="32">
        <v>8.4075877581870007</v>
      </c>
      <c r="AD10" s="32">
        <v>620.21811046013295</v>
      </c>
      <c r="AE10" s="32">
        <v>-250.05348302847699</v>
      </c>
      <c r="AF10" s="32">
        <v>-20.424710454556202</v>
      </c>
      <c r="AG10" s="32">
        <v>317.64999999999998</v>
      </c>
      <c r="AH10" s="32">
        <v>993.8</v>
      </c>
      <c r="AI10" s="32">
        <v>49.6</v>
      </c>
      <c r="AJ10" s="32">
        <v>207.819037016268</v>
      </c>
      <c r="AK10" s="32">
        <v>15.776137827685201</v>
      </c>
      <c r="AL10" s="32">
        <v>0.22771327611446801</v>
      </c>
      <c r="AM10" s="28">
        <f t="shared" si="2"/>
        <v>3.7987425731655648E-3</v>
      </c>
      <c r="AN10" s="28">
        <f t="shared" si="3"/>
        <v>33.312311881193082</v>
      </c>
      <c r="AO10" s="32">
        <v>0.234131531045462</v>
      </c>
      <c r="AP10" s="32">
        <v>0.23759747845420701</v>
      </c>
      <c r="AQ10" s="32">
        <v>23105.717751577798</v>
      </c>
      <c r="AR10" s="32">
        <f t="shared" si="4"/>
        <v>6.4182549309938332E-3</v>
      </c>
      <c r="AS10" s="32">
        <f t="shared" si="5"/>
        <v>0.46976143570474671</v>
      </c>
      <c r="AT10" s="32">
        <v>0.10707016590258001</v>
      </c>
      <c r="AU10" s="32">
        <v>96.520899999999997</v>
      </c>
      <c r="AV10" s="34">
        <v>10.4582805853242</v>
      </c>
      <c r="AW10" s="32">
        <f t="shared" si="13"/>
        <v>1.4410452867821548</v>
      </c>
      <c r="AX10" s="32">
        <f t="shared" si="14"/>
        <v>1.2969407581039394</v>
      </c>
      <c r="AY10" s="32">
        <f t="shared" si="6"/>
        <v>2166.0521000712492</v>
      </c>
      <c r="AZ10" s="32">
        <f t="shared" si="7"/>
        <v>2195.392345400674</v>
      </c>
      <c r="BA10" s="32">
        <v>357</v>
      </c>
      <c r="BB10" s="32">
        <v>550</v>
      </c>
      <c r="BC10" s="32">
        <v>500</v>
      </c>
      <c r="BD10" s="32">
        <v>530</v>
      </c>
      <c r="BE10" s="32">
        <v>111182.748079105</v>
      </c>
      <c r="BF10" s="32">
        <v>127751.27697264501</v>
      </c>
      <c r="BG10" s="32">
        <v>1198.8966634728199</v>
      </c>
      <c r="BH10" s="32">
        <v>885.57991566549697</v>
      </c>
      <c r="BI10" s="32">
        <v>1017.55391229708</v>
      </c>
      <c r="BJ10" s="28">
        <f t="shared" si="8"/>
        <v>0.87030269842542496</v>
      </c>
      <c r="BK10" s="28">
        <f t="shared" si="9"/>
        <v>12.120122712360558</v>
      </c>
      <c r="BL10" s="28">
        <f t="shared" si="10"/>
        <v>10.548175501814674</v>
      </c>
      <c r="BM10" s="32">
        <v>0.20614734274583901</v>
      </c>
      <c r="BN10" s="32">
        <v>0.21217649294183399</v>
      </c>
      <c r="BO10" s="32">
        <v>7.1062984607645303E-3</v>
      </c>
      <c r="BP10" s="32">
        <v>625.91400775649299</v>
      </c>
      <c r="BQ10" s="32">
        <v>186.87368584523301</v>
      </c>
      <c r="BR10" s="28">
        <f t="shared" si="11"/>
        <v>214.7226317732094</v>
      </c>
      <c r="BS10" s="32">
        <v>8.2423754375431706</v>
      </c>
      <c r="BT10" s="32">
        <f>13650954.2745443/100000</f>
        <v>136.50954274544301</v>
      </c>
      <c r="BU10" s="32">
        <v>370.45866305144699</v>
      </c>
      <c r="BV10" s="28">
        <f t="shared" si="12"/>
        <v>0.51450654040969801</v>
      </c>
      <c r="BW10" s="32">
        <v>1.0441684393288999</v>
      </c>
      <c r="BX10" s="2">
        <v>361</v>
      </c>
      <c r="BY10" s="2">
        <v>80</v>
      </c>
      <c r="BZ10" s="2">
        <v>361</v>
      </c>
      <c r="CA10" s="2">
        <v>80</v>
      </c>
    </row>
    <row r="11" spans="1:79" ht="14.4">
      <c r="A11" s="2">
        <v>19</v>
      </c>
      <c r="B11" s="32">
        <v>0.50218750000000001</v>
      </c>
      <c r="C11" s="32">
        <v>32.670157807228897</v>
      </c>
      <c r="D11" s="32">
        <v>969.96246618072303</v>
      </c>
      <c r="E11" s="32">
        <v>945.63290724096396</v>
      </c>
      <c r="F11" s="28">
        <f t="shared" si="0"/>
        <v>957.79768671084344</v>
      </c>
      <c r="G11" s="32">
        <v>306.67583921686747</v>
      </c>
      <c r="H11" s="32">
        <v>304.39395808433738</v>
      </c>
      <c r="I11" s="32">
        <v>327.27515783132526</v>
      </c>
      <c r="J11" s="32">
        <v>909.01384821686793</v>
      </c>
      <c r="K11" s="32">
        <v>312.41587789156625</v>
      </c>
      <c r="L11" s="32">
        <v>302.89895104819277</v>
      </c>
      <c r="M11" s="32">
        <v>307.25791487951807</v>
      </c>
      <c r="N11" s="32">
        <v>370.67482943373489</v>
      </c>
      <c r="O11" s="32">
        <v>357.63590745783137</v>
      </c>
      <c r="P11" s="32">
        <v>23.340047734939802</v>
      </c>
      <c r="Q11" s="32">
        <v>1.71996430120482</v>
      </c>
      <c r="R11" s="32">
        <v>1198.96357746988</v>
      </c>
      <c r="S11" s="32">
        <f t="shared" si="1"/>
        <v>125.55517223003706</v>
      </c>
      <c r="T11" s="32">
        <v>1562.7124668433701</v>
      </c>
      <c r="U11" s="32">
        <v>13.2693134819277</v>
      </c>
      <c r="V11" s="32">
        <v>1.07021965060241</v>
      </c>
      <c r="W11" s="32">
        <v>4.41563253012048E-2</v>
      </c>
      <c r="X11" s="32">
        <v>7.9148267590361403</v>
      </c>
      <c r="Y11" s="32">
        <v>59.859736433735002</v>
      </c>
      <c r="Z11" s="32">
        <v>1213.60228722892</v>
      </c>
      <c r="AA11" s="32">
        <v>-1.4776891566265099E-2</v>
      </c>
      <c r="AB11" s="32">
        <v>12.0964891204819</v>
      </c>
      <c r="AC11" s="32">
        <v>5.0420196867469897</v>
      </c>
      <c r="AD11" s="32">
        <v>455.42653565060198</v>
      </c>
      <c r="AE11" s="32">
        <v>-250.05760824096399</v>
      </c>
      <c r="AF11" s="32">
        <v>-20.425206686747</v>
      </c>
      <c r="AG11" s="32">
        <v>306.95</v>
      </c>
      <c r="AH11" s="32">
        <v>994.7</v>
      </c>
      <c r="AI11" s="32">
        <v>41.7</v>
      </c>
      <c r="AJ11" s="32">
        <v>207.43253021548</v>
      </c>
      <c r="AK11" s="32">
        <v>9.5272937071187993</v>
      </c>
      <c r="AL11" s="32">
        <v>0.26827472646133299</v>
      </c>
      <c r="AM11" s="28">
        <f t="shared" si="2"/>
        <v>4.4751105288362691E-3</v>
      </c>
      <c r="AN11" s="28">
        <f t="shared" si="3"/>
        <v>37.921669958488337</v>
      </c>
      <c r="AO11" s="32">
        <v>0.27958018154793501</v>
      </c>
      <c r="AP11" s="32">
        <v>0.28309707392400202</v>
      </c>
      <c r="AQ11" s="32">
        <v>40699.6383117687</v>
      </c>
      <c r="AR11" s="32">
        <f t="shared" si="4"/>
        <v>1.1305455086602417E-2</v>
      </c>
      <c r="AS11" s="32">
        <f t="shared" si="5"/>
        <v>0.70235558126841147</v>
      </c>
      <c r="AT11" s="32">
        <v>0.18858713140327099</v>
      </c>
      <c r="AU11" s="32">
        <v>118.84175</v>
      </c>
      <c r="AV11" s="34">
        <v>18.454926994480498</v>
      </c>
      <c r="AW11" s="32">
        <f t="shared" si="13"/>
        <v>2.0649196506024099</v>
      </c>
      <c r="AX11" s="32">
        <f t="shared" si="14"/>
        <v>1.8584276855421689</v>
      </c>
      <c r="AY11" s="32">
        <f t="shared" si="6"/>
        <v>2930.4637132176531</v>
      </c>
      <c r="AZ11" s="32">
        <f t="shared" si="7"/>
        <v>2062.1745516930132</v>
      </c>
      <c r="BA11" s="32">
        <v>356.4</v>
      </c>
      <c r="BB11" s="32">
        <v>550</v>
      </c>
      <c r="BC11" s="32">
        <v>500</v>
      </c>
      <c r="BD11" s="32">
        <v>530</v>
      </c>
      <c r="BE11" s="32">
        <v>196206.797498264</v>
      </c>
      <c r="BF11" s="32">
        <v>225794.398013959</v>
      </c>
      <c r="BG11" s="32">
        <v>1198.9645830378699</v>
      </c>
      <c r="BH11" s="32">
        <v>1562.71507152258</v>
      </c>
      <c r="BI11" s="32">
        <v>1798.36648588346</v>
      </c>
      <c r="BJ11" s="28">
        <f t="shared" si="8"/>
        <v>0.86896363104480645</v>
      </c>
      <c r="BK11" s="28">
        <f t="shared" si="9"/>
        <v>21.420410483715184</v>
      </c>
      <c r="BL11" s="28">
        <f t="shared" si="10"/>
        <v>18.613557672399384</v>
      </c>
      <c r="BM11" s="32">
        <v>0.28621518147990399</v>
      </c>
      <c r="BN11" s="32">
        <v>0.297036244363173</v>
      </c>
      <c r="BO11" s="32">
        <v>1.22386918734108E-2</v>
      </c>
      <c r="BP11" s="32">
        <v>701.70948166632797</v>
      </c>
      <c r="BQ11" s="32">
        <v>186.26641561844099</v>
      </c>
      <c r="BR11" s="28">
        <f t="shared" si="11"/>
        <v>214.35467373298675</v>
      </c>
      <c r="BS11" s="32">
        <v>6.3024080451709201</v>
      </c>
      <c r="BT11" s="32">
        <f>16331327.7023187/100000</f>
        <v>163.313277023187</v>
      </c>
      <c r="BU11" s="32">
        <v>374.37876116347002</v>
      </c>
      <c r="BV11" s="28">
        <f t="shared" si="12"/>
        <v>0.63821577158217213</v>
      </c>
      <c r="BW11" s="32"/>
      <c r="BX11" s="2">
        <v>361</v>
      </c>
      <c r="BY11" s="2">
        <v>80</v>
      </c>
      <c r="BZ11" s="2">
        <v>361</v>
      </c>
      <c r="CA11" s="2">
        <v>80</v>
      </c>
    </row>
    <row r="12" spans="1:79" ht="14.4">
      <c r="A12" s="2">
        <v>3</v>
      </c>
      <c r="B12" s="32">
        <v>0.45766203703703701</v>
      </c>
      <c r="C12" s="32">
        <v>34.708950542411003</v>
      </c>
      <c r="D12" s="32">
        <v>684.54202116419697</v>
      </c>
      <c r="E12" s="32">
        <v>656.30340017864899</v>
      </c>
      <c r="F12" s="28">
        <f t="shared" si="0"/>
        <v>670.42271067142292</v>
      </c>
      <c r="G12" s="32">
        <v>305.17573086637617</v>
      </c>
      <c r="H12" s="32">
        <v>306.17307390610017</v>
      </c>
      <c r="I12" s="32">
        <v>309.1872225641975</v>
      </c>
      <c r="J12" s="32">
        <v>648.36203746412502</v>
      </c>
      <c r="K12" s="32">
        <v>313.78894787414669</v>
      </c>
      <c r="L12" s="32">
        <v>302.09637658264336</v>
      </c>
      <c r="M12" s="32">
        <v>305.80554998366006</v>
      </c>
      <c r="N12" s="32">
        <v>328.45247222069719</v>
      </c>
      <c r="O12" s="32">
        <v>356.08587934422656</v>
      </c>
      <c r="P12" s="32">
        <v>19.176688968917901</v>
      </c>
      <c r="Q12" s="32">
        <v>1.2936103737109701</v>
      </c>
      <c r="R12" s="32">
        <v>1398.8489351595499</v>
      </c>
      <c r="S12" s="32">
        <f t="shared" si="1"/>
        <v>146.48711793930488</v>
      </c>
      <c r="T12" s="32">
        <v>559.31531528024698</v>
      </c>
      <c r="U12" s="32">
        <v>5.7205516999999997</v>
      </c>
      <c r="V12" s="32">
        <v>0.29757524655047202</v>
      </c>
      <c r="W12" s="32">
        <v>1.08597681190995E-2</v>
      </c>
      <c r="X12" s="32">
        <v>5.7785169821350797</v>
      </c>
      <c r="Y12" s="32">
        <v>21.2487689665214</v>
      </c>
      <c r="Z12" s="32">
        <v>1061.81552780116</v>
      </c>
      <c r="AA12" s="32">
        <v>-5.6588585475671797E-2</v>
      </c>
      <c r="AB12" s="32">
        <v>6.0690994378358702</v>
      </c>
      <c r="AC12" s="32">
        <v>12.1318655724764</v>
      </c>
      <c r="AD12" s="32">
        <v>114.615378933188</v>
      </c>
      <c r="AE12" s="32">
        <v>-250.08739822360201</v>
      </c>
      <c r="AF12" s="32">
        <v>-20.426976570806101</v>
      </c>
      <c r="AG12" s="32">
        <v>306.75</v>
      </c>
      <c r="AH12" s="32">
        <v>992.25</v>
      </c>
      <c r="AI12" s="32">
        <v>38.65</v>
      </c>
      <c r="AJ12" s="32">
        <v>214.15285296164501</v>
      </c>
      <c r="AK12" s="32">
        <v>17.154445204327999</v>
      </c>
      <c r="AL12" s="32">
        <v>0.230674586820133</v>
      </c>
      <c r="AM12" s="28">
        <f t="shared" si="2"/>
        <v>3.298062871868616E-3</v>
      </c>
      <c r="AN12" s="28">
        <f t="shared" si="3"/>
        <v>27.929267912762814</v>
      </c>
      <c r="AO12" s="32">
        <v>0.23554849686853299</v>
      </c>
      <c r="AP12" s="32">
        <v>0.23722577514614601</v>
      </c>
      <c r="AQ12" s="32">
        <v>17546.076174239999</v>
      </c>
      <c r="AR12" s="32">
        <f t="shared" si="4"/>
        <v>4.8739100483999997E-3</v>
      </c>
      <c r="AS12" s="32">
        <f t="shared" si="5"/>
        <v>0.35214903930158542</v>
      </c>
      <c r="AT12" s="32">
        <v>6.9684580313085706E-2</v>
      </c>
      <c r="AU12" s="32">
        <v>81.115624999999994</v>
      </c>
      <c r="AV12" s="34">
        <v>6.6052607433548802</v>
      </c>
      <c r="AW12" s="32">
        <f t="shared" si="13"/>
        <v>1.289825246550472</v>
      </c>
      <c r="AX12" s="32">
        <f t="shared" si="14"/>
        <v>1.1608427218954249</v>
      </c>
      <c r="AY12" s="32">
        <f t="shared" si="6"/>
        <v>2809.1378986752438</v>
      </c>
      <c r="AZ12" s="32">
        <f t="shared" si="7"/>
        <v>1809.565493776938</v>
      </c>
      <c r="BA12" s="32">
        <v>357.5</v>
      </c>
      <c r="BB12" s="32">
        <v>550</v>
      </c>
      <c r="BC12" s="32">
        <v>500</v>
      </c>
      <c r="BD12" s="32">
        <v>530</v>
      </c>
      <c r="BE12" s="32">
        <v>81933.202688995298</v>
      </c>
      <c r="BF12" s="32">
        <v>93754.056832880204</v>
      </c>
      <c r="BG12" s="32">
        <v>1398.8611276602101</v>
      </c>
      <c r="BH12" s="32">
        <v>559.316247492961</v>
      </c>
      <c r="BI12" s="36">
        <v>640.01298141042901</v>
      </c>
      <c r="BJ12" s="28">
        <f t="shared" si="8"/>
        <v>0.87391391071532243</v>
      </c>
      <c r="BK12" s="28">
        <f t="shared" si="9"/>
        <v>7.6232185621389208</v>
      </c>
      <c r="BL12" s="28">
        <f t="shared" si="10"/>
        <v>6.6620367458764616</v>
      </c>
      <c r="BM12" s="32">
        <v>0.20873622925624699</v>
      </c>
      <c r="BN12" s="32">
        <v>0.213224291071724</v>
      </c>
      <c r="BO12" s="32">
        <v>5.1068138048577299E-3</v>
      </c>
      <c r="BP12" s="32">
        <v>568.05417784857605</v>
      </c>
      <c r="BQ12" s="32">
        <v>186.24600706616701</v>
      </c>
      <c r="BR12" s="28">
        <f t="shared" si="11"/>
        <v>213.11711002943019</v>
      </c>
      <c r="BS12" s="35">
        <v>8.6186073856261896</v>
      </c>
      <c r="BT12" s="32">
        <f>10356915.1073069/100000</f>
        <v>103.56915107306899</v>
      </c>
      <c r="BU12" s="32">
        <v>369.33559170788698</v>
      </c>
      <c r="BV12" s="28">
        <f t="shared" si="12"/>
        <v>0.36515511388045074</v>
      </c>
      <c r="BW12" s="32"/>
      <c r="BX12" s="2">
        <v>361</v>
      </c>
      <c r="BY12" s="2">
        <v>80</v>
      </c>
      <c r="BZ12" s="2">
        <v>361</v>
      </c>
      <c r="CA12" s="2">
        <v>80</v>
      </c>
    </row>
    <row r="13" spans="1:79" ht="14.4">
      <c r="A13" s="2">
        <v>18</v>
      </c>
      <c r="B13" s="32">
        <v>0.48923032407407402</v>
      </c>
      <c r="C13" s="32">
        <v>32.674301109756101</v>
      </c>
      <c r="D13" s="32">
        <v>921.23104806097592</v>
      </c>
      <c r="E13" s="32">
        <v>901.56611086585303</v>
      </c>
      <c r="F13" s="28">
        <f t="shared" si="0"/>
        <v>911.39857946341453</v>
      </c>
      <c r="G13" s="32">
        <v>307.22092662195121</v>
      </c>
      <c r="H13" s="32">
        <v>304.47278568292677</v>
      </c>
      <c r="I13" s="32">
        <v>329.34211242682926</v>
      </c>
      <c r="J13" s="32">
        <v>838.94311834146299</v>
      </c>
      <c r="K13" s="32">
        <v>313.15253164634146</v>
      </c>
      <c r="L13" s="32">
        <v>303.70210493902437</v>
      </c>
      <c r="M13" s="32">
        <v>309.920086195122</v>
      </c>
      <c r="N13" s="32">
        <v>392.45119406097598</v>
      </c>
      <c r="O13" s="32">
        <v>358.51829781707318</v>
      </c>
      <c r="P13" s="32">
        <v>24.791271243902401</v>
      </c>
      <c r="Q13" s="32">
        <v>1.5752714878048799</v>
      </c>
      <c r="R13" s="32">
        <v>1400.3606147804901</v>
      </c>
      <c r="S13" s="32">
        <f t="shared" si="1"/>
        <v>146.64542065902913</v>
      </c>
      <c r="T13" s="32">
        <v>1548.9880704146301</v>
      </c>
      <c r="U13" s="32">
        <v>14.998779853658499</v>
      </c>
      <c r="V13" s="32">
        <v>1.3102544878048801</v>
      </c>
      <c r="W13" s="32">
        <v>6.3037682926829305E-2</v>
      </c>
      <c r="X13" s="32">
        <v>10.3963266829268</v>
      </c>
      <c r="Y13" s="32">
        <v>60.077238560975601</v>
      </c>
      <c r="Z13" s="32">
        <v>1155.90557815854</v>
      </c>
      <c r="AA13" s="32">
        <v>-2.0220195121951199E-2</v>
      </c>
      <c r="AB13" s="32">
        <v>10.3694287560976</v>
      </c>
      <c r="AC13" s="32">
        <v>7.0784185975609804</v>
      </c>
      <c r="AD13" s="32">
        <v>92.896318329268297</v>
      </c>
      <c r="AE13" s="32">
        <v>-250.084961182927</v>
      </c>
      <c r="AF13" s="32">
        <v>-20.427040975609799</v>
      </c>
      <c r="AG13" s="32">
        <v>313.45</v>
      </c>
      <c r="AH13" s="32">
        <v>994.3</v>
      </c>
      <c r="AI13" s="32">
        <v>51.4</v>
      </c>
      <c r="AJ13" s="32">
        <v>202.52630887090501</v>
      </c>
      <c r="AK13" s="32">
        <v>8.9705567218154503</v>
      </c>
      <c r="AL13" s="32">
        <v>0.30695164811259301</v>
      </c>
      <c r="AM13" s="28">
        <f t="shared" si="2"/>
        <v>4.3838943322568151E-3</v>
      </c>
      <c r="AN13" s="28">
        <f t="shared" si="3"/>
        <v>37.935376778807296</v>
      </c>
      <c r="AO13" s="32">
        <v>0.31973060854791002</v>
      </c>
      <c r="AP13" s="32">
        <v>0.32155417964798699</v>
      </c>
      <c r="AQ13" s="32">
        <v>46004.257567141503</v>
      </c>
      <c r="AR13" s="32">
        <f t="shared" si="4"/>
        <v>1.2778960435317085E-2</v>
      </c>
      <c r="AS13" s="32">
        <f t="shared" si="5"/>
        <v>0.69386392036516187</v>
      </c>
      <c r="AT13" s="32">
        <v>0.18250956647078001</v>
      </c>
      <c r="AU13" s="32">
        <v>128.60759999999999</v>
      </c>
      <c r="AV13" s="34">
        <v>18.292848083926099</v>
      </c>
      <c r="AW13" s="32">
        <f t="shared" si="13"/>
        <v>2.30455448780488</v>
      </c>
      <c r="AX13" s="32">
        <f t="shared" si="14"/>
        <v>2.0740990390243921</v>
      </c>
      <c r="AY13" s="32">
        <f t="shared" si="6"/>
        <v>3635.5264002341596</v>
      </c>
      <c r="AZ13" s="32">
        <f t="shared" si="7"/>
        <v>2205.948149108619</v>
      </c>
      <c r="BA13" s="32">
        <v>355.6</v>
      </c>
      <c r="BB13" s="32">
        <v>550</v>
      </c>
      <c r="BC13" s="32">
        <v>500</v>
      </c>
      <c r="BD13" s="32">
        <v>530</v>
      </c>
      <c r="BE13" s="32">
        <v>227151.86212171</v>
      </c>
      <c r="BF13" s="32">
        <v>260204.78261183901</v>
      </c>
      <c r="BG13" s="2">
        <v>1400.35972088018</v>
      </c>
      <c r="BH13" s="32">
        <v>1548.9906516501101</v>
      </c>
      <c r="BI13" s="32">
        <v>1774.3930358264299</v>
      </c>
      <c r="BJ13" s="28">
        <f t="shared" si="8"/>
        <v>0.87296930295303043</v>
      </c>
      <c r="BK13" s="28">
        <f t="shared" si="9"/>
        <v>21.134861823304991</v>
      </c>
      <c r="BL13" s="28">
        <f t="shared" si="10"/>
        <v>18.450085593899171</v>
      </c>
      <c r="BM13" s="32">
        <v>0.313619519908857</v>
      </c>
      <c r="BN13" s="32">
        <v>0.32644820937695801</v>
      </c>
      <c r="BO13" s="32">
        <v>1.4327166760494E-2</v>
      </c>
      <c r="BP13" s="32">
        <v>747.13557639677197</v>
      </c>
      <c r="BQ13" s="32">
        <v>189.13444627458799</v>
      </c>
      <c r="BR13" s="28">
        <f t="shared" si="11"/>
        <v>216.65646848611382</v>
      </c>
      <c r="BS13" s="32">
        <v>6.7572215827653199</v>
      </c>
      <c r="BT13" s="32">
        <f>16048014.9423603/100000</f>
        <v>160.480149423603</v>
      </c>
      <c r="BU13" s="32">
        <v>374.57179673510802</v>
      </c>
      <c r="BV13" s="28">
        <f t="shared" si="12"/>
        <v>0.68183992476062827</v>
      </c>
      <c r="BW13" s="32"/>
      <c r="BX13" s="2">
        <v>361</v>
      </c>
      <c r="BY13" s="2">
        <v>80</v>
      </c>
      <c r="BZ13" s="2">
        <v>361</v>
      </c>
      <c r="CA13" s="2">
        <v>80</v>
      </c>
    </row>
    <row r="14" spans="1:79" ht="14.4">
      <c r="A14" s="2">
        <v>6</v>
      </c>
      <c r="B14" s="32">
        <v>0.54964988425925898</v>
      </c>
      <c r="C14" s="32">
        <v>36.412289988063797</v>
      </c>
      <c r="D14" s="32">
        <v>743.75480192604596</v>
      </c>
      <c r="E14" s="32">
        <v>709.52570616217997</v>
      </c>
      <c r="F14" s="28">
        <f t="shared" si="0"/>
        <v>726.64025404411291</v>
      </c>
      <c r="G14" s="32">
        <v>307.42954162809826</v>
      </c>
      <c r="H14" s="32">
        <v>306.7315571336855</v>
      </c>
      <c r="I14" s="32">
        <v>311.9769236327204</v>
      </c>
      <c r="J14" s="32">
        <v>701.34071677874795</v>
      </c>
      <c r="K14" s="32">
        <v>313.6688858293885</v>
      </c>
      <c r="L14" s="32">
        <v>302.04744193254766</v>
      </c>
      <c r="M14" s="32">
        <v>304.34491037743805</v>
      </c>
      <c r="N14" s="32">
        <v>340.63232791543066</v>
      </c>
      <c r="O14" s="32">
        <v>355.86613169798858</v>
      </c>
      <c r="P14" s="32">
        <v>18.551931342746801</v>
      </c>
      <c r="Q14" s="32">
        <v>1.8695462480698899</v>
      </c>
      <c r="R14" s="32">
        <v>1401.14707538216</v>
      </c>
      <c r="S14" s="32">
        <f t="shared" si="1"/>
        <v>146.72777862064726</v>
      </c>
      <c r="T14" s="32">
        <v>722.39400133817605</v>
      </c>
      <c r="U14" s="32">
        <v>7.2161136340410401</v>
      </c>
      <c r="V14" s="32">
        <v>0.43579995428687501</v>
      </c>
      <c r="W14" s="32">
        <v>1.8108902173913002E-2</v>
      </c>
      <c r="X14" s="32">
        <v>6.5465090029967499</v>
      </c>
      <c r="Y14" s="32">
        <v>49.418138243904899</v>
      </c>
      <c r="Z14" s="32">
        <v>1156.3410884892801</v>
      </c>
      <c r="AA14" s="32">
        <v>-5.3697892878910997E-2</v>
      </c>
      <c r="AB14" s="32">
        <v>7.6571974173100399</v>
      </c>
      <c r="AC14" s="32">
        <v>10.8460689860829</v>
      </c>
      <c r="AD14" s="32">
        <v>206.34496472948001</v>
      </c>
      <c r="AE14" s="32">
        <v>-250.08360349984801</v>
      </c>
      <c r="AF14" s="32">
        <v>-20.426698606867099</v>
      </c>
      <c r="AG14" s="32">
        <v>320.34999999999997</v>
      </c>
      <c r="AH14" s="32">
        <v>993.7</v>
      </c>
      <c r="AI14" s="32">
        <v>54.55</v>
      </c>
      <c r="AJ14" s="32">
        <v>208.81369841124001</v>
      </c>
      <c r="AK14" s="32">
        <v>15.332289777212299</v>
      </c>
      <c r="AL14" s="32">
        <v>0.244913413657215</v>
      </c>
      <c r="AM14" s="28">
        <f t="shared" si="2"/>
        <v>3.4958987241280916E-3</v>
      </c>
      <c r="AN14" s="28">
        <f t="shared" si="3"/>
        <v>30.917161971048355</v>
      </c>
      <c r="AO14" s="32">
        <v>0.251061542473418</v>
      </c>
      <c r="AP14" s="32">
        <v>0.25363537098661298</v>
      </c>
      <c r="AQ14" s="32">
        <v>22133.263738330701</v>
      </c>
      <c r="AR14" s="32">
        <f t="shared" si="4"/>
        <v>6.1481288162029725E-3</v>
      </c>
      <c r="AS14" s="32">
        <f t="shared" si="5"/>
        <v>0.4183879195232646</v>
      </c>
      <c r="AT14" s="32">
        <v>8.7758507643119002E-2</v>
      </c>
      <c r="AU14" s="32">
        <v>92.127799999999993</v>
      </c>
      <c r="AV14" s="34">
        <v>8.5311462209528095</v>
      </c>
      <c r="AW14" s="32">
        <f t="shared" si="13"/>
        <v>1.4294999542868752</v>
      </c>
      <c r="AX14" s="32">
        <f t="shared" si="14"/>
        <v>1.2865499588581877</v>
      </c>
      <c r="AY14" s="32">
        <f t="shared" si="6"/>
        <v>2722.0836750440003</v>
      </c>
      <c r="AZ14" s="32">
        <f t="shared" si="7"/>
        <v>2619.5092577748164</v>
      </c>
      <c r="BA14" s="32">
        <v>357</v>
      </c>
      <c r="BB14" s="32">
        <v>550</v>
      </c>
      <c r="BC14" s="32">
        <v>500</v>
      </c>
      <c r="BD14" s="32">
        <v>530</v>
      </c>
      <c r="BE14" s="32">
        <v>105994.913445689</v>
      </c>
      <c r="BF14" s="32">
        <v>121450.302422204</v>
      </c>
      <c r="BG14" s="32">
        <v>1401.1424004451801</v>
      </c>
      <c r="BH14" s="32">
        <v>722.39520528805099</v>
      </c>
      <c r="BI14" s="32">
        <v>827.73390960046902</v>
      </c>
      <c r="BJ14" s="28">
        <f t="shared" si="8"/>
        <v>0.87273844518069466</v>
      </c>
      <c r="BK14" s="28">
        <f t="shared" si="9"/>
        <v>9.859169559808306</v>
      </c>
      <c r="BL14" s="28">
        <f t="shared" si="10"/>
        <v>8.6044763123999353</v>
      </c>
      <c r="BM14" s="32">
        <v>0.22269775288923499</v>
      </c>
      <c r="BN14" s="32">
        <v>0.228759457232005</v>
      </c>
      <c r="BO14" s="32">
        <v>6.6368394677092397E-3</v>
      </c>
      <c r="BP14" s="32">
        <v>607.10053142497895</v>
      </c>
      <c r="BQ14" s="32">
        <v>184.846406257296</v>
      </c>
      <c r="BR14" s="28">
        <f t="shared" si="11"/>
        <v>211.80046241577543</v>
      </c>
      <c r="BS14" s="32">
        <v>8.7692422066606301</v>
      </c>
      <c r="BT14" s="32">
        <f>11958674.9798881/100000</f>
        <v>119.586749798881</v>
      </c>
      <c r="BU14" s="32">
        <v>370.246031403693</v>
      </c>
      <c r="BV14" s="28">
        <f t="shared" si="12"/>
        <v>0.44480603958975085</v>
      </c>
      <c r="BW14" s="32">
        <v>1.05240794722682</v>
      </c>
      <c r="BX14" s="2">
        <v>361</v>
      </c>
      <c r="BY14" s="2">
        <v>80</v>
      </c>
      <c r="BZ14" s="2">
        <v>361</v>
      </c>
      <c r="CA14" s="2">
        <v>80</v>
      </c>
    </row>
    <row r="15" spans="1:79" ht="14.4">
      <c r="A15" s="2">
        <v>14</v>
      </c>
      <c r="B15" s="32">
        <v>0.63101273148148096</v>
      </c>
      <c r="C15" s="32">
        <v>36.351862232558197</v>
      </c>
      <c r="D15" s="32">
        <v>877.34722941860502</v>
      </c>
      <c r="E15" s="32">
        <v>847.36110645348799</v>
      </c>
      <c r="F15" s="28">
        <f t="shared" si="0"/>
        <v>862.35416793604645</v>
      </c>
      <c r="G15" s="32">
        <v>314.22399289534877</v>
      </c>
      <c r="H15" s="32">
        <v>315.1213920116279</v>
      </c>
      <c r="I15" s="32">
        <v>322.81497336046505</v>
      </c>
      <c r="J15" s="32">
        <v>811.46615782558092</v>
      </c>
      <c r="K15" s="32">
        <v>312.92313888372087</v>
      </c>
      <c r="L15" s="32">
        <v>302.54691154651158</v>
      </c>
      <c r="M15" s="32">
        <v>306.5435157441861</v>
      </c>
      <c r="N15" s="32">
        <v>380.46078955813999</v>
      </c>
      <c r="O15" s="32">
        <v>356.49838046511627</v>
      </c>
      <c r="P15" s="32">
        <v>13.6234674534884</v>
      </c>
      <c r="Q15" s="32">
        <v>1.90949654651163</v>
      </c>
      <c r="R15" s="32">
        <v>1403.59711227907</v>
      </c>
      <c r="S15" s="32">
        <f t="shared" si="1"/>
        <v>146.98434588452579</v>
      </c>
      <c r="T15" s="32">
        <v>1240.07021687209</v>
      </c>
      <c r="U15" s="32">
        <v>12.0784745813953</v>
      </c>
      <c r="V15" s="32">
        <v>0.93002625581395304</v>
      </c>
      <c r="W15" s="32">
        <v>4.5411116279069803E-2</v>
      </c>
      <c r="X15" s="32">
        <v>9.2891954651162791</v>
      </c>
      <c r="Y15" s="32">
        <v>71.046232953488399</v>
      </c>
      <c r="Z15" s="32">
        <v>1217.1405449418601</v>
      </c>
      <c r="AA15" s="32">
        <v>-6.7929511627907002E-2</v>
      </c>
      <c r="AB15" s="32">
        <v>9.9624796744185993</v>
      </c>
      <c r="AC15" s="32">
        <v>8.1075096627907008</v>
      </c>
      <c r="AD15" s="32">
        <v>249.41679277906999</v>
      </c>
      <c r="AE15" s="32">
        <v>-250.07722263953499</v>
      </c>
      <c r="AF15" s="32">
        <v>-20.4261316162791</v>
      </c>
      <c r="AG15" s="32">
        <v>315.64999999999998</v>
      </c>
      <c r="AH15" s="32">
        <v>993.5</v>
      </c>
      <c r="AI15" s="32">
        <v>50.9</v>
      </c>
      <c r="AJ15" s="32">
        <v>203.25293433570101</v>
      </c>
      <c r="AK15" s="32">
        <v>11.108865831055301</v>
      </c>
      <c r="AL15" s="32">
        <v>0.289705920744667</v>
      </c>
      <c r="AM15" s="28">
        <f t="shared" si="2"/>
        <v>4.1280495408580788E-3</v>
      </c>
      <c r="AN15" s="28">
        <f t="shared" si="3"/>
        <v>35.972178888326141</v>
      </c>
      <c r="AO15" s="32">
        <v>0.29999678108801597</v>
      </c>
      <c r="AP15" s="32">
        <v>0.30299267559820903</v>
      </c>
      <c r="AQ15" s="32">
        <v>37047.097236055801</v>
      </c>
      <c r="AR15" s="32">
        <f t="shared" si="4"/>
        <v>1.0290860343348834E-2</v>
      </c>
      <c r="AS15" s="32">
        <f t="shared" si="5"/>
        <v>0.59202911219401166</v>
      </c>
      <c r="AT15" s="32">
        <v>0.14663553028602599</v>
      </c>
      <c r="AU15" s="32">
        <v>117.66334999999999</v>
      </c>
      <c r="AV15" s="34">
        <v>14.6446680409684</v>
      </c>
      <c r="AW15" s="32">
        <f t="shared" si="13"/>
        <v>1.923526255813953</v>
      </c>
      <c r="AX15" s="32">
        <f t="shared" si="14"/>
        <v>1.7311736302325578</v>
      </c>
      <c r="AY15" s="32">
        <f t="shared" si="6"/>
        <v>2002.436452330119</v>
      </c>
      <c r="AZ15" s="32">
        <f t="shared" si="7"/>
        <v>2680.1638385905808</v>
      </c>
      <c r="BA15" s="32">
        <v>353.2</v>
      </c>
      <c r="BB15" s="32">
        <v>550</v>
      </c>
      <c r="BC15" s="32">
        <v>500</v>
      </c>
      <c r="BD15" s="32">
        <v>530</v>
      </c>
      <c r="BE15" s="32">
        <v>182270.78012035499</v>
      </c>
      <c r="BF15" s="32">
        <v>208902.76915909999</v>
      </c>
      <c r="BG15" s="32">
        <v>1403.59611446286</v>
      </c>
      <c r="BH15" s="32">
        <v>1240.0722837866001</v>
      </c>
      <c r="BI15" s="32">
        <v>1421.2702698708999</v>
      </c>
      <c r="BJ15" s="28">
        <f t="shared" si="8"/>
        <v>0.87250983157428685</v>
      </c>
      <c r="BK15" s="28">
        <f t="shared" si="9"/>
        <v>16.928803348968859</v>
      </c>
      <c r="BL15" s="28">
        <f t="shared" si="10"/>
        <v>14.770547358763043</v>
      </c>
      <c r="BM15" s="32">
        <v>0.26495501861405002</v>
      </c>
      <c r="BN15" s="32">
        <v>0.27426460711713102</v>
      </c>
      <c r="BO15" s="32">
        <v>1.1479871982695599E-2</v>
      </c>
      <c r="BP15" s="32">
        <v>706.585493368573</v>
      </c>
      <c r="BQ15" s="32">
        <v>186.659688821233</v>
      </c>
      <c r="BR15" s="28">
        <f t="shared" si="11"/>
        <v>213.93419542842196</v>
      </c>
      <c r="BS15" s="32">
        <v>7.7797691785279897</v>
      </c>
      <c r="BT15" s="32">
        <f>14913336.4535843/100000</f>
        <v>149.13336453584301</v>
      </c>
      <c r="BU15" s="32">
        <v>373.08021313521601</v>
      </c>
      <c r="BV15" s="28">
        <f t="shared" si="12"/>
        <v>0.64668098672869534</v>
      </c>
      <c r="BW15" s="32">
        <v>1.0348803726403699</v>
      </c>
      <c r="BX15" s="2">
        <v>361</v>
      </c>
      <c r="BY15" s="2">
        <v>80</v>
      </c>
      <c r="BZ15" s="2">
        <v>361</v>
      </c>
      <c r="CA15" s="2">
        <v>80</v>
      </c>
    </row>
    <row r="16" spans="1:79" ht="14.4">
      <c r="A16" s="2">
        <v>17</v>
      </c>
      <c r="B16" s="32">
        <v>0.47243055555555602</v>
      </c>
      <c r="C16" s="32">
        <v>32.675117666666701</v>
      </c>
      <c r="D16" s="32">
        <v>930.90965780246893</v>
      </c>
      <c r="E16" s="32">
        <v>895.97095301234492</v>
      </c>
      <c r="F16" s="28">
        <f t="shared" si="0"/>
        <v>913.44030540740687</v>
      </c>
      <c r="G16" s="32">
        <v>306.80253833333325</v>
      </c>
      <c r="H16" s="32">
        <v>304.86038601234566</v>
      </c>
      <c r="I16" s="32">
        <v>333.37467927160486</v>
      </c>
      <c r="J16" s="32">
        <v>813.27436704938293</v>
      </c>
      <c r="K16" s="32">
        <v>313.25971446913576</v>
      </c>
      <c r="L16" s="32">
        <v>303.97068053086417</v>
      </c>
      <c r="M16" s="32">
        <v>312.53625154320986</v>
      </c>
      <c r="N16" s="32">
        <v>414.23832782715999</v>
      </c>
      <c r="O16" s="32">
        <v>359.11315429629627</v>
      </c>
      <c r="P16" s="32">
        <v>26.0817282839506</v>
      </c>
      <c r="Q16" s="32">
        <v>1.46461160493827</v>
      </c>
      <c r="R16" s="32">
        <v>1598.5223451975301</v>
      </c>
      <c r="S16" s="32">
        <f t="shared" si="1"/>
        <v>167.3968685423896</v>
      </c>
      <c r="T16" s="32">
        <v>1557.5643262962999</v>
      </c>
      <c r="U16" s="32">
        <v>17.387902382716</v>
      </c>
      <c r="V16" s="32">
        <v>1.5462592345679</v>
      </c>
      <c r="W16" s="32">
        <v>9.2663765432098796E-2</v>
      </c>
      <c r="X16" s="32">
        <v>13.063528358024699</v>
      </c>
      <c r="Y16" s="32">
        <v>60.099861320987699</v>
      </c>
      <c r="Z16" s="32">
        <v>1039.54454077778</v>
      </c>
      <c r="AA16" s="32">
        <v>-2.7536209876543202E-2</v>
      </c>
      <c r="AB16" s="32">
        <v>10.138114777777799</v>
      </c>
      <c r="AC16" s="32">
        <v>8.0550062962963001</v>
      </c>
      <c r="AD16" s="32">
        <v>51.629967197530902</v>
      </c>
      <c r="AE16" s="32">
        <v>-250.10426403703701</v>
      </c>
      <c r="AF16" s="32">
        <v>-20.4286035802469</v>
      </c>
      <c r="AG16" s="32">
        <v>306.34999999999997</v>
      </c>
      <c r="AH16" s="32">
        <v>994.1</v>
      </c>
      <c r="AI16" s="32">
        <v>37.700000000000003</v>
      </c>
      <c r="AJ16" s="32">
        <v>204.548343909311</v>
      </c>
      <c r="AK16" s="32">
        <v>7.8372215194376098</v>
      </c>
      <c r="AL16" s="32">
        <v>0.34215245354194102</v>
      </c>
      <c r="AM16" s="28">
        <f t="shared" si="2"/>
        <v>4.2808591893616736E-3</v>
      </c>
      <c r="AN16" s="28">
        <f t="shared" si="3"/>
        <v>36.204693702873357</v>
      </c>
      <c r="AO16" s="32">
        <v>0.35696694637201498</v>
      </c>
      <c r="AP16" s="32">
        <v>0.35807600316919802</v>
      </c>
      <c r="AQ16" s="32">
        <v>53332.174188266697</v>
      </c>
      <c r="AR16" s="32">
        <f t="shared" si="4"/>
        <v>1.4814492830074083E-2</v>
      </c>
      <c r="AS16" s="32">
        <f t="shared" si="5"/>
        <v>0.72163215922782231</v>
      </c>
      <c r="AT16" s="32">
        <v>0.18535233961016001</v>
      </c>
      <c r="AU16" s="32">
        <v>130.25885</v>
      </c>
      <c r="AV16" s="34">
        <v>18.394129784520601</v>
      </c>
      <c r="AW16" s="32">
        <f t="shared" si="13"/>
        <v>2.5403592345678998</v>
      </c>
      <c r="AX16" s="32">
        <f t="shared" si="14"/>
        <v>2.2863233111111101</v>
      </c>
      <c r="AY16" s="32">
        <f t="shared" si="6"/>
        <v>4365.9996409068035</v>
      </c>
      <c r="AZ16" s="32">
        <f t="shared" si="7"/>
        <v>2341.2143775294417</v>
      </c>
      <c r="BA16" s="32">
        <v>353.6</v>
      </c>
      <c r="BB16" s="32">
        <v>550</v>
      </c>
      <c r="BC16" s="32">
        <v>500</v>
      </c>
      <c r="BD16" s="32">
        <v>530</v>
      </c>
      <c r="BE16" s="32">
        <v>260730.69873483299</v>
      </c>
      <c r="BF16" s="32">
        <v>295335.55207437498</v>
      </c>
      <c r="BG16" s="28">
        <v>1598.5181026591799</v>
      </c>
      <c r="BH16" s="32">
        <v>1557.56692193867</v>
      </c>
      <c r="BI16" s="32">
        <v>1764.30966350941</v>
      </c>
      <c r="BJ16" s="28">
        <f t="shared" si="8"/>
        <v>0.88281946993391991</v>
      </c>
      <c r="BK16" s="28">
        <f t="shared" si="9"/>
        <v>21.014758398525188</v>
      </c>
      <c r="BL16" s="28">
        <f t="shared" si="10"/>
        <v>18.5522378701754</v>
      </c>
      <c r="BM16" s="32">
        <v>0.37374796883766198</v>
      </c>
      <c r="BN16" s="32">
        <v>0.38966691904227002</v>
      </c>
      <c r="BO16" s="32">
        <v>1.54849852148598E-2</v>
      </c>
      <c r="BP16" s="32">
        <v>725.24076397105898</v>
      </c>
      <c r="BQ16" s="32">
        <v>180.512249772156</v>
      </c>
      <c r="BR16" s="28">
        <f t="shared" si="11"/>
        <v>204.47243849942225</v>
      </c>
      <c r="BS16" s="32">
        <v>6.9322275910489104</v>
      </c>
      <c r="BT16" s="32">
        <f>15757864.663136/100000</f>
        <v>157.57864663135999</v>
      </c>
      <c r="BU16" s="32">
        <v>372.95157131271799</v>
      </c>
      <c r="BV16" s="28">
        <f t="shared" si="12"/>
        <v>0.61838244373637585</v>
      </c>
      <c r="BW16" s="32"/>
      <c r="BX16" s="2">
        <v>361</v>
      </c>
      <c r="BY16" s="2">
        <v>80</v>
      </c>
      <c r="BZ16" s="2">
        <v>361</v>
      </c>
      <c r="CA16" s="2">
        <v>80</v>
      </c>
    </row>
    <row r="17" spans="1:79" ht="14.4">
      <c r="A17" s="2">
        <v>13</v>
      </c>
      <c r="B17" s="32">
        <v>0.495978009259259</v>
      </c>
      <c r="C17" s="32">
        <v>36.5362117093023</v>
      </c>
      <c r="D17" s="32">
        <v>690.13345132558197</v>
      </c>
      <c r="E17" s="32">
        <v>651.33875405814001</v>
      </c>
      <c r="F17" s="28">
        <f t="shared" si="0"/>
        <v>670.73610269186099</v>
      </c>
      <c r="G17" s="32">
        <v>307.98027198837207</v>
      </c>
      <c r="H17" s="32">
        <v>309.1087716976744</v>
      </c>
      <c r="I17" s="32">
        <v>310.36770812790701</v>
      </c>
      <c r="J17" s="32">
        <v>638.94078816279102</v>
      </c>
      <c r="K17" s="32">
        <v>314.41555936046507</v>
      </c>
      <c r="L17" s="32">
        <v>301.66350773255806</v>
      </c>
      <c r="M17" s="32">
        <v>305.79307379069769</v>
      </c>
      <c r="N17" s="32">
        <v>339.76546125581388</v>
      </c>
      <c r="O17" s="32">
        <v>356.09077237209294</v>
      </c>
      <c r="P17" s="32">
        <v>13.623776790697701</v>
      </c>
      <c r="Q17" s="32">
        <v>1.5034329534883699</v>
      </c>
      <c r="R17" s="32">
        <v>1598.7568733023199</v>
      </c>
      <c r="S17" s="32">
        <f t="shared" si="1"/>
        <v>167.42142826809186</v>
      </c>
      <c r="T17" s="32">
        <v>549.12107009302304</v>
      </c>
      <c r="U17" s="32">
        <v>6.5133069302325604</v>
      </c>
      <c r="V17" s="32">
        <v>0.36732195348837199</v>
      </c>
      <c r="W17" s="32">
        <v>1.91573720930233E-2</v>
      </c>
      <c r="X17" s="32">
        <v>7.1459435465116297</v>
      </c>
      <c r="Y17" s="32">
        <v>27.255788337209299</v>
      </c>
      <c r="Z17" s="32">
        <v>1067.1698804534899</v>
      </c>
      <c r="AA17" s="32">
        <v>-9.9256290697674401E-2</v>
      </c>
      <c r="AB17" s="32">
        <v>6.3074564418604702</v>
      </c>
      <c r="AC17" s="32">
        <v>12.4434184418605</v>
      </c>
      <c r="AD17" s="32">
        <v>110.50072241860499</v>
      </c>
      <c r="AE17" s="32">
        <v>-250.103686127907</v>
      </c>
      <c r="AF17" s="32">
        <v>-20.428200058139499</v>
      </c>
      <c r="AG17" s="32">
        <v>309.54999999999995</v>
      </c>
      <c r="AH17" s="32">
        <v>993.9</v>
      </c>
      <c r="AI17" s="32">
        <v>45.1</v>
      </c>
      <c r="AJ17" s="32">
        <v>217.302383013129</v>
      </c>
      <c r="AK17" s="32">
        <v>17.0040516067873</v>
      </c>
      <c r="AL17" s="32">
        <v>0.255432692419161</v>
      </c>
      <c r="AM17" s="28">
        <f t="shared" si="2"/>
        <v>3.1953913279077983E-3</v>
      </c>
      <c r="AN17" s="28">
        <f t="shared" si="3"/>
        <v>27.306806366563382</v>
      </c>
      <c r="AO17" s="32">
        <v>0.26098202992371899</v>
      </c>
      <c r="AP17" s="32">
        <v>0.26296295811056902</v>
      </c>
      <c r="AQ17" s="32">
        <v>19977.615016409301</v>
      </c>
      <c r="AR17" s="32">
        <f t="shared" si="4"/>
        <v>5.5493375045581397E-3</v>
      </c>
      <c r="AS17" s="32">
        <f t="shared" si="5"/>
        <v>0.36208739583549243</v>
      </c>
      <c r="AT17" s="32">
        <v>6.9420655475846901E-2</v>
      </c>
      <c r="AU17" s="32">
        <v>79.253349999999998</v>
      </c>
      <c r="AV17" s="34">
        <v>6.4848713213173896</v>
      </c>
      <c r="AW17" s="32">
        <f t="shared" si="13"/>
        <v>1.361221953488372</v>
      </c>
      <c r="AX17" s="32">
        <f t="shared" si="14"/>
        <v>1.2250997581395349</v>
      </c>
      <c r="AY17" s="32">
        <f t="shared" si="6"/>
        <v>2280.9121687042898</v>
      </c>
      <c r="AZ17" s="32">
        <f t="shared" si="7"/>
        <v>2403.6237679387386</v>
      </c>
      <c r="BA17" s="32">
        <v>356.2</v>
      </c>
      <c r="BB17" s="32">
        <v>550</v>
      </c>
      <c r="BC17" s="32">
        <v>500</v>
      </c>
      <c r="BD17" s="32">
        <v>530</v>
      </c>
      <c r="BE17" s="32">
        <v>91934.665808453705</v>
      </c>
      <c r="BF17" s="32">
        <v>104240.81706889599</v>
      </c>
      <c r="BG17" s="32">
        <v>1598.75742909513</v>
      </c>
      <c r="BH17" s="32">
        <v>549.12198530087801</v>
      </c>
      <c r="BI17" s="32">
        <v>622.629614951024</v>
      </c>
      <c r="BJ17" s="28">
        <f t="shared" si="8"/>
        <v>0.88194003644377228</v>
      </c>
      <c r="BK17" s="28">
        <f t="shared" si="9"/>
        <v>7.4161646340141552</v>
      </c>
      <c r="BL17" s="28">
        <f t="shared" si="10"/>
        <v>6.5406125075954593</v>
      </c>
      <c r="BM17" s="32">
        <v>0.23195431345475201</v>
      </c>
      <c r="BN17" s="32">
        <v>0.23677659349641</v>
      </c>
      <c r="BO17" s="32">
        <v>5.6078669804692297E-3</v>
      </c>
      <c r="BP17" s="32">
        <v>573.59711464985799</v>
      </c>
      <c r="BQ17" s="32">
        <v>183.49007260146101</v>
      </c>
      <c r="BR17" s="28">
        <f t="shared" si="11"/>
        <v>208.05277572083477</v>
      </c>
      <c r="BS17" s="35">
        <v>8.7939846465281395</v>
      </c>
      <c r="BT17" s="32">
        <f>9888583.71466989/100000</f>
        <v>98.885837146698904</v>
      </c>
      <c r="BU17" s="32">
        <v>368.72570100470602</v>
      </c>
      <c r="BV17" s="28">
        <f t="shared" si="12"/>
        <v>0.36084479708332745</v>
      </c>
      <c r="BW17" s="32">
        <v>1.05030346391772</v>
      </c>
      <c r="BX17" s="2">
        <v>361</v>
      </c>
      <c r="BY17" s="2">
        <v>80</v>
      </c>
      <c r="BZ17" s="2">
        <v>361</v>
      </c>
      <c r="CA17" s="2">
        <v>80</v>
      </c>
    </row>
    <row r="18" spans="1:79" ht="14.4">
      <c r="A18" s="2">
        <v>5</v>
      </c>
      <c r="B18" s="32">
        <v>0.53973668981481504</v>
      </c>
      <c r="C18" s="32">
        <v>36.083635783289203</v>
      </c>
      <c r="D18" s="32">
        <v>791.03726069179902</v>
      </c>
      <c r="E18" s="32">
        <v>741.78281506768099</v>
      </c>
      <c r="F18" s="28">
        <f t="shared" si="0"/>
        <v>766.41003787974</v>
      </c>
      <c r="G18" s="32">
        <v>307.33464697001756</v>
      </c>
      <c r="H18" s="32">
        <v>306.73168661596117</v>
      </c>
      <c r="I18" s="32">
        <v>316.74401250286598</v>
      </c>
      <c r="J18" s="32">
        <v>717.48550057076704</v>
      </c>
      <c r="K18" s="32">
        <v>313.38670553791889</v>
      </c>
      <c r="L18" s="32">
        <v>301.9664390705467</v>
      </c>
      <c r="M18" s="32">
        <v>306.49559697905636</v>
      </c>
      <c r="N18" s="32">
        <v>361.95072028064368</v>
      </c>
      <c r="O18" s="32">
        <v>356.51820520502639</v>
      </c>
      <c r="P18" s="32">
        <v>19.079661343915301</v>
      </c>
      <c r="Q18" s="32">
        <v>1.82709186618166</v>
      </c>
      <c r="R18" s="32">
        <v>1599.1848142056899</v>
      </c>
      <c r="S18" s="32">
        <f t="shared" si="1"/>
        <v>167.46624213469846</v>
      </c>
      <c r="T18" s="32">
        <v>883.30485231150794</v>
      </c>
      <c r="U18" s="32">
        <v>9.9460688910934802</v>
      </c>
      <c r="V18" s="32">
        <v>0.71508825022045897</v>
      </c>
      <c r="W18" s="32">
        <v>3.6090411375661401E-2</v>
      </c>
      <c r="X18" s="32">
        <v>9.0111854045414503</v>
      </c>
      <c r="Y18" s="32">
        <v>49.505267457671998</v>
      </c>
      <c r="Z18" s="32">
        <v>1144.44139370723</v>
      </c>
      <c r="AA18" s="32">
        <v>-6.0513144841269802E-2</v>
      </c>
      <c r="AB18" s="32">
        <v>7.8085717039241596</v>
      </c>
      <c r="AC18" s="32">
        <v>10.4206437663139</v>
      </c>
      <c r="AD18" s="32">
        <v>222.216940929674</v>
      </c>
      <c r="AE18" s="32">
        <v>-250.099066804453</v>
      </c>
      <c r="AF18" s="32">
        <v>-20.4280105330688</v>
      </c>
      <c r="AG18" s="32">
        <v>317.7</v>
      </c>
      <c r="AH18" s="32">
        <v>993.1</v>
      </c>
      <c r="AI18" s="32">
        <v>56.15</v>
      </c>
      <c r="AJ18" s="32">
        <v>206.231816616619</v>
      </c>
      <c r="AK18" s="32">
        <v>12.6776579173644</v>
      </c>
      <c r="AL18" s="32">
        <v>0.28551123753754098</v>
      </c>
      <c r="AM18" s="28">
        <f t="shared" si="2"/>
        <v>3.5707097141158572E-3</v>
      </c>
      <c r="AN18" s="28">
        <f t="shared" si="3"/>
        <v>31.317552205540963</v>
      </c>
      <c r="AO18" s="32">
        <v>0.29398528823275299</v>
      </c>
      <c r="AP18" s="32">
        <v>0.29587474664011798</v>
      </c>
      <c r="AQ18" s="32">
        <v>30506.582502761899</v>
      </c>
      <c r="AR18" s="32">
        <f t="shared" si="4"/>
        <v>8.4740506952116386E-3</v>
      </c>
      <c r="AS18" s="32">
        <f t="shared" si="5"/>
        <v>0.49467117116522208</v>
      </c>
      <c r="AT18" s="32">
        <v>0.105979629370364</v>
      </c>
      <c r="AU18" s="32">
        <v>101.45215</v>
      </c>
      <c r="AV18" s="34">
        <v>10.431430547301799</v>
      </c>
      <c r="AW18" s="32">
        <f t="shared" si="13"/>
        <v>1.7081882502204588</v>
      </c>
      <c r="AX18" s="32">
        <f t="shared" si="14"/>
        <v>1.5373694251984129</v>
      </c>
      <c r="AY18" s="32">
        <f t="shared" si="6"/>
        <v>3195.1991864681659</v>
      </c>
      <c r="AZ18" s="32">
        <f t="shared" si="7"/>
        <v>2921.8575665564454</v>
      </c>
      <c r="BA18" s="32">
        <v>355.5</v>
      </c>
      <c r="BB18" s="32">
        <v>550</v>
      </c>
      <c r="BC18" s="32">
        <v>500</v>
      </c>
      <c r="BD18" s="32">
        <v>530</v>
      </c>
      <c r="BE18" s="32">
        <v>147923.98675000001</v>
      </c>
      <c r="BF18" s="32">
        <v>167735.62981323601</v>
      </c>
      <c r="BG18" s="32">
        <v>1599.1874355825901</v>
      </c>
      <c r="BH18" s="32">
        <v>883.30632447314099</v>
      </c>
      <c r="BI18" s="32">
        <v>1001.61643755087</v>
      </c>
      <c r="BJ18" s="28">
        <f t="shared" si="8"/>
        <v>0.88188081920159145</v>
      </c>
      <c r="BK18" s="28">
        <f t="shared" si="9"/>
        <v>11.930290854536656</v>
      </c>
      <c r="BL18" s="28">
        <f t="shared" si="10"/>
        <v>10.52109467211204</v>
      </c>
      <c r="BM18" s="32">
        <v>0.26080416727118999</v>
      </c>
      <c r="BN18" s="32">
        <v>0.26962623220193399</v>
      </c>
      <c r="BO18" s="32">
        <v>9.0166792209443701E-3</v>
      </c>
      <c r="BP18" s="32">
        <v>652.03098680501796</v>
      </c>
      <c r="BQ18" s="32">
        <v>183.41014090964899</v>
      </c>
      <c r="BR18" s="28">
        <f t="shared" si="11"/>
        <v>207.97610846746716</v>
      </c>
      <c r="BS18" s="32">
        <v>8.8699999999999992</v>
      </c>
      <c r="BT18" s="32">
        <f>12247733.3310536/100000</f>
        <v>122.477333310536</v>
      </c>
      <c r="BU18" s="32">
        <v>371.572306480924</v>
      </c>
      <c r="BV18" s="28">
        <f t="shared" si="12"/>
        <v>0.51600901631760887</v>
      </c>
      <c r="BW18" s="32">
        <v>1.05107680746347</v>
      </c>
      <c r="BX18" s="2">
        <v>361</v>
      </c>
      <c r="BY18" s="2">
        <v>80</v>
      </c>
      <c r="BZ18" s="2">
        <v>361</v>
      </c>
      <c r="CA18" s="2">
        <v>80</v>
      </c>
    </row>
    <row r="19" spans="1:79" s="28" customFormat="1" ht="14.4">
      <c r="A19" s="2">
        <v>10</v>
      </c>
      <c r="B19" s="32">
        <v>0.533562287564463</v>
      </c>
      <c r="C19" s="32">
        <v>34.341577197850697</v>
      </c>
      <c r="D19" s="32">
        <v>867.15556329061201</v>
      </c>
      <c r="E19" s="32">
        <v>823.94608308920101</v>
      </c>
      <c r="F19" s="28">
        <f t="shared" si="0"/>
        <v>845.55082318990651</v>
      </c>
      <c r="G19" s="32">
        <v>309.76408609388187</v>
      </c>
      <c r="H19" s="32">
        <v>308.63534903738127</v>
      </c>
      <c r="I19" s="32">
        <v>325.90490556058808</v>
      </c>
      <c r="J19" s="32">
        <v>772.22765270826699</v>
      </c>
      <c r="K19" s="32">
        <v>313.8140825348101</v>
      </c>
      <c r="L19" s="32">
        <v>303.06053887335179</v>
      </c>
      <c r="M19" s="32">
        <v>309.09971957357595</v>
      </c>
      <c r="N19" s="32">
        <v>386.86325372817799</v>
      </c>
      <c r="O19" s="32">
        <v>357.9027808643196</v>
      </c>
      <c r="P19" s="32">
        <v>19.665437908359699</v>
      </c>
      <c r="Q19" s="32">
        <v>1.56811642721519</v>
      </c>
      <c r="R19" s="32">
        <v>1599.27545799473</v>
      </c>
      <c r="S19" s="32">
        <f t="shared" si="1"/>
        <v>167.47573433008986</v>
      </c>
      <c r="T19" s="32">
        <v>1229.13756327136</v>
      </c>
      <c r="U19" s="32">
        <v>13.6106628842959</v>
      </c>
      <c r="V19" s="32">
        <v>1.11175533445411</v>
      </c>
      <c r="W19" s="32">
        <v>6.10631537447257E-2</v>
      </c>
      <c r="X19" s="32">
        <v>11.228069530656599</v>
      </c>
      <c r="Y19" s="32">
        <v>62.837489681170901</v>
      </c>
      <c r="Z19" s="32">
        <v>1122.70727070873</v>
      </c>
      <c r="AA19" s="32">
        <v>-5.2473269448839698E-2</v>
      </c>
      <c r="AB19" s="32">
        <v>8.8193688368275307</v>
      </c>
      <c r="AC19" s="32">
        <v>9.1616391041666692</v>
      </c>
      <c r="AD19" s="32">
        <v>97.288490810126603</v>
      </c>
      <c r="AE19" s="32">
        <v>-250.09834244007101</v>
      </c>
      <c r="AF19" s="32">
        <v>-20.427952056302701</v>
      </c>
      <c r="AG19" s="32">
        <v>313.7</v>
      </c>
      <c r="AH19" s="32">
        <v>993.7</v>
      </c>
      <c r="AI19" s="32">
        <v>47.9</v>
      </c>
      <c r="AJ19" s="32">
        <v>202.800485757817</v>
      </c>
      <c r="AK19" s="32">
        <v>9.9698984204067997</v>
      </c>
      <c r="AL19" s="32">
        <v>0.31831020505593699</v>
      </c>
      <c r="AM19" s="28">
        <f t="shared" si="2"/>
        <v>3.9806801694444041E-3</v>
      </c>
      <c r="AN19" s="28">
        <f t="shared" si="3"/>
        <v>34.473696524476935</v>
      </c>
      <c r="AO19" s="32">
        <v>0.32990648983335702</v>
      </c>
      <c r="AP19" s="32">
        <v>0.331279162944209</v>
      </c>
      <c r="AQ19" s="32">
        <v>41746.625198712303</v>
      </c>
      <c r="AR19" s="32">
        <f t="shared" si="4"/>
        <v>1.1596284777420085E-2</v>
      </c>
      <c r="AS19" s="32">
        <f t="shared" si="5"/>
        <v>0.60717944284267489</v>
      </c>
      <c r="AT19" s="32">
        <v>0.14501923004508899</v>
      </c>
      <c r="AU19" s="32">
        <v>117.9863</v>
      </c>
      <c r="AV19" s="34">
        <v>14.515558349749901</v>
      </c>
      <c r="AW19" s="32">
        <f t="shared" si="13"/>
        <v>2.1054553344541098</v>
      </c>
      <c r="AX19" s="32">
        <f t="shared" si="14"/>
        <v>1.8949098010086989</v>
      </c>
      <c r="AY19" s="32">
        <f t="shared" si="6"/>
        <v>3293.4836546253268</v>
      </c>
      <c r="AZ19" s="32">
        <f t="shared" si="7"/>
        <v>2507.8501173236327</v>
      </c>
      <c r="BA19" s="32">
        <v>353</v>
      </c>
      <c r="BB19" s="32">
        <v>550</v>
      </c>
      <c r="BC19" s="32">
        <v>500</v>
      </c>
      <c r="BD19" s="32">
        <v>530</v>
      </c>
      <c r="BE19" s="32">
        <v>205850.56984718799</v>
      </c>
      <c r="BF19" s="32">
        <v>233368.00309253801</v>
      </c>
      <c r="BG19" s="32">
        <v>1599.2743228592999</v>
      </c>
      <c r="BH19" s="32">
        <f>BE19/(BG19*PI()/30)</f>
        <v>1229.1375630000318</v>
      </c>
      <c r="BI19" s="32">
        <f>BF19/(BG19*PI()/30)</f>
        <v>1393.4446662755472</v>
      </c>
      <c r="BJ19" s="28">
        <f t="shared" si="8"/>
        <v>0.88208566349844253</v>
      </c>
      <c r="BK19" s="28">
        <f t="shared" si="9"/>
        <v>16.597399206015904</v>
      </c>
      <c r="BL19" s="28">
        <f t="shared" si="10"/>
        <v>14.640327890987061</v>
      </c>
      <c r="BM19" s="32">
        <v>0.29154138923809603</v>
      </c>
      <c r="BN19" s="32">
        <v>0.30319511550561801</v>
      </c>
      <c r="BO19" s="32">
        <v>1.2673208259238299E-2</v>
      </c>
      <c r="BP19" s="32">
        <v>721.669887881877</v>
      </c>
      <c r="BQ19" s="32">
        <v>185.77414288723099</v>
      </c>
      <c r="BR19" s="28">
        <f t="shared" si="11"/>
        <v>210.60782481197077</v>
      </c>
      <c r="BS19" s="32">
        <v>8.1695225790879196</v>
      </c>
      <c r="BT19" s="32">
        <f>13970751.1467285/100000</f>
        <v>139.707511467285</v>
      </c>
      <c r="BU19" s="32">
        <v>373.334881632693</v>
      </c>
      <c r="BV19" s="28">
        <f t="shared" si="12"/>
        <v>0.64880105899374241</v>
      </c>
      <c r="BW19" s="32">
        <v>1.04274456714799</v>
      </c>
      <c r="BX19" s="2">
        <v>361</v>
      </c>
      <c r="BY19" s="2">
        <v>80</v>
      </c>
      <c r="BZ19" s="2">
        <v>361</v>
      </c>
      <c r="CA19" s="2">
        <v>80</v>
      </c>
    </row>
    <row r="20" spans="1:79" ht="14.4">
      <c r="A20" s="2">
        <v>16</v>
      </c>
      <c r="B20" s="32">
        <v>0.46611661353976902</v>
      </c>
      <c r="C20" s="32">
        <v>32.698864295081997</v>
      </c>
      <c r="D20" s="32">
        <v>936.24071221311499</v>
      </c>
      <c r="E20" s="32">
        <v>903.47230662295101</v>
      </c>
      <c r="F20" s="28">
        <f t="shared" si="0"/>
        <v>919.85650941803306</v>
      </c>
      <c r="G20" s="32">
        <v>306.36552029508198</v>
      </c>
      <c r="H20" s="32">
        <v>304.68023926229506</v>
      </c>
      <c r="I20" s="32">
        <v>335.908317442623</v>
      </c>
      <c r="J20" s="32">
        <v>809.08010172131094</v>
      </c>
      <c r="K20" s="32">
        <v>313.05138762295076</v>
      </c>
      <c r="L20" s="32">
        <v>303.94689772131147</v>
      </c>
      <c r="M20" s="32">
        <v>313.99183857377045</v>
      </c>
      <c r="N20" s="32">
        <v>424.10476821311499</v>
      </c>
      <c r="O20" s="32">
        <v>359.60584886885249</v>
      </c>
      <c r="P20" s="32">
        <v>28.053404491803299</v>
      </c>
      <c r="Q20" s="32">
        <v>1.4215162622950801</v>
      </c>
      <c r="R20" s="32">
        <v>1796.8961723278701</v>
      </c>
      <c r="S20" s="32">
        <f t="shared" si="1"/>
        <v>188.17052714162853</v>
      </c>
      <c r="T20" s="32">
        <v>1416.7171247868901</v>
      </c>
      <c r="U20" s="32">
        <v>18.715154360655699</v>
      </c>
      <c r="V20" s="32">
        <v>1.6098735737704899</v>
      </c>
      <c r="W20" s="32">
        <v>0.12227624590163901</v>
      </c>
      <c r="X20" s="32">
        <v>15.051616163934399</v>
      </c>
      <c r="Y20" s="32">
        <v>60.154522442622998</v>
      </c>
      <c r="Z20" s="32">
        <v>776.43758944262299</v>
      </c>
      <c r="AA20" s="32">
        <v>-3.2919426229508199E-2</v>
      </c>
      <c r="AB20" s="32">
        <v>9.5064539016393503</v>
      </c>
      <c r="AC20" s="32">
        <v>8.8337400491803297</v>
      </c>
      <c r="AD20" s="32">
        <v>54.880996163934398</v>
      </c>
      <c r="AE20" s="32">
        <v>-250.113198803279</v>
      </c>
      <c r="AF20" s="32">
        <v>-20.429454196721299</v>
      </c>
      <c r="AG20" s="32">
        <v>304.54999999999995</v>
      </c>
      <c r="AH20" s="32">
        <v>993.9</v>
      </c>
      <c r="AI20" s="32">
        <v>34.6</v>
      </c>
      <c r="AJ20" s="32">
        <v>215.32812757703999</v>
      </c>
      <c r="AK20" s="32">
        <v>6.1327204655111798</v>
      </c>
      <c r="AL20" s="32">
        <v>0.36640092812706598</v>
      </c>
      <c r="AM20" s="28">
        <f t="shared" si="2"/>
        <v>4.0781535824899158E-3</v>
      </c>
      <c r="AN20" s="28">
        <f t="shared" si="3"/>
        <v>34.287690317432116</v>
      </c>
      <c r="AO20" s="32">
        <v>0.38234623964234499</v>
      </c>
      <c r="AP20" s="32">
        <v>0.38243553129835101</v>
      </c>
      <c r="AQ20" s="32">
        <v>57403.121455003296</v>
      </c>
      <c r="AR20" s="32">
        <f t="shared" si="4"/>
        <v>1.5945311515278691E-2</v>
      </c>
      <c r="AS20" s="32">
        <f t="shared" si="5"/>
        <v>0.72531255114383597</v>
      </c>
      <c r="AT20" s="32">
        <v>0.177476158732328</v>
      </c>
      <c r="AU20" s="32">
        <v>115.62935</v>
      </c>
      <c r="AV20" s="34">
        <v>16.730788078107</v>
      </c>
      <c r="AW20" s="32">
        <f t="shared" si="13"/>
        <v>2.6037735737704901</v>
      </c>
      <c r="AX20" s="32">
        <f t="shared" si="14"/>
        <v>2.3433962163934412</v>
      </c>
      <c r="AY20" s="32">
        <f t="shared" si="6"/>
        <v>5278.8239113399559</v>
      </c>
      <c r="AZ20" s="32">
        <f t="shared" si="7"/>
        <v>2554.3171306198501</v>
      </c>
      <c r="BA20" s="32">
        <v>353.9</v>
      </c>
      <c r="BB20" s="32">
        <v>550</v>
      </c>
      <c r="BC20" s="32">
        <v>500</v>
      </c>
      <c r="BD20" s="32">
        <v>530</v>
      </c>
      <c r="BE20" s="32">
        <v>266584.29303284601</v>
      </c>
      <c r="BF20" s="32">
        <v>296435.93784941302</v>
      </c>
      <c r="BG20" s="32">
        <v>1796.8953959036201</v>
      </c>
      <c r="BH20" s="32">
        <v>1416.7194861932001</v>
      </c>
      <c r="BI20" s="32">
        <v>1575.3743969577499</v>
      </c>
      <c r="BJ20" s="28">
        <f t="shared" si="8"/>
        <v>0.89929066317763395</v>
      </c>
      <c r="BK20" s="28">
        <f t="shared" si="9"/>
        <v>18.764343371243882</v>
      </c>
      <c r="BL20" s="28">
        <f t="shared" si="10"/>
        <v>16.874598794418752</v>
      </c>
      <c r="BM20" s="32">
        <v>0.33571233353806801</v>
      </c>
      <c r="BN20" s="32">
        <v>0.35117910091619198</v>
      </c>
      <c r="BO20" s="32">
        <v>1.6697766656707899E-2</v>
      </c>
      <c r="BP20" s="32">
        <v>809.59751784639502</v>
      </c>
      <c r="BQ20" s="32">
        <v>194.41285513775</v>
      </c>
      <c r="BR20" s="28">
        <f t="shared" si="11"/>
        <v>216.18466987169003</v>
      </c>
      <c r="BS20" s="32">
        <v>6.6555751055186603</v>
      </c>
      <c r="BT20" s="32">
        <f>11671918.6559071/100000</f>
        <v>116.71918655907101</v>
      </c>
      <c r="BU20" s="32">
        <v>374.74796573861101</v>
      </c>
      <c r="BV20" s="28">
        <f t="shared" si="12"/>
        <v>0.74236294876265441</v>
      </c>
      <c r="BW20" s="32"/>
      <c r="BX20" s="2">
        <v>361</v>
      </c>
      <c r="BY20" s="2">
        <v>80</v>
      </c>
      <c r="BZ20" s="2">
        <v>361</v>
      </c>
      <c r="CA20" s="2">
        <v>80</v>
      </c>
    </row>
    <row r="21" spans="1:79" ht="14.4">
      <c r="A21" s="2">
        <v>4</v>
      </c>
      <c r="B21" s="32">
        <v>0.54158557757452597</v>
      </c>
      <c r="C21" s="32">
        <v>36.239717661723901</v>
      </c>
      <c r="D21" s="32">
        <v>704.81523309977797</v>
      </c>
      <c r="E21" s="32">
        <v>669.94081654670197</v>
      </c>
      <c r="F21" s="28">
        <f t="shared" si="0"/>
        <v>687.37802482323991</v>
      </c>
      <c r="G21" s="32">
        <v>306.21337248073729</v>
      </c>
      <c r="H21" s="32">
        <v>305.9616837343404</v>
      </c>
      <c r="I21" s="32">
        <v>312.92254079794895</v>
      </c>
      <c r="J21" s="32">
        <v>645.32218902688498</v>
      </c>
      <c r="K21" s="32">
        <v>314.60232250457318</v>
      </c>
      <c r="L21" s="32">
        <v>301.91656526704548</v>
      </c>
      <c r="M21" s="32">
        <v>308.60021059132475</v>
      </c>
      <c r="N21" s="32">
        <v>344.67458470426828</v>
      </c>
      <c r="O21" s="32">
        <v>-1014499643.72615</v>
      </c>
      <c r="P21" s="32">
        <v>18.855012015798199</v>
      </c>
      <c r="Q21" s="32">
        <v>1.8233827160476701</v>
      </c>
      <c r="R21" s="32">
        <v>1799.203633074</v>
      </c>
      <c r="S21" s="32">
        <f t="shared" si="1"/>
        <v>188.41216386591148</v>
      </c>
      <c r="T21" s="32">
        <v>551.21338566865302</v>
      </c>
      <c r="U21" s="32">
        <v>7.6285137091186304</v>
      </c>
      <c r="V21" s="32">
        <v>0.485531465631929</v>
      </c>
      <c r="W21" s="32">
        <v>2.8068568181818201E-2</v>
      </c>
      <c r="X21" s="32">
        <v>8.6680962199279392</v>
      </c>
      <c r="Y21" s="32">
        <v>23.5611943224778</v>
      </c>
      <c r="Z21" s="32">
        <v>657.426001969097</v>
      </c>
      <c r="AA21" s="32">
        <v>-7.4073688470066498E-2</v>
      </c>
      <c r="AB21" s="32">
        <v>5.96784654891907</v>
      </c>
      <c r="AC21" s="32">
        <v>12.863201097560999</v>
      </c>
      <c r="AD21" s="32">
        <v>90.283758821230606</v>
      </c>
      <c r="AE21" s="32">
        <v>-250.11660729614701</v>
      </c>
      <c r="AF21" s="32">
        <v>-20.429129538248301</v>
      </c>
      <c r="AG21" s="32">
        <v>316.5</v>
      </c>
      <c r="AH21" s="32">
        <v>992.55</v>
      </c>
      <c r="AI21" s="32">
        <v>55.1</v>
      </c>
      <c r="AJ21" s="32">
        <v>225.295923547792</v>
      </c>
      <c r="AK21" s="32">
        <v>10.178784333447799</v>
      </c>
      <c r="AL21" s="32">
        <v>0.280240739027799</v>
      </c>
      <c r="AM21" s="28">
        <f t="shared" si="2"/>
        <v>3.1151642190606101E-3</v>
      </c>
      <c r="AN21" s="28">
        <f t="shared" si="3"/>
        <v>27.21890879767334</v>
      </c>
      <c r="AO21" s="32">
        <v>0.286740232707968</v>
      </c>
      <c r="AP21" s="32">
        <v>0.28806730844073403</v>
      </c>
      <c r="AQ21" s="32">
        <v>23398.177248608699</v>
      </c>
      <c r="AR21" s="32">
        <f t="shared" si="4"/>
        <v>6.4994936801690828E-3</v>
      </c>
      <c r="AS21" s="32">
        <f t="shared" si="5"/>
        <v>0.38654228163000681</v>
      </c>
      <c r="AT21" s="32">
        <v>7.2248561093270602E-2</v>
      </c>
      <c r="AU21" s="32">
        <v>74.965000000000003</v>
      </c>
      <c r="AV21" s="34">
        <v>6.5095806213434297</v>
      </c>
      <c r="AW21" s="32">
        <f t="shared" si="13"/>
        <v>1.478081465631929</v>
      </c>
      <c r="AX21" s="32">
        <f t="shared" si="14"/>
        <v>1.3302733190687361</v>
      </c>
      <c r="AY21" s="32">
        <f t="shared" si="6"/>
        <v>3552.5136136142996</v>
      </c>
      <c r="AZ21" s="32">
        <f t="shared" si="7"/>
        <v>3280.6368071973056</v>
      </c>
      <c r="BA21" s="32">
        <v>360</v>
      </c>
      <c r="BB21" s="32">
        <v>550</v>
      </c>
      <c r="BC21" s="32">
        <v>500</v>
      </c>
      <c r="BD21" s="32">
        <v>530</v>
      </c>
      <c r="BE21" s="32">
        <v>103855.673259684</v>
      </c>
      <c r="BF21" s="32">
        <v>115530.862951548</v>
      </c>
      <c r="BG21" s="32">
        <v>1799.20998251066</v>
      </c>
      <c r="BH21" s="32">
        <v>551.21430438889104</v>
      </c>
      <c r="BI21" s="32">
        <v>613.18301496660399</v>
      </c>
      <c r="BJ21" s="28">
        <f t="shared" si="8"/>
        <v>0.89893929044807608</v>
      </c>
      <c r="BK21" s="28">
        <f t="shared" si="9"/>
        <v>7.3036458282257</v>
      </c>
      <c r="BL21" s="28">
        <f t="shared" si="10"/>
        <v>6.5655341985092619</v>
      </c>
      <c r="BM21" s="32">
        <v>0.25607763520669902</v>
      </c>
      <c r="BN21" s="32">
        <v>0.26156764384119102</v>
      </c>
      <c r="BO21" s="32">
        <v>6.2609916153372903E-3</v>
      </c>
      <c r="BP21" s="32">
        <v>595.56093409673804</v>
      </c>
      <c r="BQ21" s="32">
        <v>188.85041215950201</v>
      </c>
      <c r="BR21" s="28">
        <f t="shared" si="11"/>
        <v>210.08138610269171</v>
      </c>
      <c r="BS21" s="35">
        <v>8.3500220838381392</v>
      </c>
      <c r="BT21" s="32">
        <f>8395513.32734953/100000</f>
        <v>83.955133273495306</v>
      </c>
      <c r="BU21" s="32">
        <v>371.34505667611</v>
      </c>
      <c r="BV21" s="28">
        <f t="shared" si="12"/>
        <v>0.3649191620126524</v>
      </c>
      <c r="BW21" s="32"/>
      <c r="BX21" s="2">
        <v>361</v>
      </c>
      <c r="BY21" s="2">
        <v>80</v>
      </c>
      <c r="BZ21" s="2">
        <v>361</v>
      </c>
      <c r="CA21" s="2">
        <v>80</v>
      </c>
    </row>
    <row r="22" spans="1:79" ht="14.4">
      <c r="A22" s="2">
        <v>9</v>
      </c>
      <c r="B22" s="32">
        <v>0.534532462011725</v>
      </c>
      <c r="C22" s="32">
        <v>34.182682860229299</v>
      </c>
      <c r="D22" s="32">
        <v>842.92827716975296</v>
      </c>
      <c r="E22" s="32">
        <v>801.68279287918892</v>
      </c>
      <c r="F22" s="28">
        <f t="shared" si="0"/>
        <v>822.30553502447094</v>
      </c>
      <c r="G22" s="32">
        <v>309.6252304872134</v>
      </c>
      <c r="H22" s="32">
        <v>308.5119395284392</v>
      </c>
      <c r="I22" s="32">
        <v>325.89448670524689</v>
      </c>
      <c r="J22" s="32">
        <v>742.41857049779605</v>
      </c>
      <c r="K22" s="32">
        <v>314.34140499779539</v>
      </c>
      <c r="L22" s="32">
        <v>303.02082108311288</v>
      </c>
      <c r="M22" s="32">
        <v>309.70627724029976</v>
      </c>
      <c r="N22" s="32">
        <v>386.55918474096097</v>
      </c>
      <c r="O22" s="32">
        <v>358.22569376587296</v>
      </c>
      <c r="P22" s="32">
        <v>21.157511058421498</v>
      </c>
      <c r="Q22" s="32">
        <v>1.60041102865961</v>
      </c>
      <c r="R22" s="32">
        <v>1799.3838367568401</v>
      </c>
      <c r="S22" s="32">
        <f t="shared" si="1"/>
        <v>188.43103475145014</v>
      </c>
      <c r="T22" s="32">
        <v>1053.54275880974</v>
      </c>
      <c r="U22" s="32">
        <v>13.674598247134</v>
      </c>
      <c r="V22" s="32">
        <v>1.10340280180776</v>
      </c>
      <c r="W22" s="32">
        <v>7.2905304453262806E-2</v>
      </c>
      <c r="X22" s="32">
        <v>12.5713772440476</v>
      </c>
      <c r="Y22" s="32">
        <v>62.637335045855401</v>
      </c>
      <c r="Z22" s="32">
        <v>779.68821194709005</v>
      </c>
      <c r="AA22" s="32">
        <v>-5.7531384479717798E-2</v>
      </c>
      <c r="AB22" s="32">
        <v>8.2046401503527306</v>
      </c>
      <c r="AC22" s="32">
        <v>10.4165218201058</v>
      </c>
      <c r="AD22" s="32">
        <v>1685.4267800714299</v>
      </c>
      <c r="AE22" s="32">
        <v>-250.11542478064399</v>
      </c>
      <c r="AF22" s="32">
        <v>-20.4292678829365</v>
      </c>
      <c r="AG22" s="32">
        <v>319.2</v>
      </c>
      <c r="AH22" s="32">
        <v>993.55</v>
      </c>
      <c r="AI22" s="32">
        <v>55.7</v>
      </c>
      <c r="AJ22" s="32">
        <v>211.276927200317</v>
      </c>
      <c r="AK22" s="32">
        <v>7.5785762774711198</v>
      </c>
      <c r="AL22" s="32">
        <v>0.33590995354330899</v>
      </c>
      <c r="AM22" s="28">
        <f t="shared" si="2"/>
        <v>3.7336108803638457E-3</v>
      </c>
      <c r="AN22" s="28">
        <f t="shared" si="3"/>
        <v>32.900915769728783</v>
      </c>
      <c r="AO22" s="32">
        <v>0.34756071124986698</v>
      </c>
      <c r="AP22" s="32">
        <v>0.34893293515588097</v>
      </c>
      <c r="AQ22" s="32">
        <v>41942.727743609503</v>
      </c>
      <c r="AR22" s="32">
        <f t="shared" si="4"/>
        <v>1.1650757706558195E-2</v>
      </c>
      <c r="AS22" s="32">
        <f t="shared" si="5"/>
        <v>0.57806948874549402</v>
      </c>
      <c r="AT22" s="32">
        <v>0.129497191967193</v>
      </c>
      <c r="AU22" s="32">
        <v>102.411725</v>
      </c>
      <c r="AV22" s="34">
        <v>12.4418631782414</v>
      </c>
      <c r="AW22" s="32">
        <f t="shared" si="13"/>
        <v>2.0969528018077597</v>
      </c>
      <c r="AX22" s="32">
        <f t="shared" si="14"/>
        <v>1.8872575216269838</v>
      </c>
      <c r="AY22" s="32">
        <f t="shared" si="6"/>
        <v>3986.7317015036124</v>
      </c>
      <c r="AZ22" s="32">
        <f t="shared" si="7"/>
        <v>2879.7537371374901</v>
      </c>
      <c r="BA22" s="32">
        <v>355.5</v>
      </c>
      <c r="BB22" s="32">
        <v>550</v>
      </c>
      <c r="BC22" s="32">
        <v>500</v>
      </c>
      <c r="BD22" s="32">
        <v>530</v>
      </c>
      <c r="BE22" s="32">
        <v>198520.544311609</v>
      </c>
      <c r="BF22" s="32">
        <v>220769.03571470801</v>
      </c>
      <c r="BG22" s="32">
        <v>1799.3873905492501</v>
      </c>
      <c r="BH22" s="32">
        <v>1053.5445149048601</v>
      </c>
      <c r="BI22" s="32">
        <v>1171.62586926983</v>
      </c>
      <c r="BJ22" s="28">
        <f t="shared" si="8"/>
        <v>0.89921581840919962</v>
      </c>
      <c r="BK22" s="28">
        <f t="shared" si="9"/>
        <v>13.955279555153799</v>
      </c>
      <c r="BL22" s="28">
        <f t="shared" si="10"/>
        <v>12.548808126316795</v>
      </c>
      <c r="BM22" s="32">
        <v>0.308508885892531</v>
      </c>
      <c r="BN22" s="32">
        <v>0.319974303115928</v>
      </c>
      <c r="BO22" s="32">
        <v>1.20785039414109E-2</v>
      </c>
      <c r="BP22" s="32">
        <v>719.14094578612401</v>
      </c>
      <c r="BQ22" s="32">
        <v>189.48620656926701</v>
      </c>
      <c r="BR22" s="28">
        <f t="shared" si="11"/>
        <v>210.72383591348134</v>
      </c>
      <c r="BS22" s="32">
        <v>7.9445010188998602</v>
      </c>
      <c r="BT22" s="32">
        <f>11229293.4175876/100000</f>
        <v>112.29293417587601</v>
      </c>
      <c r="BU22" s="32">
        <v>374.19742150340198</v>
      </c>
      <c r="BV22" s="28">
        <f t="shared" si="12"/>
        <v>0.58434679347554541</v>
      </c>
      <c r="BW22" s="32">
        <v>1.0437248173362399</v>
      </c>
      <c r="BX22" s="2">
        <v>361</v>
      </c>
      <c r="BY22" s="2">
        <v>80</v>
      </c>
      <c r="BZ22" s="2">
        <v>361</v>
      </c>
      <c r="CA22" s="2">
        <v>80</v>
      </c>
    </row>
    <row r="23" spans="1:79">
      <c r="AG23" s="2">
        <v>273.14999999999998</v>
      </c>
    </row>
    <row r="24" spans="1:79">
      <c r="D24" s="2">
        <v>273.14999999999998</v>
      </c>
      <c r="I24" s="2">
        <f>1800/30*PI()</f>
        <v>188.49555921538757</v>
      </c>
      <c r="AR24" s="2">
        <f>AR15/AZ15</f>
        <v>3.8396385307401563E-6</v>
      </c>
    </row>
  </sheetData>
  <sortState ref="A3:BY22">
    <sortCondition ref="R3:R22"/>
    <sortCondition ref="T3:T22"/>
  </sortState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4"/>
  <sheetViews>
    <sheetView zoomScaleNormal="100" workbookViewId="0">
      <pane xSplit="1" ySplit="2" topLeftCell="BT3" activePane="bottomRight" state="frozen"/>
      <selection pane="topRight" activeCell="B1" sqref="B1"/>
      <selection pane="bottomLeft" activeCell="A3" sqref="A3"/>
      <selection pane="bottomRight" activeCell="BZ4" sqref="BZ4"/>
    </sheetView>
  </sheetViews>
  <sheetFormatPr defaultColWidth="9.109375" defaultRowHeight="13.8"/>
  <cols>
    <col min="1" max="43" width="9.109375" style="2"/>
    <col min="44" max="44" width="11.77734375" style="2" bestFit="1" customWidth="1"/>
    <col min="45" max="71" width="9.109375" style="2"/>
    <col min="72" max="72" width="12.5546875" style="2" bestFit="1" customWidth="1"/>
    <col min="73" max="16384" width="9.109375" style="2"/>
  </cols>
  <sheetData>
    <row r="1" spans="1:79">
      <c r="B1" s="2">
        <v>1</v>
      </c>
      <c r="C1" s="2">
        <v>2</v>
      </c>
      <c r="D1" s="2">
        <v>3</v>
      </c>
      <c r="E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O1" s="2">
        <v>36</v>
      </c>
      <c r="BA1" s="2" t="s">
        <v>209</v>
      </c>
      <c r="BB1" s="2" t="s">
        <v>78</v>
      </c>
      <c r="BC1" s="2">
        <f>PI()*0.127^2/4*0.14</f>
        <v>1.7734761768412423E-3</v>
      </c>
      <c r="BD1" s="2" t="s">
        <v>286</v>
      </c>
      <c r="BE1" s="2">
        <f>0.0017576341989371+7.27848199546045E-07</f>
        <v>1.758362047136646E-3</v>
      </c>
      <c r="BF1" s="2" t="s">
        <v>287</v>
      </c>
      <c r="BG1" s="2">
        <f>BC1/(18-1)</f>
        <v>1.0432212804948484E-4</v>
      </c>
      <c r="BH1" s="2">
        <f>60*(BG1/BE1)^(1.4)</f>
        <v>1.1500762664078525</v>
      </c>
      <c r="BI1" s="2">
        <f>BC1+BG1</f>
        <v>1.8777983048907272E-3</v>
      </c>
      <c r="BT1" s="31">
        <v>100000</v>
      </c>
    </row>
    <row r="2" spans="1:79">
      <c r="B2" s="2" t="s">
        <v>160</v>
      </c>
      <c r="C2" s="2" t="s">
        <v>162</v>
      </c>
      <c r="D2" s="2" t="s">
        <v>165</v>
      </c>
      <c r="E2" s="2" t="s">
        <v>166</v>
      </c>
      <c r="F2" s="2" t="s">
        <v>199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167</v>
      </c>
      <c r="L2" s="2" t="s">
        <v>168</v>
      </c>
      <c r="M2" s="2" t="s">
        <v>169</v>
      </c>
      <c r="N2" s="2" t="s">
        <v>186</v>
      </c>
      <c r="O2" s="2" t="s">
        <v>170</v>
      </c>
      <c r="P2" s="2" t="s">
        <v>171</v>
      </c>
      <c r="R2" s="2" t="s">
        <v>76</v>
      </c>
      <c r="T2" s="2" t="s">
        <v>172</v>
      </c>
      <c r="U2" s="2" t="s">
        <v>173</v>
      </c>
      <c r="V2" s="2" t="s">
        <v>174</v>
      </c>
      <c r="W2" s="2" t="s">
        <v>175</v>
      </c>
      <c r="X2" s="2" t="s">
        <v>176</v>
      </c>
      <c r="Y2" s="2" t="s">
        <v>177</v>
      </c>
      <c r="Z2" s="2" t="s">
        <v>179</v>
      </c>
      <c r="AA2" s="2" t="s">
        <v>178</v>
      </c>
      <c r="AB2" s="2" t="s">
        <v>180</v>
      </c>
      <c r="AC2" s="2" t="s">
        <v>181</v>
      </c>
      <c r="AD2" s="2" t="s">
        <v>182</v>
      </c>
      <c r="AG2" s="2" t="s">
        <v>185</v>
      </c>
      <c r="AH2" s="2" t="s">
        <v>183</v>
      </c>
      <c r="AI2" s="2" t="s">
        <v>184</v>
      </c>
      <c r="AJ2" s="2" t="s">
        <v>187</v>
      </c>
      <c r="AK2" s="2" t="s">
        <v>188</v>
      </c>
      <c r="AL2" s="2" t="s">
        <v>189</v>
      </c>
      <c r="AM2" s="2" t="s">
        <v>284</v>
      </c>
      <c r="AN2" s="2" t="s">
        <v>285</v>
      </c>
      <c r="AO2" s="2" t="s">
        <v>190</v>
      </c>
      <c r="AP2" s="2" t="s">
        <v>193</v>
      </c>
      <c r="AQ2" s="2" t="s">
        <v>191</v>
      </c>
      <c r="AR2" s="2" t="s">
        <v>224</v>
      </c>
      <c r="AS2" s="2" t="s">
        <v>212</v>
      </c>
      <c r="AT2" s="2" t="s">
        <v>192</v>
      </c>
      <c r="AU2" s="2" t="s">
        <v>194</v>
      </c>
      <c r="AV2" s="2" t="s">
        <v>195</v>
      </c>
      <c r="AW2" s="2" t="s">
        <v>197</v>
      </c>
      <c r="AX2" s="2" t="s">
        <v>198</v>
      </c>
      <c r="AY2" s="2" t="s">
        <v>208</v>
      </c>
      <c r="AZ2" s="2" t="s">
        <v>208</v>
      </c>
      <c r="BA2" s="2" t="s">
        <v>210</v>
      </c>
      <c r="BB2" s="2" t="s">
        <v>227</v>
      </c>
      <c r="BC2" s="2" t="s">
        <v>42</v>
      </c>
      <c r="BD2" s="2" t="s">
        <v>228</v>
      </c>
      <c r="BE2" s="2" t="s">
        <v>217</v>
      </c>
      <c r="BF2" s="2" t="s">
        <v>218</v>
      </c>
      <c r="BG2" s="2" t="s">
        <v>76</v>
      </c>
      <c r="BH2" s="2" t="s">
        <v>216</v>
      </c>
      <c r="BI2" s="2" t="s">
        <v>215</v>
      </c>
      <c r="BJ2" s="2" t="s">
        <v>225</v>
      </c>
      <c r="BK2" s="2" t="s">
        <v>220</v>
      </c>
      <c r="BL2" s="2" t="s">
        <v>195</v>
      </c>
      <c r="BM2" s="2" t="s">
        <v>213</v>
      </c>
      <c r="BN2" s="2" t="s">
        <v>214</v>
      </c>
      <c r="BO2" s="2" t="s">
        <v>223</v>
      </c>
      <c r="BP2" s="2" t="s">
        <v>199</v>
      </c>
      <c r="BQ2" s="2" t="s">
        <v>221</v>
      </c>
      <c r="BR2" s="2" t="s">
        <v>222</v>
      </c>
      <c r="BS2" s="2" t="s">
        <v>211</v>
      </c>
      <c r="BT2" s="2" t="s">
        <v>194</v>
      </c>
      <c r="BU2" s="2" t="s">
        <v>219</v>
      </c>
      <c r="BV2" s="2" t="s">
        <v>212</v>
      </c>
      <c r="BW2" s="2" t="s">
        <v>226</v>
      </c>
      <c r="BX2" s="2" t="s">
        <v>272</v>
      </c>
      <c r="BY2" s="2" t="s">
        <v>273</v>
      </c>
    </row>
    <row r="3" spans="1:79" ht="14.4">
      <c r="A3" s="2">
        <v>1</v>
      </c>
      <c r="B3" s="28">
        <v>0.42725115740740799</v>
      </c>
      <c r="C3" s="28">
        <v>33.292933796008597</v>
      </c>
      <c r="D3" s="28">
        <v>681.811660055071</v>
      </c>
      <c r="E3" s="28">
        <v>649.37919231185992</v>
      </c>
      <c r="F3" s="28">
        <f t="shared" ref="F3:F22" si="0">(AVERAGE(D3:E3))</f>
        <v>665.59542618346541</v>
      </c>
      <c r="G3" s="28">
        <v>302.41238834691165</v>
      </c>
      <c r="H3" s="28">
        <v>303.54037595408607</v>
      </c>
      <c r="I3" s="28">
        <v>304.00323939535178</v>
      </c>
      <c r="J3" s="28">
        <v>659.69227183895396</v>
      </c>
      <c r="K3" s="28">
        <v>310.73814663319439</v>
      </c>
      <c r="L3" s="28">
        <v>301.14845027194639</v>
      </c>
      <c r="M3" s="28">
        <v>302.15692505930281</v>
      </c>
      <c r="N3" s="28">
        <v>311.43989885922696</v>
      </c>
      <c r="O3" s="28">
        <v>354.61263813047867</v>
      </c>
      <c r="P3" s="28">
        <v>20.682090443476099</v>
      </c>
      <c r="Q3" s="28">
        <v>1.0871701228369299</v>
      </c>
      <c r="R3" s="28">
        <v>798.91023827144102</v>
      </c>
      <c r="S3" s="28">
        <f t="shared" ref="S3:S22" si="1">R3*PI()/30</f>
        <v>83.661684514374343</v>
      </c>
      <c r="T3" s="28">
        <v>548.65643980112395</v>
      </c>
      <c r="U3" s="28">
        <v>3.2591800315776198</v>
      </c>
      <c r="V3" s="28">
        <v>9.4654934255399795E-2</v>
      </c>
      <c r="W3" s="28">
        <v>-1.1781463306808099E-3</v>
      </c>
      <c r="X3" s="28">
        <v>2.5207128141972999</v>
      </c>
      <c r="Y3" s="28">
        <v>17.122901585828</v>
      </c>
      <c r="Z3" s="28">
        <v>1347.1905036406499</v>
      </c>
      <c r="AA3" s="28">
        <v>-4.6989438297334797E-2</v>
      </c>
      <c r="AB3" s="28">
        <v>6.8330919196033797</v>
      </c>
      <c r="AC3" s="28">
        <v>10.674684968864501</v>
      </c>
      <c r="AD3" s="28">
        <v>117.198384171277</v>
      </c>
      <c r="AE3" s="28">
        <v>-250.03816323184299</v>
      </c>
      <c r="AF3" s="28">
        <v>-20.4224751576355</v>
      </c>
      <c r="AG3" s="28">
        <v>300.5</v>
      </c>
      <c r="AH3" s="28">
        <v>992.05</v>
      </c>
      <c r="AI3" s="28">
        <v>17.7</v>
      </c>
      <c r="AJ3" s="28">
        <v>217.782691359193</v>
      </c>
      <c r="AK3" s="28">
        <v>26.080648202178399</v>
      </c>
      <c r="AL3" s="28">
        <v>0.154902739869792</v>
      </c>
      <c r="AM3" s="28">
        <f t="shared" ref="AM3:AM22" si="2">AL3/(R3/60/2)/6</f>
        <v>3.8778509136382249E-3</v>
      </c>
      <c r="AN3" s="28">
        <f t="shared" ref="AN3:AN22" si="3">AM3*288*AG3/$BG$1/100000</f>
        <v>32.170042515880581</v>
      </c>
      <c r="AO3" s="28">
        <v>0.15767956125669599</v>
      </c>
      <c r="AP3" s="28">
        <v>0.15983830835075799</v>
      </c>
      <c r="AQ3" s="28">
        <v>9996.5569928548703</v>
      </c>
      <c r="AR3" s="28">
        <f t="shared" ref="AR3:AR22" si="4">AQ3/3600/1000</f>
        <v>2.7768213869041303E-3</v>
      </c>
      <c r="AS3" s="28">
        <f t="shared" ref="AS3:AS22" si="5">AQ3/3600/1000/AL3/0.06</f>
        <v>0.29877041869823912</v>
      </c>
      <c r="AT3" s="28">
        <v>6.9515228467022502E-2</v>
      </c>
      <c r="AU3" s="28">
        <v>76.517399999999995</v>
      </c>
      <c r="AV3" s="29">
        <v>6.47938424784844</v>
      </c>
      <c r="AW3" s="28">
        <f>V3+$AH3/1000</f>
        <v>1.0867049342553998</v>
      </c>
      <c r="AX3" s="28">
        <f>AW3*0.9+0.03</f>
        <v>1.0080344408298598</v>
      </c>
      <c r="AY3" s="28">
        <f t="shared" ref="AY3:AY22" si="6">P3/30*PI()*R3</f>
        <v>1730.2985257798539</v>
      </c>
      <c r="AZ3" s="28">
        <f t="shared" ref="AZ3:AZ22" si="7">R3*Q3</f>
        <v>868.55134187724354</v>
      </c>
      <c r="BA3" s="28">
        <v>358.4</v>
      </c>
      <c r="BB3" s="32">
        <v>550</v>
      </c>
      <c r="BC3" s="32">
        <v>500</v>
      </c>
      <c r="BD3" s="32">
        <v>530</v>
      </c>
      <c r="BE3" s="28">
        <v>45902.8715923907</v>
      </c>
      <c r="BF3" s="28">
        <v>51919.948741276901</v>
      </c>
      <c r="BG3" s="28">
        <v>798.93372822213496</v>
      </c>
      <c r="BH3" s="28">
        <v>548.65735422673799</v>
      </c>
      <c r="BI3" s="28">
        <v>620.55181433832399</v>
      </c>
      <c r="BJ3" s="28">
        <f t="shared" ref="BJ3:BJ22" si="8">BH3/BI3</f>
        <v>0.88414430761395013</v>
      </c>
      <c r="BK3" s="28">
        <f t="shared" ref="BK3:BK22" si="9">BL3/BJ3</f>
        <v>7.3914158731901258</v>
      </c>
      <c r="BL3" s="28">
        <f t="shared" ref="BL3:BL22" si="10">BE3*2/(BG3/60)/($BE$1*6)/100000</f>
        <v>6.5350782694884444</v>
      </c>
      <c r="BM3" s="28">
        <v>0.135332561470483</v>
      </c>
      <c r="BN3" s="28">
        <v>0.13750041992741599</v>
      </c>
      <c r="BO3" s="28">
        <v>3.07412057319609E-3</v>
      </c>
      <c r="BP3" s="28">
        <v>526.85534083049299</v>
      </c>
      <c r="BQ3" s="28">
        <v>188.222396159288</v>
      </c>
      <c r="BR3" s="28">
        <f t="shared" ref="BR3:BR22" si="11">BQ3*BI3/BH3</f>
        <v>212.8865101979176</v>
      </c>
      <c r="BS3" s="28">
        <v>6.5799865642929403E-2</v>
      </c>
      <c r="BT3" s="28">
        <f>12318723.2183522/100000</f>
        <v>123.187232183522</v>
      </c>
      <c r="BU3" s="28">
        <v>367.61848319357802</v>
      </c>
      <c r="BV3" s="28">
        <v>0.328536172116353</v>
      </c>
      <c r="BX3" s="2">
        <v>380</v>
      </c>
      <c r="BY3" s="2">
        <v>100</v>
      </c>
      <c r="BZ3" s="2">
        <v>380</v>
      </c>
      <c r="CA3" s="2">
        <v>100</v>
      </c>
    </row>
    <row r="4" spans="1:79" ht="14.4">
      <c r="A4" s="2">
        <v>2</v>
      </c>
      <c r="B4" s="32">
        <v>0.52051238425925905</v>
      </c>
      <c r="C4" s="32">
        <v>35.770772204879499</v>
      </c>
      <c r="D4" s="32">
        <v>870.80130345138593</v>
      </c>
      <c r="E4" s="32">
        <v>840.900596264157</v>
      </c>
      <c r="F4" s="28">
        <f t="shared" si="0"/>
        <v>855.85094985777141</v>
      </c>
      <c r="G4" s="32">
        <v>308.93777288831325</v>
      </c>
      <c r="H4" s="32">
        <v>310.01901634030116</v>
      </c>
      <c r="I4" s="32">
        <v>311.4848032753614</v>
      </c>
      <c r="J4" s="32">
        <v>867.00643711367502</v>
      </c>
      <c r="K4" s="32">
        <v>312.34723923650597</v>
      </c>
      <c r="L4" s="32">
        <v>302.03988653228919</v>
      </c>
      <c r="M4" s="32">
        <v>302.92983352692767</v>
      </c>
      <c r="N4" s="32">
        <v>318.70136062572288</v>
      </c>
      <c r="O4" s="32">
        <v>355.63139432740968</v>
      </c>
      <c r="P4" s="32">
        <v>12.8542333063253</v>
      </c>
      <c r="Q4" s="32">
        <v>1.5279430743373501</v>
      </c>
      <c r="R4" s="32">
        <v>799.42451451373495</v>
      </c>
      <c r="S4" s="32">
        <f t="shared" si="1"/>
        <v>83.715539396531227</v>
      </c>
      <c r="T4" s="32">
        <v>891.37240642012</v>
      </c>
      <c r="U4" s="32">
        <v>5.5207999892168704</v>
      </c>
      <c r="V4" s="32">
        <v>0.192552580783133</v>
      </c>
      <c r="W4" s="32">
        <v>1.51460221686747E-2</v>
      </c>
      <c r="X4" s="32">
        <v>2.8897873180722899</v>
      </c>
      <c r="Y4" s="32">
        <v>41.123814023373498</v>
      </c>
      <c r="Z4" s="32">
        <v>1580.6103919202999</v>
      </c>
      <c r="AA4" s="32">
        <v>-5.99455924096386E-2</v>
      </c>
      <c r="AB4" s="32">
        <v>12.1254568360843</v>
      </c>
      <c r="AC4" s="32">
        <v>4.33401010704819</v>
      </c>
      <c r="AD4" s="32">
        <v>3889.7705613006001</v>
      </c>
      <c r="AE4" s="32">
        <v>-250.00300944259001</v>
      </c>
      <c r="AF4" s="32">
        <v>-20.4221093537349</v>
      </c>
      <c r="AG4" s="32">
        <v>302.54999999999995</v>
      </c>
      <c r="AH4" s="32">
        <v>993.95</v>
      </c>
      <c r="AI4" s="32">
        <v>24.8</v>
      </c>
      <c r="AJ4" s="32">
        <v>226.92317085369399</v>
      </c>
      <c r="AK4" s="32">
        <v>20.092822099140999</v>
      </c>
      <c r="AL4" s="32">
        <v>0.16540304676033599</v>
      </c>
      <c r="AM4" s="28">
        <f t="shared" si="2"/>
        <v>4.1380529057442154E-3</v>
      </c>
      <c r="AN4" s="28">
        <f t="shared" si="3"/>
        <v>34.562826109072965</v>
      </c>
      <c r="AO4" s="32">
        <v>0.17010676835114899</v>
      </c>
      <c r="AP4" s="32">
        <v>0.17483447404344099</v>
      </c>
      <c r="AQ4" s="32">
        <v>16933.397726925999</v>
      </c>
      <c r="AR4" s="32">
        <f t="shared" si="4"/>
        <v>4.7037215908127773E-3</v>
      </c>
      <c r="AS4" s="32">
        <f t="shared" si="5"/>
        <v>0.4739656335380093</v>
      </c>
      <c r="AT4" s="32">
        <v>0.117677692025091</v>
      </c>
      <c r="AU4" s="32">
        <v>89.9071</v>
      </c>
      <c r="AV4" s="34">
        <v>10.5267047101804</v>
      </c>
      <c r="AW4" s="32">
        <f t="shared" ref="AW4:AW22" si="12">V4+AH4/1000</f>
        <v>1.1865025807831331</v>
      </c>
      <c r="AX4" s="32">
        <f t="shared" ref="AX4:AX22" si="13">AW4*0.9</f>
        <v>1.0678523227048198</v>
      </c>
      <c r="AY4" s="32">
        <f t="shared" si="6"/>
        <v>1076.0990747678793</v>
      </c>
      <c r="AZ4" s="32">
        <f t="shared" si="7"/>
        <v>1221.4751504067597</v>
      </c>
      <c r="BA4" s="28">
        <v>356</v>
      </c>
      <c r="BB4" s="28">
        <v>550</v>
      </c>
      <c r="BC4" s="28">
        <v>500</v>
      </c>
      <c r="BD4" s="28">
        <v>530</v>
      </c>
      <c r="BE4" s="32">
        <v>74625.158019254697</v>
      </c>
      <c r="BF4" s="32">
        <v>84240.989486829902</v>
      </c>
      <c r="BG4" s="32">
        <v>799.461326769994</v>
      </c>
      <c r="BH4" s="32">
        <v>891.37389202273505</v>
      </c>
      <c r="BI4" s="32">
        <v>1006.15835966602</v>
      </c>
      <c r="BJ4" s="32">
        <f t="shared" si="8"/>
        <v>0.8859180897911676</v>
      </c>
      <c r="BK4" s="28">
        <f t="shared" si="9"/>
        <v>11.984389858696888</v>
      </c>
      <c r="BL4" s="28">
        <f t="shared" si="10"/>
        <v>10.617187770929387</v>
      </c>
      <c r="BM4" s="32">
        <v>0.146077154837676</v>
      </c>
      <c r="BN4" s="32">
        <v>0.14942099205210099</v>
      </c>
      <c r="BO4" s="32">
        <v>5.0575508605264401E-3</v>
      </c>
      <c r="BP4" s="32">
        <v>591.47169762478302</v>
      </c>
      <c r="BQ4" s="32">
        <v>197.328433420165</v>
      </c>
      <c r="BR4" s="32">
        <f t="shared" si="11"/>
        <v>222.73891423379794</v>
      </c>
      <c r="BS4" s="32">
        <v>4.4929509407078596</v>
      </c>
      <c r="BT4" s="32">
        <f>15176951.2628621/100000</f>
        <v>151.76951262862099</v>
      </c>
      <c r="BU4" s="32">
        <v>368.25112926247499</v>
      </c>
      <c r="BV4" s="32">
        <v>0.50610757163522002</v>
      </c>
      <c r="BW4" s="32"/>
      <c r="BX4" s="2">
        <v>360</v>
      </c>
      <c r="BY4" s="2">
        <v>80</v>
      </c>
      <c r="BZ4" s="2">
        <v>360</v>
      </c>
      <c r="CA4" s="2">
        <v>80</v>
      </c>
    </row>
    <row r="5" spans="1:79" ht="14.4">
      <c r="A5" s="2">
        <v>20</v>
      </c>
      <c r="B5" s="32">
        <v>0.51637152777777795</v>
      </c>
      <c r="C5" s="32">
        <v>33.852034048780503</v>
      </c>
      <c r="D5" s="32">
        <v>935.98554668292695</v>
      </c>
      <c r="E5" s="32">
        <v>910.24578945121903</v>
      </c>
      <c r="F5" s="28">
        <f t="shared" si="0"/>
        <v>923.11566806707299</v>
      </c>
      <c r="G5" s="32">
        <v>306.37384997560969</v>
      </c>
      <c r="H5" s="32">
        <v>303.9197912804878</v>
      </c>
      <c r="I5" s="32">
        <v>320.3771888780488</v>
      </c>
      <c r="J5" s="32">
        <v>919.32134062195098</v>
      </c>
      <c r="K5" s="32">
        <v>312.81254239024389</v>
      </c>
      <c r="L5" s="32">
        <v>302.6917241585366</v>
      </c>
      <c r="M5" s="32">
        <v>304.47401335365851</v>
      </c>
      <c r="N5" s="32">
        <v>332.04313740243896</v>
      </c>
      <c r="O5" s="32">
        <v>356.62472718292679</v>
      </c>
      <c r="P5" s="32">
        <v>23.0282319512195</v>
      </c>
      <c r="Q5" s="32">
        <v>1.7906675000000001</v>
      </c>
      <c r="R5" s="32">
        <v>999.006887780488</v>
      </c>
      <c r="S5" s="32">
        <f t="shared" si="1"/>
        <v>104.61575665122614</v>
      </c>
      <c r="T5" s="32">
        <v>1222.3408789756099</v>
      </c>
      <c r="U5" s="32">
        <v>8.9887270121951293</v>
      </c>
      <c r="V5" s="32">
        <v>0.569747</v>
      </c>
      <c r="W5" s="32">
        <v>1.49097926829268E-2</v>
      </c>
      <c r="X5" s="32">
        <v>4.9457860975609798</v>
      </c>
      <c r="Y5" s="32">
        <v>59.335706207317102</v>
      </c>
      <c r="Z5" s="32">
        <v>1212.00254231707</v>
      </c>
      <c r="AA5" s="32">
        <v>-9.1598292682926793E-3</v>
      </c>
      <c r="AB5" s="32">
        <v>12.316390487804901</v>
      </c>
      <c r="AC5" s="32">
        <v>4.4713389268292696</v>
      </c>
      <c r="AD5" s="32">
        <v>2087.85046885366</v>
      </c>
      <c r="AE5" s="32">
        <v>-250.03364756097599</v>
      </c>
      <c r="AF5" s="32">
        <v>-20.423972695122</v>
      </c>
      <c r="AG5" s="32">
        <v>313.54999999999995</v>
      </c>
      <c r="AH5" s="32">
        <v>994.9</v>
      </c>
      <c r="AI5" s="32">
        <v>53.3</v>
      </c>
      <c r="AJ5" s="32">
        <v>215.60103924952699</v>
      </c>
      <c r="AK5" s="32">
        <v>11.6467794266444</v>
      </c>
      <c r="AL5" s="32">
        <v>0.214072480045818</v>
      </c>
      <c r="AM5" s="28">
        <f t="shared" si="2"/>
        <v>4.2857057877033616E-3</v>
      </c>
      <c r="AN5" s="28">
        <f t="shared" si="3"/>
        <v>37.097548291952727</v>
      </c>
      <c r="AO5" s="32">
        <v>0.221730875460208</v>
      </c>
      <c r="AP5" s="32">
        <v>0.226270160358507</v>
      </c>
      <c r="AQ5" s="32">
        <v>27570.2234918049</v>
      </c>
      <c r="AR5" s="32">
        <f t="shared" si="4"/>
        <v>7.6583954143902497E-3</v>
      </c>
      <c r="AS5" s="32">
        <f t="shared" si="5"/>
        <v>0.59624629726274025</v>
      </c>
      <c r="AT5" s="32">
        <v>0.15332017242453699</v>
      </c>
      <c r="AU5" s="32">
        <v>104.4314</v>
      </c>
      <c r="AV5" s="34">
        <v>14.4352925842019</v>
      </c>
      <c r="AW5" s="32">
        <f t="shared" si="12"/>
        <v>1.5646469999999999</v>
      </c>
      <c r="AX5" s="32">
        <f t="shared" si="13"/>
        <v>1.4081823</v>
      </c>
      <c r="AY5" s="32">
        <f t="shared" si="6"/>
        <v>2409.1159099167699</v>
      </c>
      <c r="AZ5" s="32">
        <f t="shared" si="7"/>
        <v>1788.8891662246672</v>
      </c>
      <c r="BA5" s="32">
        <v>358.4</v>
      </c>
      <c r="BB5" s="32">
        <v>550</v>
      </c>
      <c r="BC5" s="32">
        <v>500</v>
      </c>
      <c r="BD5" s="32">
        <v>530</v>
      </c>
      <c r="BE5" s="32">
        <v>127878.14029557</v>
      </c>
      <c r="BF5" s="32">
        <v>146185.61806869099</v>
      </c>
      <c r="BG5" s="32">
        <v>999.02270264028903</v>
      </c>
      <c r="BH5" s="32">
        <v>1222.34291623381</v>
      </c>
      <c r="BI5" s="32">
        <v>1397.31304299359</v>
      </c>
      <c r="BJ5" s="32">
        <f t="shared" si="8"/>
        <v>0.87478101085714788</v>
      </c>
      <c r="BK5" s="28">
        <f t="shared" si="9"/>
        <v>16.643447923534644</v>
      </c>
      <c r="BL5" s="28">
        <f t="shared" si="10"/>
        <v>14.559372198697936</v>
      </c>
      <c r="BM5" s="32">
        <v>0.192921133257898</v>
      </c>
      <c r="BN5" s="32">
        <v>0.200687747921132</v>
      </c>
      <c r="BO5" s="32">
        <v>8.5416513777718701E-3</v>
      </c>
      <c r="BP5" s="32">
        <v>677.58714232671605</v>
      </c>
      <c r="BQ5" s="32">
        <v>196.60162026510801</v>
      </c>
      <c r="BR5" s="32">
        <f t="shared" si="11"/>
        <v>224.74381339447379</v>
      </c>
      <c r="BS5" s="32">
        <v>19.3579261092368</v>
      </c>
      <c r="BT5" s="32">
        <f>15381000.384595/100000</f>
        <v>153.81000384594998</v>
      </c>
      <c r="BU5" s="32">
        <v>372.36161152226299</v>
      </c>
      <c r="BV5" s="32">
        <v>0.64889143163767504</v>
      </c>
      <c r="BW5" s="32"/>
      <c r="BZ5" s="32">
        <v>370</v>
      </c>
      <c r="CA5" s="2">
        <v>80</v>
      </c>
    </row>
    <row r="6" spans="1:79" ht="14.4">
      <c r="A6" s="2">
        <v>11</v>
      </c>
      <c r="B6" s="32">
        <v>0.44561921296296297</v>
      </c>
      <c r="C6" s="32">
        <v>34.974962920454502</v>
      </c>
      <c r="D6" s="32">
        <v>767.87953239772696</v>
      </c>
      <c r="E6" s="32">
        <v>728.31168253409101</v>
      </c>
      <c r="F6" s="28">
        <f t="shared" si="0"/>
        <v>748.09560746590898</v>
      </c>
      <c r="G6" s="32">
        <v>305.3589337272727</v>
      </c>
      <c r="H6" s="32">
        <v>305.81619738636357</v>
      </c>
      <c r="I6" s="32">
        <v>308.0322266818182</v>
      </c>
      <c r="J6" s="32">
        <v>739.3147845340909</v>
      </c>
      <c r="K6" s="32">
        <v>311.78983281818176</v>
      </c>
      <c r="L6" s="32">
        <v>301.43567989772725</v>
      </c>
      <c r="M6" s="32">
        <v>302.98101582954536</v>
      </c>
      <c r="N6" s="32">
        <v>328.61819980681815</v>
      </c>
      <c r="O6" s="32">
        <v>355.19346771590909</v>
      </c>
      <c r="P6" s="32">
        <v>15.5083847272727</v>
      </c>
      <c r="Q6" s="32">
        <v>1.19496971590909</v>
      </c>
      <c r="R6" s="32">
        <v>999.04963235227297</v>
      </c>
      <c r="S6" s="32">
        <f t="shared" si="1"/>
        <v>104.62023285231615</v>
      </c>
      <c r="T6" s="32">
        <v>724.17011857954606</v>
      </c>
      <c r="U6" s="32">
        <v>5.2330098863636403</v>
      </c>
      <c r="V6" s="32">
        <v>0.24928693181818201</v>
      </c>
      <c r="W6" s="32">
        <v>5.0057272727272702E-3</v>
      </c>
      <c r="X6" s="32">
        <v>3.8826406136363598</v>
      </c>
      <c r="Y6" s="32">
        <v>27.202765488636398</v>
      </c>
      <c r="Z6" s="32">
        <v>1249.40598720455</v>
      </c>
      <c r="AA6" s="32">
        <v>-0.100595056818182</v>
      </c>
      <c r="AB6" s="32">
        <v>8.3299462159090893</v>
      </c>
      <c r="AC6" s="32">
        <v>9.1896636590909093</v>
      </c>
      <c r="AD6" s="32">
        <v>273.99655701136402</v>
      </c>
      <c r="AE6" s="32">
        <v>-250.05177731818199</v>
      </c>
      <c r="AF6" s="32">
        <v>-20.423993500000002</v>
      </c>
      <c r="AG6" s="32">
        <v>303.25</v>
      </c>
      <c r="AH6" s="32">
        <v>993.9</v>
      </c>
      <c r="AI6" s="32">
        <v>27.5</v>
      </c>
      <c r="AJ6" s="32">
        <v>211.85434127243801</v>
      </c>
      <c r="AK6" s="32">
        <v>18.022496701598499</v>
      </c>
      <c r="AL6" s="32">
        <v>0.19059387285307</v>
      </c>
      <c r="AM6" s="28">
        <f t="shared" si="2"/>
        <v>3.8155035882314419E-3</v>
      </c>
      <c r="AN6" s="28">
        <f t="shared" si="3"/>
        <v>31.942486950008764</v>
      </c>
      <c r="AO6" s="32">
        <v>0.19505239727625201</v>
      </c>
      <c r="AP6" s="32">
        <v>0.19796060074784899</v>
      </c>
      <c r="AQ6" s="32">
        <v>16050.687923454499</v>
      </c>
      <c r="AR6" s="32">
        <f t="shared" si="4"/>
        <v>4.4585244231818057E-3</v>
      </c>
      <c r="AS6" s="32">
        <f t="shared" si="5"/>
        <v>0.38988000649763022</v>
      </c>
      <c r="AT6" s="32">
        <v>8.9255313826284599E-2</v>
      </c>
      <c r="AU6" s="32">
        <v>81.675150000000002</v>
      </c>
      <c r="AV6" s="34">
        <v>8.5521213617535494</v>
      </c>
      <c r="AW6" s="32">
        <f t="shared" si="12"/>
        <v>1.2431869318181821</v>
      </c>
      <c r="AX6" s="32">
        <f t="shared" si="13"/>
        <v>1.118868238636364</v>
      </c>
      <c r="AY6" s="32">
        <f t="shared" si="6"/>
        <v>1622.4908213305732</v>
      </c>
      <c r="AZ6" s="32">
        <f t="shared" si="7"/>
        <v>1193.8340553510764</v>
      </c>
      <c r="BA6" s="32">
        <v>358.5</v>
      </c>
      <c r="BB6" s="32">
        <v>550</v>
      </c>
      <c r="BC6" s="32">
        <v>500</v>
      </c>
      <c r="BD6" s="32">
        <v>530</v>
      </c>
      <c r="BE6" s="32">
        <v>75762.408658961795</v>
      </c>
      <c r="BF6" s="32">
        <v>86773.739672716503</v>
      </c>
      <c r="BG6" s="32">
        <v>999.043859633377</v>
      </c>
      <c r="BH6" s="32">
        <v>724.17132555096396</v>
      </c>
      <c r="BI6" s="32">
        <v>829.41123364289001</v>
      </c>
      <c r="BJ6" s="32">
        <f t="shared" si="8"/>
        <v>0.87311492318509154</v>
      </c>
      <c r="BK6" s="28">
        <f t="shared" si="9"/>
        <v>9.879148229182741</v>
      </c>
      <c r="BL6" s="28">
        <f t="shared" si="10"/>
        <v>8.6256317472570228</v>
      </c>
      <c r="BM6" s="32">
        <v>0.16920018547768401</v>
      </c>
      <c r="BN6" s="32">
        <v>0.17354195620859</v>
      </c>
      <c r="BO6" s="32">
        <v>4.9793570168067697E-3</v>
      </c>
      <c r="BP6" s="32">
        <v>582.94160966392405</v>
      </c>
      <c r="BQ6" s="32">
        <v>192.308262395718</v>
      </c>
      <c r="BR6" s="32">
        <f t="shared" si="11"/>
        <v>220.25538367181315</v>
      </c>
      <c r="BS6" s="32">
        <v>0.63135160875463603</v>
      </c>
      <c r="BT6" s="32">
        <f>12253785.8529543/100000</f>
        <v>122.537858529543</v>
      </c>
      <c r="BU6" s="32">
        <v>370.04430969921401</v>
      </c>
      <c r="BV6" s="32">
        <v>0.42521802560852301</v>
      </c>
      <c r="BW6" s="32">
        <v>1.0357520634508599</v>
      </c>
      <c r="BX6" s="2">
        <v>360</v>
      </c>
      <c r="BY6" s="2">
        <v>80</v>
      </c>
      <c r="BZ6" s="2">
        <v>370</v>
      </c>
      <c r="CA6" s="2">
        <v>80</v>
      </c>
    </row>
    <row r="7" spans="1:79" ht="14.4">
      <c r="A7" s="2">
        <v>8</v>
      </c>
      <c r="B7" s="32">
        <v>0.56127032271241795</v>
      </c>
      <c r="C7" s="32">
        <v>34.772687200490203</v>
      </c>
      <c r="D7" s="32">
        <v>899.61060271253496</v>
      </c>
      <c r="E7" s="32">
        <v>871.35114235511196</v>
      </c>
      <c r="F7" s="28">
        <f t="shared" si="0"/>
        <v>885.48087253382346</v>
      </c>
      <c r="G7" s="32">
        <v>308.80471102443977</v>
      </c>
      <c r="H7" s="32">
        <v>308.90480798585429</v>
      </c>
      <c r="I7" s="32">
        <v>316.11996097850135</v>
      </c>
      <c r="J7" s="32">
        <v>886.46793240196098</v>
      </c>
      <c r="K7" s="32">
        <v>312.86479604285705</v>
      </c>
      <c r="L7" s="32">
        <v>302.54790734572828</v>
      </c>
      <c r="M7" s="32">
        <v>303.99527732219889</v>
      </c>
      <c r="N7" s="32">
        <v>338.16424764845937</v>
      </c>
      <c r="O7" s="32">
        <v>355.99880968844536</v>
      </c>
      <c r="P7" s="32">
        <v>16.8820399122549</v>
      </c>
      <c r="Q7" s="32">
        <v>1.8307817836834701</v>
      </c>
      <c r="R7" s="32">
        <v>999.10263269117695</v>
      </c>
      <c r="S7" s="32">
        <f t="shared" si="1"/>
        <v>104.62578303482744</v>
      </c>
      <c r="T7" s="32">
        <v>1054.5157228691901</v>
      </c>
      <c r="U7" s="32">
        <v>7.7868528828431396</v>
      </c>
      <c r="V7" s="32">
        <v>0.42687700175069998</v>
      </c>
      <c r="W7" s="32">
        <v>1.45809731792717E-2</v>
      </c>
      <c r="X7" s="32">
        <v>4.6093887869047601</v>
      </c>
      <c r="Y7" s="32">
        <v>57.284969582563001</v>
      </c>
      <c r="Z7" s="32">
        <v>1296.35037098473</v>
      </c>
      <c r="AA7" s="32">
        <v>-3.7311792787114897E-2</v>
      </c>
      <c r="AB7" s="32">
        <v>11.6965657064426</v>
      </c>
      <c r="AC7" s="32">
        <v>5.3189122247899201</v>
      </c>
      <c r="AD7" s="32">
        <v>1982.68467611807</v>
      </c>
      <c r="AE7" s="32">
        <v>-250.02306405994401</v>
      </c>
      <c r="AF7" s="32">
        <v>-20.423399741596601</v>
      </c>
      <c r="AG7" s="32">
        <v>313.5</v>
      </c>
      <c r="AH7" s="32">
        <v>993.8</v>
      </c>
      <c r="AI7" s="32">
        <v>45.75</v>
      </c>
      <c r="AJ7" s="32">
        <v>216.47726101549799</v>
      </c>
      <c r="AK7" s="32">
        <v>13.9563834844504</v>
      </c>
      <c r="AL7" s="32">
        <v>0.20695536341332299</v>
      </c>
      <c r="AM7" s="28">
        <f t="shared" si="2"/>
        <v>4.1428249039013989E-3</v>
      </c>
      <c r="AN7" s="28">
        <f t="shared" si="3"/>
        <v>35.855036885944415</v>
      </c>
      <c r="AO7" s="32">
        <v>0.213589762069505</v>
      </c>
      <c r="AP7" s="32">
        <v>0.21818345985047799</v>
      </c>
      <c r="AQ7" s="32">
        <v>23883.835162256499</v>
      </c>
      <c r="AR7" s="32">
        <f t="shared" si="4"/>
        <v>6.6343986561823607E-3</v>
      </c>
      <c r="AS7" s="32">
        <f t="shared" si="5"/>
        <v>0.53428579531683884</v>
      </c>
      <c r="AT7" s="32">
        <v>0.13280714991836201</v>
      </c>
      <c r="AU7" s="32">
        <v>95.019499999999994</v>
      </c>
      <c r="AV7" s="34">
        <v>12.453353443447799</v>
      </c>
      <c r="AW7" s="32">
        <f t="shared" si="12"/>
        <v>1.4206770017507</v>
      </c>
      <c r="AX7" s="32">
        <f t="shared" si="13"/>
        <v>1.2786093015756301</v>
      </c>
      <c r="AY7" s="32">
        <f t="shared" si="6"/>
        <v>1766.2966450448782</v>
      </c>
      <c r="AZ7" s="32">
        <f t="shared" si="7"/>
        <v>1829.1388999612038</v>
      </c>
      <c r="BA7" s="32">
        <v>358.5</v>
      </c>
      <c r="BB7" s="32">
        <v>550</v>
      </c>
      <c r="BC7" s="32">
        <v>500</v>
      </c>
      <c r="BD7" s="32">
        <v>530</v>
      </c>
      <c r="BE7" s="32">
        <v>110331.277746201</v>
      </c>
      <c r="BF7" s="32">
        <v>126072.83036687299</v>
      </c>
      <c r="BG7" s="32">
        <v>999.11843026831798</v>
      </c>
      <c r="BH7" s="32">
        <v>1054.51748052733</v>
      </c>
      <c r="BI7" s="32">
        <v>1204.9472906393901</v>
      </c>
      <c r="BJ7" s="32">
        <f t="shared" si="8"/>
        <v>0.87515652238013131</v>
      </c>
      <c r="BK7" s="28">
        <f t="shared" si="9"/>
        <v>14.35217225150973</v>
      </c>
      <c r="BL7" s="28">
        <f t="shared" si="10"/>
        <v>12.560397156231874</v>
      </c>
      <c r="BM7" s="32">
        <v>0.186026266603736</v>
      </c>
      <c r="BN7" s="32">
        <v>0.19073577261987701</v>
      </c>
      <c r="BO7" s="32">
        <v>7.3161716122217601E-3</v>
      </c>
      <c r="BP7" s="32">
        <v>646.22166383193303</v>
      </c>
      <c r="BQ7" s="32">
        <v>195.00357535028499</v>
      </c>
      <c r="BR7" s="32">
        <f t="shared" si="11"/>
        <v>222.82137007896699</v>
      </c>
      <c r="BS7" s="32">
        <v>42.122999999999998</v>
      </c>
      <c r="BT7" s="32">
        <f>14497549.2655092/100000</f>
        <v>144.97549265509198</v>
      </c>
      <c r="BU7" s="32">
        <v>371.62219521429603</v>
      </c>
      <c r="BV7" s="32">
        <v>0.57429869086380103</v>
      </c>
      <c r="BW7" s="32">
        <v>1.0348494738663301</v>
      </c>
      <c r="BX7" s="2">
        <v>360</v>
      </c>
      <c r="BY7" s="2">
        <v>80</v>
      </c>
      <c r="BZ7" s="2">
        <v>370</v>
      </c>
      <c r="CA7" s="2">
        <v>80</v>
      </c>
    </row>
    <row r="8" spans="1:79" ht="14.4">
      <c r="A8" s="2">
        <v>12</v>
      </c>
      <c r="B8" s="32">
        <v>0.47635995370370399</v>
      </c>
      <c r="C8" s="32">
        <v>36.119086744186099</v>
      </c>
      <c r="D8" s="32">
        <v>705.22922854651199</v>
      </c>
      <c r="E8" s="32">
        <v>668.42542927906993</v>
      </c>
      <c r="F8" s="28">
        <f t="shared" si="0"/>
        <v>686.82732891279102</v>
      </c>
      <c r="G8" s="32">
        <v>307.38346077906976</v>
      </c>
      <c r="H8" s="32">
        <v>307.91064822093017</v>
      </c>
      <c r="I8" s="32">
        <v>307.57308258139528</v>
      </c>
      <c r="J8" s="32">
        <v>660.61401480232598</v>
      </c>
      <c r="K8" s="32">
        <v>313.21551712790699</v>
      </c>
      <c r="L8" s="32">
        <v>301.88756146511628</v>
      </c>
      <c r="M8" s="32">
        <v>303.73687069767436</v>
      </c>
      <c r="N8" s="32">
        <v>323.19650438372088</v>
      </c>
      <c r="O8" s="32">
        <v>355.1223498372093</v>
      </c>
      <c r="P8" s="32">
        <v>13.7859122325581</v>
      </c>
      <c r="Q8" s="32">
        <v>1.40423594186047</v>
      </c>
      <c r="R8" s="32">
        <v>1198.6672809069801</v>
      </c>
      <c r="S8" s="32">
        <f t="shared" si="1"/>
        <v>125.52414412652737</v>
      </c>
      <c r="T8" s="32">
        <v>553.98948739534899</v>
      </c>
      <c r="U8" s="32">
        <v>4.8749744767441898</v>
      </c>
      <c r="V8" s="32">
        <v>0.22211883720930201</v>
      </c>
      <c r="W8" s="32">
        <v>7.9326860465116205E-3</v>
      </c>
      <c r="X8" s="32">
        <v>4.6293127093023303</v>
      </c>
      <c r="Y8" s="32">
        <v>27.2458571976744</v>
      </c>
      <c r="Z8" s="32">
        <v>1101.7850733953501</v>
      </c>
      <c r="AA8" s="32">
        <v>-7.6380616279069793E-2</v>
      </c>
      <c r="AB8" s="32">
        <v>6.8000156162790697</v>
      </c>
      <c r="AC8" s="32">
        <v>11.5780690116279</v>
      </c>
      <c r="AD8" s="32">
        <v>137.118560674419</v>
      </c>
      <c r="AE8" s="32">
        <v>-250.07180887209299</v>
      </c>
      <c r="AF8" s="32">
        <v>-20.425549825581399</v>
      </c>
      <c r="AG8" s="32">
        <v>304.45</v>
      </c>
      <c r="AH8" s="32">
        <v>993.7</v>
      </c>
      <c r="AI8" s="32">
        <v>31.4</v>
      </c>
      <c r="AJ8" s="32">
        <v>215.02336268526301</v>
      </c>
      <c r="AK8" s="32">
        <v>18.840311038509999</v>
      </c>
      <c r="AL8" s="32">
        <v>0.20738426943014299</v>
      </c>
      <c r="AM8" s="28">
        <f t="shared" si="2"/>
        <v>3.4602474386924817E-3</v>
      </c>
      <c r="AN8" s="28">
        <f t="shared" si="3"/>
        <v>29.08299873604399</v>
      </c>
      <c r="AO8" s="32">
        <v>0.21153774768432901</v>
      </c>
      <c r="AP8" s="32">
        <v>0.21396302498009701</v>
      </c>
      <c r="AQ8" s="32">
        <v>14952.521715069801</v>
      </c>
      <c r="AR8" s="32">
        <f t="shared" si="4"/>
        <v>4.1534782541860563E-3</v>
      </c>
      <c r="AS8" s="32">
        <f t="shared" si="5"/>
        <v>0.33379888339643715</v>
      </c>
      <c r="AT8" s="32">
        <v>6.9301603878655998E-2</v>
      </c>
      <c r="AU8" s="32">
        <v>76.446550000000002</v>
      </c>
      <c r="AV8" s="34">
        <v>6.5423651263515197</v>
      </c>
      <c r="AW8" s="32">
        <f t="shared" si="12"/>
        <v>1.215818837209302</v>
      </c>
      <c r="AX8" s="32">
        <f t="shared" si="13"/>
        <v>1.0942369534883718</v>
      </c>
      <c r="AY8" s="32">
        <f t="shared" si="6"/>
        <v>1730.4648339952798</v>
      </c>
      <c r="AZ8" s="32">
        <f t="shared" si="7"/>
        <v>1683.2116781817417</v>
      </c>
      <c r="BA8" s="32">
        <v>358.3</v>
      </c>
      <c r="BB8" s="32">
        <v>550</v>
      </c>
      <c r="BC8" s="32">
        <v>500</v>
      </c>
      <c r="BD8" s="32">
        <v>530</v>
      </c>
      <c r="BE8" s="32">
        <v>69539.634247416907</v>
      </c>
      <c r="BF8" s="32">
        <v>79906.211677616098</v>
      </c>
      <c r="BG8" s="32">
        <v>1198.6772438468099</v>
      </c>
      <c r="BH8" s="32">
        <v>553.99041071481599</v>
      </c>
      <c r="BI8" s="32">
        <v>636.57774976106202</v>
      </c>
      <c r="BJ8" s="32">
        <f t="shared" si="8"/>
        <v>0.87026354741860679</v>
      </c>
      <c r="BK8" s="28">
        <f t="shared" si="9"/>
        <v>7.5823013894873403</v>
      </c>
      <c r="BL8" s="28">
        <f t="shared" si="10"/>
        <v>6.5986005048122838</v>
      </c>
      <c r="BM8" s="32">
        <v>0.18533531908723899</v>
      </c>
      <c r="BN8" s="32">
        <v>0.18954540430365299</v>
      </c>
      <c r="BO8" s="32">
        <v>4.4805439512115904E-3</v>
      </c>
      <c r="BP8" s="32">
        <v>558.78715854153802</v>
      </c>
      <c r="BQ8" s="32">
        <v>189.17203854037501</v>
      </c>
      <c r="BR8" s="32">
        <f t="shared" si="11"/>
        <v>217.37327629256782</v>
      </c>
      <c r="BS8" s="32">
        <v>8.0798844798877403E-2</v>
      </c>
      <c r="BT8" s="32">
        <f>10497758.7089603/100000</f>
        <v>104.97758708960301</v>
      </c>
      <c r="BU8" s="32">
        <v>369.25241749542101</v>
      </c>
      <c r="BV8" s="32">
        <v>0.348317938218204</v>
      </c>
      <c r="BW8" s="32">
        <v>1.0471020207432999</v>
      </c>
      <c r="BX8" s="2">
        <v>360</v>
      </c>
      <c r="BY8" s="2">
        <v>80</v>
      </c>
      <c r="BZ8" s="2">
        <v>360</v>
      </c>
      <c r="CA8" s="2">
        <v>80</v>
      </c>
    </row>
    <row r="9" spans="1:79" ht="14.4">
      <c r="A9" s="2">
        <v>15</v>
      </c>
      <c r="B9" s="32">
        <v>0.64727148261065903</v>
      </c>
      <c r="C9" s="32">
        <v>36.679921146341499</v>
      </c>
      <c r="D9" s="32">
        <v>954.77000256097597</v>
      </c>
      <c r="E9" s="32">
        <v>924.34400023170701</v>
      </c>
      <c r="F9" s="28">
        <f t="shared" si="0"/>
        <v>939.55700139634155</v>
      </c>
      <c r="G9" s="32">
        <v>315.20561239024386</v>
      </c>
      <c r="H9" s="32">
        <v>316.33328618292677</v>
      </c>
      <c r="I9" s="32">
        <v>323.69287515853659</v>
      </c>
      <c r="J9" s="32">
        <v>902.33854132926797</v>
      </c>
      <c r="K9" s="32">
        <v>312.10614573170727</v>
      </c>
      <c r="L9" s="32">
        <v>302.30795334146336</v>
      </c>
      <c r="M9" s="32">
        <v>305.4627206707317</v>
      </c>
      <c r="N9" s="32">
        <v>375.49306598780498</v>
      </c>
      <c r="O9" s="32">
        <v>356.48130603658535</v>
      </c>
      <c r="P9" s="32">
        <v>12.8245776219512</v>
      </c>
      <c r="Q9" s="32">
        <v>1.9508425365853701</v>
      </c>
      <c r="R9" s="32">
        <v>1198.8645007073201</v>
      </c>
      <c r="S9" s="32">
        <f t="shared" si="1"/>
        <v>125.54479693572374</v>
      </c>
      <c r="T9" s="32">
        <v>1394.6764323658499</v>
      </c>
      <c r="U9" s="32">
        <v>11.9203419634146</v>
      </c>
      <c r="V9" s="32">
        <v>0.87375320731707296</v>
      </c>
      <c r="W9" s="32">
        <v>4.0610560975609798E-2</v>
      </c>
      <c r="X9" s="32">
        <v>7.6780663292682902</v>
      </c>
      <c r="Y9" s="32">
        <v>71.172557475609807</v>
      </c>
      <c r="Z9" s="32">
        <v>1200.2990921463399</v>
      </c>
      <c r="AA9" s="32">
        <v>-6.4144012195121905E-2</v>
      </c>
      <c r="AB9" s="32">
        <v>11.277089231707301</v>
      </c>
      <c r="AC9" s="32">
        <v>5.8474423414634096</v>
      </c>
      <c r="AD9" s="32">
        <v>808.38023018292699</v>
      </c>
      <c r="AE9" s="32">
        <v>-250.05125370731699</v>
      </c>
      <c r="AF9" s="32">
        <v>-20.4248297682927</v>
      </c>
      <c r="AG9" s="32">
        <v>313.25</v>
      </c>
      <c r="AH9" s="32">
        <v>993.6</v>
      </c>
      <c r="AI9" s="32">
        <v>0</v>
      </c>
      <c r="AJ9" s="32">
        <v>208.81352710642199</v>
      </c>
      <c r="AK9" s="32">
        <v>10.408117403068101</v>
      </c>
      <c r="AL9" s="32">
        <v>0.264392282967711</v>
      </c>
      <c r="AM9" s="28">
        <f t="shared" si="2"/>
        <v>4.4107116827918711E-3</v>
      </c>
      <c r="AN9" s="28">
        <f t="shared" si="3"/>
        <v>38.143083602167415</v>
      </c>
      <c r="AO9" s="32">
        <v>0.27454841432054</v>
      </c>
      <c r="AP9" s="32">
        <v>0.27810707214935498</v>
      </c>
      <c r="AQ9" s="32">
        <v>36562.072870185402</v>
      </c>
      <c r="AR9" s="32">
        <f t="shared" si="4"/>
        <v>1.0156131352829278E-2</v>
      </c>
      <c r="AS9" s="32">
        <f t="shared" si="5"/>
        <v>0.64021859481110499</v>
      </c>
      <c r="AT9" s="32">
        <v>0.16942917814043601</v>
      </c>
      <c r="AU9" s="32">
        <v>113.8982</v>
      </c>
      <c r="AV9" s="34">
        <v>16.470497475601199</v>
      </c>
      <c r="AW9" s="32">
        <f t="shared" si="12"/>
        <v>1.8673532073170729</v>
      </c>
      <c r="AX9" s="32">
        <f t="shared" si="13"/>
        <v>1.6806178865853656</v>
      </c>
      <c r="AY9" s="32">
        <f t="shared" si="6"/>
        <v>1610.0589933342903</v>
      </c>
      <c r="AZ9" s="32">
        <f t="shared" si="7"/>
        <v>2338.7958635820214</v>
      </c>
      <c r="BA9" s="32">
        <v>355.3</v>
      </c>
      <c r="BB9" s="32">
        <v>550</v>
      </c>
      <c r="BC9" s="32">
        <v>500</v>
      </c>
      <c r="BD9" s="32">
        <v>530</v>
      </c>
      <c r="BE9" s="32">
        <v>175093.61576787199</v>
      </c>
      <c r="BF9" s="32">
        <v>201490.00110794601</v>
      </c>
      <c r="BG9" s="32">
        <v>1198.85934029856</v>
      </c>
      <c r="BH9" s="32">
        <v>1394.67875645768</v>
      </c>
      <c r="BI9" s="32">
        <v>1604.9372252323899</v>
      </c>
      <c r="BJ9" s="32">
        <f t="shared" si="8"/>
        <v>0.86899271481209173</v>
      </c>
      <c r="BK9" s="28">
        <f t="shared" si="9"/>
        <v>19.116467324676943</v>
      </c>
      <c r="BL9" s="28">
        <f t="shared" si="10"/>
        <v>16.612070838087661</v>
      </c>
      <c r="BM9" s="32">
        <v>0.240329111346955</v>
      </c>
      <c r="BN9" s="32">
        <v>0.251027514035425</v>
      </c>
      <c r="BO9" s="32">
        <v>1.14660678216608E-2</v>
      </c>
      <c r="BP9" s="32">
        <v>721.86354888532298</v>
      </c>
      <c r="BQ9" s="32">
        <v>193.075854941534</v>
      </c>
      <c r="BR9" s="32">
        <f t="shared" si="11"/>
        <v>222.18351391275368</v>
      </c>
      <c r="BS9" s="32">
        <v>24.430513697087299</v>
      </c>
      <c r="BT9" s="32">
        <f>15775070.9141615/100000</f>
        <v>157.750709141615</v>
      </c>
      <c r="BU9" s="32">
        <v>373.71004119587798</v>
      </c>
      <c r="BV9" s="32">
        <v>0.69682928716794201</v>
      </c>
      <c r="BW9" s="32">
        <v>1.0468928767337899</v>
      </c>
      <c r="BX9" s="2">
        <v>361</v>
      </c>
      <c r="BY9" s="2">
        <v>80</v>
      </c>
      <c r="BZ9" s="2">
        <v>360</v>
      </c>
      <c r="CA9" s="2">
        <v>80</v>
      </c>
    </row>
    <row r="10" spans="1:79" ht="14.4">
      <c r="A10" s="2">
        <v>7</v>
      </c>
      <c r="B10" s="32">
        <v>0.55160321113264399</v>
      </c>
      <c r="C10" s="32">
        <v>35.419502341243501</v>
      </c>
      <c r="D10" s="32">
        <v>814.45120423516903</v>
      </c>
      <c r="E10" s="32">
        <v>779.78886803417197</v>
      </c>
      <c r="F10" s="28">
        <f t="shared" si="0"/>
        <v>797.1200361346705</v>
      </c>
      <c r="G10" s="32">
        <v>308.01900113431418</v>
      </c>
      <c r="H10" s="32">
        <v>307.73848782475079</v>
      </c>
      <c r="I10" s="32">
        <v>313.54756503429047</v>
      </c>
      <c r="J10" s="32">
        <v>780.43360612636502</v>
      </c>
      <c r="K10" s="32">
        <v>313.3591223023256</v>
      </c>
      <c r="L10" s="32">
        <v>302.44916306502137</v>
      </c>
      <c r="M10" s="32">
        <v>304.56901802479825</v>
      </c>
      <c r="N10" s="32">
        <v>341.29201538194116</v>
      </c>
      <c r="O10" s="32">
        <v>356.00804045965828</v>
      </c>
      <c r="P10" s="32">
        <v>17.2528877736118</v>
      </c>
      <c r="Q10" s="32">
        <v>1.8311910727337399</v>
      </c>
      <c r="R10" s="32">
        <v>1198.8876409949</v>
      </c>
      <c r="S10" s="32">
        <f t="shared" si="1"/>
        <v>125.54722018097252</v>
      </c>
      <c r="T10" s="32">
        <v>885.57843969364001</v>
      </c>
      <c r="U10" s="32">
        <v>7.5331630645467502</v>
      </c>
      <c r="V10" s="32">
        <v>0.44724528678215503</v>
      </c>
      <c r="W10" s="32">
        <v>1.7182629330802099E-2</v>
      </c>
      <c r="X10" s="32">
        <v>5.62504469530138</v>
      </c>
      <c r="Y10" s="32">
        <v>46.564768671333603</v>
      </c>
      <c r="Z10" s="32">
        <v>1342.3484576042999</v>
      </c>
      <c r="AA10" s="32">
        <v>-3.7590679639297603E-2</v>
      </c>
      <c r="AB10" s="32">
        <v>9.3644614145704796</v>
      </c>
      <c r="AC10" s="32">
        <v>8.4075877581870007</v>
      </c>
      <c r="AD10" s="32">
        <v>620.21811046013295</v>
      </c>
      <c r="AE10" s="32">
        <v>-250.05348302847699</v>
      </c>
      <c r="AF10" s="32">
        <v>-20.424710454556202</v>
      </c>
      <c r="AG10" s="32">
        <v>317.64999999999998</v>
      </c>
      <c r="AH10" s="32">
        <v>993.8</v>
      </c>
      <c r="AI10" s="32">
        <v>49.6</v>
      </c>
      <c r="AJ10" s="32">
        <v>207.819037016268</v>
      </c>
      <c r="AK10" s="32">
        <v>15.776137827685201</v>
      </c>
      <c r="AL10" s="32">
        <v>0.22771327611446801</v>
      </c>
      <c r="AM10" s="28">
        <f t="shared" si="2"/>
        <v>3.7987425731655648E-3</v>
      </c>
      <c r="AN10" s="28">
        <f t="shared" si="3"/>
        <v>33.312311881193082</v>
      </c>
      <c r="AO10" s="32">
        <v>0.234131531045462</v>
      </c>
      <c r="AP10" s="32">
        <v>0.23759747845420701</v>
      </c>
      <c r="AQ10" s="32">
        <v>23105.717751577798</v>
      </c>
      <c r="AR10" s="32">
        <f t="shared" si="4"/>
        <v>6.4182549309938332E-3</v>
      </c>
      <c r="AS10" s="32">
        <f t="shared" si="5"/>
        <v>0.46976143570474671</v>
      </c>
      <c r="AT10" s="32">
        <v>0.10707016590258001</v>
      </c>
      <c r="AU10" s="32">
        <v>96.520899999999997</v>
      </c>
      <c r="AV10" s="34">
        <v>10.4582805853242</v>
      </c>
      <c r="AW10" s="32">
        <f t="shared" si="12"/>
        <v>1.4410452867821548</v>
      </c>
      <c r="AX10" s="32">
        <f t="shared" si="13"/>
        <v>1.2969407581039394</v>
      </c>
      <c r="AY10" s="32">
        <f t="shared" si="6"/>
        <v>2166.0521000712492</v>
      </c>
      <c r="AZ10" s="32">
        <f t="shared" si="7"/>
        <v>2195.392345400674</v>
      </c>
      <c r="BA10" s="32">
        <v>357</v>
      </c>
      <c r="BB10" s="32">
        <v>550</v>
      </c>
      <c r="BC10" s="32">
        <v>500</v>
      </c>
      <c r="BD10" s="32">
        <v>530</v>
      </c>
      <c r="BE10" s="32">
        <v>111181.58017275399</v>
      </c>
      <c r="BF10" s="32">
        <v>127827.61305522799</v>
      </c>
      <c r="BG10" s="32">
        <v>1198.88406980123</v>
      </c>
      <c r="BH10" s="32">
        <v>885.57991566549697</v>
      </c>
      <c r="BI10" s="32">
        <v>1018.16858769335</v>
      </c>
      <c r="BJ10" s="32">
        <f t="shared" si="8"/>
        <v>0.86977729068598431</v>
      </c>
      <c r="BK10" s="28">
        <f t="shared" si="9"/>
        <v>12.127444133997233</v>
      </c>
      <c r="BL10" s="28">
        <f t="shared" si="10"/>
        <v>10.548175501813747</v>
      </c>
      <c r="BM10" s="32">
        <v>0.20573857323078701</v>
      </c>
      <c r="BN10" s="32">
        <v>0.212211371072413</v>
      </c>
      <c r="BO10" s="32">
        <v>7.1972665269525397E-3</v>
      </c>
      <c r="BP10" s="32">
        <v>629.18302800131596</v>
      </c>
      <c r="BQ10" s="32">
        <v>189.10691029815001</v>
      </c>
      <c r="BR10" s="32">
        <f t="shared" si="11"/>
        <v>217.41992153991896</v>
      </c>
      <c r="BS10" s="32">
        <v>3.7138447343311598</v>
      </c>
      <c r="BT10" s="32">
        <f>13652893.5757712/100000</f>
        <v>136.52893575771199</v>
      </c>
      <c r="BU10" s="32">
        <v>370.41594630698899</v>
      </c>
      <c r="BV10" s="32">
        <v>0.50646861367614704</v>
      </c>
      <c r="BW10" s="32">
        <v>1.0441684393288999</v>
      </c>
      <c r="BX10" s="2">
        <v>360</v>
      </c>
      <c r="BY10" s="2">
        <v>80</v>
      </c>
      <c r="BZ10" s="2">
        <v>360</v>
      </c>
      <c r="CA10" s="2">
        <v>80</v>
      </c>
    </row>
    <row r="11" spans="1:79" ht="14.4">
      <c r="A11" s="2">
        <v>19</v>
      </c>
      <c r="B11" s="32">
        <v>0.50218750000000001</v>
      </c>
      <c r="C11" s="32">
        <v>32.670157807228897</v>
      </c>
      <c r="D11" s="32">
        <v>969.96246618072303</v>
      </c>
      <c r="E11" s="32">
        <v>945.63290724096396</v>
      </c>
      <c r="F11" s="28">
        <f t="shared" si="0"/>
        <v>957.79768671084344</v>
      </c>
      <c r="G11" s="32">
        <v>306.67583921686747</v>
      </c>
      <c r="H11" s="32">
        <v>304.39395808433738</v>
      </c>
      <c r="I11" s="32">
        <v>327.27515783132526</v>
      </c>
      <c r="J11" s="32">
        <v>909.01384821686793</v>
      </c>
      <c r="K11" s="32">
        <v>312.41587789156625</v>
      </c>
      <c r="L11" s="32">
        <v>302.89895104819277</v>
      </c>
      <c r="M11" s="32">
        <v>307.25791487951807</v>
      </c>
      <c r="N11" s="32">
        <v>370.67482943373489</v>
      </c>
      <c r="O11" s="32">
        <v>357.63590745783137</v>
      </c>
      <c r="P11" s="32">
        <v>23.340047734939802</v>
      </c>
      <c r="Q11" s="32">
        <v>1.71996430120482</v>
      </c>
      <c r="R11" s="32">
        <v>1198.96357746988</v>
      </c>
      <c r="S11" s="32">
        <f t="shared" si="1"/>
        <v>125.55517223003706</v>
      </c>
      <c r="T11" s="32">
        <v>1562.7124668433701</v>
      </c>
      <c r="U11" s="32">
        <v>13.2693134819277</v>
      </c>
      <c r="V11" s="32">
        <v>1.07021965060241</v>
      </c>
      <c r="W11" s="32">
        <v>4.41563253012048E-2</v>
      </c>
      <c r="X11" s="32">
        <v>7.9148267590361403</v>
      </c>
      <c r="Y11" s="32">
        <v>59.859736433735002</v>
      </c>
      <c r="Z11" s="32">
        <v>1213.60228722892</v>
      </c>
      <c r="AA11" s="32">
        <v>-1.4776891566265099E-2</v>
      </c>
      <c r="AB11" s="32">
        <v>12.0964891204819</v>
      </c>
      <c r="AC11" s="32">
        <v>5.0420196867469897</v>
      </c>
      <c r="AD11" s="32">
        <v>455.42653565060198</v>
      </c>
      <c r="AE11" s="32">
        <v>-250.05760824096399</v>
      </c>
      <c r="AF11" s="32">
        <v>-20.425206686747</v>
      </c>
      <c r="AG11" s="32">
        <v>306.95</v>
      </c>
      <c r="AH11" s="32">
        <v>994.7</v>
      </c>
      <c r="AI11" s="32">
        <v>41.7</v>
      </c>
      <c r="AJ11" s="32">
        <v>207.43253021548</v>
      </c>
      <c r="AK11" s="32">
        <v>9.5272937071187993</v>
      </c>
      <c r="AL11" s="32">
        <v>0.26827472646133299</v>
      </c>
      <c r="AM11" s="28">
        <f t="shared" si="2"/>
        <v>4.4751105288362691E-3</v>
      </c>
      <c r="AN11" s="28">
        <f t="shared" si="3"/>
        <v>37.921669958488337</v>
      </c>
      <c r="AO11" s="32">
        <v>0.27958018154793501</v>
      </c>
      <c r="AP11" s="32">
        <v>0.28309707392400202</v>
      </c>
      <c r="AQ11" s="32">
        <v>40699.6383117687</v>
      </c>
      <c r="AR11" s="32">
        <f t="shared" si="4"/>
        <v>1.1305455086602417E-2</v>
      </c>
      <c r="AS11" s="32">
        <f t="shared" si="5"/>
        <v>0.70235558126841147</v>
      </c>
      <c r="AT11" s="32">
        <v>0.18858713140327099</v>
      </c>
      <c r="AU11" s="32">
        <v>118.84175</v>
      </c>
      <c r="AV11" s="34">
        <v>18.454926994480498</v>
      </c>
      <c r="AW11" s="32">
        <f t="shared" si="12"/>
        <v>2.0649196506024099</v>
      </c>
      <c r="AX11" s="32">
        <f t="shared" si="13"/>
        <v>1.8584276855421689</v>
      </c>
      <c r="AY11" s="32">
        <f t="shared" si="6"/>
        <v>2930.4637132176531</v>
      </c>
      <c r="AZ11" s="32">
        <f t="shared" si="7"/>
        <v>2062.1745516930132</v>
      </c>
      <c r="BA11" s="32">
        <v>356.4</v>
      </c>
      <c r="BB11" s="32">
        <v>550</v>
      </c>
      <c r="BC11" s="32">
        <v>500</v>
      </c>
      <c r="BD11" s="32">
        <v>530</v>
      </c>
      <c r="BE11" s="32">
        <v>196209.215493303</v>
      </c>
      <c r="BF11" s="32">
        <v>225706.09175276401</v>
      </c>
      <c r="BG11" s="32">
        <v>1198.9793587258</v>
      </c>
      <c r="BH11" s="32">
        <v>1562.71507152258</v>
      </c>
      <c r="BI11" s="32">
        <v>1797.6362503555499</v>
      </c>
      <c r="BJ11" s="32">
        <f t="shared" si="8"/>
        <v>0.86931662132063403</v>
      </c>
      <c r="BK11" s="28">
        <f t="shared" si="9"/>
        <v>21.41171262102716</v>
      </c>
      <c r="BL11" s="28">
        <f t="shared" si="10"/>
        <v>18.613557672399708</v>
      </c>
      <c r="BM11" s="32">
        <v>0.28627370516288603</v>
      </c>
      <c r="BN11" s="32">
        <v>0.29698741140189699</v>
      </c>
      <c r="BO11" s="32">
        <v>1.23337167733291E-2</v>
      </c>
      <c r="BP11" s="32">
        <v>706.24318520369604</v>
      </c>
      <c r="BQ11" s="32">
        <v>187.52316155669499</v>
      </c>
      <c r="BR11" s="32">
        <f t="shared" si="11"/>
        <v>215.71330509224208</v>
      </c>
      <c r="BS11" s="32">
        <v>14.3224759321426</v>
      </c>
      <c r="BT11" s="32">
        <f>16350633.9784149/100000</f>
        <v>163.50633978414902</v>
      </c>
      <c r="BU11" s="32">
        <v>374.33185616881099</v>
      </c>
      <c r="BV11" s="32">
        <v>0.63100194273453103</v>
      </c>
      <c r="BW11" s="32"/>
      <c r="BZ11" s="2">
        <v>360</v>
      </c>
      <c r="CA11" s="2">
        <v>80</v>
      </c>
    </row>
    <row r="12" spans="1:79" ht="14.4">
      <c r="A12" s="2">
        <v>3</v>
      </c>
      <c r="B12" s="32">
        <v>0.45766203703703701</v>
      </c>
      <c r="C12" s="32">
        <v>34.708950542411003</v>
      </c>
      <c r="D12" s="32">
        <v>684.54202116419697</v>
      </c>
      <c r="E12" s="32">
        <v>656.30340017864899</v>
      </c>
      <c r="F12" s="28">
        <f t="shared" si="0"/>
        <v>670.42271067142292</v>
      </c>
      <c r="G12" s="32">
        <v>305.17573086637617</v>
      </c>
      <c r="H12" s="32">
        <v>306.17307390610017</v>
      </c>
      <c r="I12" s="32">
        <v>309.1872225641975</v>
      </c>
      <c r="J12" s="32">
        <v>648.36203746412502</v>
      </c>
      <c r="K12" s="32">
        <v>313.78894787414669</v>
      </c>
      <c r="L12" s="32">
        <v>302.09637658264336</v>
      </c>
      <c r="M12" s="32">
        <v>305.80554998366006</v>
      </c>
      <c r="N12" s="32">
        <v>328.45247222069719</v>
      </c>
      <c r="O12" s="32">
        <v>356.08587934422656</v>
      </c>
      <c r="P12" s="32">
        <v>19.176688968917901</v>
      </c>
      <c r="Q12" s="32">
        <v>1.2936103737109701</v>
      </c>
      <c r="R12" s="32">
        <v>1398.8489351595499</v>
      </c>
      <c r="S12" s="32">
        <f t="shared" si="1"/>
        <v>146.48711793930488</v>
      </c>
      <c r="T12" s="32">
        <v>559.31531528024698</v>
      </c>
      <c r="U12" s="32">
        <v>5.7205516999999997</v>
      </c>
      <c r="V12" s="32">
        <v>0.29757524655047202</v>
      </c>
      <c r="W12" s="32">
        <v>1.08597681190995E-2</v>
      </c>
      <c r="X12" s="32">
        <v>5.7785169821350797</v>
      </c>
      <c r="Y12" s="32">
        <v>21.2487689665214</v>
      </c>
      <c r="Z12" s="32">
        <v>1061.81552780116</v>
      </c>
      <c r="AA12" s="32">
        <v>-5.6588585475671797E-2</v>
      </c>
      <c r="AB12" s="32">
        <v>6.0690994378358702</v>
      </c>
      <c r="AC12" s="32">
        <v>12.1318655724764</v>
      </c>
      <c r="AD12" s="32">
        <v>114.615378933188</v>
      </c>
      <c r="AE12" s="32">
        <v>-250.08739822360201</v>
      </c>
      <c r="AF12" s="32">
        <v>-20.426976570806101</v>
      </c>
      <c r="AG12" s="32">
        <v>306.75</v>
      </c>
      <c r="AH12" s="32">
        <v>992.25</v>
      </c>
      <c r="AI12" s="32">
        <v>38.65</v>
      </c>
      <c r="AJ12" s="32">
        <v>214.15285296164501</v>
      </c>
      <c r="AK12" s="32">
        <v>17.154445204327999</v>
      </c>
      <c r="AL12" s="32">
        <v>0.230674586820133</v>
      </c>
      <c r="AM12" s="28">
        <f t="shared" si="2"/>
        <v>3.298062871868616E-3</v>
      </c>
      <c r="AN12" s="28">
        <f t="shared" si="3"/>
        <v>27.929267912762814</v>
      </c>
      <c r="AO12" s="32">
        <v>0.23554849686853299</v>
      </c>
      <c r="AP12" s="32">
        <v>0.23722577514614601</v>
      </c>
      <c r="AQ12" s="32">
        <v>17546.076174239999</v>
      </c>
      <c r="AR12" s="32">
        <f t="shared" si="4"/>
        <v>4.8739100483999997E-3</v>
      </c>
      <c r="AS12" s="32">
        <f t="shared" si="5"/>
        <v>0.35214903930158542</v>
      </c>
      <c r="AT12" s="32">
        <v>6.9684580313085706E-2</v>
      </c>
      <c r="AU12" s="32">
        <v>81.115624999999994</v>
      </c>
      <c r="AV12" s="34">
        <v>6.6052607433548802</v>
      </c>
      <c r="AW12" s="32">
        <f t="shared" si="12"/>
        <v>1.289825246550472</v>
      </c>
      <c r="AX12" s="32">
        <f t="shared" si="13"/>
        <v>1.1608427218954249</v>
      </c>
      <c r="AY12" s="32">
        <f t="shared" si="6"/>
        <v>2809.1378986752438</v>
      </c>
      <c r="AZ12" s="32">
        <f t="shared" si="7"/>
        <v>1809.565493776938</v>
      </c>
      <c r="BA12" s="32">
        <v>357.5</v>
      </c>
      <c r="BB12" s="32">
        <v>550</v>
      </c>
      <c r="BC12" s="32">
        <v>500</v>
      </c>
      <c r="BD12" s="32">
        <v>530</v>
      </c>
      <c r="BE12" s="32">
        <v>81932.8804285113</v>
      </c>
      <c r="BF12" s="32">
        <v>93779.292432234201</v>
      </c>
      <c r="BG12" s="32">
        <v>1398.8556256458901</v>
      </c>
      <c r="BH12" s="32">
        <v>559.316247492961</v>
      </c>
      <c r="BI12" s="36">
        <v>640.18654216074594</v>
      </c>
      <c r="BJ12" s="32">
        <f t="shared" si="8"/>
        <v>0.87367698421957918</v>
      </c>
      <c r="BK12" s="28">
        <f t="shared" si="9"/>
        <v>7.6252858507275851</v>
      </c>
      <c r="BL12" s="28">
        <f t="shared" si="10"/>
        <v>6.6620367458759047</v>
      </c>
      <c r="BM12" s="32">
        <v>0.20761098348027901</v>
      </c>
      <c r="BN12" s="32">
        <v>0.21251035672302099</v>
      </c>
      <c r="BO12" s="32">
        <v>5.1712224999729802E-3</v>
      </c>
      <c r="BP12" s="32">
        <v>571.58454953249395</v>
      </c>
      <c r="BQ12" s="32">
        <v>186.817922925516</v>
      </c>
      <c r="BR12" s="32">
        <f t="shared" si="11"/>
        <v>213.82951170722782</v>
      </c>
      <c r="BS12" s="35">
        <v>0.10429029546831101</v>
      </c>
      <c r="BT12" s="32">
        <f>10273314.3944098/100000</f>
        <v>102.733143944098</v>
      </c>
      <c r="BU12" s="32">
        <v>369.260375930745</v>
      </c>
      <c r="BV12" s="32"/>
      <c r="BW12" s="32"/>
      <c r="BX12" s="32">
        <v>370</v>
      </c>
      <c r="BY12" s="2">
        <v>80</v>
      </c>
      <c r="BZ12" s="2">
        <v>360</v>
      </c>
      <c r="CA12" s="2">
        <v>80</v>
      </c>
    </row>
    <row r="13" spans="1:79" ht="14.4">
      <c r="A13" s="2">
        <v>18</v>
      </c>
      <c r="B13" s="32">
        <v>0.48923032407407402</v>
      </c>
      <c r="C13" s="32">
        <v>32.674301109756101</v>
      </c>
      <c r="D13" s="32">
        <v>921.23104806097592</v>
      </c>
      <c r="E13" s="32">
        <v>901.56611086585303</v>
      </c>
      <c r="F13" s="28">
        <f t="shared" si="0"/>
        <v>911.39857946341453</v>
      </c>
      <c r="G13" s="32">
        <v>307.22092662195121</v>
      </c>
      <c r="H13" s="32">
        <v>304.47278568292677</v>
      </c>
      <c r="I13" s="32">
        <v>329.34211242682926</v>
      </c>
      <c r="J13" s="32">
        <v>838.94311834146299</v>
      </c>
      <c r="K13" s="32">
        <v>313.15253164634146</v>
      </c>
      <c r="L13" s="32">
        <v>303.70210493902437</v>
      </c>
      <c r="M13" s="32">
        <v>309.920086195122</v>
      </c>
      <c r="N13" s="32">
        <v>392.45119406097598</v>
      </c>
      <c r="O13" s="32">
        <v>358.51829781707318</v>
      </c>
      <c r="P13" s="32">
        <v>24.791271243902401</v>
      </c>
      <c r="Q13" s="32">
        <v>1.5752714878048799</v>
      </c>
      <c r="R13" s="32">
        <v>1400.3606147804901</v>
      </c>
      <c r="S13" s="32">
        <f t="shared" si="1"/>
        <v>146.64542065902913</v>
      </c>
      <c r="T13" s="32">
        <v>1548.9880704146301</v>
      </c>
      <c r="U13" s="32">
        <v>14.998779853658499</v>
      </c>
      <c r="V13" s="32">
        <v>1.3102544878048801</v>
      </c>
      <c r="W13" s="32">
        <v>6.3037682926829305E-2</v>
      </c>
      <c r="X13" s="32">
        <v>10.3963266829268</v>
      </c>
      <c r="Y13" s="32">
        <v>60.077238560975601</v>
      </c>
      <c r="Z13" s="32">
        <v>1155.90557815854</v>
      </c>
      <c r="AA13" s="32">
        <v>-2.0220195121951199E-2</v>
      </c>
      <c r="AB13" s="32">
        <v>10.3694287560976</v>
      </c>
      <c r="AC13" s="32">
        <v>7.0784185975609804</v>
      </c>
      <c r="AD13" s="32">
        <v>92.896318329268297</v>
      </c>
      <c r="AE13" s="32">
        <v>-250.084961182927</v>
      </c>
      <c r="AF13" s="32">
        <v>-20.427040975609799</v>
      </c>
      <c r="AG13" s="32">
        <v>313.45</v>
      </c>
      <c r="AH13" s="32">
        <v>994.3</v>
      </c>
      <c r="AI13" s="32">
        <v>51.4</v>
      </c>
      <c r="AJ13" s="32">
        <v>202.52630887090501</v>
      </c>
      <c r="AK13" s="32">
        <v>8.9705567218154503</v>
      </c>
      <c r="AL13" s="32">
        <v>0.30695164811259301</v>
      </c>
      <c r="AM13" s="28">
        <f t="shared" si="2"/>
        <v>4.3838943322568151E-3</v>
      </c>
      <c r="AN13" s="28">
        <f t="shared" si="3"/>
        <v>37.935376778807296</v>
      </c>
      <c r="AO13" s="32">
        <v>0.31973060854791002</v>
      </c>
      <c r="AP13" s="32">
        <v>0.32155417964798699</v>
      </c>
      <c r="AQ13" s="32">
        <v>46004.257567141503</v>
      </c>
      <c r="AR13" s="32">
        <f t="shared" si="4"/>
        <v>1.2778960435317085E-2</v>
      </c>
      <c r="AS13" s="32">
        <f t="shared" si="5"/>
        <v>0.69386392036516187</v>
      </c>
      <c r="AT13" s="32">
        <v>0.18250956647078001</v>
      </c>
      <c r="AU13" s="32">
        <v>128.60759999999999</v>
      </c>
      <c r="AV13" s="34">
        <v>18.292848083926099</v>
      </c>
      <c r="AW13" s="32">
        <f t="shared" si="12"/>
        <v>2.30455448780488</v>
      </c>
      <c r="AX13" s="32">
        <f t="shared" si="13"/>
        <v>2.0740990390243921</v>
      </c>
      <c r="AY13" s="32">
        <f t="shared" si="6"/>
        <v>3635.5264002341596</v>
      </c>
      <c r="AZ13" s="32">
        <f t="shared" si="7"/>
        <v>2205.948149108619</v>
      </c>
      <c r="BA13" s="32">
        <v>355.6</v>
      </c>
      <c r="BB13" s="32">
        <v>550</v>
      </c>
      <c r="BC13" s="32">
        <v>500</v>
      </c>
      <c r="BD13" s="32">
        <v>530</v>
      </c>
      <c r="BE13" s="32">
        <v>227152.616890884</v>
      </c>
      <c r="BF13" s="32">
        <v>260376.604486667</v>
      </c>
      <c r="BG13" s="2">
        <v>1400.3643739274601</v>
      </c>
      <c r="BH13" s="32">
        <v>1548.9906516501101</v>
      </c>
      <c r="BI13" s="32">
        <v>1775.5607153152</v>
      </c>
      <c r="BJ13" s="32">
        <f t="shared" si="8"/>
        <v>0.87239520354849209</v>
      </c>
      <c r="BK13" s="28">
        <f t="shared" si="9"/>
        <v>21.148770097374072</v>
      </c>
      <c r="BL13" s="28">
        <f t="shared" si="10"/>
        <v>18.450085593898915</v>
      </c>
      <c r="BM13" s="32">
        <v>0.31662682265053799</v>
      </c>
      <c r="BN13" s="32">
        <v>0.32963498976225297</v>
      </c>
      <c r="BO13" s="32">
        <v>1.43035153536196E-2</v>
      </c>
      <c r="BP13" s="32">
        <v>738.760261983379</v>
      </c>
      <c r="BQ13" s="32">
        <v>188.69755163445501</v>
      </c>
      <c r="BR13" s="32">
        <f t="shared" si="11"/>
        <v>216.29824518397442</v>
      </c>
      <c r="BS13" s="32">
        <v>18.1886399540453</v>
      </c>
      <c r="BT13" s="32">
        <f>16090244.3319398/100000</f>
        <v>160.902443319398</v>
      </c>
      <c r="BU13" s="32">
        <v>374.39599029162298</v>
      </c>
      <c r="BV13" s="32">
        <v>0.66006647141381503</v>
      </c>
      <c r="BW13" s="32"/>
      <c r="BZ13" s="2">
        <v>360</v>
      </c>
      <c r="CA13" s="2">
        <v>80</v>
      </c>
    </row>
    <row r="14" spans="1:79" ht="14.4">
      <c r="A14" s="2">
        <v>6</v>
      </c>
      <c r="B14" s="32">
        <v>0.54964988425925898</v>
      </c>
      <c r="C14" s="32">
        <v>36.412289988063797</v>
      </c>
      <c r="D14" s="32">
        <v>743.75480192604596</v>
      </c>
      <c r="E14" s="32">
        <v>709.52570616217997</v>
      </c>
      <c r="F14" s="28">
        <f t="shared" si="0"/>
        <v>726.64025404411291</v>
      </c>
      <c r="G14" s="32">
        <v>307.42954162809826</v>
      </c>
      <c r="H14" s="32">
        <v>306.7315571336855</v>
      </c>
      <c r="I14" s="32">
        <v>311.9769236327204</v>
      </c>
      <c r="J14" s="32">
        <v>701.34071677874795</v>
      </c>
      <c r="K14" s="32">
        <v>313.6688858293885</v>
      </c>
      <c r="L14" s="32">
        <v>302.04744193254766</v>
      </c>
      <c r="M14" s="32">
        <v>304.34491037743805</v>
      </c>
      <c r="N14" s="32">
        <v>340.63232791543066</v>
      </c>
      <c r="O14" s="32">
        <v>355.86613169798858</v>
      </c>
      <c r="P14" s="32">
        <v>18.551931342746801</v>
      </c>
      <c r="Q14" s="32">
        <v>1.8695462480698899</v>
      </c>
      <c r="R14" s="32">
        <v>1401.14707538216</v>
      </c>
      <c r="S14" s="32">
        <f t="shared" si="1"/>
        <v>146.72777862064726</v>
      </c>
      <c r="T14" s="32">
        <v>722.39400133817605</v>
      </c>
      <c r="U14" s="32">
        <v>7.2161136340410401</v>
      </c>
      <c r="V14" s="32">
        <v>0.43579995428687501</v>
      </c>
      <c r="W14" s="32">
        <v>1.8108902173913002E-2</v>
      </c>
      <c r="X14" s="32">
        <v>6.5465090029967499</v>
      </c>
      <c r="Y14" s="32">
        <v>49.418138243904899</v>
      </c>
      <c r="Z14" s="32">
        <v>1156.3410884892801</v>
      </c>
      <c r="AA14" s="32">
        <v>-5.3697892878910997E-2</v>
      </c>
      <c r="AB14" s="32">
        <v>7.6571974173100399</v>
      </c>
      <c r="AC14" s="32">
        <v>10.8460689860829</v>
      </c>
      <c r="AD14" s="32">
        <v>206.34496472948001</v>
      </c>
      <c r="AE14" s="32">
        <v>-250.08360349984801</v>
      </c>
      <c r="AF14" s="32">
        <v>-20.426698606867099</v>
      </c>
      <c r="AG14" s="32">
        <v>320.34999999999997</v>
      </c>
      <c r="AH14" s="32">
        <v>993.7</v>
      </c>
      <c r="AI14" s="32">
        <v>54.55</v>
      </c>
      <c r="AJ14" s="32">
        <v>208.81369841124001</v>
      </c>
      <c r="AK14" s="32">
        <v>15.332289777212299</v>
      </c>
      <c r="AL14" s="32">
        <v>0.244913413657215</v>
      </c>
      <c r="AM14" s="28">
        <f t="shared" si="2"/>
        <v>3.4958987241280916E-3</v>
      </c>
      <c r="AN14" s="28">
        <f t="shared" si="3"/>
        <v>30.917161971048355</v>
      </c>
      <c r="AO14" s="32">
        <v>0.251061542473418</v>
      </c>
      <c r="AP14" s="32">
        <v>0.25363537098661298</v>
      </c>
      <c r="AQ14" s="32">
        <v>22133.263738330701</v>
      </c>
      <c r="AR14" s="32">
        <f t="shared" si="4"/>
        <v>6.1481288162029725E-3</v>
      </c>
      <c r="AS14" s="32">
        <f t="shared" si="5"/>
        <v>0.4183879195232646</v>
      </c>
      <c r="AT14" s="32">
        <v>8.7758507643119002E-2</v>
      </c>
      <c r="AU14" s="32">
        <v>92.127799999999993</v>
      </c>
      <c r="AV14" s="34">
        <v>8.5311462209528095</v>
      </c>
      <c r="AW14" s="32">
        <f t="shared" si="12"/>
        <v>1.4294999542868752</v>
      </c>
      <c r="AX14" s="32">
        <f t="shared" si="13"/>
        <v>1.2865499588581877</v>
      </c>
      <c r="AY14" s="32">
        <f t="shared" si="6"/>
        <v>2722.0836750440003</v>
      </c>
      <c r="AZ14" s="32">
        <f t="shared" si="7"/>
        <v>2619.5092577748164</v>
      </c>
      <c r="BA14" s="32">
        <v>357</v>
      </c>
      <c r="BB14" s="32">
        <v>550</v>
      </c>
      <c r="BC14" s="32">
        <v>500</v>
      </c>
      <c r="BD14" s="32">
        <v>530</v>
      </c>
      <c r="BE14" s="32">
        <v>105994.913127131</v>
      </c>
      <c r="BF14" s="32">
        <v>121432.154763522</v>
      </c>
      <c r="BG14" s="32">
        <v>1401.1423962342201</v>
      </c>
      <c r="BH14" s="32">
        <v>722.39520528805099</v>
      </c>
      <c r="BI14" s="32">
        <v>827.60993357391499</v>
      </c>
      <c r="BJ14" s="32">
        <f t="shared" si="8"/>
        <v>0.87286918146147752</v>
      </c>
      <c r="BK14" s="28">
        <f t="shared" si="9"/>
        <v>9.8576928767182075</v>
      </c>
      <c r="BL14" s="28">
        <f t="shared" si="10"/>
        <v>8.6044763123996599</v>
      </c>
      <c r="BM14" s="32">
        <v>0.222449509649773</v>
      </c>
      <c r="BN14" s="32">
        <v>0.22872608843072501</v>
      </c>
      <c r="BO14" s="32">
        <v>6.7058285651967701E-3</v>
      </c>
      <c r="BP14" s="32">
        <v>609.81270905685597</v>
      </c>
      <c r="BQ14" s="32">
        <v>186.33470326248701</v>
      </c>
      <c r="BR14" s="32">
        <f t="shared" si="11"/>
        <v>213.47380251242214</v>
      </c>
      <c r="BS14" s="32">
        <v>0.89274102676665601</v>
      </c>
      <c r="BT14" s="32">
        <f>11957497.2735288/100000</f>
        <v>119.574972735288</v>
      </c>
      <c r="BU14" s="32">
        <v>370.17582590318199</v>
      </c>
      <c r="BV14" s="32">
        <v>0.43505560574852598</v>
      </c>
      <c r="BW14" s="32">
        <v>1.05240794722682</v>
      </c>
      <c r="BX14" s="2">
        <v>360</v>
      </c>
      <c r="BY14" s="2">
        <v>80</v>
      </c>
      <c r="BZ14" s="2">
        <v>360</v>
      </c>
      <c r="CA14" s="2">
        <v>80</v>
      </c>
    </row>
    <row r="15" spans="1:79" ht="14.4">
      <c r="A15" s="2">
        <v>14</v>
      </c>
      <c r="B15" s="32">
        <v>0.63101273148148096</v>
      </c>
      <c r="C15" s="32">
        <v>36.351862232558197</v>
      </c>
      <c r="D15" s="32">
        <v>877.34722941860502</v>
      </c>
      <c r="E15" s="32">
        <v>847.36110645348799</v>
      </c>
      <c r="F15" s="28">
        <f t="shared" si="0"/>
        <v>862.35416793604645</v>
      </c>
      <c r="G15" s="32">
        <v>314.22399289534877</v>
      </c>
      <c r="H15" s="32">
        <v>315.1213920116279</v>
      </c>
      <c r="I15" s="32">
        <v>322.81497336046505</v>
      </c>
      <c r="J15" s="32">
        <v>811.46615782558092</v>
      </c>
      <c r="K15" s="32">
        <v>312.92313888372087</v>
      </c>
      <c r="L15" s="32">
        <v>302.54691154651158</v>
      </c>
      <c r="M15" s="32">
        <v>306.5435157441861</v>
      </c>
      <c r="N15" s="32">
        <v>380.46078955813999</v>
      </c>
      <c r="O15" s="32">
        <v>356.49838046511627</v>
      </c>
      <c r="P15" s="32">
        <v>13.6234674534884</v>
      </c>
      <c r="Q15" s="32">
        <v>1.90949654651163</v>
      </c>
      <c r="R15" s="32">
        <v>1403.59711227907</v>
      </c>
      <c r="S15" s="32">
        <f t="shared" si="1"/>
        <v>146.98434588452579</v>
      </c>
      <c r="T15" s="32">
        <v>1240.07021687209</v>
      </c>
      <c r="U15" s="32">
        <v>12.0784745813953</v>
      </c>
      <c r="V15" s="32">
        <v>0.93002625581395304</v>
      </c>
      <c r="W15" s="32">
        <v>4.5411116279069803E-2</v>
      </c>
      <c r="X15" s="32">
        <v>9.2891954651162791</v>
      </c>
      <c r="Y15" s="32">
        <v>71.046232953488399</v>
      </c>
      <c r="Z15" s="32">
        <v>1217.1405449418601</v>
      </c>
      <c r="AA15" s="32">
        <v>-6.7929511627907002E-2</v>
      </c>
      <c r="AB15" s="32">
        <v>9.9624796744185993</v>
      </c>
      <c r="AC15" s="32">
        <v>8.1075096627907008</v>
      </c>
      <c r="AD15" s="32">
        <v>249.41679277906999</v>
      </c>
      <c r="AE15" s="32">
        <v>-250.07722263953499</v>
      </c>
      <c r="AF15" s="32">
        <v>-20.4261316162791</v>
      </c>
      <c r="AG15" s="32">
        <v>315.64999999999998</v>
      </c>
      <c r="AH15" s="32">
        <v>993.5</v>
      </c>
      <c r="AI15" s="32">
        <v>50.9</v>
      </c>
      <c r="AJ15" s="32">
        <v>203.25293433570101</v>
      </c>
      <c r="AK15" s="32">
        <v>11.108865831055301</v>
      </c>
      <c r="AL15" s="32">
        <v>0.289705920744667</v>
      </c>
      <c r="AM15" s="28">
        <f t="shared" si="2"/>
        <v>4.1280495408580788E-3</v>
      </c>
      <c r="AN15" s="28">
        <f t="shared" si="3"/>
        <v>35.972178888326141</v>
      </c>
      <c r="AO15" s="32">
        <v>0.29999678108801597</v>
      </c>
      <c r="AP15" s="32">
        <v>0.30299267559820903</v>
      </c>
      <c r="AQ15" s="32">
        <v>37047.097236055801</v>
      </c>
      <c r="AR15" s="32">
        <f t="shared" si="4"/>
        <v>1.0290860343348834E-2</v>
      </c>
      <c r="AS15" s="32">
        <f t="shared" si="5"/>
        <v>0.59202911219401166</v>
      </c>
      <c r="AT15" s="32">
        <v>0.14663553028602599</v>
      </c>
      <c r="AU15" s="32">
        <v>117.66334999999999</v>
      </c>
      <c r="AV15" s="34">
        <v>14.6446680409684</v>
      </c>
      <c r="AW15" s="32">
        <f t="shared" si="12"/>
        <v>1.923526255813953</v>
      </c>
      <c r="AX15" s="32">
        <f t="shared" si="13"/>
        <v>1.7311736302325578</v>
      </c>
      <c r="AY15" s="32">
        <f t="shared" si="6"/>
        <v>2002.436452330119</v>
      </c>
      <c r="AZ15" s="32">
        <f t="shared" si="7"/>
        <v>2680.1638385905808</v>
      </c>
      <c r="BA15" s="32">
        <v>353.2</v>
      </c>
      <c r="BB15" s="32">
        <v>550</v>
      </c>
      <c r="BC15" s="32">
        <v>500</v>
      </c>
      <c r="BD15" s="32">
        <v>530</v>
      </c>
      <c r="BE15" s="32">
        <v>182270.67838326501</v>
      </c>
      <c r="BF15" s="32">
        <v>208791.509429572</v>
      </c>
      <c r="BG15" s="32">
        <v>1403.59533102518</v>
      </c>
      <c r="BH15" s="32">
        <v>1240.0722837866001</v>
      </c>
      <c r="BI15" s="32">
        <v>1420.51962939791</v>
      </c>
      <c r="BJ15" s="32">
        <f t="shared" si="8"/>
        <v>0.8729708890486837</v>
      </c>
      <c r="BK15" s="28">
        <f t="shared" si="9"/>
        <v>16.919862442217209</v>
      </c>
      <c r="BL15" s="28">
        <f t="shared" si="10"/>
        <v>14.770547358763789</v>
      </c>
      <c r="BM15" s="32">
        <v>0.26434161731462802</v>
      </c>
      <c r="BN15" s="32">
        <v>0.275173414027715</v>
      </c>
      <c r="BO15" s="32">
        <v>1.15907439403734E-2</v>
      </c>
      <c r="BP15" s="32">
        <v>711.01951416401198</v>
      </c>
      <c r="BQ15" s="32">
        <v>188.78065733534001</v>
      </c>
      <c r="BR15" s="32">
        <f t="shared" si="11"/>
        <v>216.25080481327726</v>
      </c>
      <c r="BS15" s="32">
        <v>17.919128882075199</v>
      </c>
      <c r="BT15" s="32">
        <f>14922520.6122644/100000</f>
        <v>149.22520612264401</v>
      </c>
      <c r="BU15" s="32">
        <v>373.01089549077</v>
      </c>
      <c r="BV15" s="32">
        <v>0.63800553014510397</v>
      </c>
      <c r="BW15" s="32">
        <v>1.0348803726403699</v>
      </c>
      <c r="BX15" s="2">
        <v>360</v>
      </c>
      <c r="BY15" s="2">
        <v>80</v>
      </c>
      <c r="BZ15" s="2">
        <v>360</v>
      </c>
      <c r="CA15" s="2">
        <v>80</v>
      </c>
    </row>
    <row r="16" spans="1:79" ht="14.4">
      <c r="A16" s="2">
        <v>17</v>
      </c>
      <c r="B16" s="32">
        <v>0.47243055555555602</v>
      </c>
      <c r="C16" s="32">
        <v>32.675117666666701</v>
      </c>
      <c r="D16" s="32">
        <v>930.90965780246893</v>
      </c>
      <c r="E16" s="32">
        <v>895.97095301234492</v>
      </c>
      <c r="F16" s="28">
        <f t="shared" si="0"/>
        <v>913.44030540740687</v>
      </c>
      <c r="G16" s="32">
        <v>306.80253833333325</v>
      </c>
      <c r="H16" s="32">
        <v>304.86038601234566</v>
      </c>
      <c r="I16" s="32">
        <v>333.37467927160486</v>
      </c>
      <c r="J16" s="32">
        <v>813.27436704938293</v>
      </c>
      <c r="K16" s="32">
        <v>313.25971446913576</v>
      </c>
      <c r="L16" s="32">
        <v>303.97068053086417</v>
      </c>
      <c r="M16" s="32">
        <v>312.53625154320986</v>
      </c>
      <c r="N16" s="32">
        <v>414.23832782715999</v>
      </c>
      <c r="O16" s="32">
        <v>359.11315429629627</v>
      </c>
      <c r="P16" s="32">
        <v>26.0817282839506</v>
      </c>
      <c r="Q16" s="32">
        <v>1.46461160493827</v>
      </c>
      <c r="R16" s="32">
        <v>1598.5223451975301</v>
      </c>
      <c r="S16" s="32">
        <f t="shared" si="1"/>
        <v>167.3968685423896</v>
      </c>
      <c r="T16" s="32">
        <v>1557.5643262962999</v>
      </c>
      <c r="U16" s="32">
        <v>17.387902382716</v>
      </c>
      <c r="V16" s="32">
        <v>1.5462592345679</v>
      </c>
      <c r="W16" s="32">
        <v>9.2663765432098796E-2</v>
      </c>
      <c r="X16" s="32">
        <v>13.063528358024699</v>
      </c>
      <c r="Y16" s="32">
        <v>60.099861320987699</v>
      </c>
      <c r="Z16" s="32">
        <v>1039.54454077778</v>
      </c>
      <c r="AA16" s="32">
        <v>-2.7536209876543202E-2</v>
      </c>
      <c r="AB16" s="32">
        <v>10.138114777777799</v>
      </c>
      <c r="AC16" s="32">
        <v>8.0550062962963001</v>
      </c>
      <c r="AD16" s="32">
        <v>51.629967197530902</v>
      </c>
      <c r="AE16" s="32">
        <v>-250.10426403703701</v>
      </c>
      <c r="AF16" s="32">
        <v>-20.4286035802469</v>
      </c>
      <c r="AG16" s="32">
        <v>306.34999999999997</v>
      </c>
      <c r="AH16" s="32">
        <v>994.1</v>
      </c>
      <c r="AI16" s="32">
        <v>37.700000000000003</v>
      </c>
      <c r="AJ16" s="32">
        <v>204.548343909311</v>
      </c>
      <c r="AK16" s="32">
        <v>7.8372215194376098</v>
      </c>
      <c r="AL16" s="32">
        <v>0.34215245354194102</v>
      </c>
      <c r="AM16" s="28">
        <f t="shared" si="2"/>
        <v>4.2808591893616736E-3</v>
      </c>
      <c r="AN16" s="28">
        <f t="shared" si="3"/>
        <v>36.204693702873357</v>
      </c>
      <c r="AO16" s="32">
        <v>0.35696694637201498</v>
      </c>
      <c r="AP16" s="32">
        <v>0.35807600316919802</v>
      </c>
      <c r="AQ16" s="32">
        <v>53332.174188266697</v>
      </c>
      <c r="AR16" s="32">
        <f t="shared" si="4"/>
        <v>1.4814492830074083E-2</v>
      </c>
      <c r="AS16" s="32">
        <f t="shared" si="5"/>
        <v>0.72163215922782231</v>
      </c>
      <c r="AT16" s="32">
        <v>0.18535233961016001</v>
      </c>
      <c r="AU16" s="32">
        <v>130.25885</v>
      </c>
      <c r="AV16" s="34">
        <v>18.394129784520601</v>
      </c>
      <c r="AW16" s="32">
        <f t="shared" si="12"/>
        <v>2.5403592345678998</v>
      </c>
      <c r="AX16" s="32">
        <f t="shared" si="13"/>
        <v>2.2863233111111101</v>
      </c>
      <c r="AY16" s="32">
        <f t="shared" si="6"/>
        <v>4365.9996409068035</v>
      </c>
      <c r="AZ16" s="32">
        <f t="shared" si="7"/>
        <v>2341.2143775294417</v>
      </c>
      <c r="BA16" s="32">
        <v>353.6</v>
      </c>
      <c r="BB16" s="32">
        <v>550</v>
      </c>
      <c r="BC16" s="32">
        <v>500</v>
      </c>
      <c r="BD16" s="32">
        <v>530</v>
      </c>
      <c r="BE16" s="32">
        <v>260732.34846953701</v>
      </c>
      <c r="BF16" s="32">
        <v>295294.105851728</v>
      </c>
      <c r="BG16" s="28">
        <v>1598.5282170447099</v>
      </c>
      <c r="BH16" s="32">
        <v>1557.56692193867</v>
      </c>
      <c r="BI16" s="32">
        <v>1764.05660213693</v>
      </c>
      <c r="BJ16" s="32">
        <f t="shared" si="8"/>
        <v>0.88294611411667634</v>
      </c>
      <c r="BK16" s="28">
        <f t="shared" si="9"/>
        <v>21.011744175050577</v>
      </c>
      <c r="BL16" s="28">
        <f t="shared" si="10"/>
        <v>18.552237870174615</v>
      </c>
      <c r="BM16" s="32">
        <v>0.37478330575618901</v>
      </c>
      <c r="BN16" s="32">
        <v>0.38899862456128997</v>
      </c>
      <c r="BO16" s="32">
        <v>1.5617811186578101E-2</v>
      </c>
      <c r="BP16" s="32">
        <v>730.30824512229799</v>
      </c>
      <c r="BQ16" s="32">
        <v>181.39905297475201</v>
      </c>
      <c r="BR16" s="32">
        <f t="shared" si="11"/>
        <v>205.44747870171969</v>
      </c>
      <c r="BS16" s="32">
        <v>9.3566475091541292</v>
      </c>
      <c r="BT16" s="32">
        <f>15781665.220223/100000</f>
        <v>157.81665220222999</v>
      </c>
      <c r="BU16" s="32">
        <v>372.89822405033999</v>
      </c>
      <c r="BV16" s="32">
        <v>0.60844879892465997</v>
      </c>
      <c r="BW16" s="32"/>
      <c r="BX16" s="28"/>
      <c r="BY16" s="28"/>
      <c r="BZ16" s="2">
        <v>360</v>
      </c>
      <c r="CA16" s="2">
        <v>80</v>
      </c>
    </row>
    <row r="17" spans="1:79" ht="14.4">
      <c r="A17" s="2">
        <v>13</v>
      </c>
      <c r="B17" s="32">
        <v>0.495978009259259</v>
      </c>
      <c r="C17" s="32">
        <v>36.5362117093023</v>
      </c>
      <c r="D17" s="32">
        <v>690.13345132558197</v>
      </c>
      <c r="E17" s="32">
        <v>651.33875405814001</v>
      </c>
      <c r="F17" s="28">
        <f t="shared" si="0"/>
        <v>670.73610269186099</v>
      </c>
      <c r="G17" s="32">
        <v>307.98027198837207</v>
      </c>
      <c r="H17" s="32">
        <v>309.1087716976744</v>
      </c>
      <c r="I17" s="32">
        <v>310.36770812790701</v>
      </c>
      <c r="J17" s="32">
        <v>638.94078816279102</v>
      </c>
      <c r="K17" s="32">
        <v>314.41555936046507</v>
      </c>
      <c r="L17" s="32">
        <v>301.66350773255806</v>
      </c>
      <c r="M17" s="32">
        <v>305.79307379069769</v>
      </c>
      <c r="N17" s="32">
        <v>339.76546125581388</v>
      </c>
      <c r="O17" s="32">
        <v>356.09077237209294</v>
      </c>
      <c r="P17" s="32">
        <v>13.623776790697701</v>
      </c>
      <c r="Q17" s="32">
        <v>1.5034329534883699</v>
      </c>
      <c r="R17" s="32">
        <v>1598.7568733023199</v>
      </c>
      <c r="S17" s="32">
        <f t="shared" si="1"/>
        <v>167.42142826809186</v>
      </c>
      <c r="T17" s="32">
        <v>549.12107009302304</v>
      </c>
      <c r="U17" s="32">
        <v>6.5133069302325604</v>
      </c>
      <c r="V17" s="32">
        <v>0.36732195348837199</v>
      </c>
      <c r="W17" s="32">
        <v>1.91573720930233E-2</v>
      </c>
      <c r="X17" s="32">
        <v>7.1459435465116297</v>
      </c>
      <c r="Y17" s="32">
        <v>27.255788337209299</v>
      </c>
      <c r="Z17" s="32">
        <v>1067.1698804534899</v>
      </c>
      <c r="AA17" s="32">
        <v>-9.9256290697674401E-2</v>
      </c>
      <c r="AB17" s="32">
        <v>6.3074564418604702</v>
      </c>
      <c r="AC17" s="32">
        <v>12.4434184418605</v>
      </c>
      <c r="AD17" s="32">
        <v>110.50072241860499</v>
      </c>
      <c r="AE17" s="32">
        <v>-250.103686127907</v>
      </c>
      <c r="AF17" s="32">
        <v>-20.428200058139499</v>
      </c>
      <c r="AG17" s="32">
        <v>309.54999999999995</v>
      </c>
      <c r="AH17" s="32">
        <v>993.9</v>
      </c>
      <c r="AI17" s="32">
        <v>45.1</v>
      </c>
      <c r="AJ17" s="32">
        <v>217.302383013129</v>
      </c>
      <c r="AK17" s="32">
        <v>17.0040516067873</v>
      </c>
      <c r="AL17" s="32">
        <v>0.255432692419161</v>
      </c>
      <c r="AM17" s="28">
        <f t="shared" si="2"/>
        <v>3.1953913279077983E-3</v>
      </c>
      <c r="AN17" s="28">
        <f t="shared" si="3"/>
        <v>27.306806366563382</v>
      </c>
      <c r="AO17" s="32">
        <v>0.26098202992371899</v>
      </c>
      <c r="AP17" s="32">
        <v>0.26296295811056902</v>
      </c>
      <c r="AQ17" s="32">
        <v>19977.615016409301</v>
      </c>
      <c r="AR17" s="32">
        <f t="shared" si="4"/>
        <v>5.5493375045581397E-3</v>
      </c>
      <c r="AS17" s="32">
        <f t="shared" si="5"/>
        <v>0.36208739583549243</v>
      </c>
      <c r="AT17" s="32">
        <v>6.9420655475846901E-2</v>
      </c>
      <c r="AU17" s="32">
        <v>79.253349999999998</v>
      </c>
      <c r="AV17" s="34">
        <v>6.4848713213173896</v>
      </c>
      <c r="AW17" s="32">
        <f t="shared" si="12"/>
        <v>1.361221953488372</v>
      </c>
      <c r="AX17" s="32">
        <f t="shared" si="13"/>
        <v>1.2250997581395349</v>
      </c>
      <c r="AY17" s="32">
        <f t="shared" si="6"/>
        <v>2280.9121687042898</v>
      </c>
      <c r="AZ17" s="32">
        <f t="shared" si="7"/>
        <v>2403.6237679387386</v>
      </c>
      <c r="BA17" s="32">
        <v>356.2</v>
      </c>
      <c r="BB17" s="32">
        <v>550</v>
      </c>
      <c r="BC17" s="32">
        <v>500</v>
      </c>
      <c r="BD17" s="32">
        <v>530</v>
      </c>
      <c r="BE17" s="32">
        <v>91934.640768092198</v>
      </c>
      <c r="BF17" s="32">
        <v>104165.603893694</v>
      </c>
      <c r="BG17" s="32">
        <v>1598.75699363948</v>
      </c>
      <c r="BH17" s="32">
        <v>549.12198530087801</v>
      </c>
      <c r="BI17" s="32">
        <v>622.17991260246094</v>
      </c>
      <c r="BJ17" s="32">
        <f t="shared" si="8"/>
        <v>0.88257748953032666</v>
      </c>
      <c r="BK17" s="28">
        <f t="shared" si="9"/>
        <v>7.4108082125189609</v>
      </c>
      <c r="BL17" s="28">
        <f t="shared" si="10"/>
        <v>6.5406125075957124</v>
      </c>
      <c r="BM17" s="32">
        <v>0.23189541063916999</v>
      </c>
      <c r="BN17" s="32">
        <v>0.23681217527939799</v>
      </c>
      <c r="BO17" s="32">
        <v>5.6585631356736998E-3</v>
      </c>
      <c r="BP17" s="32">
        <v>575.40146054248396</v>
      </c>
      <c r="BQ17" s="32">
        <v>183.729512363634</v>
      </c>
      <c r="BR17" s="32">
        <f t="shared" si="11"/>
        <v>208.17380291605633</v>
      </c>
      <c r="BS17" s="35">
        <v>7.7910607293879303E-2</v>
      </c>
      <c r="BT17" s="32">
        <f>9889148.02326219/100000</f>
        <v>98.891480232621902</v>
      </c>
      <c r="BU17" s="32">
        <v>368.67795240557803</v>
      </c>
      <c r="BV17" s="32">
        <v>0.35124400840374798</v>
      </c>
      <c r="BW17" s="32">
        <v>1.05030346391772</v>
      </c>
      <c r="BX17" s="2">
        <v>360</v>
      </c>
      <c r="BY17" s="2">
        <v>80</v>
      </c>
      <c r="BZ17" s="2">
        <v>361</v>
      </c>
      <c r="CA17" s="2">
        <v>80</v>
      </c>
    </row>
    <row r="18" spans="1:79" ht="14.4">
      <c r="A18" s="2">
        <v>5</v>
      </c>
      <c r="B18" s="32">
        <v>0.53973668981481504</v>
      </c>
      <c r="C18" s="32">
        <v>36.083635783289203</v>
      </c>
      <c r="D18" s="32">
        <v>791.03726069179902</v>
      </c>
      <c r="E18" s="32">
        <v>741.78281506768099</v>
      </c>
      <c r="F18" s="28">
        <f t="shared" si="0"/>
        <v>766.41003787974</v>
      </c>
      <c r="G18" s="32">
        <v>307.33464697001756</v>
      </c>
      <c r="H18" s="32">
        <v>306.73168661596117</v>
      </c>
      <c r="I18" s="32">
        <v>316.74401250286598</v>
      </c>
      <c r="J18" s="32">
        <v>717.48550057076704</v>
      </c>
      <c r="K18" s="32">
        <v>313.38670553791889</v>
      </c>
      <c r="L18" s="32">
        <v>301.9664390705467</v>
      </c>
      <c r="M18" s="32">
        <v>306.49559697905636</v>
      </c>
      <c r="N18" s="32">
        <v>361.95072028064368</v>
      </c>
      <c r="O18" s="32">
        <v>356.51820520502639</v>
      </c>
      <c r="P18" s="32">
        <v>19.079661343915301</v>
      </c>
      <c r="Q18" s="32">
        <v>1.82709186618166</v>
      </c>
      <c r="R18" s="32">
        <v>1599.1848142056899</v>
      </c>
      <c r="S18" s="32">
        <f t="shared" si="1"/>
        <v>167.46624213469846</v>
      </c>
      <c r="T18" s="32">
        <v>883.30485231150794</v>
      </c>
      <c r="U18" s="32">
        <v>9.9460688910934802</v>
      </c>
      <c r="V18" s="32">
        <v>0.71508825022045897</v>
      </c>
      <c r="W18" s="32">
        <v>3.6090411375661401E-2</v>
      </c>
      <c r="X18" s="32">
        <v>9.0111854045414503</v>
      </c>
      <c r="Y18" s="32">
        <v>49.505267457671998</v>
      </c>
      <c r="Z18" s="32">
        <v>1144.44139370723</v>
      </c>
      <c r="AA18" s="32">
        <v>-6.0513144841269802E-2</v>
      </c>
      <c r="AB18" s="32">
        <v>7.8085717039241596</v>
      </c>
      <c r="AC18" s="32">
        <v>10.4206437663139</v>
      </c>
      <c r="AD18" s="32">
        <v>222.216940929674</v>
      </c>
      <c r="AE18" s="32">
        <v>-250.099066804453</v>
      </c>
      <c r="AF18" s="32">
        <v>-20.4280105330688</v>
      </c>
      <c r="AG18" s="32">
        <v>317.7</v>
      </c>
      <c r="AH18" s="32">
        <v>993.1</v>
      </c>
      <c r="AI18" s="32">
        <v>56.15</v>
      </c>
      <c r="AJ18" s="32">
        <v>206.231816616619</v>
      </c>
      <c r="AK18" s="32">
        <v>12.6776579173644</v>
      </c>
      <c r="AL18" s="32">
        <v>0.28551123753754098</v>
      </c>
      <c r="AM18" s="28">
        <f t="shared" si="2"/>
        <v>3.5707097141158572E-3</v>
      </c>
      <c r="AN18" s="28">
        <f t="shared" si="3"/>
        <v>31.317552205540963</v>
      </c>
      <c r="AO18" s="32">
        <v>0.29398528823275299</v>
      </c>
      <c r="AP18" s="32">
        <v>0.29587474664011798</v>
      </c>
      <c r="AQ18" s="32">
        <v>30506.582502761899</v>
      </c>
      <c r="AR18" s="32">
        <f t="shared" si="4"/>
        <v>8.4740506952116386E-3</v>
      </c>
      <c r="AS18" s="32">
        <f t="shared" si="5"/>
        <v>0.49467117116522208</v>
      </c>
      <c r="AT18" s="32">
        <v>0.105979629370364</v>
      </c>
      <c r="AU18" s="32">
        <v>101.45215</v>
      </c>
      <c r="AV18" s="34">
        <v>10.431430547301799</v>
      </c>
      <c r="AW18" s="32">
        <f t="shared" si="12"/>
        <v>1.7081882502204588</v>
      </c>
      <c r="AX18" s="32">
        <f t="shared" si="13"/>
        <v>1.5373694251984129</v>
      </c>
      <c r="AY18" s="32">
        <f t="shared" si="6"/>
        <v>3195.1991864681659</v>
      </c>
      <c r="AZ18" s="32">
        <f t="shared" si="7"/>
        <v>2921.8575665564454</v>
      </c>
      <c r="BA18" s="32">
        <v>355.5</v>
      </c>
      <c r="BB18" s="32">
        <v>550</v>
      </c>
      <c r="BC18" s="32">
        <v>500</v>
      </c>
      <c r="BD18" s="32">
        <v>530</v>
      </c>
      <c r="BE18" s="32">
        <v>147923.97797614799</v>
      </c>
      <c r="BF18" s="32">
        <v>167662.61399129001</v>
      </c>
      <c r="BG18" s="32">
        <v>1599.18734072952</v>
      </c>
      <c r="BH18" s="32">
        <v>883.30632447314099</v>
      </c>
      <c r="BI18" s="32">
        <v>1001.17877367985</v>
      </c>
      <c r="BJ18" s="32">
        <f t="shared" si="8"/>
        <v>0.88226633214219397</v>
      </c>
      <c r="BK18" s="28">
        <f t="shared" si="9"/>
        <v>11.925077823798027</v>
      </c>
      <c r="BL18" s="28">
        <f t="shared" si="10"/>
        <v>10.521094672112502</v>
      </c>
      <c r="BM18" s="32">
        <v>0.26076016586650602</v>
      </c>
      <c r="BN18" s="32">
        <v>0.26924625396048502</v>
      </c>
      <c r="BO18" s="32">
        <v>9.0918249186608107E-3</v>
      </c>
      <c r="BP18" s="32">
        <v>655.76493778441397</v>
      </c>
      <c r="BQ18" s="32">
        <v>182.82909883381501</v>
      </c>
      <c r="BR18" s="32">
        <f t="shared" si="11"/>
        <v>207.22665273862975</v>
      </c>
      <c r="BS18" s="32">
        <v>3.5382379292525301</v>
      </c>
      <c r="BT18" s="32">
        <f>12241897.6728033/100000</f>
        <v>122.418976728033</v>
      </c>
      <c r="BU18" s="32">
        <v>371.47655317278901</v>
      </c>
      <c r="BV18" s="32">
        <v>0.50422579761904696</v>
      </c>
      <c r="BW18" s="32">
        <v>1.05107680746347</v>
      </c>
      <c r="BX18" s="2">
        <v>370</v>
      </c>
      <c r="BY18" s="2">
        <v>80</v>
      </c>
    </row>
    <row r="19" spans="1:79" s="28" customFormat="1" ht="14.4">
      <c r="A19" s="2">
        <v>10</v>
      </c>
      <c r="B19" s="32">
        <v>0.533562287564463</v>
      </c>
      <c r="C19" s="32">
        <v>34.341577197850697</v>
      </c>
      <c r="D19" s="32">
        <v>867.15556329061201</v>
      </c>
      <c r="E19" s="32">
        <v>823.94608308920101</v>
      </c>
      <c r="F19" s="28">
        <f t="shared" si="0"/>
        <v>845.55082318990651</v>
      </c>
      <c r="G19" s="32">
        <v>309.76408609388187</v>
      </c>
      <c r="H19" s="32">
        <v>308.63534903738127</v>
      </c>
      <c r="I19" s="32">
        <v>325.90490556058808</v>
      </c>
      <c r="J19" s="32">
        <v>772.22765270826699</v>
      </c>
      <c r="K19" s="32">
        <v>313.8140825348101</v>
      </c>
      <c r="L19" s="32">
        <v>303.06053887335179</v>
      </c>
      <c r="M19" s="32">
        <v>309.09971957357595</v>
      </c>
      <c r="N19" s="32">
        <v>386.86325372817799</v>
      </c>
      <c r="O19" s="32">
        <v>357.9027808643196</v>
      </c>
      <c r="P19" s="32">
        <v>19.665437908359699</v>
      </c>
      <c r="Q19" s="32">
        <v>1.56811642721519</v>
      </c>
      <c r="R19" s="32">
        <v>1599.27545799473</v>
      </c>
      <c r="S19" s="32">
        <f t="shared" si="1"/>
        <v>167.47573433008986</v>
      </c>
      <c r="T19" s="32">
        <v>1229.13756327136</v>
      </c>
      <c r="U19" s="32">
        <v>13.6106628842959</v>
      </c>
      <c r="V19" s="32">
        <v>1.11175533445411</v>
      </c>
      <c r="W19" s="32">
        <v>6.10631537447257E-2</v>
      </c>
      <c r="X19" s="32">
        <v>11.228069530656599</v>
      </c>
      <c r="Y19" s="32">
        <v>62.837489681170901</v>
      </c>
      <c r="Z19" s="32">
        <v>1122.70727070873</v>
      </c>
      <c r="AA19" s="32">
        <v>-5.2473269448839698E-2</v>
      </c>
      <c r="AB19" s="32">
        <v>8.8193688368275307</v>
      </c>
      <c r="AC19" s="32">
        <v>9.1616391041666692</v>
      </c>
      <c r="AD19" s="32">
        <v>97.288490810126603</v>
      </c>
      <c r="AE19" s="32">
        <v>-250.09834244007101</v>
      </c>
      <c r="AF19" s="32">
        <v>-20.427952056302701</v>
      </c>
      <c r="AG19" s="32">
        <v>313.7</v>
      </c>
      <c r="AH19" s="32">
        <v>993.7</v>
      </c>
      <c r="AI19" s="32">
        <v>47.9</v>
      </c>
      <c r="AJ19" s="32">
        <v>202.800485757817</v>
      </c>
      <c r="AK19" s="32">
        <v>9.9698984204067997</v>
      </c>
      <c r="AL19" s="32">
        <v>0.31831020505593699</v>
      </c>
      <c r="AM19" s="28">
        <f t="shared" si="2"/>
        <v>3.9806801694444041E-3</v>
      </c>
      <c r="AN19" s="28">
        <f t="shared" si="3"/>
        <v>34.473696524476935</v>
      </c>
      <c r="AO19" s="32">
        <v>0.32990648983335702</v>
      </c>
      <c r="AP19" s="32">
        <v>0.331279162944209</v>
      </c>
      <c r="AQ19" s="32">
        <v>41746.625198712303</v>
      </c>
      <c r="AR19" s="32">
        <f t="shared" si="4"/>
        <v>1.1596284777420085E-2</v>
      </c>
      <c r="AS19" s="32">
        <f t="shared" si="5"/>
        <v>0.60717944284267489</v>
      </c>
      <c r="AT19" s="32">
        <v>0.14501923004508899</v>
      </c>
      <c r="AU19" s="32">
        <v>117.9863</v>
      </c>
      <c r="AV19" s="34">
        <v>14.515558349749901</v>
      </c>
      <c r="AW19" s="32">
        <f t="shared" si="12"/>
        <v>2.1054553344541098</v>
      </c>
      <c r="AX19" s="32">
        <f t="shared" si="13"/>
        <v>1.8949098010086989</v>
      </c>
      <c r="AY19" s="32">
        <f t="shared" si="6"/>
        <v>3293.4836546253268</v>
      </c>
      <c r="AZ19" s="32">
        <f t="shared" si="7"/>
        <v>2507.8501173236327</v>
      </c>
      <c r="BA19" s="32">
        <v>353</v>
      </c>
      <c r="BB19" s="32">
        <v>550</v>
      </c>
      <c r="BC19" s="32">
        <v>500</v>
      </c>
      <c r="BD19" s="32">
        <v>530</v>
      </c>
      <c r="BE19" s="32">
        <v>205851.06710163801</v>
      </c>
      <c r="BF19" s="32">
        <v>233018.46472220201</v>
      </c>
      <c r="BG19" s="32">
        <v>1599.2781860805001</v>
      </c>
      <c r="BH19" s="32">
        <v>1229.1396115628199</v>
      </c>
      <c r="BI19" s="32">
        <v>1391.36853310179</v>
      </c>
      <c r="BJ19" s="32">
        <f t="shared" si="8"/>
        <v>0.88340334161696776</v>
      </c>
      <c r="BK19" s="28">
        <f t="shared" si="9"/>
        <v>16.572642643833692</v>
      </c>
      <c r="BL19" s="28">
        <f t="shared" si="10"/>
        <v>14.640327890986542</v>
      </c>
      <c r="BM19" s="32">
        <v>0.29116039703875901</v>
      </c>
      <c r="BN19" s="32">
        <v>0.30358566841196799</v>
      </c>
      <c r="BO19" s="32">
        <v>1.27894758179586E-2</v>
      </c>
      <c r="BP19" s="32">
        <v>726.47004184295804</v>
      </c>
      <c r="BQ19" s="32">
        <v>187.47768918651801</v>
      </c>
      <c r="BR19" s="32">
        <f t="shared" si="11"/>
        <v>212.2220738302413</v>
      </c>
      <c r="BS19" s="32">
        <v>16.653318664102699</v>
      </c>
      <c r="BT19" s="32">
        <f>13983168.8324512/100000</f>
        <v>139.83168832451202</v>
      </c>
      <c r="BU19" s="32">
        <v>373.26813481490098</v>
      </c>
      <c r="BV19" s="32">
        <v>0.63878216606754001</v>
      </c>
      <c r="BW19" s="32">
        <v>1.04274456714799</v>
      </c>
      <c r="BX19" s="2">
        <v>360</v>
      </c>
      <c r="BY19" s="2">
        <v>80</v>
      </c>
    </row>
    <row r="20" spans="1:79" ht="14.4">
      <c r="A20" s="2">
        <v>16</v>
      </c>
      <c r="B20" s="32">
        <v>0.46611661353976902</v>
      </c>
      <c r="C20" s="32">
        <v>32.698864295081997</v>
      </c>
      <c r="D20" s="32">
        <v>936.24071221311499</v>
      </c>
      <c r="E20" s="32">
        <v>903.47230662295101</v>
      </c>
      <c r="F20" s="28">
        <f t="shared" si="0"/>
        <v>919.85650941803306</v>
      </c>
      <c r="G20" s="32">
        <v>306.36552029508198</v>
      </c>
      <c r="H20" s="32">
        <v>304.68023926229506</v>
      </c>
      <c r="I20" s="32">
        <v>335.908317442623</v>
      </c>
      <c r="J20" s="32">
        <v>809.08010172131094</v>
      </c>
      <c r="K20" s="32">
        <v>313.05138762295076</v>
      </c>
      <c r="L20" s="32">
        <v>303.94689772131147</v>
      </c>
      <c r="M20" s="32">
        <v>313.99183857377045</v>
      </c>
      <c r="N20" s="32">
        <v>424.10476821311499</v>
      </c>
      <c r="O20" s="32">
        <v>359.60584886885249</v>
      </c>
      <c r="P20" s="32">
        <v>28.053404491803299</v>
      </c>
      <c r="Q20" s="32">
        <v>1.4215162622950801</v>
      </c>
      <c r="R20" s="32">
        <v>1796.8961723278701</v>
      </c>
      <c r="S20" s="32">
        <f t="shared" si="1"/>
        <v>188.17052714162853</v>
      </c>
      <c r="T20" s="32">
        <v>1416.7171247868901</v>
      </c>
      <c r="U20" s="32">
        <v>18.715154360655699</v>
      </c>
      <c r="V20" s="32">
        <v>1.6098735737704899</v>
      </c>
      <c r="W20" s="32">
        <v>0.12227624590163901</v>
      </c>
      <c r="X20" s="32">
        <v>15.051616163934399</v>
      </c>
      <c r="Y20" s="32">
        <v>60.154522442622998</v>
      </c>
      <c r="Z20" s="32">
        <v>776.43758944262299</v>
      </c>
      <c r="AA20" s="32">
        <v>-3.2919426229508199E-2</v>
      </c>
      <c r="AB20" s="32">
        <v>9.5064539016393503</v>
      </c>
      <c r="AC20" s="32">
        <v>8.8337400491803297</v>
      </c>
      <c r="AD20" s="32">
        <v>54.880996163934398</v>
      </c>
      <c r="AE20" s="32">
        <v>-250.113198803279</v>
      </c>
      <c r="AF20" s="32">
        <v>-20.429454196721299</v>
      </c>
      <c r="AG20" s="32">
        <v>304.54999999999995</v>
      </c>
      <c r="AH20" s="32">
        <v>993.9</v>
      </c>
      <c r="AI20" s="32">
        <v>34.6</v>
      </c>
      <c r="AJ20" s="32">
        <v>215.32812757703999</v>
      </c>
      <c r="AK20" s="32">
        <v>6.1327204655111798</v>
      </c>
      <c r="AL20" s="32">
        <v>0.36640092812706598</v>
      </c>
      <c r="AM20" s="28">
        <f t="shared" si="2"/>
        <v>4.0781535824899158E-3</v>
      </c>
      <c r="AN20" s="28">
        <f t="shared" si="3"/>
        <v>34.287690317432116</v>
      </c>
      <c r="AO20" s="32">
        <v>0.38234623964234499</v>
      </c>
      <c r="AP20" s="32">
        <v>0.38243553129835101</v>
      </c>
      <c r="AQ20" s="32">
        <v>57403.121455003296</v>
      </c>
      <c r="AR20" s="32">
        <f t="shared" si="4"/>
        <v>1.5945311515278691E-2</v>
      </c>
      <c r="AS20" s="32">
        <f t="shared" si="5"/>
        <v>0.72531255114383597</v>
      </c>
      <c r="AT20" s="32">
        <v>0.177476158732328</v>
      </c>
      <c r="AU20" s="32">
        <v>115.62935</v>
      </c>
      <c r="AV20" s="34">
        <v>16.730788078107</v>
      </c>
      <c r="AW20" s="32">
        <f t="shared" si="12"/>
        <v>2.6037735737704901</v>
      </c>
      <c r="AX20" s="32">
        <f t="shared" si="13"/>
        <v>2.3433962163934412</v>
      </c>
      <c r="AY20" s="32">
        <f t="shared" si="6"/>
        <v>5278.8239113399559</v>
      </c>
      <c r="AZ20" s="32">
        <f t="shared" si="7"/>
        <v>2554.3171306198501</v>
      </c>
      <c r="BA20" s="32">
        <v>353.9</v>
      </c>
      <c r="BB20" s="32">
        <v>550</v>
      </c>
      <c r="BC20" s="32">
        <v>500</v>
      </c>
      <c r="BD20" s="32">
        <v>530</v>
      </c>
      <c r="BE20" s="32">
        <v>266584.74155425403</v>
      </c>
      <c r="BF20" s="32">
        <v>296198.80291966599</v>
      </c>
      <c r="BG20" s="32">
        <v>1796.8984191351999</v>
      </c>
      <c r="BH20" s="32">
        <v>1416.7194861932001</v>
      </c>
      <c r="BI20" s="32">
        <v>1574.10942974758</v>
      </c>
      <c r="BJ20" s="32">
        <f t="shared" si="8"/>
        <v>0.90001334050859572</v>
      </c>
      <c r="BK20" s="28">
        <f t="shared" si="9"/>
        <v>18.749276299485668</v>
      </c>
      <c r="BL20" s="28">
        <f t="shared" si="10"/>
        <v>16.874598794418738</v>
      </c>
      <c r="BM20" s="32">
        <v>0.33566777890813998</v>
      </c>
      <c r="BN20" s="32">
        <v>0.35100730891998599</v>
      </c>
      <c r="BO20" s="32">
        <v>1.68170192990428E-2</v>
      </c>
      <c r="BP20" s="32">
        <v>815.07036207243198</v>
      </c>
      <c r="BQ20" s="32">
        <v>196.06779943208099</v>
      </c>
      <c r="BR20" s="32">
        <f t="shared" si="11"/>
        <v>217.84988133762937</v>
      </c>
      <c r="BS20" s="32">
        <v>21.069602899905899</v>
      </c>
      <c r="BT20" s="32">
        <f>11693135.6738923/100000</f>
        <v>116.931356738923</v>
      </c>
      <c r="BU20" s="32">
        <v>374.74939914427398</v>
      </c>
      <c r="BV20" s="32">
        <v>0.73175974226245899</v>
      </c>
      <c r="BW20" s="32"/>
    </row>
    <row r="21" spans="1:79" ht="14.4">
      <c r="A21" s="2">
        <v>4</v>
      </c>
      <c r="B21" s="32">
        <v>0.54158557757452597</v>
      </c>
      <c r="C21" s="32">
        <v>36.239717661723901</v>
      </c>
      <c r="D21" s="32">
        <v>704.81523309977797</v>
      </c>
      <c r="E21" s="32">
        <v>669.94081654670197</v>
      </c>
      <c r="F21" s="28">
        <f t="shared" si="0"/>
        <v>687.37802482323991</v>
      </c>
      <c r="G21" s="32">
        <v>306.21337248073729</v>
      </c>
      <c r="H21" s="32">
        <v>305.9616837343404</v>
      </c>
      <c r="I21" s="32">
        <v>312.92254079794895</v>
      </c>
      <c r="J21" s="32">
        <v>645.32218902688498</v>
      </c>
      <c r="K21" s="32">
        <v>314.60232250457318</v>
      </c>
      <c r="L21" s="32">
        <v>301.91656526704548</v>
      </c>
      <c r="M21" s="32">
        <v>308.60021059132475</v>
      </c>
      <c r="N21" s="32">
        <v>344.67458470426828</v>
      </c>
      <c r="O21" s="32">
        <v>-1014499643.72615</v>
      </c>
      <c r="P21" s="32">
        <v>18.855012015798199</v>
      </c>
      <c r="Q21" s="32">
        <v>1.8233827160476701</v>
      </c>
      <c r="R21" s="32">
        <v>1799.203633074</v>
      </c>
      <c r="S21" s="32">
        <f t="shared" si="1"/>
        <v>188.41216386591148</v>
      </c>
      <c r="T21" s="32">
        <v>551.21338566865302</v>
      </c>
      <c r="U21" s="32">
        <v>7.6285137091186304</v>
      </c>
      <c r="V21" s="32">
        <v>0.485531465631929</v>
      </c>
      <c r="W21" s="32">
        <v>2.8068568181818201E-2</v>
      </c>
      <c r="X21" s="32">
        <v>8.6680962199279392</v>
      </c>
      <c r="Y21" s="32">
        <v>23.5611943224778</v>
      </c>
      <c r="Z21" s="32">
        <v>657.426001969097</v>
      </c>
      <c r="AA21" s="32">
        <v>-7.4073688470066498E-2</v>
      </c>
      <c r="AB21" s="32">
        <v>5.96784654891907</v>
      </c>
      <c r="AC21" s="32">
        <v>12.863201097560999</v>
      </c>
      <c r="AD21" s="32">
        <v>90.283758821230606</v>
      </c>
      <c r="AE21" s="32">
        <v>-250.11660729614701</v>
      </c>
      <c r="AF21" s="32">
        <v>-20.429129538248301</v>
      </c>
      <c r="AG21" s="32">
        <v>316.5</v>
      </c>
      <c r="AH21" s="32">
        <v>992.55</v>
      </c>
      <c r="AI21" s="32">
        <v>55.1</v>
      </c>
      <c r="AJ21" s="32">
        <v>225.295923547792</v>
      </c>
      <c r="AK21" s="32">
        <v>10.178784333447799</v>
      </c>
      <c r="AL21" s="32">
        <v>0.280240739027799</v>
      </c>
      <c r="AM21" s="28">
        <f t="shared" si="2"/>
        <v>3.1151642190606101E-3</v>
      </c>
      <c r="AN21" s="28">
        <f t="shared" si="3"/>
        <v>27.21890879767334</v>
      </c>
      <c r="AO21" s="32">
        <v>0.286740232707968</v>
      </c>
      <c r="AP21" s="32">
        <v>0.28806730844073403</v>
      </c>
      <c r="AQ21" s="32">
        <v>23398.177248608699</v>
      </c>
      <c r="AR21" s="32">
        <f t="shared" si="4"/>
        <v>6.4994936801690828E-3</v>
      </c>
      <c r="AS21" s="32">
        <f t="shared" si="5"/>
        <v>0.38654228163000681</v>
      </c>
      <c r="AT21" s="32">
        <v>7.2248561093270602E-2</v>
      </c>
      <c r="AU21" s="32">
        <v>74.965000000000003</v>
      </c>
      <c r="AV21" s="34">
        <v>6.5095806213434297</v>
      </c>
      <c r="AW21" s="32">
        <f t="shared" si="12"/>
        <v>1.478081465631929</v>
      </c>
      <c r="AX21" s="32">
        <f t="shared" si="13"/>
        <v>1.3302733190687361</v>
      </c>
      <c r="AY21" s="32">
        <f t="shared" si="6"/>
        <v>3552.5136136142996</v>
      </c>
      <c r="AZ21" s="32">
        <f t="shared" si="7"/>
        <v>3280.6368071973056</v>
      </c>
      <c r="BA21" s="32">
        <v>361.5</v>
      </c>
      <c r="BB21" s="32">
        <v>550</v>
      </c>
      <c r="BC21" s="32">
        <v>500</v>
      </c>
      <c r="BD21" s="32">
        <v>530</v>
      </c>
      <c r="BE21" s="32">
        <v>103855.450534014</v>
      </c>
      <c r="BF21" s="32">
        <v>115429.433361758</v>
      </c>
      <c r="BG21" s="32">
        <v>1799.20612398051</v>
      </c>
      <c r="BH21" s="32">
        <v>551.21430438889104</v>
      </c>
      <c r="BI21" s="32">
        <v>612.64575798302997</v>
      </c>
      <c r="BJ21" s="32">
        <f t="shared" si="8"/>
        <v>0.89972761127672651</v>
      </c>
      <c r="BK21" s="28">
        <f t="shared" si="9"/>
        <v>7.2972465401974187</v>
      </c>
      <c r="BL21" s="28">
        <f t="shared" si="10"/>
        <v>6.5655341985091802</v>
      </c>
      <c r="BM21" s="32">
        <v>0.25553000200036002</v>
      </c>
      <c r="BN21" s="32">
        <v>0.26169485189235397</v>
      </c>
      <c r="BO21" s="32">
        <v>6.36976483250885E-3</v>
      </c>
      <c r="BP21" s="32">
        <v>604.53150059543702</v>
      </c>
      <c r="BQ21" s="32">
        <v>188.608603656041</v>
      </c>
      <c r="BR21" s="32">
        <f t="shared" si="11"/>
        <v>209.62856012432769</v>
      </c>
      <c r="BS21" s="35">
        <v>3.0696589615544102E-2</v>
      </c>
      <c r="BT21" s="32">
        <f>8056824.67899468/100000</f>
        <v>80.568246789946798</v>
      </c>
      <c r="BU21" s="32">
        <v>359.573403626713</v>
      </c>
      <c r="BV21" s="32">
        <v>0.358513406707199</v>
      </c>
      <c r="BW21" s="32"/>
      <c r="BX21" s="2">
        <v>370</v>
      </c>
      <c r="BY21" s="2">
        <v>80</v>
      </c>
    </row>
    <row r="22" spans="1:79" ht="14.4">
      <c r="A22" s="2">
        <v>9</v>
      </c>
      <c r="B22" s="32">
        <v>0.534532462011725</v>
      </c>
      <c r="C22" s="32">
        <v>34.182682860229299</v>
      </c>
      <c r="D22" s="32">
        <v>842.92827716975296</v>
      </c>
      <c r="E22" s="32">
        <v>801.68279287918892</v>
      </c>
      <c r="F22" s="28">
        <f t="shared" si="0"/>
        <v>822.30553502447094</v>
      </c>
      <c r="G22" s="32">
        <v>309.6252304872134</v>
      </c>
      <c r="H22" s="32">
        <v>308.5119395284392</v>
      </c>
      <c r="I22" s="32">
        <v>325.89448670524689</v>
      </c>
      <c r="J22" s="32">
        <v>742.41857049779605</v>
      </c>
      <c r="K22" s="32">
        <v>314.34140499779539</v>
      </c>
      <c r="L22" s="32">
        <v>303.02082108311288</v>
      </c>
      <c r="M22" s="32">
        <v>309.70627724029976</v>
      </c>
      <c r="N22" s="32">
        <v>386.55918474096097</v>
      </c>
      <c r="O22" s="32">
        <v>358.22569376587296</v>
      </c>
      <c r="P22" s="32">
        <v>21.157511058421498</v>
      </c>
      <c r="Q22" s="32">
        <v>1.60041102865961</v>
      </c>
      <c r="R22" s="32">
        <v>1799.3838367568401</v>
      </c>
      <c r="S22" s="32">
        <f t="shared" si="1"/>
        <v>188.43103475145014</v>
      </c>
      <c r="T22" s="32">
        <v>1053.54275880974</v>
      </c>
      <c r="U22" s="32">
        <v>13.674598247134</v>
      </c>
      <c r="V22" s="32">
        <v>1.10340280180776</v>
      </c>
      <c r="W22" s="32">
        <v>7.2905304453262806E-2</v>
      </c>
      <c r="X22" s="32">
        <v>12.5713772440476</v>
      </c>
      <c r="Y22" s="32">
        <v>62.637335045855401</v>
      </c>
      <c r="Z22" s="32">
        <v>779.68821194709005</v>
      </c>
      <c r="AA22" s="32">
        <v>-5.7531384479717798E-2</v>
      </c>
      <c r="AB22" s="32">
        <v>8.2046401503527306</v>
      </c>
      <c r="AC22" s="32">
        <v>10.4165218201058</v>
      </c>
      <c r="AD22" s="32">
        <v>1685.4267800714299</v>
      </c>
      <c r="AE22" s="32">
        <v>-250.11542478064399</v>
      </c>
      <c r="AF22" s="32">
        <v>-20.4292678829365</v>
      </c>
      <c r="AG22" s="32">
        <v>319.2</v>
      </c>
      <c r="AH22" s="32">
        <v>993.55</v>
      </c>
      <c r="AI22" s="32">
        <v>55.7</v>
      </c>
      <c r="AJ22" s="32">
        <v>211.276927200317</v>
      </c>
      <c r="AK22" s="32">
        <v>7.5785762774711198</v>
      </c>
      <c r="AL22" s="32">
        <v>0.33590995354330899</v>
      </c>
      <c r="AM22" s="28">
        <f t="shared" si="2"/>
        <v>3.7336108803638457E-3</v>
      </c>
      <c r="AN22" s="28">
        <f t="shared" si="3"/>
        <v>32.900915769728783</v>
      </c>
      <c r="AO22" s="32">
        <v>0.34756071124986698</v>
      </c>
      <c r="AP22" s="32">
        <v>0.34893293515588097</v>
      </c>
      <c r="AQ22" s="32">
        <v>41942.727743609503</v>
      </c>
      <c r="AR22" s="32">
        <f t="shared" si="4"/>
        <v>1.1650757706558195E-2</v>
      </c>
      <c r="AS22" s="32">
        <f t="shared" si="5"/>
        <v>0.57806948874549402</v>
      </c>
      <c r="AT22" s="32">
        <v>0.129497191967193</v>
      </c>
      <c r="AU22" s="32">
        <v>102.411725</v>
      </c>
      <c r="AV22" s="34">
        <v>12.4418631782414</v>
      </c>
      <c r="AW22" s="32">
        <f t="shared" si="12"/>
        <v>2.0969528018077597</v>
      </c>
      <c r="AX22" s="32">
        <f t="shared" si="13"/>
        <v>1.8872575216269838</v>
      </c>
      <c r="AY22" s="32">
        <f t="shared" si="6"/>
        <v>3986.7317015036124</v>
      </c>
      <c r="AZ22" s="32">
        <f t="shared" si="7"/>
        <v>2879.7537371374901</v>
      </c>
      <c r="BA22" s="32">
        <v>355.5</v>
      </c>
      <c r="BB22" s="32">
        <v>550</v>
      </c>
      <c r="BC22" s="32">
        <v>500</v>
      </c>
      <c r="BD22" s="32">
        <v>530</v>
      </c>
      <c r="BE22" s="32">
        <v>198520.23104647201</v>
      </c>
      <c r="BF22" s="32">
        <v>220683.452670495</v>
      </c>
      <c r="BG22" s="32">
        <v>1799.38455111856</v>
      </c>
      <c r="BH22" s="32">
        <v>1053.5445149048601</v>
      </c>
      <c r="BI22" s="32">
        <v>1171.1720649789299</v>
      </c>
      <c r="BJ22" s="32">
        <f t="shared" si="8"/>
        <v>0.89956424543289804</v>
      </c>
      <c r="BK22" s="28">
        <f t="shared" si="9"/>
        <v>13.94987427526927</v>
      </c>
      <c r="BL22" s="28">
        <f t="shared" si="10"/>
        <v>12.548808126316397</v>
      </c>
      <c r="BM22" s="32">
        <v>0.30847268804529598</v>
      </c>
      <c r="BN22" s="32">
        <v>0.32010512554227399</v>
      </c>
      <c r="BO22" s="32">
        <v>1.2195782958138701E-2</v>
      </c>
      <c r="BP22" s="32">
        <v>723.75193339710097</v>
      </c>
      <c r="BQ22" s="32">
        <v>190.65910241945201</v>
      </c>
      <c r="BR22" s="32">
        <f t="shared" si="11"/>
        <v>211.94606542826855</v>
      </c>
      <c r="BS22" s="32">
        <v>6.3000986862963204</v>
      </c>
      <c r="BT22" s="32">
        <f>11243071.3949554/100000</f>
        <v>112.430713949554</v>
      </c>
      <c r="BU22" s="32">
        <v>374.10230006814299</v>
      </c>
      <c r="BV22" s="32">
        <v>0.57419390145774596</v>
      </c>
      <c r="BW22" s="32">
        <v>1.0437248173362399</v>
      </c>
      <c r="BX22" s="2">
        <v>360</v>
      </c>
      <c r="BY22" s="2">
        <v>80</v>
      </c>
    </row>
    <row r="23" spans="1:79">
      <c r="AG23" s="2">
        <v>273.14999999999998</v>
      </c>
    </row>
    <row r="24" spans="1:79">
      <c r="D24" s="2">
        <v>273.14999999999998</v>
      </c>
      <c r="I24" s="2">
        <f>1800/30*PI()</f>
        <v>188.49555921538757</v>
      </c>
      <c r="AR24" s="2">
        <f>AR15/AZ15</f>
        <v>3.8396385307401563E-6</v>
      </c>
    </row>
  </sheetData>
  <sortState ref="A3:BY22">
    <sortCondition ref="R3:R22"/>
    <sortCondition ref="T3:T22"/>
  </sortState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3"/>
  <sheetViews>
    <sheetView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09375" defaultRowHeight="13.8"/>
  <cols>
    <col min="1" max="43" width="9.109375" style="2"/>
    <col min="44" max="44" width="11.77734375" style="2" bestFit="1" customWidth="1"/>
    <col min="45" max="73" width="9.109375" style="2"/>
    <col min="74" max="74" width="12.5546875" style="2" bestFit="1" customWidth="1"/>
    <col min="75" max="16384" width="9.109375" style="2"/>
  </cols>
  <sheetData>
    <row r="1" spans="1:81">
      <c r="B1" s="2">
        <v>1</v>
      </c>
      <c r="C1" s="2">
        <v>2</v>
      </c>
      <c r="D1" s="2">
        <v>3</v>
      </c>
      <c r="E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  <c r="AK1" s="2">
        <v>34</v>
      </c>
      <c r="AL1" s="2">
        <v>35</v>
      </c>
      <c r="AO1" s="2">
        <v>36</v>
      </c>
      <c r="BC1" s="2" t="s">
        <v>209</v>
      </c>
      <c r="BD1" s="2" t="s">
        <v>78</v>
      </c>
      <c r="BE1" s="2">
        <f>PI()*0.127^2/4*0.14</f>
        <v>1.7734761768412423E-3</v>
      </c>
      <c r="BF1" s="2" t="s">
        <v>286</v>
      </c>
      <c r="BG1" s="2">
        <f>0.0017576341989371+7.27848199546045E-07</f>
        <v>1.758362047136646E-3</v>
      </c>
      <c r="BH1" s="2" t="s">
        <v>287</v>
      </c>
      <c r="BI1" s="2">
        <f>BE1/(18-1)</f>
        <v>1.0432212804948484E-4</v>
      </c>
      <c r="BJ1" s="2">
        <f>60*(BI1/BG1)^(1.4)</f>
        <v>1.1500762664078525</v>
      </c>
      <c r="BK1" s="2">
        <f>BE1+BI1</f>
        <v>1.8777983048907272E-3</v>
      </c>
      <c r="BV1" s="31">
        <v>100000</v>
      </c>
    </row>
    <row r="2" spans="1:81">
      <c r="B2" s="2" t="s">
        <v>160</v>
      </c>
      <c r="C2" s="2" t="s">
        <v>162</v>
      </c>
      <c r="D2" s="2" t="s">
        <v>165</v>
      </c>
      <c r="E2" s="2" t="s">
        <v>166</v>
      </c>
      <c r="F2" s="2" t="s">
        <v>199</v>
      </c>
      <c r="G2" s="2" t="s">
        <v>162</v>
      </c>
      <c r="H2" s="2" t="s">
        <v>161</v>
      </c>
      <c r="I2" s="2" t="s">
        <v>163</v>
      </c>
      <c r="J2" s="2" t="s">
        <v>164</v>
      </c>
      <c r="K2" s="2" t="s">
        <v>167</v>
      </c>
      <c r="L2" s="2" t="s">
        <v>168</v>
      </c>
      <c r="M2" s="2" t="s">
        <v>169</v>
      </c>
      <c r="N2" s="2" t="s">
        <v>186</v>
      </c>
      <c r="O2" s="2" t="s">
        <v>170</v>
      </c>
      <c r="P2" s="2" t="s">
        <v>171</v>
      </c>
      <c r="R2" s="2" t="s">
        <v>76</v>
      </c>
      <c r="T2" s="2" t="s">
        <v>172</v>
      </c>
      <c r="U2" s="2" t="s">
        <v>173</v>
      </c>
      <c r="V2" s="2" t="s">
        <v>174</v>
      </c>
      <c r="W2" s="2" t="s">
        <v>175</v>
      </c>
      <c r="X2" s="2" t="s">
        <v>176</v>
      </c>
      <c r="Y2" s="2" t="s">
        <v>177</v>
      </c>
      <c r="Z2" s="2" t="s">
        <v>179</v>
      </c>
      <c r="AA2" s="2" t="s">
        <v>178</v>
      </c>
      <c r="AB2" s="2" t="s">
        <v>180</v>
      </c>
      <c r="AC2" s="2" t="s">
        <v>181</v>
      </c>
      <c r="AD2" s="2" t="s">
        <v>182</v>
      </c>
      <c r="AG2" s="2" t="s">
        <v>185</v>
      </c>
      <c r="AH2" s="2" t="s">
        <v>183</v>
      </c>
      <c r="AI2" s="2" t="s">
        <v>184</v>
      </c>
      <c r="AJ2" s="2" t="s">
        <v>187</v>
      </c>
      <c r="AK2" s="2" t="s">
        <v>188</v>
      </c>
      <c r="AL2" s="2" t="s">
        <v>189</v>
      </c>
      <c r="AM2" s="2" t="s">
        <v>284</v>
      </c>
      <c r="AN2" s="2" t="s">
        <v>285</v>
      </c>
      <c r="AO2" s="2" t="s">
        <v>190</v>
      </c>
      <c r="AP2" s="2" t="s">
        <v>193</v>
      </c>
      <c r="AQ2" s="2" t="s">
        <v>191</v>
      </c>
      <c r="AR2" s="2" t="s">
        <v>224</v>
      </c>
      <c r="AS2" s="2" t="s">
        <v>212</v>
      </c>
      <c r="AT2" s="2" t="s">
        <v>192</v>
      </c>
      <c r="AU2" s="2" t="s">
        <v>194</v>
      </c>
      <c r="AV2" s="2" t="s">
        <v>195</v>
      </c>
      <c r="AW2" s="2" t="s">
        <v>197</v>
      </c>
      <c r="AZ2" s="2" t="s">
        <v>198</v>
      </c>
      <c r="BA2" s="2" t="s">
        <v>208</v>
      </c>
      <c r="BB2" s="2" t="s">
        <v>208</v>
      </c>
      <c r="BC2" s="2" t="s">
        <v>210</v>
      </c>
      <c r="BD2" s="2" t="s">
        <v>227</v>
      </c>
      <c r="BE2" s="2" t="s">
        <v>42</v>
      </c>
      <c r="BF2" s="2" t="s">
        <v>228</v>
      </c>
      <c r="BG2" s="2" t="s">
        <v>217</v>
      </c>
      <c r="BH2" s="2" t="s">
        <v>218</v>
      </c>
      <c r="BI2" s="2" t="s">
        <v>76</v>
      </c>
      <c r="BJ2" s="2" t="s">
        <v>216</v>
      </c>
      <c r="BK2" s="2" t="s">
        <v>215</v>
      </c>
      <c r="BL2" s="2" t="s">
        <v>225</v>
      </c>
      <c r="BM2" s="2" t="s">
        <v>220</v>
      </c>
      <c r="BN2" s="2" t="s">
        <v>195</v>
      </c>
      <c r="BO2" s="2" t="s">
        <v>213</v>
      </c>
      <c r="BP2" s="2" t="s">
        <v>214</v>
      </c>
      <c r="BQ2" s="2" t="s">
        <v>223</v>
      </c>
      <c r="BR2" s="2" t="s">
        <v>199</v>
      </c>
      <c r="BS2" s="2" t="s">
        <v>221</v>
      </c>
      <c r="BT2" s="2" t="s">
        <v>222</v>
      </c>
      <c r="BU2" s="2" t="s">
        <v>211</v>
      </c>
      <c r="BV2" s="2" t="s">
        <v>194</v>
      </c>
      <c r="BW2" s="2" t="s">
        <v>219</v>
      </c>
      <c r="BX2" s="2" t="s">
        <v>212</v>
      </c>
      <c r="BY2" s="2" t="s">
        <v>288</v>
      </c>
      <c r="BZ2" s="2" t="s">
        <v>226</v>
      </c>
      <c r="CA2" s="2" t="s">
        <v>272</v>
      </c>
      <c r="CB2" s="2" t="s">
        <v>273</v>
      </c>
      <c r="CC2" s="2" t="s">
        <v>212</v>
      </c>
    </row>
    <row r="3" spans="1:81" ht="14.4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9"/>
      <c r="AW3" s="28"/>
      <c r="AX3" s="28"/>
      <c r="AY3" s="33"/>
      <c r="AZ3" s="28"/>
      <c r="BA3" s="28"/>
      <c r="BB3" s="28"/>
      <c r="BC3" s="28"/>
      <c r="BD3" s="32"/>
      <c r="BE3" s="32"/>
      <c r="BF3" s="32"/>
      <c r="BG3" s="28">
        <v>45902.352146224199</v>
      </c>
      <c r="BH3" s="28">
        <v>51845.749567843101</v>
      </c>
      <c r="BI3" s="28">
        <v>798.92468732667601</v>
      </c>
      <c r="BJ3" s="28">
        <v>548.65735422673799</v>
      </c>
      <c r="BK3" s="28">
        <v>619.68692015018803</v>
      </c>
      <c r="BL3" s="28">
        <f t="shared" ref="BL3:BL14" si="0">BJ3/BK3</f>
        <v>0.88537830376307569</v>
      </c>
      <c r="BM3" s="28">
        <f t="shared" ref="BM3:BM19" si="1">BN3/BL3</f>
        <v>7.3182098774007187</v>
      </c>
      <c r="BN3" s="28">
        <f t="shared" ref="BN3:BN14" si="2">BG3*2/(BI3/60)/($BE$1*6)/100000</f>
        <v>6.4793842478352346</v>
      </c>
      <c r="BO3" s="28">
        <v>7.5056116513533999E-2</v>
      </c>
      <c r="BP3" s="28">
        <v>7.7521170654903104E-2</v>
      </c>
      <c r="BQ3" s="28">
        <v>3.53750342165104E-3</v>
      </c>
      <c r="BR3" s="28">
        <v>587.37242754112697</v>
      </c>
      <c r="BS3" s="28">
        <v>215.86053123334901</v>
      </c>
      <c r="BT3" s="28">
        <f t="shared" ref="BT3:BT19" si="3">BS3*BK3/BJ3</f>
        <v>243.80598701807872</v>
      </c>
      <c r="BU3" s="28">
        <v>9.1435682310106898</v>
      </c>
      <c r="BV3" s="28">
        <f>9016304.06019352/100000</f>
        <v>90.163040601935194</v>
      </c>
      <c r="BW3" s="28">
        <v>368.71470931416002</v>
      </c>
      <c r="BX3" s="28">
        <f t="shared" ref="BX3:BX13" si="4">BQ3/BO3/0.067</f>
        <v>0.70345444161881887</v>
      </c>
      <c r="BY3" s="28">
        <v>2936.3058925515702</v>
      </c>
      <c r="CA3" s="2">
        <v>361</v>
      </c>
      <c r="CB3" s="2">
        <v>70</v>
      </c>
      <c r="CC3" s="2">
        <v>1</v>
      </c>
    </row>
    <row r="4" spans="1:81" ht="14.4">
      <c r="A4" s="2">
        <v>1</v>
      </c>
      <c r="B4" s="28">
        <v>0.42725115740740799</v>
      </c>
      <c r="C4" s="28">
        <v>33.292933796008597</v>
      </c>
      <c r="D4" s="28">
        <v>681.811660055071</v>
      </c>
      <c r="E4" s="28">
        <v>649.37919231185992</v>
      </c>
      <c r="F4" s="28">
        <f>(AVERAGE(D4:E4))</f>
        <v>665.59542618346541</v>
      </c>
      <c r="G4" s="28">
        <v>302.41238834691165</v>
      </c>
      <c r="H4" s="28">
        <v>303.54037595408607</v>
      </c>
      <c r="I4" s="28">
        <v>304.00323939535178</v>
      </c>
      <c r="J4" s="28">
        <v>659.69227183895396</v>
      </c>
      <c r="K4" s="28">
        <v>310.73814663319439</v>
      </c>
      <c r="L4" s="28">
        <v>301.14845027194639</v>
      </c>
      <c r="M4" s="28">
        <v>302.15692505930281</v>
      </c>
      <c r="N4" s="28">
        <v>311.43989885922696</v>
      </c>
      <c r="O4" s="28">
        <v>354.61263813047867</v>
      </c>
      <c r="P4" s="28">
        <v>20.682090443476099</v>
      </c>
      <c r="Q4" s="28">
        <v>1.0871701228369299</v>
      </c>
      <c r="R4" s="28">
        <v>798.91023827144102</v>
      </c>
      <c r="S4" s="28">
        <f>R4*PI()/30</f>
        <v>83.661684514374343</v>
      </c>
      <c r="T4" s="28">
        <v>548.65643980112395</v>
      </c>
      <c r="U4" s="28">
        <v>3.2591800315776198</v>
      </c>
      <c r="V4" s="28">
        <v>9.4654934255399795E-2</v>
      </c>
      <c r="W4" s="28">
        <v>-1.1781463306808099E-3</v>
      </c>
      <c r="X4" s="28">
        <v>2.5207128141972999</v>
      </c>
      <c r="Y4" s="28">
        <v>17.122901585828</v>
      </c>
      <c r="Z4" s="28">
        <v>1347.1905036406499</v>
      </c>
      <c r="AA4" s="28">
        <v>-4.6989438297334797E-2</v>
      </c>
      <c r="AB4" s="28">
        <v>6.8330919196033797</v>
      </c>
      <c r="AC4" s="28">
        <v>10.674684968864501</v>
      </c>
      <c r="AD4" s="28">
        <v>117.198384171277</v>
      </c>
      <c r="AE4" s="28">
        <v>-250.03816323184299</v>
      </c>
      <c r="AF4" s="28">
        <v>-20.4224751576355</v>
      </c>
      <c r="AG4" s="28">
        <v>300.5</v>
      </c>
      <c r="AH4" s="28">
        <v>992.05</v>
      </c>
      <c r="AI4" s="28">
        <v>17.7</v>
      </c>
      <c r="AJ4" s="28">
        <v>217.782691359193</v>
      </c>
      <c r="AK4" s="28">
        <v>26.080648202178399</v>
      </c>
      <c r="AL4" s="28">
        <v>0.154902739869792</v>
      </c>
      <c r="AM4" s="28">
        <f>AL4/(R4/60/2)/6</f>
        <v>3.8778509136382249E-3</v>
      </c>
      <c r="AN4" s="28">
        <f>AM4*288*AG4/$BG$1/100000</f>
        <v>1.9086213218512784</v>
      </c>
      <c r="AO4" s="28">
        <v>0.15767956125669599</v>
      </c>
      <c r="AP4" s="28">
        <v>0.15983830835075799</v>
      </c>
      <c r="AQ4" s="28">
        <v>9996.5569928548703</v>
      </c>
      <c r="AR4" s="28">
        <f>AQ4/3600/1000</f>
        <v>2.7768213869041303E-3</v>
      </c>
      <c r="AS4" s="28">
        <f>AQ4/3600/1000/AL4/0.06</f>
        <v>0.29877041869823912</v>
      </c>
      <c r="AT4" s="28">
        <v>6.9515228467022502E-2</v>
      </c>
      <c r="AU4" s="28">
        <v>76.517399999999995</v>
      </c>
      <c r="AV4" s="29">
        <v>6.47938424784844</v>
      </c>
      <c r="AW4" s="28">
        <f>V4+$AH4/1000</f>
        <v>1.0867049342553998</v>
      </c>
      <c r="AX4" s="28">
        <f>AW4*0.9+0.03</f>
        <v>1.0080344408298598</v>
      </c>
      <c r="AY4" s="33">
        <f>ROUND(AX4*2,0)/2*100000</f>
        <v>100000</v>
      </c>
      <c r="AZ4" s="28">
        <f>W4+$AH4/1000</f>
        <v>0.99087185366931918</v>
      </c>
      <c r="BA4" s="28">
        <f>R4/30*PI()*T4</f>
        <v>45901.521973421448</v>
      </c>
      <c r="BB4" s="28">
        <f>T4*S4</f>
        <v>45901.521973421448</v>
      </c>
      <c r="BC4" s="28">
        <v>357.9</v>
      </c>
      <c r="BD4" s="32">
        <v>550</v>
      </c>
      <c r="BE4" s="32">
        <v>500</v>
      </c>
      <c r="BF4" s="32">
        <v>530</v>
      </c>
      <c r="BG4" s="28">
        <v>45902.607044317898</v>
      </c>
      <c r="BH4" s="28">
        <v>51853.504150312903</v>
      </c>
      <c r="BI4" s="28">
        <v>798.92912379611403</v>
      </c>
      <c r="BJ4" s="28">
        <v>548.65735422673799</v>
      </c>
      <c r="BK4" s="28">
        <v>619.77552284682497</v>
      </c>
      <c r="BL4" s="28">
        <f t="shared" si="0"/>
        <v>0.88525173066948704</v>
      </c>
      <c r="BM4" s="28">
        <f t="shared" si="1"/>
        <v>7.3192562334045075</v>
      </c>
      <c r="BN4" s="28">
        <f t="shared" si="2"/>
        <v>6.479384247834771</v>
      </c>
      <c r="BO4" s="28">
        <v>7.5501553241951097E-2</v>
      </c>
      <c r="BP4" s="28">
        <v>7.7468125475425198E-2</v>
      </c>
      <c r="BQ4" s="28">
        <v>3.5209589308852398E-3</v>
      </c>
      <c r="BR4" s="28">
        <v>587.89632348337398</v>
      </c>
      <c r="BS4" s="28">
        <v>212.73367722450899</v>
      </c>
      <c r="BT4" s="28">
        <f t="shared" si="3"/>
        <v>240.30868266546676</v>
      </c>
      <c r="BU4" s="28">
        <v>9.8224634882857007</v>
      </c>
      <c r="BV4" s="28">
        <f>8987247.46922537/100000</f>
        <v>89.872474692253689</v>
      </c>
      <c r="BW4" s="28">
        <v>368.76453989038299</v>
      </c>
      <c r="BX4" s="28">
        <f t="shared" si="4"/>
        <v>0.69603370497163064</v>
      </c>
      <c r="BY4" s="28">
        <v>2942.4905348833199</v>
      </c>
      <c r="CA4" s="2">
        <v>361</v>
      </c>
      <c r="CB4" s="2">
        <v>80</v>
      </c>
      <c r="CC4" s="2">
        <v>1</v>
      </c>
    </row>
    <row r="5" spans="1:81" ht="14.4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9"/>
      <c r="AW5" s="28"/>
      <c r="AX5" s="28"/>
      <c r="AY5" s="33"/>
      <c r="AZ5" s="28"/>
      <c r="BA5" s="28"/>
      <c r="BB5" s="28"/>
      <c r="BC5" s="28"/>
      <c r="BD5" s="32"/>
      <c r="BE5" s="32"/>
      <c r="BF5" s="32"/>
      <c r="BG5" s="28">
        <v>45902.092243753003</v>
      </c>
      <c r="BH5" s="28">
        <v>51797.532056398697</v>
      </c>
      <c r="BI5" s="28">
        <v>798.92016375677304</v>
      </c>
      <c r="BJ5" s="28">
        <v>548.65735422673799</v>
      </c>
      <c r="BK5" s="28">
        <v>619.10954559332197</v>
      </c>
      <c r="BL5" s="28">
        <f t="shared" si="0"/>
        <v>0.88620399755092405</v>
      </c>
      <c r="BM5" s="28">
        <f t="shared" si="1"/>
        <v>7.3113913565511464</v>
      </c>
      <c r="BN5" s="28">
        <f t="shared" si="2"/>
        <v>6.4793842478348997</v>
      </c>
      <c r="BO5" s="28">
        <v>7.5118963414108494E-2</v>
      </c>
      <c r="BP5" s="28">
        <v>7.7489063332789002E-2</v>
      </c>
      <c r="BQ5" s="28">
        <v>3.52885106506748E-3</v>
      </c>
      <c r="BR5" s="28">
        <v>587.93004442226299</v>
      </c>
      <c r="BS5" s="28">
        <v>212.60103832049299</v>
      </c>
      <c r="BT5" s="28">
        <f t="shared" si="3"/>
        <v>239.90078910502348</v>
      </c>
      <c r="BU5" s="28">
        <v>10.241004694624401</v>
      </c>
      <c r="BV5" s="28">
        <f>9003813.0745032/100000</f>
        <v>90.038130745032007</v>
      </c>
      <c r="BW5" s="28">
        <v>368.66649505332998</v>
      </c>
      <c r="BX5" s="28">
        <f t="shared" si="4"/>
        <v>0.70114677423400196</v>
      </c>
      <c r="BY5" s="28">
        <v>2940.0301916308699</v>
      </c>
      <c r="CA5" s="2">
        <v>361</v>
      </c>
      <c r="CB5" s="2">
        <v>90</v>
      </c>
      <c r="CC5" s="2">
        <v>1</v>
      </c>
    </row>
    <row r="6" spans="1:81" ht="14.4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9"/>
      <c r="AW6" s="28"/>
      <c r="AX6" s="28"/>
      <c r="AY6" s="33"/>
      <c r="AZ6" s="28"/>
      <c r="BA6" s="28"/>
      <c r="BB6" s="28"/>
      <c r="BC6" s="28"/>
      <c r="BD6" s="32"/>
      <c r="BE6" s="32"/>
      <c r="BF6" s="32"/>
      <c r="BG6" s="28">
        <v>45902.801587699403</v>
      </c>
      <c r="BH6" s="28">
        <v>51924.366602325899</v>
      </c>
      <c r="BI6" s="28">
        <v>798.932509799228</v>
      </c>
      <c r="BJ6" s="28">
        <v>548.65735422673799</v>
      </c>
      <c r="BK6" s="28">
        <v>620.61893328800898</v>
      </c>
      <c r="BL6" s="28">
        <f t="shared" si="0"/>
        <v>0.88404868881453225</v>
      </c>
      <c r="BM6" s="28">
        <f t="shared" si="1"/>
        <v>7.3292165124115964</v>
      </c>
      <c r="BN6" s="28">
        <f t="shared" si="2"/>
        <v>6.4793842478352905</v>
      </c>
      <c r="BO6" s="28">
        <v>7.6127230629187206E-2</v>
      </c>
      <c r="BP6" s="28">
        <v>7.7259817400916905E-2</v>
      </c>
      <c r="BQ6" s="28">
        <v>3.5022021429015398E-3</v>
      </c>
      <c r="BR6" s="28">
        <v>588.91971424189001</v>
      </c>
      <c r="BS6" s="28">
        <v>207.71608423968601</v>
      </c>
      <c r="BT6" s="28">
        <f t="shared" si="3"/>
        <v>234.96000488188443</v>
      </c>
      <c r="BU6" s="28">
        <v>10.5083071416236</v>
      </c>
      <c r="BV6" s="28">
        <f>8977595.1804655/100000</f>
        <v>89.775951804655008</v>
      </c>
      <c r="BW6" s="28">
        <v>368.75803807104501</v>
      </c>
      <c r="BX6" s="28">
        <f t="shared" si="4"/>
        <v>0.68663569320238571</v>
      </c>
      <c r="BY6" s="28">
        <v>2937</v>
      </c>
      <c r="CA6" s="2">
        <v>361</v>
      </c>
      <c r="CB6" s="2">
        <v>100</v>
      </c>
      <c r="CC6" s="2">
        <v>1</v>
      </c>
    </row>
    <row r="7" spans="1:81" ht="14.4">
      <c r="B7" s="32"/>
      <c r="C7" s="32"/>
      <c r="D7" s="32"/>
      <c r="E7" s="32"/>
      <c r="F7" s="28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28"/>
      <c r="AN7" s="28"/>
      <c r="AO7" s="32"/>
      <c r="AP7" s="32"/>
      <c r="AQ7" s="32"/>
      <c r="AR7" s="32"/>
      <c r="AS7" s="32"/>
      <c r="AT7" s="32"/>
      <c r="AU7" s="32"/>
      <c r="AV7" s="34"/>
      <c r="AW7" s="32"/>
      <c r="AX7" s="32"/>
      <c r="AY7" s="35"/>
      <c r="AZ7" s="32"/>
      <c r="BA7" s="32"/>
      <c r="BB7" s="32"/>
      <c r="BC7" s="32"/>
      <c r="BD7" s="32"/>
      <c r="BE7" s="32"/>
      <c r="BF7" s="32"/>
      <c r="BG7" s="32">
        <v>45902.064433811101</v>
      </c>
      <c r="BH7" s="32">
        <v>51958.099307922501</v>
      </c>
      <c r="BI7" s="32">
        <v>798.91967972818099</v>
      </c>
      <c r="BJ7" s="32">
        <v>548.65735422673799</v>
      </c>
      <c r="BK7" s="32">
        <v>621.03873623591903</v>
      </c>
      <c r="BL7" s="28">
        <f t="shared" si="0"/>
        <v>0.88345109928588261</v>
      </c>
      <c r="BM7" s="28">
        <f t="shared" si="1"/>
        <v>7.334174186972735</v>
      </c>
      <c r="BN7" s="28">
        <f t="shared" si="2"/>
        <v>6.4793842478352071</v>
      </c>
      <c r="BO7" s="32">
        <v>7.5343658574622399E-2</v>
      </c>
      <c r="BP7" s="32">
        <v>7.7515545181231105E-2</v>
      </c>
      <c r="BQ7" s="32">
        <v>3.5038316802076101E-3</v>
      </c>
      <c r="BR7" s="32">
        <v>588.93209877164395</v>
      </c>
      <c r="BS7" s="32">
        <v>205.65369959145599</v>
      </c>
      <c r="BT7" s="28">
        <f t="shared" si="3"/>
        <v>232.78447415786954</v>
      </c>
      <c r="BU7" s="32">
        <v>10.999649187567799</v>
      </c>
      <c r="BV7" s="32">
        <f>8977083.47993267/100000</f>
        <v>89.770834799326693</v>
      </c>
      <c r="BW7" s="32">
        <v>368.74016881126403</v>
      </c>
      <c r="BX7" s="28">
        <f t="shared" si="4"/>
        <v>0.69409949312700125</v>
      </c>
      <c r="BY7" s="28">
        <v>2922.5043208101401</v>
      </c>
      <c r="BZ7" s="32"/>
      <c r="CA7" s="2">
        <v>370</v>
      </c>
      <c r="CB7" s="2">
        <v>80</v>
      </c>
      <c r="CC7" s="2">
        <v>1</v>
      </c>
    </row>
    <row r="8" spans="1:81" ht="14.4">
      <c r="B8" s="32"/>
      <c r="C8" s="32"/>
      <c r="D8" s="32"/>
      <c r="E8" s="32"/>
      <c r="F8" s="28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28"/>
      <c r="AN8" s="28"/>
      <c r="AO8" s="32"/>
      <c r="AP8" s="32"/>
      <c r="AQ8" s="32"/>
      <c r="AR8" s="32"/>
      <c r="AS8" s="32"/>
      <c r="AT8" s="32"/>
      <c r="AU8" s="32"/>
      <c r="AV8" s="34"/>
      <c r="AW8" s="32"/>
      <c r="AX8" s="32"/>
      <c r="AY8" s="35"/>
      <c r="AZ8" s="32"/>
      <c r="BA8" s="32"/>
      <c r="BB8" s="32"/>
      <c r="BC8" s="32"/>
      <c r="BD8" s="32"/>
      <c r="BE8" s="32"/>
      <c r="BF8" s="32"/>
      <c r="BG8" s="32">
        <v>45903.406271287</v>
      </c>
      <c r="BH8" s="32">
        <v>51957.8056559502</v>
      </c>
      <c r="BI8" s="32">
        <v>798.94303424131795</v>
      </c>
      <c r="BJ8" s="32">
        <v>548.65735422673799</v>
      </c>
      <c r="BK8" s="32">
        <v>621.01662851511605</v>
      </c>
      <c r="BL8" s="28">
        <f t="shared" si="0"/>
        <v>0.88348254947473315</v>
      </c>
      <c r="BM8" s="28">
        <f t="shared" si="1"/>
        <v>7.3339131052304429</v>
      </c>
      <c r="BN8" s="28">
        <f t="shared" si="2"/>
        <v>6.4793842478351484</v>
      </c>
      <c r="BO8" s="32">
        <v>7.48701416169478E-2</v>
      </c>
      <c r="BP8" s="32">
        <v>7.7523167855243394E-2</v>
      </c>
      <c r="BQ8" s="32">
        <v>3.4867203929787802E-3</v>
      </c>
      <c r="BR8" s="32">
        <v>590.32635367432897</v>
      </c>
      <c r="BS8" s="32">
        <v>199.494162925534</v>
      </c>
      <c r="BT8" s="28">
        <f t="shared" si="3"/>
        <v>225.80430484353258</v>
      </c>
      <c r="BU8" s="32">
        <v>11.543137830788501</v>
      </c>
      <c r="BV8" s="32">
        <f>8953816.64889888/100000</f>
        <v>89.538166488988807</v>
      </c>
      <c r="BW8" s="32">
        <v>368.76125997086899</v>
      </c>
      <c r="BX8" s="28">
        <f t="shared" si="4"/>
        <v>0.69507819481004229</v>
      </c>
      <c r="BY8" s="28">
        <v>2927.3071358134298</v>
      </c>
      <c r="BZ8" s="32"/>
      <c r="CA8" s="2">
        <v>380</v>
      </c>
      <c r="CB8" s="2">
        <v>80</v>
      </c>
      <c r="CC8" s="2">
        <v>1</v>
      </c>
    </row>
    <row r="9" spans="1:81" ht="14.4">
      <c r="B9" s="32"/>
      <c r="C9" s="32"/>
      <c r="D9" s="32"/>
      <c r="E9" s="32"/>
      <c r="F9" s="28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28"/>
      <c r="AN9" s="28"/>
      <c r="AO9" s="32"/>
      <c r="AP9" s="32"/>
      <c r="AQ9" s="32"/>
      <c r="AR9" s="32"/>
      <c r="AS9" s="32"/>
      <c r="AT9" s="32"/>
      <c r="AU9" s="32"/>
      <c r="AV9" s="34"/>
      <c r="AW9" s="32"/>
      <c r="AX9" s="32"/>
      <c r="AY9" s="35"/>
      <c r="AZ9" s="32"/>
      <c r="BA9" s="32"/>
      <c r="BB9" s="32"/>
      <c r="BC9" s="32"/>
      <c r="BD9" s="32"/>
      <c r="BE9" s="32"/>
      <c r="BF9" s="32"/>
      <c r="BG9" s="32">
        <v>45902.072996716401</v>
      </c>
      <c r="BH9" s="32">
        <v>51818.041838338198</v>
      </c>
      <c r="BI9" s="32">
        <v>798.91982876447003</v>
      </c>
      <c r="BJ9" s="32">
        <v>548.65735422673799</v>
      </c>
      <c r="BK9" s="32">
        <v>619.36214917942698</v>
      </c>
      <c r="BL9" s="28">
        <f t="shared" si="0"/>
        <v>0.88584256392425098</v>
      </c>
      <c r="BM9" s="28">
        <f t="shared" si="1"/>
        <v>7.314374485610406</v>
      </c>
      <c r="BN9" s="28">
        <f t="shared" si="2"/>
        <v>6.4793842478352461</v>
      </c>
      <c r="BO9" s="32">
        <v>7.4992480117839003E-2</v>
      </c>
      <c r="BP9" s="32">
        <v>7.7570021705227005E-2</v>
      </c>
      <c r="BQ9" s="32">
        <v>3.4653743609943301E-3</v>
      </c>
      <c r="BR9" s="32">
        <v>591.97788868540295</v>
      </c>
      <c r="BS9" s="32">
        <v>194.927108070401</v>
      </c>
      <c r="BT9" s="28">
        <f t="shared" si="3"/>
        <v>220.04712350564967</v>
      </c>
      <c r="BU9" s="32">
        <v>11.3939026766931</v>
      </c>
      <c r="BV9" s="32">
        <f>8932548.71184762/100000</f>
        <v>89.325487118476204</v>
      </c>
      <c r="BW9" s="32">
        <v>368.67952322386702</v>
      </c>
      <c r="BX9" s="28">
        <f t="shared" si="4"/>
        <v>0.68969589093069061</v>
      </c>
      <c r="BY9" s="28">
        <v>2924.67419001799</v>
      </c>
      <c r="BZ9" s="32"/>
      <c r="CA9" s="2">
        <v>390</v>
      </c>
      <c r="CB9" s="2">
        <v>80</v>
      </c>
      <c r="CC9" s="2">
        <v>1</v>
      </c>
    </row>
    <row r="10" spans="1:81" ht="14.4">
      <c r="B10" s="32"/>
      <c r="C10" s="32"/>
      <c r="D10" s="32"/>
      <c r="E10" s="32"/>
      <c r="F10" s="28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28"/>
      <c r="AN10" s="28"/>
      <c r="AO10" s="32"/>
      <c r="AP10" s="32"/>
      <c r="AQ10" s="32"/>
      <c r="AR10" s="32"/>
      <c r="AS10" s="32"/>
      <c r="AT10" s="32"/>
      <c r="AU10" s="32"/>
      <c r="AV10" s="34"/>
      <c r="AW10" s="32"/>
      <c r="AX10" s="32"/>
      <c r="AY10" s="35"/>
      <c r="AZ10" s="32"/>
      <c r="BA10" s="32"/>
      <c r="BB10" s="32"/>
      <c r="BC10" s="32"/>
      <c r="BD10" s="32"/>
      <c r="BE10" s="32"/>
      <c r="BF10" s="32"/>
      <c r="BG10" s="32">
        <v>45900.2201468903</v>
      </c>
      <c r="BH10" s="32">
        <v>51953.048979616498</v>
      </c>
      <c r="BI10" s="32">
        <v>798.88758014544101</v>
      </c>
      <c r="BJ10" s="32">
        <v>548.65735422673799</v>
      </c>
      <c r="BK10" s="32">
        <v>620.99736105122201</v>
      </c>
      <c r="BL10" s="28">
        <f t="shared" si="0"/>
        <v>0.88350996097305934</v>
      </c>
      <c r="BM10" s="28">
        <f t="shared" si="1"/>
        <v>7.3336855655808835</v>
      </c>
      <c r="BN10" s="28">
        <f t="shared" si="2"/>
        <v>6.4793842478350552</v>
      </c>
      <c r="BO10" s="32">
        <v>7.5002111342271902E-2</v>
      </c>
      <c r="BP10" s="32">
        <v>7.7695419526319198E-2</v>
      </c>
      <c r="BQ10" s="32">
        <v>3.4583001471448702E-3</v>
      </c>
      <c r="BR10" s="32">
        <v>594.15807905958195</v>
      </c>
      <c r="BS10" s="32">
        <v>191.98818576455801</v>
      </c>
      <c r="BT10" s="28">
        <f t="shared" si="3"/>
        <v>217.30166522753248</v>
      </c>
      <c r="BU10" s="32">
        <v>11.2314676816691</v>
      </c>
      <c r="BV10" s="32">
        <v>8919210.0584140904</v>
      </c>
      <c r="BW10" s="32">
        <v>368.65988065941099</v>
      </c>
      <c r="BX10" s="28">
        <f t="shared" si="4"/>
        <v>0.68819956109086688</v>
      </c>
      <c r="BY10" s="28">
        <v>2924.67419001799</v>
      </c>
      <c r="BZ10" s="32"/>
      <c r="CA10" s="2">
        <v>400</v>
      </c>
      <c r="CB10" s="2">
        <v>80</v>
      </c>
      <c r="CC10" s="2">
        <v>1</v>
      </c>
    </row>
    <row r="11" spans="1:81" ht="14.4">
      <c r="B11" s="32"/>
      <c r="C11" s="32"/>
      <c r="D11" s="32"/>
      <c r="E11" s="32"/>
      <c r="F11" s="28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28"/>
      <c r="AN11" s="28"/>
      <c r="AO11" s="32"/>
      <c r="AP11" s="32"/>
      <c r="AQ11" s="32"/>
      <c r="AR11" s="32"/>
      <c r="AS11" s="32"/>
      <c r="AT11" s="32"/>
      <c r="AU11" s="32"/>
      <c r="AV11" s="34"/>
      <c r="AW11" s="32"/>
      <c r="AX11" s="32"/>
      <c r="AY11" s="35"/>
      <c r="AZ11" s="32"/>
      <c r="BA11" s="32"/>
      <c r="BB11" s="32"/>
      <c r="BC11" s="32"/>
      <c r="BD11" s="32"/>
      <c r="BE11" s="32"/>
      <c r="BF11" s="32"/>
      <c r="BG11" s="32">
        <v>45901.857783373001</v>
      </c>
      <c r="BH11" s="32">
        <v>51926.888893774703</v>
      </c>
      <c r="BI11" s="32">
        <v>798.91608300319899</v>
      </c>
      <c r="BJ11" s="32">
        <v>548.65735422673799</v>
      </c>
      <c r="BK11" s="32">
        <v>620.66288348394096</v>
      </c>
      <c r="BL11" s="28">
        <f t="shared" si="0"/>
        <v>0.88398608782110932</v>
      </c>
      <c r="BM11" s="28">
        <f t="shared" si="1"/>
        <v>7.3297355434698179</v>
      </c>
      <c r="BN11" s="28">
        <f t="shared" si="2"/>
        <v>6.4793842478352168</v>
      </c>
      <c r="BO11" s="32">
        <v>7.5057552070011496E-2</v>
      </c>
      <c r="BP11" s="28">
        <v>7.7483169246872693E-2</v>
      </c>
      <c r="BQ11" s="28">
        <v>3.5407817798435801E-3</v>
      </c>
      <c r="BR11" s="28">
        <v>587.96561276978196</v>
      </c>
      <c r="BS11" s="32">
        <v>214.07370122743001</v>
      </c>
      <c r="BT11" s="28">
        <f t="shared" si="3"/>
        <v>242.16863158456371</v>
      </c>
      <c r="BU11" s="32">
        <v>18.5238092281317</v>
      </c>
      <c r="BV11" s="32">
        <v>8994882.6437189206</v>
      </c>
      <c r="BW11" s="32">
        <v>368.73256237493598</v>
      </c>
      <c r="BX11" s="28">
        <f t="shared" si="4"/>
        <v>0.70409289663619878</v>
      </c>
      <c r="BY11" s="28">
        <v>2789.8016222188398</v>
      </c>
      <c r="BZ11" s="32"/>
      <c r="CA11" s="2">
        <v>361</v>
      </c>
      <c r="CB11" s="2">
        <v>80</v>
      </c>
      <c r="CC11" s="2">
        <v>0.9</v>
      </c>
    </row>
    <row r="12" spans="1:81" ht="14.4">
      <c r="B12" s="32"/>
      <c r="C12" s="32"/>
      <c r="D12" s="32"/>
      <c r="E12" s="32"/>
      <c r="F12" s="28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28"/>
      <c r="AN12" s="28"/>
      <c r="AO12" s="32"/>
      <c r="AP12" s="32"/>
      <c r="AQ12" s="32"/>
      <c r="AR12" s="32"/>
      <c r="AS12" s="32"/>
      <c r="AT12" s="32"/>
      <c r="AU12" s="32"/>
      <c r="AV12" s="34"/>
      <c r="AW12" s="32"/>
      <c r="AX12" s="32"/>
      <c r="AY12" s="35"/>
      <c r="AZ12" s="32"/>
      <c r="BA12" s="32"/>
      <c r="BB12" s="32"/>
      <c r="BC12" s="32"/>
      <c r="BD12" s="32"/>
      <c r="BE12" s="32"/>
      <c r="BF12" s="32"/>
      <c r="BG12" s="32">
        <v>45901.789737971798</v>
      </c>
      <c r="BH12" s="32">
        <v>51923.063396702797</v>
      </c>
      <c r="BI12" s="32">
        <v>798.91489868152496</v>
      </c>
      <c r="BJ12" s="32">
        <v>548.65735422673799</v>
      </c>
      <c r="BK12" s="32">
        <v>620.61922356815398</v>
      </c>
      <c r="BL12" s="28">
        <f t="shared" si="0"/>
        <v>0.88404827532140817</v>
      </c>
      <c r="BM12" s="28">
        <f t="shared" si="1"/>
        <v>7.3292199404828713</v>
      </c>
      <c r="BN12" s="28">
        <f t="shared" si="2"/>
        <v>6.4793842478351564</v>
      </c>
      <c r="BO12" s="32">
        <v>7.5020406993816693E-2</v>
      </c>
      <c r="BP12" s="32">
        <v>7.7477737123907001E-2</v>
      </c>
      <c r="BQ12" s="32">
        <v>3.5444177386670102E-3</v>
      </c>
      <c r="BR12" s="32">
        <v>587.65982807311298</v>
      </c>
      <c r="BS12" s="32">
        <v>215.58477770669299</v>
      </c>
      <c r="BT12" s="28">
        <f t="shared" si="3"/>
        <v>243.86086566179216</v>
      </c>
      <c r="BU12" s="32">
        <v>26.708468287996201</v>
      </c>
      <c r="BV12" s="32">
        <f>8999759.10185844/100000</f>
        <v>89.997591018584401</v>
      </c>
      <c r="BW12" s="32">
        <v>368.753632740022</v>
      </c>
      <c r="BX12" s="28">
        <f t="shared" si="4"/>
        <v>0.70516489330560028</v>
      </c>
      <c r="BY12" s="28">
        <v>2634.4599001015599</v>
      </c>
      <c r="BZ12" s="32"/>
      <c r="CA12" s="2">
        <v>361</v>
      </c>
      <c r="CB12" s="2">
        <v>80</v>
      </c>
      <c r="CC12" s="2">
        <v>0.8</v>
      </c>
    </row>
    <row r="13" spans="1:81" ht="14.4">
      <c r="B13" s="32"/>
      <c r="C13" s="32"/>
      <c r="D13" s="32"/>
      <c r="E13" s="32"/>
      <c r="F13" s="28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28"/>
      <c r="AN13" s="28"/>
      <c r="AO13" s="32"/>
      <c r="AP13" s="32"/>
      <c r="AQ13" s="32"/>
      <c r="AR13" s="32"/>
      <c r="AS13" s="32"/>
      <c r="AT13" s="32"/>
      <c r="AU13" s="32"/>
      <c r="AV13" s="34"/>
      <c r="AW13" s="32"/>
      <c r="AX13" s="32"/>
      <c r="AY13" s="35"/>
      <c r="AZ13" s="32"/>
      <c r="BA13" s="32"/>
      <c r="BB13" s="32"/>
      <c r="BC13" s="32"/>
      <c r="BD13" s="32"/>
      <c r="BE13" s="32"/>
      <c r="BF13" s="32"/>
      <c r="BG13" s="32">
        <v>45901.068569975701</v>
      </c>
      <c r="BH13" s="32">
        <v>51911.383374145997</v>
      </c>
      <c r="BI13" s="32">
        <v>798.90234684293705</v>
      </c>
      <c r="BJ13" s="32">
        <v>548.65735422673799</v>
      </c>
      <c r="BK13" s="32">
        <v>620.48797119087806</v>
      </c>
      <c r="BL13" s="28">
        <f t="shared" si="0"/>
        <v>0.88423527884629516</v>
      </c>
      <c r="BM13" s="28">
        <f t="shared" si="1"/>
        <v>7.3276699118915225</v>
      </c>
      <c r="BN13" s="28">
        <f t="shared" si="2"/>
        <v>6.4793842478350072</v>
      </c>
      <c r="BO13" s="32">
        <v>7.5107636408675696E-2</v>
      </c>
      <c r="BP13" s="32">
        <v>7.7414601150714302E-2</v>
      </c>
      <c r="BQ13" s="32">
        <v>3.5554988726063199E-3</v>
      </c>
      <c r="BR13" s="32">
        <v>587.25017281800399</v>
      </c>
      <c r="BS13" s="32">
        <v>217.91644533215299</v>
      </c>
      <c r="BT13" s="28">
        <f t="shared" si="3"/>
        <v>246.44622369792708</v>
      </c>
      <c r="BU13" s="32">
        <v>29.295979895552101</v>
      </c>
      <c r="BV13" s="32">
        <f>9011239.69864234/100000</f>
        <v>90.112396986423391</v>
      </c>
      <c r="BW13" s="32">
        <v>368.720147444578</v>
      </c>
      <c r="BX13" s="28">
        <f t="shared" si="4"/>
        <v>0.70654796089686733</v>
      </c>
      <c r="BY13" s="28">
        <v>2474.9587428499099</v>
      </c>
      <c r="BZ13" s="32"/>
      <c r="CA13" s="2">
        <v>361</v>
      </c>
      <c r="CB13" s="2">
        <v>80</v>
      </c>
      <c r="CC13" s="2">
        <v>0.7</v>
      </c>
    </row>
    <row r="14" spans="1:81" ht="14.4">
      <c r="A14" s="2">
        <v>16</v>
      </c>
      <c r="B14" s="32">
        <v>0.46611661353976902</v>
      </c>
      <c r="C14" s="32">
        <v>32.698864295081997</v>
      </c>
      <c r="D14" s="32">
        <v>936.24071221311499</v>
      </c>
      <c r="E14" s="32">
        <v>903.47230662295101</v>
      </c>
      <c r="F14" s="28">
        <f t="shared" ref="F14" si="5">(AVERAGE(D14:E14))</f>
        <v>919.85650941803306</v>
      </c>
      <c r="G14" s="32">
        <v>306.36552029508198</v>
      </c>
      <c r="H14" s="32">
        <v>304.68023926229506</v>
      </c>
      <c r="I14" s="32">
        <v>335.908317442623</v>
      </c>
      <c r="J14" s="32">
        <v>809.08010172131094</v>
      </c>
      <c r="K14" s="32">
        <v>313.05138762295076</v>
      </c>
      <c r="L14" s="32">
        <v>303.94689772131147</v>
      </c>
      <c r="M14" s="32">
        <v>313.99183857377045</v>
      </c>
      <c r="N14" s="32">
        <v>424.10476821311499</v>
      </c>
      <c r="O14" s="32">
        <v>359.60584886885249</v>
      </c>
      <c r="P14" s="32">
        <v>28.053404491803299</v>
      </c>
      <c r="Q14" s="32">
        <v>1.4215162622950801</v>
      </c>
      <c r="R14" s="32">
        <v>1796.8961723278701</v>
      </c>
      <c r="S14" s="32">
        <f t="shared" ref="S14" si="6">R14*PI()/30</f>
        <v>188.17052714162853</v>
      </c>
      <c r="T14" s="32">
        <v>1416.7171247868901</v>
      </c>
      <c r="U14" s="32">
        <v>18.715154360655699</v>
      </c>
      <c r="V14" s="32">
        <v>1.6098735737704899</v>
      </c>
      <c r="W14" s="32">
        <v>0.12227624590163901</v>
      </c>
      <c r="X14" s="32">
        <v>15.051616163934399</v>
      </c>
      <c r="Y14" s="32">
        <v>60.154522442622998</v>
      </c>
      <c r="Z14" s="32">
        <v>776.43758944262299</v>
      </c>
      <c r="AA14" s="32">
        <v>-3.2919426229508199E-2</v>
      </c>
      <c r="AB14" s="32">
        <v>9.5064539016393503</v>
      </c>
      <c r="AC14" s="32">
        <v>8.8337400491803297</v>
      </c>
      <c r="AD14" s="32">
        <v>54.880996163934398</v>
      </c>
      <c r="AE14" s="32">
        <v>-250.113198803279</v>
      </c>
      <c r="AF14" s="32">
        <v>-20.429454196721299</v>
      </c>
      <c r="AG14" s="32">
        <v>304.54999999999995</v>
      </c>
      <c r="AH14" s="32">
        <v>993.9</v>
      </c>
      <c r="AI14" s="32">
        <v>34.6</v>
      </c>
      <c r="AJ14" s="32">
        <v>215.32812757703999</v>
      </c>
      <c r="AK14" s="32">
        <v>6.1327204655111798</v>
      </c>
      <c r="AL14" s="32">
        <v>0.36640092812706598</v>
      </c>
      <c r="AM14" s="28">
        <f t="shared" ref="AM14" si="7">AL14/(R14/60/2)/6</f>
        <v>4.0781535824899158E-3</v>
      </c>
      <c r="AN14" s="28">
        <f t="shared" ref="AN14" si="8">AM14*288*AG14/$BG$1/100000</f>
        <v>2.0342595688078231</v>
      </c>
      <c r="AO14" s="32">
        <v>0.38234623964234499</v>
      </c>
      <c r="AP14" s="32">
        <v>0.38243553129835101</v>
      </c>
      <c r="AQ14" s="32">
        <v>57403.121455003296</v>
      </c>
      <c r="AR14" s="32">
        <f t="shared" ref="AR14" si="9">AQ14/3600/1000</f>
        <v>1.5945311515278691E-2</v>
      </c>
      <c r="AS14" s="32">
        <f t="shared" ref="AS14" si="10">AQ14/3600/1000/AL14/0.06</f>
        <v>0.72531255114383597</v>
      </c>
      <c r="AT14" s="32">
        <v>0.177476158732328</v>
      </c>
      <c r="AU14" s="32">
        <v>115.62935</v>
      </c>
      <c r="AV14" s="34">
        <v>16.730788078107</v>
      </c>
      <c r="AW14" s="32">
        <f t="shared" ref="AW14" si="11">V14+AH14/1000</f>
        <v>2.6037735737704901</v>
      </c>
      <c r="AX14" s="32">
        <f t="shared" ref="AX14" si="12">AW14*0.9</f>
        <v>2.3433962163934412</v>
      </c>
      <c r="AY14" s="35">
        <f t="shared" ref="AY14" si="13">ROUND(AX14*2,0)/2*100000</f>
        <v>250000</v>
      </c>
      <c r="AZ14" s="32">
        <f t="shared" ref="AZ14" si="14">W14+$AH14/1000</f>
        <v>1.1161762459016391</v>
      </c>
      <c r="BA14" s="32">
        <f t="shared" ref="BA14" si="15">R14/30*PI()*T14</f>
        <v>266584.4081817214</v>
      </c>
      <c r="BB14" s="32">
        <f t="shared" ref="BB14" si="16">T14*S14</f>
        <v>266584.4081817214</v>
      </c>
      <c r="BC14" s="32">
        <v>353.9</v>
      </c>
      <c r="BD14" s="32">
        <v>550</v>
      </c>
      <c r="BE14" s="32">
        <v>500</v>
      </c>
      <c r="BF14" s="32">
        <v>530</v>
      </c>
      <c r="BG14" s="32">
        <v>266585.62396618299</v>
      </c>
      <c r="BH14" s="32">
        <v>296378.83809126401</v>
      </c>
      <c r="BI14" s="32">
        <v>1796.90436697939</v>
      </c>
      <c r="BJ14" s="32">
        <v>1416.7194861932001</v>
      </c>
      <c r="BK14" s="32">
        <v>1575.0657849608101</v>
      </c>
      <c r="BL14" s="28">
        <f t="shared" si="0"/>
        <v>0.89946686654008556</v>
      </c>
      <c r="BM14" s="28">
        <f t="shared" si="1"/>
        <v>18.600783089412801</v>
      </c>
      <c r="BN14" s="28">
        <f t="shared" si="2"/>
        <v>16.730788080625945</v>
      </c>
      <c r="BO14" s="32">
        <v>0.43262668709869401</v>
      </c>
      <c r="BP14" s="32">
        <v>0.447889251663322</v>
      </c>
      <c r="BQ14" s="32">
        <v>1.57682191755186E-2</v>
      </c>
      <c r="BR14" s="32">
        <v>726.67261452139098</v>
      </c>
      <c r="BS14" s="32">
        <v>185.878221888741</v>
      </c>
      <c r="BT14" s="28">
        <f t="shared" si="3"/>
        <v>206.65377325542337</v>
      </c>
      <c r="BU14" s="32">
        <v>6.8289731213847897</v>
      </c>
      <c r="BV14" s="32">
        <f>13991356.7701703/100000</f>
        <v>139.91356770170299</v>
      </c>
      <c r="BW14" s="32">
        <v>365.09225990896903</v>
      </c>
      <c r="BX14" s="28"/>
      <c r="BY14" s="32"/>
      <c r="CA14" s="2">
        <v>361</v>
      </c>
      <c r="CB14" s="2">
        <v>80</v>
      </c>
    </row>
    <row r="15" spans="1:81" ht="14.4">
      <c r="B15" s="32"/>
      <c r="C15" s="32"/>
      <c r="D15" s="32"/>
      <c r="E15" s="32"/>
      <c r="F15" s="28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28"/>
      <c r="AN15" s="28"/>
      <c r="AO15" s="32"/>
      <c r="AP15" s="32"/>
      <c r="AQ15" s="32"/>
      <c r="AR15" s="32"/>
      <c r="AS15" s="32"/>
      <c r="AT15" s="32"/>
      <c r="AU15" s="32"/>
      <c r="AV15" s="34"/>
      <c r="AW15" s="32"/>
      <c r="AX15" s="32"/>
      <c r="AY15" s="35"/>
      <c r="AZ15" s="32"/>
      <c r="BA15" s="32"/>
      <c r="BB15" s="32"/>
      <c r="BC15" s="32"/>
      <c r="BD15" s="32"/>
      <c r="BE15" s="32"/>
      <c r="BF15" s="32"/>
      <c r="BG15" s="32">
        <v>266585.39497828699</v>
      </c>
      <c r="BH15" s="32">
        <v>296527.67624810798</v>
      </c>
      <c r="BI15" s="32">
        <v>1796.9028235005001</v>
      </c>
      <c r="BJ15" s="32">
        <v>1416.7194861932001</v>
      </c>
      <c r="BK15" s="32">
        <v>1575.8581769754501</v>
      </c>
      <c r="BL15" s="28">
        <f t="shared" ref="BL15" si="17">BJ15/BK15</f>
        <v>0.89901458576197169</v>
      </c>
      <c r="BM15" s="28">
        <f t="shared" si="1"/>
        <v>18.610140864892859</v>
      </c>
      <c r="BN15" s="28">
        <f t="shared" ref="BN15" si="18">BG15*2/(BI15/60)/($BE$1*6)/100000</f>
        <v>16.730788080623594</v>
      </c>
      <c r="BO15" s="32">
        <v>0.43410422034459001</v>
      </c>
      <c r="BP15" s="32">
        <v>0.448313767877277</v>
      </c>
      <c r="BQ15" s="32">
        <v>1.58111230916828E-2</v>
      </c>
      <c r="BR15" s="32">
        <v>724.43247888808401</v>
      </c>
      <c r="BS15" s="32">
        <v>186.299853626199</v>
      </c>
      <c r="BT15" s="28">
        <f t="shared" si="3"/>
        <v>207.22673088590449</v>
      </c>
      <c r="BU15" s="32">
        <v>6.5688816734620801</v>
      </c>
      <c r="BV15" s="32">
        <f>14105395.124724/100000</f>
        <v>141.05395124724001</v>
      </c>
      <c r="BW15" s="32">
        <v>365.043401321094</v>
      </c>
      <c r="BX15" s="28">
        <v>0.53093008323410995</v>
      </c>
      <c r="BY15" s="28">
        <v>2806.3940729865099</v>
      </c>
      <c r="BZ15" s="32"/>
      <c r="CA15" s="2">
        <v>361</v>
      </c>
      <c r="CB15" s="2">
        <v>80</v>
      </c>
      <c r="CC15" s="2">
        <v>1</v>
      </c>
    </row>
    <row r="16" spans="1:81" ht="14.4"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28"/>
      <c r="AN16" s="28"/>
      <c r="AO16" s="32"/>
      <c r="AP16" s="32"/>
      <c r="AQ16" s="32"/>
      <c r="AR16" s="32"/>
      <c r="AS16" s="32"/>
      <c r="AT16" s="32"/>
      <c r="AU16" s="32"/>
      <c r="AV16" s="34"/>
      <c r="AW16" s="32"/>
      <c r="AX16" s="32"/>
      <c r="AY16" s="35"/>
      <c r="AZ16" s="32"/>
      <c r="BA16" s="32"/>
      <c r="BB16" s="32"/>
      <c r="BC16" s="32"/>
      <c r="BD16" s="32"/>
      <c r="BE16" s="32"/>
      <c r="BF16" s="32"/>
      <c r="BG16" s="32">
        <v>266585.67246804998</v>
      </c>
      <c r="BH16" s="32">
        <v>296258.26784664398</v>
      </c>
      <c r="BI16" s="32">
        <v>1796.90469390358</v>
      </c>
      <c r="BJ16" s="32">
        <v>1416.7194861932001</v>
      </c>
      <c r="BK16" s="32">
        <v>1574.4262120046201</v>
      </c>
      <c r="BL16" s="28">
        <f t="shared" ref="BL16" si="19">BJ16/BK16</f>
        <v>0.89983225342099604</v>
      </c>
      <c r="BM16" s="28">
        <f t="shared" si="1"/>
        <v>18.593230034838211</v>
      </c>
      <c r="BN16" s="28">
        <f t="shared" ref="BN16" si="20">BG16*2/(BI16/60)/($BE$1*6)/100000</f>
        <v>16.730788080623412</v>
      </c>
      <c r="BO16" s="32">
        <v>0.43263747960473498</v>
      </c>
      <c r="BP16" s="32">
        <v>0.44775384327669199</v>
      </c>
      <c r="BQ16" s="32">
        <v>1.57753613975068E-2</v>
      </c>
      <c r="BR16" s="32">
        <v>726.76615254583203</v>
      </c>
      <c r="BS16" s="32">
        <v>186.50143421702401</v>
      </c>
      <c r="BT16" s="28">
        <f t="shared" si="3"/>
        <v>207.26244642596441</v>
      </c>
      <c r="BU16" s="32">
        <v>12.377143316941</v>
      </c>
      <c r="BV16" s="32">
        <f>13992262.5441297/100000</f>
        <v>139.92262544129699</v>
      </c>
      <c r="BW16" s="32">
        <v>365.12086369718998</v>
      </c>
      <c r="BX16" s="28">
        <v>0.53143621324360502</v>
      </c>
      <c r="BY16" s="28">
        <v>2665.23948795459</v>
      </c>
      <c r="BZ16" s="32"/>
      <c r="CA16" s="2">
        <v>361</v>
      </c>
      <c r="CB16" s="2">
        <v>80</v>
      </c>
      <c r="CC16" s="2">
        <v>0.9</v>
      </c>
    </row>
    <row r="17" spans="2:81" ht="14.4">
      <c r="B17" s="32"/>
      <c r="C17" s="32"/>
      <c r="D17" s="32"/>
      <c r="E17" s="32"/>
      <c r="F17" s="28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28"/>
      <c r="AN17" s="28"/>
      <c r="AO17" s="32"/>
      <c r="AP17" s="32"/>
      <c r="AQ17" s="32"/>
      <c r="AR17" s="32"/>
      <c r="AS17" s="32"/>
      <c r="AT17" s="32"/>
      <c r="AU17" s="32"/>
      <c r="AV17" s="34"/>
      <c r="AW17" s="32"/>
      <c r="AX17" s="32"/>
      <c r="AY17" s="35"/>
      <c r="AZ17" s="32"/>
      <c r="BA17" s="32"/>
      <c r="BB17" s="32"/>
      <c r="BC17" s="32"/>
      <c r="BD17" s="32"/>
      <c r="BE17" s="32"/>
      <c r="BF17" s="32"/>
      <c r="BG17" s="32">
        <v>266585.58662758098</v>
      </c>
      <c r="BH17" s="32">
        <v>296429.95036472398</v>
      </c>
      <c r="BI17" s="32">
        <v>1796.9041153010301</v>
      </c>
      <c r="BJ17" s="32">
        <v>1416.7194861932001</v>
      </c>
      <c r="BK17" s="32">
        <v>1575.33729993262</v>
      </c>
      <c r="BL17" s="28">
        <f t="shared" ref="BL17" si="21">BJ17/BK17</f>
        <v>0.89931184023497424</v>
      </c>
      <c r="BM17" s="28">
        <f t="shared" si="1"/>
        <v>18.603989553003366</v>
      </c>
      <c r="BN17" s="28">
        <f t="shared" ref="BN17" si="22">BG17*2/(BI17/60)/($BE$1*6)/100000</f>
        <v>16.730788080623693</v>
      </c>
      <c r="BO17" s="32">
        <v>0.432778369532614</v>
      </c>
      <c r="BP17" s="32">
        <v>0.44781801365878399</v>
      </c>
      <c r="BQ17" s="32">
        <v>1.5776777777765101E-2</v>
      </c>
      <c r="BR17" s="32">
        <v>726.594959658579</v>
      </c>
      <c r="BS17" s="32">
        <v>186.27880091733999</v>
      </c>
      <c r="BT17" s="28">
        <f t="shared" si="3"/>
        <v>207.13482530005237</v>
      </c>
      <c r="BU17" s="32">
        <v>15.8473940867342</v>
      </c>
      <c r="BV17" s="32">
        <v>13992005.4540128</v>
      </c>
      <c r="BW17" s="32">
        <v>365.11176323312202</v>
      </c>
      <c r="BX17" s="28">
        <v>0.53108219488267905</v>
      </c>
      <c r="BY17" s="28">
        <v>2515.8338370538399</v>
      </c>
      <c r="BZ17" s="32"/>
      <c r="CA17" s="2">
        <v>361</v>
      </c>
      <c r="CB17" s="2">
        <v>80</v>
      </c>
      <c r="CC17" s="2">
        <v>0.8</v>
      </c>
    </row>
    <row r="18" spans="2:81" ht="14.4">
      <c r="B18" s="32"/>
      <c r="C18" s="32"/>
      <c r="D18" s="32"/>
      <c r="E18" s="32"/>
      <c r="F18" s="2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28"/>
      <c r="AN18" s="28"/>
      <c r="AO18" s="32"/>
      <c r="AP18" s="32"/>
      <c r="AQ18" s="32"/>
      <c r="AR18" s="32"/>
      <c r="AS18" s="32"/>
      <c r="AT18" s="32"/>
      <c r="AU18" s="32"/>
      <c r="AV18" s="34"/>
      <c r="AW18" s="32"/>
      <c r="AX18" s="32"/>
      <c r="AY18" s="35"/>
      <c r="AZ18" s="32"/>
      <c r="BA18" s="32"/>
      <c r="BB18" s="32"/>
      <c r="BC18" s="32"/>
      <c r="BD18" s="32"/>
      <c r="BE18" s="32"/>
      <c r="BF18" s="32"/>
      <c r="BG18" s="32">
        <v>266584.29831809702</v>
      </c>
      <c r="BH18" s="32">
        <v>296194.57730397797</v>
      </c>
      <c r="BI18" s="32">
        <v>1796.8954315283199</v>
      </c>
      <c r="BJ18" s="32">
        <v>1416.7194861932001</v>
      </c>
      <c r="BK18" s="32">
        <v>1574.0934738578101</v>
      </c>
      <c r="BL18" s="28">
        <f t="shared" ref="BL18" si="23">BJ18/BK18</f>
        <v>0.90002246354600801</v>
      </c>
      <c r="BM18" s="28">
        <f t="shared" si="1"/>
        <v>18.589300554462703</v>
      </c>
      <c r="BN18" s="28">
        <f t="shared" ref="BN18" si="24">BG18*2/(BI18/60)/($BE$1*6)/100000</f>
        <v>16.730788080624695</v>
      </c>
      <c r="BO18" s="32">
        <v>0.43261378350500901</v>
      </c>
      <c r="BP18" s="32">
        <v>0.44755673179678201</v>
      </c>
      <c r="BQ18" s="32">
        <v>1.5775610989262698E-2</v>
      </c>
      <c r="BR18" s="32">
        <v>726.23357660923</v>
      </c>
      <c r="BS18" s="32">
        <v>185.92593384854499</v>
      </c>
      <c r="BT18" s="28">
        <f t="shared" si="3"/>
        <v>206.5792148298315</v>
      </c>
      <c r="BU18" s="32">
        <v>11.7396663133771</v>
      </c>
      <c r="BV18" s="32">
        <f>13991637.2054128/100000</f>
        <v>139.916372054128</v>
      </c>
      <c r="BW18" s="32">
        <v>365.05701665263501</v>
      </c>
      <c r="BX18" s="28">
        <v>0.53067051625169104</v>
      </c>
      <c r="BY18" s="28">
        <v>2361.6912804221101</v>
      </c>
      <c r="BZ18" s="32"/>
      <c r="CA18" s="2">
        <v>361</v>
      </c>
      <c r="CB18" s="2">
        <v>80</v>
      </c>
      <c r="CC18" s="2">
        <v>0.7</v>
      </c>
    </row>
    <row r="19" spans="2:81" ht="14.4">
      <c r="B19" s="32"/>
      <c r="C19" s="32"/>
      <c r="D19" s="32"/>
      <c r="E19" s="32"/>
      <c r="F19" s="28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28"/>
      <c r="AN19" s="28"/>
      <c r="AO19" s="32"/>
      <c r="AP19" s="32"/>
      <c r="AQ19" s="32"/>
      <c r="AR19" s="32"/>
      <c r="AS19" s="32"/>
      <c r="AT19" s="32"/>
      <c r="AU19" s="32"/>
      <c r="AV19" s="34"/>
      <c r="AW19" s="32"/>
      <c r="AX19" s="32"/>
      <c r="AY19" s="35"/>
      <c r="AZ19" s="32"/>
      <c r="BA19" s="32"/>
      <c r="BB19" s="32"/>
      <c r="BC19" s="32"/>
      <c r="BD19" s="32"/>
      <c r="BE19" s="32"/>
      <c r="BF19" s="32"/>
      <c r="BG19" s="32">
        <v>266583.87362335902</v>
      </c>
      <c r="BH19" s="32">
        <v>296276.93861409102</v>
      </c>
      <c r="BI19" s="32">
        <v>1796.8925688991301</v>
      </c>
      <c r="BJ19" s="32">
        <v>1416.7194861932001</v>
      </c>
      <c r="BK19" s="32">
        <v>1574.53493423499</v>
      </c>
      <c r="BL19" s="28">
        <f t="shared" ref="BL19" si="25">BJ19/BK19</f>
        <v>0.89977011966491116</v>
      </c>
      <c r="BM19" s="28">
        <f t="shared" si="1"/>
        <v>18.594513993034234</v>
      </c>
      <c r="BN19" s="28">
        <f t="shared" ref="BN19" si="26">BG19*2/(BI19/60)/($BE$1*6)/100000</f>
        <v>16.730788080623277</v>
      </c>
      <c r="BO19" s="32">
        <v>0.43402833699796101</v>
      </c>
      <c r="BP19" s="32">
        <v>0.44827633113999599</v>
      </c>
      <c r="BQ19" s="32">
        <v>1.5811439318714E-2</v>
      </c>
      <c r="BR19" s="32">
        <v>723.73562811009594</v>
      </c>
      <c r="BS19" s="32">
        <v>186.255914866935</v>
      </c>
      <c r="BT19" s="28">
        <f t="shared" si="3"/>
        <v>207.0038899894783</v>
      </c>
      <c r="BU19" s="32">
        <v>5.0100766223101099</v>
      </c>
      <c r="BV19" s="32">
        <v>14105084.3607381</v>
      </c>
      <c r="BW19" s="32">
        <v>365.05441911534001</v>
      </c>
      <c r="BX19" s="28">
        <v>0.52971685899345999</v>
      </c>
      <c r="BY19" s="28">
        <v>2202.9957484943202</v>
      </c>
      <c r="BZ19" s="32"/>
      <c r="CA19" s="2">
        <v>361</v>
      </c>
      <c r="CB19" s="2">
        <v>80</v>
      </c>
      <c r="CC19" s="2">
        <v>0.6</v>
      </c>
    </row>
    <row r="20" spans="2:81" ht="14.4">
      <c r="B20" s="32"/>
      <c r="C20" s="32"/>
      <c r="D20" s="32"/>
      <c r="E20" s="32"/>
      <c r="F20" s="2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28"/>
      <c r="AN20" s="28"/>
      <c r="AO20" s="32"/>
      <c r="AP20" s="32"/>
      <c r="AQ20" s="32"/>
      <c r="AR20" s="32"/>
      <c r="AS20" s="32"/>
      <c r="AT20" s="32"/>
      <c r="AU20" s="32"/>
      <c r="AV20" s="34"/>
      <c r="AW20" s="32"/>
      <c r="AX20" s="32"/>
      <c r="AY20" s="35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28"/>
      <c r="BM20" s="28"/>
      <c r="BN20" s="28"/>
      <c r="BO20" s="32"/>
      <c r="BP20" s="32"/>
      <c r="BQ20" s="32"/>
      <c r="BR20" s="32"/>
      <c r="BS20" s="32"/>
      <c r="BT20" s="28"/>
      <c r="BU20" s="32"/>
      <c r="BV20" s="32"/>
      <c r="BW20" s="32"/>
      <c r="BX20" s="28"/>
      <c r="BY20" s="28"/>
      <c r="BZ20" s="32"/>
    </row>
    <row r="21" spans="2:81" ht="14.4">
      <c r="B21" s="32"/>
      <c r="C21" s="32"/>
      <c r="D21" s="32"/>
      <c r="E21" s="32"/>
      <c r="F21" s="28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28"/>
      <c r="AN21" s="28"/>
      <c r="AO21" s="32"/>
      <c r="AP21" s="32"/>
      <c r="AQ21" s="32"/>
      <c r="AR21" s="32"/>
      <c r="AS21" s="32"/>
      <c r="AT21" s="32"/>
      <c r="AU21" s="32"/>
      <c r="AV21" s="34"/>
      <c r="AW21" s="32"/>
      <c r="AX21" s="32"/>
      <c r="AY21" s="35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28"/>
      <c r="BM21" s="28"/>
      <c r="BN21" s="28"/>
      <c r="BO21" s="32"/>
      <c r="BP21" s="32"/>
      <c r="BQ21" s="32"/>
      <c r="BR21" s="32"/>
      <c r="BS21" s="32"/>
      <c r="BT21" s="28"/>
      <c r="BU21" s="32"/>
      <c r="BV21" s="32"/>
      <c r="BW21" s="32"/>
      <c r="BX21" s="28"/>
      <c r="BY21" s="28"/>
      <c r="BZ21" s="32"/>
    </row>
    <row r="22" spans="2:81">
      <c r="AG22" s="2">
        <v>273.14999999999998</v>
      </c>
    </row>
    <row r="23" spans="2:81">
      <c r="D23" s="2">
        <v>273.14999999999998</v>
      </c>
      <c r="I23" s="2">
        <f>1800/30*PI()</f>
        <v>188.49555921538757</v>
      </c>
      <c r="AR23" s="2" t="e">
        <f>#REF!/#REF!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view="pageBreakPreview" zoomScaleNormal="70" zoomScaleSheetLayoutView="100" workbookViewId="0">
      <selection activeCell="D10" sqref="D10"/>
    </sheetView>
  </sheetViews>
  <sheetFormatPr defaultColWidth="9.109375" defaultRowHeight="13.8"/>
  <cols>
    <col min="1" max="1" width="2.21875" style="2" customWidth="1"/>
    <col min="2" max="3" width="9.109375" style="2"/>
    <col min="4" max="4" width="37.5546875" style="2" customWidth="1"/>
    <col min="5" max="5" width="33" style="2" customWidth="1"/>
    <col min="6" max="16384" width="9.109375" style="2"/>
  </cols>
  <sheetData>
    <row r="1" spans="1:5">
      <c r="A1" s="2" t="s">
        <v>3</v>
      </c>
    </row>
    <row r="2" spans="1:5">
      <c r="B2" s="6" t="s">
        <v>0</v>
      </c>
      <c r="C2" s="6">
        <f>C4/0.255</f>
        <v>0.27450980392156865</v>
      </c>
      <c r="D2" s="7" t="s">
        <v>1</v>
      </c>
      <c r="E2" s="7"/>
    </row>
    <row r="3" spans="1:5">
      <c r="B3" s="6" t="s">
        <v>5</v>
      </c>
      <c r="C3" s="6">
        <v>0.127</v>
      </c>
      <c r="D3" s="7" t="s">
        <v>37</v>
      </c>
      <c r="E3" s="7"/>
    </row>
    <row r="4" spans="1:5">
      <c r="B4" s="6" t="s">
        <v>72</v>
      </c>
      <c r="C4" s="6">
        <f>C5/2</f>
        <v>7.0000000000000007E-2</v>
      </c>
      <c r="D4" s="7" t="s">
        <v>73</v>
      </c>
      <c r="E4" s="7"/>
    </row>
    <row r="5" spans="1:5">
      <c r="B5" s="6" t="s">
        <v>35</v>
      </c>
      <c r="C5" s="6">
        <v>0.14000000000000001</v>
      </c>
      <c r="D5" s="7" t="s">
        <v>36</v>
      </c>
      <c r="E5" s="7"/>
    </row>
    <row r="6" spans="1:5">
      <c r="B6" s="6" t="s">
        <v>10</v>
      </c>
      <c r="C6" s="6"/>
      <c r="D6" s="7" t="s">
        <v>38</v>
      </c>
      <c r="E6" s="7"/>
    </row>
    <row r="7" spans="1:5">
      <c r="B7" s="6" t="s">
        <v>22</v>
      </c>
      <c r="C7" s="6">
        <v>6</v>
      </c>
      <c r="D7" s="7" t="s">
        <v>23</v>
      </c>
      <c r="E7" s="7"/>
    </row>
    <row r="8" spans="1:5">
      <c r="B8" s="6" t="s">
        <v>24</v>
      </c>
      <c r="C8" s="6">
        <v>4</v>
      </c>
      <c r="D8" s="7" t="s">
        <v>25</v>
      </c>
      <c r="E8" s="7"/>
    </row>
    <row r="9" spans="1:5">
      <c r="B9" s="6" t="s">
        <v>33</v>
      </c>
      <c r="C9" s="6" t="s">
        <v>196</v>
      </c>
      <c r="D9" s="7" t="s">
        <v>34</v>
      </c>
      <c r="E9" s="7"/>
    </row>
    <row r="10" spans="1:5">
      <c r="B10" s="6" t="s">
        <v>49</v>
      </c>
      <c r="C10" s="6">
        <v>18</v>
      </c>
      <c r="D10" s="7" t="s">
        <v>50</v>
      </c>
      <c r="E10" s="7"/>
    </row>
    <row r="11" spans="1:5">
      <c r="B11" s="6" t="s">
        <v>78</v>
      </c>
      <c r="C11" s="6">
        <f>C3^2/4*PI()*C5</f>
        <v>1.7734761768412423E-3</v>
      </c>
      <c r="D11" s="7" t="s">
        <v>79</v>
      </c>
      <c r="E11" s="7"/>
    </row>
    <row r="12" spans="1:5">
      <c r="B12" s="6" t="s">
        <v>138</v>
      </c>
      <c r="C12" s="6">
        <v>2.6</v>
      </c>
      <c r="D12" s="7" t="s">
        <v>139</v>
      </c>
      <c r="E12" s="7" t="s">
        <v>140</v>
      </c>
    </row>
    <row r="13" spans="1:5">
      <c r="A13" s="2" t="s">
        <v>26</v>
      </c>
      <c r="D13" s="3"/>
      <c r="E13" s="3"/>
    </row>
    <row r="14" spans="1:5">
      <c r="B14" s="6" t="s">
        <v>76</v>
      </c>
      <c r="C14" s="6">
        <v>1800</v>
      </c>
      <c r="D14" s="7" t="s">
        <v>77</v>
      </c>
      <c r="E14" s="7">
        <f>C14/30*PI()</f>
        <v>188.49555921538757</v>
      </c>
    </row>
    <row r="15" spans="1:5">
      <c r="B15" s="6" t="s">
        <v>27</v>
      </c>
      <c r="C15" s="6">
        <f>C14/30*PI()</f>
        <v>188.49555921538757</v>
      </c>
      <c r="D15" s="7" t="s">
        <v>28</v>
      </c>
      <c r="E15" s="7"/>
    </row>
    <row r="16" spans="1:5">
      <c r="B16" s="6" t="s">
        <v>74</v>
      </c>
      <c r="C16" s="6">
        <f>280</f>
        <v>280</v>
      </c>
      <c r="D16" s="7" t="s">
        <v>75</v>
      </c>
      <c r="E16" s="7"/>
    </row>
    <row r="17" spans="1:5">
      <c r="B17" s="6" t="s">
        <v>32</v>
      </c>
      <c r="C17" s="6">
        <f>C16/(C14/60/2)/(C11*C7)/100</f>
        <v>17.542446590133199</v>
      </c>
      <c r="D17" s="7" t="s">
        <v>80</v>
      </c>
      <c r="E17" s="7"/>
    </row>
    <row r="18" spans="1:5">
      <c r="A18" s="2" t="s">
        <v>41</v>
      </c>
      <c r="D18" s="3"/>
      <c r="E18" s="3"/>
    </row>
    <row r="19" spans="1:5" ht="27.6">
      <c r="B19" s="6" t="s">
        <v>42</v>
      </c>
      <c r="C19" s="6"/>
      <c r="D19" s="7" t="s">
        <v>45</v>
      </c>
      <c r="E19" s="7" t="s">
        <v>84</v>
      </c>
    </row>
    <row r="20" spans="1:5" ht="27.6">
      <c r="B20" s="6" t="s">
        <v>43</v>
      </c>
      <c r="C20" s="6"/>
      <c r="D20" s="7" t="s">
        <v>46</v>
      </c>
      <c r="E20" s="7" t="s">
        <v>84</v>
      </c>
    </row>
    <row r="21" spans="1:5" ht="27.6">
      <c r="B21" s="6" t="s">
        <v>44</v>
      </c>
      <c r="C21" s="6"/>
      <c r="D21" s="7" t="s">
        <v>47</v>
      </c>
      <c r="E21" s="7" t="s">
        <v>84</v>
      </c>
    </row>
    <row r="22" spans="1:5">
      <c r="A22" s="4" t="s">
        <v>60</v>
      </c>
      <c r="D22" s="3"/>
      <c r="E22" s="3"/>
    </row>
    <row r="23" spans="1:5">
      <c r="B23" s="6" t="s">
        <v>61</v>
      </c>
      <c r="C23" s="6"/>
      <c r="D23" s="7" t="s">
        <v>62</v>
      </c>
      <c r="E23" s="7"/>
    </row>
    <row r="24" spans="1:5">
      <c r="A24" s="2" t="s">
        <v>4</v>
      </c>
      <c r="D24" s="3"/>
      <c r="E24" s="3"/>
    </row>
    <row r="25" spans="1:5" ht="27.6">
      <c r="B25" s="6" t="s">
        <v>2</v>
      </c>
      <c r="C25" s="6"/>
      <c r="D25" s="7" t="s">
        <v>63</v>
      </c>
      <c r="E25" s="7" t="s">
        <v>85</v>
      </c>
    </row>
    <row r="26" spans="1:5" ht="27.6">
      <c r="B26" s="6" t="s">
        <v>6</v>
      </c>
      <c r="C26" s="6"/>
      <c r="D26" s="7" t="s">
        <v>64</v>
      </c>
      <c r="E26" s="7" t="s">
        <v>85</v>
      </c>
    </row>
    <row r="27" spans="1:5">
      <c r="B27" s="6" t="s">
        <v>53</v>
      </c>
      <c r="C27" s="6"/>
      <c r="D27" s="7" t="s">
        <v>54</v>
      </c>
      <c r="E27" s="7" t="s">
        <v>81</v>
      </c>
    </row>
    <row r="28" spans="1:5">
      <c r="B28" s="6" t="s">
        <v>82</v>
      </c>
      <c r="C28" s="6"/>
      <c r="D28" s="7" t="s">
        <v>83</v>
      </c>
      <c r="E28" s="7"/>
    </row>
    <row r="29" spans="1:5">
      <c r="A29" s="2" t="s">
        <v>65</v>
      </c>
      <c r="D29" s="3"/>
      <c r="E29" s="3"/>
    </row>
    <row r="30" spans="1:5">
      <c r="B30" s="8" t="s">
        <v>51</v>
      </c>
      <c r="C30" s="6">
        <f>SUM(C31:C36)/1000</f>
        <v>3.8198813999999998E-2</v>
      </c>
      <c r="D30" s="7" t="s">
        <v>52</v>
      </c>
      <c r="E30" s="7" t="s">
        <v>86</v>
      </c>
    </row>
    <row r="31" spans="1:5">
      <c r="B31" s="48"/>
      <c r="C31" s="2">
        <f>0.089339*12</f>
        <v>1.072068</v>
      </c>
      <c r="D31" s="50" t="s">
        <v>274</v>
      </c>
      <c r="E31" s="50"/>
    </row>
    <row r="32" spans="1:5">
      <c r="B32" s="48"/>
      <c r="C32" s="2">
        <f>1.80642*6</f>
        <v>10.838519999999999</v>
      </c>
      <c r="D32" s="50" t="s">
        <v>275</v>
      </c>
      <c r="E32" s="50"/>
    </row>
    <row r="33" spans="1:5">
      <c r="B33" s="48"/>
      <c r="C33" s="2">
        <f>0.332616*5</f>
        <v>1.6630800000000001</v>
      </c>
      <c r="D33" s="50" t="s">
        <v>276</v>
      </c>
      <c r="E33" s="50"/>
    </row>
    <row r="34" spans="1:5">
      <c r="B34" s="48"/>
      <c r="C34" s="2">
        <v>0.42171900000000001</v>
      </c>
      <c r="D34" s="50" t="s">
        <v>277</v>
      </c>
      <c r="E34" s="50"/>
    </row>
    <row r="35" spans="1:5">
      <c r="B35" s="48"/>
      <c r="C35" s="2">
        <f>0.603186*4</f>
        <v>2.412744</v>
      </c>
      <c r="D35" s="50" t="s">
        <v>281</v>
      </c>
      <c r="E35" s="50"/>
    </row>
    <row r="36" spans="1:5">
      <c r="B36" s="48"/>
      <c r="C36" s="2">
        <v>21.790683000000001</v>
      </c>
      <c r="D36" s="50" t="s">
        <v>278</v>
      </c>
      <c r="E36" s="50"/>
    </row>
    <row r="37" spans="1:5">
      <c r="A37" s="2" t="s">
        <v>66</v>
      </c>
      <c r="B37" s="5"/>
      <c r="D37" s="3"/>
      <c r="E37" s="3"/>
    </row>
    <row r="38" spans="1:5">
      <c r="B38" s="8" t="s">
        <v>68</v>
      </c>
      <c r="C38" s="6">
        <f>SUM(C39:C44)/1000*2</f>
        <v>1.5678137599999999E-2</v>
      </c>
      <c r="D38" s="7" t="s">
        <v>52</v>
      </c>
      <c r="E38" s="7" t="s">
        <v>86</v>
      </c>
    </row>
    <row r="39" spans="1:5">
      <c r="B39" s="48"/>
      <c r="C39" s="49">
        <f>0.14306*12</f>
        <v>1.71672</v>
      </c>
      <c r="D39" s="50" t="s">
        <v>279</v>
      </c>
      <c r="E39" s="50"/>
    </row>
    <row r="40" spans="1:5">
      <c r="B40" s="48"/>
      <c r="C40" s="49">
        <f>0.132263*6</f>
        <v>0.79357799999999989</v>
      </c>
      <c r="D40" s="50" t="s">
        <v>280</v>
      </c>
      <c r="E40" s="50"/>
    </row>
    <row r="41" spans="1:5">
      <c r="B41" s="48"/>
      <c r="C41" s="49">
        <f>(0.191134*6)+2.6109028</f>
        <v>3.7577067999999998</v>
      </c>
      <c r="D41" s="50" t="s">
        <v>282</v>
      </c>
      <c r="E41" s="50"/>
    </row>
    <row r="42" spans="1:5">
      <c r="B42" s="48"/>
      <c r="C42" s="49">
        <f>0.175716*2</f>
        <v>0.35143200000000002</v>
      </c>
      <c r="D42" s="50" t="s">
        <v>277</v>
      </c>
      <c r="E42" s="50"/>
    </row>
    <row r="43" spans="1:5">
      <c r="B43" s="48"/>
      <c r="C43" s="49">
        <f>0.246003*4</f>
        <v>0.984012</v>
      </c>
      <c r="D43" s="50" t="s">
        <v>281</v>
      </c>
      <c r="E43" s="50"/>
    </row>
    <row r="44" spans="1:5">
      <c r="B44" s="48"/>
      <c r="C44" s="49">
        <f>0.11781*2</f>
        <v>0.23562</v>
      </c>
      <c r="D44" s="50" t="s">
        <v>283</v>
      </c>
      <c r="E44" s="50"/>
    </row>
    <row r="45" spans="1:5">
      <c r="B45" s="48"/>
      <c r="C45" s="49"/>
      <c r="D45" s="50"/>
      <c r="E45" s="50"/>
    </row>
    <row r="46" spans="1:5">
      <c r="B46" s="48"/>
      <c r="C46" s="49"/>
      <c r="D46" s="50"/>
      <c r="E46" s="50"/>
    </row>
    <row r="47" spans="1:5">
      <c r="B47" s="48"/>
      <c r="C47" s="49"/>
      <c r="D47" s="50"/>
      <c r="E47" s="50"/>
    </row>
    <row r="48" spans="1:5">
      <c r="A48" s="2" t="s">
        <v>7</v>
      </c>
      <c r="D48" s="3"/>
      <c r="E48" s="3"/>
    </row>
    <row r="49" spans="1:5">
      <c r="B49" s="6" t="s">
        <v>8</v>
      </c>
      <c r="C49" s="6"/>
      <c r="D49" s="7" t="s">
        <v>48</v>
      </c>
      <c r="E49" s="7"/>
    </row>
    <row r="50" spans="1:5">
      <c r="B50" s="6" t="s">
        <v>9</v>
      </c>
      <c r="C50" s="6"/>
      <c r="D50" s="7" t="s">
        <v>57</v>
      </c>
      <c r="E50" s="7"/>
    </row>
    <row r="51" spans="1:5">
      <c r="B51" s="6" t="s">
        <v>14</v>
      </c>
      <c r="C51" s="6"/>
      <c r="D51" s="7" t="s">
        <v>19</v>
      </c>
      <c r="E51" s="7"/>
    </row>
    <row r="52" spans="1:5">
      <c r="B52" s="6" t="s">
        <v>15</v>
      </c>
      <c r="C52" s="6"/>
      <c r="D52" s="7" t="s">
        <v>18</v>
      </c>
      <c r="E52" s="7"/>
    </row>
    <row r="53" spans="1:5">
      <c r="B53" s="6" t="s">
        <v>16</v>
      </c>
      <c r="C53" s="6"/>
      <c r="D53" s="7" t="s">
        <v>20</v>
      </c>
      <c r="E53" s="7"/>
    </row>
    <row r="54" spans="1:5">
      <c r="B54" s="6" t="s">
        <v>17</v>
      </c>
      <c r="C54" s="6"/>
      <c r="D54" s="7" t="s">
        <v>21</v>
      </c>
      <c r="E54" s="7"/>
    </row>
    <row r="55" spans="1:5">
      <c r="B55" s="6" t="s">
        <v>55</v>
      </c>
      <c r="C55" s="6"/>
      <c r="D55" s="7" t="s">
        <v>56</v>
      </c>
      <c r="E55" s="7" t="s">
        <v>87</v>
      </c>
    </row>
    <row r="56" spans="1:5">
      <c r="B56" s="6" t="s">
        <v>58</v>
      </c>
      <c r="C56" s="6"/>
      <c r="D56" s="7" t="s">
        <v>59</v>
      </c>
      <c r="E56" s="7" t="s">
        <v>88</v>
      </c>
    </row>
    <row r="57" spans="1:5">
      <c r="A57" s="4" t="s">
        <v>11</v>
      </c>
      <c r="D57" s="3"/>
      <c r="E57" s="3"/>
    </row>
    <row r="58" spans="1:5">
      <c r="B58" s="6" t="s">
        <v>12</v>
      </c>
      <c r="C58" s="6"/>
      <c r="D58" s="7" t="s">
        <v>13</v>
      </c>
      <c r="E58" s="7"/>
    </row>
    <row r="59" spans="1:5">
      <c r="B59" s="6" t="s">
        <v>69</v>
      </c>
      <c r="C59" s="6"/>
      <c r="D59" s="7"/>
      <c r="E59" s="7"/>
    </row>
    <row r="60" spans="1:5">
      <c r="B60" s="6" t="s">
        <v>70</v>
      </c>
      <c r="C60" s="6"/>
      <c r="D60" s="7"/>
      <c r="E60" s="7"/>
    </row>
    <row r="61" spans="1:5">
      <c r="A61" s="2" t="s">
        <v>29</v>
      </c>
      <c r="D61" s="3"/>
      <c r="E61" s="3"/>
    </row>
    <row r="62" spans="1:5">
      <c r="B62" s="6" t="s">
        <v>30</v>
      </c>
      <c r="C62" s="6"/>
      <c r="D62" s="7" t="s">
        <v>31</v>
      </c>
      <c r="E62" s="7"/>
    </row>
    <row r="63" spans="1:5">
      <c r="B63" s="6" t="s">
        <v>39</v>
      </c>
      <c r="C63" s="6"/>
      <c r="D63" s="7" t="s">
        <v>40</v>
      </c>
      <c r="E63" s="7"/>
    </row>
    <row r="64" spans="1:5" ht="27.6">
      <c r="A64" s="4" t="s">
        <v>71</v>
      </c>
      <c r="D64" s="3"/>
      <c r="E64" s="3" t="s">
        <v>91</v>
      </c>
    </row>
    <row r="65" spans="1:5" ht="27.6">
      <c r="A65" s="4" t="s">
        <v>89</v>
      </c>
      <c r="B65" s="5"/>
      <c r="D65" s="3"/>
      <c r="E65" s="3" t="s">
        <v>90</v>
      </c>
    </row>
    <row r="66" spans="1:5">
      <c r="B66" s="5"/>
    </row>
    <row r="67" spans="1:5">
      <c r="B67" s="5"/>
    </row>
  </sheetData>
  <phoneticPr fontId="1" type="noConversion"/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" zoomScale="70" zoomScaleNormal="70" workbookViewId="0">
      <selection activeCell="I40" sqref="I40"/>
    </sheetView>
  </sheetViews>
  <sheetFormatPr defaultRowHeight="14.4"/>
  <sheetData>
    <row r="1" spans="1:7">
      <c r="B1" t="s">
        <v>202</v>
      </c>
      <c r="C1" t="s">
        <v>203</v>
      </c>
      <c r="D1" t="s">
        <v>204</v>
      </c>
      <c r="F1" t="s">
        <v>205</v>
      </c>
      <c r="G1" t="s">
        <v>192</v>
      </c>
    </row>
    <row r="2" spans="1:7">
      <c r="A2">
        <v>1000</v>
      </c>
      <c r="B2" s="20">
        <v>206</v>
      </c>
      <c r="C2">
        <v>1640</v>
      </c>
      <c r="D2">
        <f>C2*A2/30*PI()/1000</f>
        <v>171.740398396242</v>
      </c>
      <c r="E2">
        <f>(B7-B2)/5</f>
        <v>-0.8</v>
      </c>
      <c r="F2">
        <f>B2*D2/3600</f>
        <v>9.8273672415627367</v>
      </c>
      <c r="G2">
        <f>F2/6/(A2/60/2)</f>
        <v>0.19654734483125472</v>
      </c>
    </row>
    <row r="3" spans="1:7">
      <c r="A3">
        <v>1010</v>
      </c>
      <c r="B3">
        <f>B2+$E$2</f>
        <v>205.2</v>
      </c>
      <c r="C3">
        <f t="shared" ref="C3:C10" si="0">C2+13.75</f>
        <v>1653.75</v>
      </c>
      <c r="D3">
        <f t="shared" ref="D3:D66" si="1">C3*A3/30*PI()/1000</f>
        <v>174.91209797942872</v>
      </c>
      <c r="F3">
        <f t="shared" ref="F3:F66" si="2">B3*D3/3600</f>
        <v>9.969989584827438</v>
      </c>
      <c r="G3">
        <f t="shared" ref="G3:G66" si="3">F3/6/(A3/60/2)</f>
        <v>0.19742553633321661</v>
      </c>
    </row>
    <row r="4" spans="1:7">
      <c r="A4">
        <v>1020</v>
      </c>
      <c r="B4">
        <f>B3+$E$2</f>
        <v>204.39999999999998</v>
      </c>
      <c r="C4">
        <f t="shared" si="0"/>
        <v>1667.5</v>
      </c>
      <c r="D4">
        <f t="shared" si="1"/>
        <v>178.11259549527333</v>
      </c>
      <c r="F4">
        <f t="shared" si="2"/>
        <v>10.112837366453851</v>
      </c>
      <c r="G4">
        <f t="shared" si="3"/>
        <v>0.19829092875399709</v>
      </c>
    </row>
    <row r="5" spans="1:7">
      <c r="A5">
        <v>1030</v>
      </c>
      <c r="B5">
        <f>B4+$E$2</f>
        <v>203.59999999999997</v>
      </c>
      <c r="C5">
        <f t="shared" si="0"/>
        <v>1681.25</v>
      </c>
      <c r="D5">
        <f t="shared" si="1"/>
        <v>181.34189094377584</v>
      </c>
      <c r="F5">
        <f t="shared" si="2"/>
        <v>10.25589138782021</v>
      </c>
      <c r="G5">
        <f t="shared" si="3"/>
        <v>0.19914352209359631</v>
      </c>
    </row>
    <row r="6" spans="1:7">
      <c r="A6">
        <v>1040</v>
      </c>
      <c r="B6">
        <f>B5+$E$2</f>
        <v>202.79999999999995</v>
      </c>
      <c r="C6">
        <f t="shared" si="0"/>
        <v>1695</v>
      </c>
      <c r="D6">
        <f t="shared" si="1"/>
        <v>184.59998432493623</v>
      </c>
      <c r="F6">
        <f t="shared" si="2"/>
        <v>10.399132450304739</v>
      </c>
      <c r="G6">
        <f t="shared" si="3"/>
        <v>0.19998331635201422</v>
      </c>
    </row>
    <row r="7" spans="1:7">
      <c r="A7">
        <v>1050</v>
      </c>
      <c r="B7" s="20">
        <v>202</v>
      </c>
      <c r="C7">
        <f t="shared" si="0"/>
        <v>1708.75</v>
      </c>
      <c r="D7">
        <f t="shared" si="1"/>
        <v>187.88687563875456</v>
      </c>
      <c r="E7">
        <f>(B12-B7)/5</f>
        <v>-0.6</v>
      </c>
      <c r="F7">
        <f t="shared" si="2"/>
        <v>10.542541355285673</v>
      </c>
      <c r="G7">
        <f t="shared" si="3"/>
        <v>0.20081031152925091</v>
      </c>
    </row>
    <row r="8" spans="1:7">
      <c r="A8">
        <v>1060</v>
      </c>
      <c r="B8">
        <f>B7+$E$7</f>
        <v>201.4</v>
      </c>
      <c r="C8">
        <f t="shared" si="0"/>
        <v>1722.5</v>
      </c>
      <c r="D8">
        <f t="shared" si="1"/>
        <v>191.2025648852308</v>
      </c>
      <c r="F8">
        <f t="shared" si="2"/>
        <v>10.696721268857079</v>
      </c>
      <c r="G8">
        <f t="shared" si="3"/>
        <v>0.20182492960107695</v>
      </c>
    </row>
    <row r="9" spans="1:7">
      <c r="A9">
        <v>1070</v>
      </c>
      <c r="B9">
        <f>B8+$E$7</f>
        <v>200.8</v>
      </c>
      <c r="C9">
        <f t="shared" si="0"/>
        <v>1736.25</v>
      </c>
      <c r="D9">
        <f t="shared" si="1"/>
        <v>194.54705206436492</v>
      </c>
      <c r="F9">
        <f t="shared" si="2"/>
        <v>10.85140223736791</v>
      </c>
      <c r="G9">
        <f t="shared" si="3"/>
        <v>0.20282994836201704</v>
      </c>
    </row>
    <row r="10" spans="1:7">
      <c r="A10">
        <v>1080</v>
      </c>
      <c r="B10">
        <f>B9+$E$7</f>
        <v>200.20000000000002</v>
      </c>
      <c r="C10">
        <f t="shared" si="0"/>
        <v>1750</v>
      </c>
      <c r="D10">
        <f t="shared" si="1"/>
        <v>197.92033717615695</v>
      </c>
      <c r="F10">
        <f t="shared" si="2"/>
        <v>11.00656986185184</v>
      </c>
      <c r="G10" s="30">
        <f t="shared" si="3"/>
        <v>0.20382536781207111</v>
      </c>
    </row>
    <row r="11" spans="1:7">
      <c r="A11">
        <v>1090</v>
      </c>
      <c r="B11">
        <f>B10+$E$7</f>
        <v>199.60000000000002</v>
      </c>
      <c r="C11">
        <v>1750</v>
      </c>
      <c r="D11">
        <f t="shared" si="1"/>
        <v>199.75293289075103</v>
      </c>
      <c r="F11">
        <f t="shared" si="2"/>
        <v>11.075190390276084</v>
      </c>
      <c r="G11">
        <f t="shared" si="3"/>
        <v>0.20321450257387308</v>
      </c>
    </row>
    <row r="12" spans="1:7">
      <c r="A12">
        <v>1100</v>
      </c>
      <c r="B12" s="20">
        <v>199</v>
      </c>
      <c r="C12">
        <v>1750</v>
      </c>
      <c r="D12">
        <f t="shared" si="1"/>
        <v>201.58552860534505</v>
      </c>
      <c r="E12">
        <f>(B17-B12)/5</f>
        <v>-0.7</v>
      </c>
      <c r="F12">
        <f t="shared" si="2"/>
        <v>11.143200053462129</v>
      </c>
      <c r="G12">
        <f t="shared" si="3"/>
        <v>0.2026036373356751</v>
      </c>
    </row>
    <row r="13" spans="1:7">
      <c r="A13">
        <v>1110</v>
      </c>
      <c r="B13">
        <f>B12+$E$12</f>
        <v>198.3</v>
      </c>
      <c r="C13">
        <v>1750</v>
      </c>
      <c r="D13">
        <f t="shared" si="1"/>
        <v>203.41812431993912</v>
      </c>
      <c r="F13">
        <f t="shared" si="2"/>
        <v>11.204948347956648</v>
      </c>
      <c r="G13">
        <f t="shared" si="3"/>
        <v>0.20189096122444411</v>
      </c>
    </row>
    <row r="14" spans="1:7">
      <c r="A14">
        <v>1120</v>
      </c>
      <c r="B14">
        <f>B13+$E$12</f>
        <v>197.60000000000002</v>
      </c>
      <c r="C14">
        <v>1750</v>
      </c>
      <c r="D14">
        <f t="shared" si="1"/>
        <v>205.25072003453315</v>
      </c>
      <c r="F14">
        <f t="shared" si="2"/>
        <v>11.265983966339933</v>
      </c>
      <c r="G14">
        <f t="shared" si="3"/>
        <v>0.20117828511321309</v>
      </c>
    </row>
    <row r="15" spans="1:7">
      <c r="A15">
        <v>1130</v>
      </c>
      <c r="B15">
        <f>B14+$E$12</f>
        <v>196.90000000000003</v>
      </c>
      <c r="C15">
        <v>1750</v>
      </c>
      <c r="D15">
        <f t="shared" si="1"/>
        <v>207.08331574912722</v>
      </c>
      <c r="F15">
        <f t="shared" si="2"/>
        <v>11.326306908611988</v>
      </c>
      <c r="G15">
        <f t="shared" si="3"/>
        <v>0.2004656090019821</v>
      </c>
    </row>
    <row r="16" spans="1:7">
      <c r="A16">
        <v>1140</v>
      </c>
      <c r="B16">
        <f>B15+$E$12</f>
        <v>196.20000000000005</v>
      </c>
      <c r="C16">
        <v>1750</v>
      </c>
      <c r="D16">
        <f t="shared" si="1"/>
        <v>208.91591146372124</v>
      </c>
      <c r="F16">
        <f t="shared" si="2"/>
        <v>11.385917174772811</v>
      </c>
      <c r="G16">
        <f t="shared" si="3"/>
        <v>0.19975293289075108</v>
      </c>
    </row>
    <row r="17" spans="1:7">
      <c r="A17">
        <v>1150</v>
      </c>
      <c r="B17" s="20">
        <v>195.5</v>
      </c>
      <c r="C17">
        <v>1750</v>
      </c>
      <c r="D17">
        <f t="shared" si="1"/>
        <v>210.74850717831529</v>
      </c>
      <c r="E17">
        <f>(B22-B17)/5</f>
        <v>-0.6</v>
      </c>
      <c r="F17">
        <f t="shared" si="2"/>
        <v>11.4448147648224</v>
      </c>
      <c r="G17">
        <f t="shared" si="3"/>
        <v>0.19904025677952</v>
      </c>
    </row>
    <row r="18" spans="1:7">
      <c r="A18">
        <v>1160</v>
      </c>
      <c r="B18">
        <f>B17+$E$17</f>
        <v>194.9</v>
      </c>
      <c r="C18">
        <v>1750</v>
      </c>
      <c r="D18">
        <f t="shared" si="1"/>
        <v>212.58110289290934</v>
      </c>
      <c r="F18">
        <f t="shared" si="2"/>
        <v>11.508904709396676</v>
      </c>
      <c r="G18">
        <f t="shared" si="3"/>
        <v>0.198429391541322</v>
      </c>
    </row>
    <row r="19" spans="1:7">
      <c r="A19">
        <v>1170</v>
      </c>
      <c r="B19">
        <f>B18+$E$17</f>
        <v>194.3</v>
      </c>
      <c r="C19">
        <v>1750</v>
      </c>
      <c r="D19">
        <f t="shared" si="1"/>
        <v>214.41369860750339</v>
      </c>
      <c r="F19">
        <f t="shared" si="2"/>
        <v>11.572383788732754</v>
      </c>
      <c r="G19">
        <f t="shared" si="3"/>
        <v>0.19781852630312402</v>
      </c>
    </row>
    <row r="20" spans="1:7">
      <c r="A20">
        <v>1180</v>
      </c>
      <c r="B20">
        <f>B19+$E$17</f>
        <v>193.70000000000002</v>
      </c>
      <c r="C20">
        <v>1750</v>
      </c>
      <c r="D20">
        <f t="shared" si="1"/>
        <v>216.24629432209741</v>
      </c>
      <c r="F20">
        <f t="shared" si="2"/>
        <v>11.635252002830631</v>
      </c>
      <c r="G20">
        <f t="shared" si="3"/>
        <v>0.19720766106492593</v>
      </c>
    </row>
    <row r="21" spans="1:7">
      <c r="A21">
        <v>1190</v>
      </c>
      <c r="B21">
        <f>B20+$E$17</f>
        <v>193.10000000000002</v>
      </c>
      <c r="C21">
        <v>1750</v>
      </c>
      <c r="D21">
        <f t="shared" si="1"/>
        <v>218.07889003669146</v>
      </c>
      <c r="F21">
        <f t="shared" si="2"/>
        <v>11.697509351690313</v>
      </c>
      <c r="G21">
        <f t="shared" si="3"/>
        <v>0.19659679582672795</v>
      </c>
    </row>
    <row r="22" spans="1:7">
      <c r="A22">
        <v>1200</v>
      </c>
      <c r="B22" s="20">
        <v>192.5</v>
      </c>
      <c r="C22">
        <v>1750</v>
      </c>
      <c r="D22">
        <f t="shared" si="1"/>
        <v>219.91148575128551</v>
      </c>
      <c r="E22">
        <f>(B27-B22)/5</f>
        <v>-0.2</v>
      </c>
      <c r="F22">
        <f t="shared" si="2"/>
        <v>11.759155835311795</v>
      </c>
      <c r="G22">
        <f t="shared" si="3"/>
        <v>0.19598593058852992</v>
      </c>
    </row>
    <row r="23" spans="1:7">
      <c r="A23">
        <v>1210</v>
      </c>
      <c r="B23">
        <f>B22+$E$22</f>
        <v>192.3</v>
      </c>
      <c r="C23">
        <v>1750</v>
      </c>
      <c r="D23">
        <f t="shared" si="1"/>
        <v>221.74408146587953</v>
      </c>
      <c r="F23">
        <f t="shared" si="2"/>
        <v>11.844829684969065</v>
      </c>
      <c r="G23">
        <f t="shared" si="3"/>
        <v>0.19578230884246386</v>
      </c>
    </row>
    <row r="24" spans="1:7">
      <c r="A24">
        <v>1220</v>
      </c>
      <c r="B24">
        <f>B23+$E$22</f>
        <v>192.10000000000002</v>
      </c>
      <c r="C24">
        <v>1750</v>
      </c>
      <c r="D24">
        <f t="shared" si="1"/>
        <v>223.57667718047364</v>
      </c>
      <c r="F24">
        <f t="shared" si="2"/>
        <v>11.930299912880274</v>
      </c>
      <c r="G24">
        <f t="shared" si="3"/>
        <v>0.19557868709639795</v>
      </c>
    </row>
    <row r="25" spans="1:7">
      <c r="A25">
        <v>1230</v>
      </c>
      <c r="B25">
        <f>B24+$E$22</f>
        <v>191.90000000000003</v>
      </c>
      <c r="C25">
        <v>1750</v>
      </c>
      <c r="D25">
        <f t="shared" si="1"/>
        <v>225.40927289506766</v>
      </c>
      <c r="F25">
        <f t="shared" si="2"/>
        <v>12.015566519045414</v>
      </c>
      <c r="G25">
        <f t="shared" si="3"/>
        <v>0.19537506535033192</v>
      </c>
    </row>
    <row r="26" spans="1:7">
      <c r="A26">
        <v>1240</v>
      </c>
      <c r="B26">
        <f>B25+$E$22</f>
        <v>191.70000000000005</v>
      </c>
      <c r="C26">
        <v>1750</v>
      </c>
      <c r="D26">
        <f t="shared" si="1"/>
        <v>227.24186860966168</v>
      </c>
      <c r="F26">
        <f t="shared" si="2"/>
        <v>12.100629503464488</v>
      </c>
      <c r="G26">
        <f t="shared" si="3"/>
        <v>0.19517144360426594</v>
      </c>
    </row>
    <row r="27" spans="1:7">
      <c r="A27">
        <v>1250</v>
      </c>
      <c r="B27" s="20">
        <v>191.5</v>
      </c>
      <c r="C27">
        <v>1750</v>
      </c>
      <c r="D27">
        <f t="shared" si="1"/>
        <v>229.07446432425576</v>
      </c>
      <c r="E27">
        <f>(B32-B27)/5</f>
        <v>-0.1</v>
      </c>
      <c r="F27">
        <f t="shared" si="2"/>
        <v>12.185488866137494</v>
      </c>
      <c r="G27">
        <f t="shared" si="3"/>
        <v>0.19496782185819991</v>
      </c>
    </row>
    <row r="28" spans="1:7">
      <c r="A28">
        <v>1260</v>
      </c>
      <c r="B28">
        <f>B27+$E$27</f>
        <v>191.4</v>
      </c>
      <c r="C28">
        <v>1750</v>
      </c>
      <c r="D28">
        <f t="shared" si="1"/>
        <v>230.90706003884981</v>
      </c>
      <c r="F28">
        <f t="shared" si="2"/>
        <v>12.276558692065514</v>
      </c>
      <c r="G28">
        <f t="shared" si="3"/>
        <v>0.1948660109851669</v>
      </c>
    </row>
    <row r="29" spans="1:7">
      <c r="A29">
        <v>1270</v>
      </c>
      <c r="B29">
        <f>B28+$E$27</f>
        <v>191.3</v>
      </c>
      <c r="C29">
        <v>1750</v>
      </c>
      <c r="D29">
        <f t="shared" si="1"/>
        <v>232.73965575344383</v>
      </c>
      <c r="F29">
        <f t="shared" si="2"/>
        <v>12.367526707120501</v>
      </c>
      <c r="G29">
        <f t="shared" si="3"/>
        <v>0.19476420011213386</v>
      </c>
    </row>
    <row r="30" spans="1:7">
      <c r="A30">
        <v>1280</v>
      </c>
      <c r="B30">
        <f>B29+$E$27</f>
        <v>191.20000000000002</v>
      </c>
      <c r="C30">
        <v>1750</v>
      </c>
      <c r="D30">
        <f t="shared" si="1"/>
        <v>234.5722514680379</v>
      </c>
      <c r="F30">
        <f t="shared" si="2"/>
        <v>12.458392911302459</v>
      </c>
      <c r="G30">
        <f t="shared" si="3"/>
        <v>0.19466238923910092</v>
      </c>
    </row>
    <row r="31" spans="1:7">
      <c r="A31">
        <v>1290</v>
      </c>
      <c r="B31">
        <f>B30+$E$27</f>
        <v>191.10000000000002</v>
      </c>
      <c r="C31">
        <v>1750</v>
      </c>
      <c r="D31">
        <f t="shared" si="1"/>
        <v>236.40484718263193</v>
      </c>
      <c r="F31">
        <f t="shared" si="2"/>
        <v>12.549157304611379</v>
      </c>
      <c r="G31">
        <f t="shared" si="3"/>
        <v>0.19456057836606788</v>
      </c>
    </row>
    <row r="32" spans="1:7">
      <c r="A32">
        <v>1300</v>
      </c>
      <c r="B32" s="20">
        <v>191</v>
      </c>
      <c r="C32">
        <v>1750</v>
      </c>
      <c r="D32">
        <f t="shared" si="1"/>
        <v>238.23744289722598</v>
      </c>
      <c r="E32">
        <f>(B37-B32)/5</f>
        <v>0</v>
      </c>
      <c r="F32">
        <f t="shared" si="2"/>
        <v>12.639819887047267</v>
      </c>
      <c r="G32">
        <f t="shared" si="3"/>
        <v>0.19445876749303487</v>
      </c>
    </row>
    <row r="33" spans="1:7">
      <c r="A33">
        <v>1310</v>
      </c>
      <c r="B33">
        <v>191</v>
      </c>
      <c r="C33">
        <v>1750</v>
      </c>
      <c r="D33">
        <f t="shared" si="1"/>
        <v>240.07003861182002</v>
      </c>
      <c r="F33">
        <f t="shared" si="2"/>
        <v>12.737049270793786</v>
      </c>
      <c r="G33">
        <f t="shared" si="3"/>
        <v>0.19445876749303492</v>
      </c>
    </row>
    <row r="34" spans="1:7">
      <c r="A34">
        <v>1320</v>
      </c>
      <c r="B34">
        <v>191</v>
      </c>
      <c r="C34">
        <v>1750</v>
      </c>
      <c r="D34">
        <f t="shared" si="1"/>
        <v>241.90263432641407</v>
      </c>
      <c r="F34">
        <f t="shared" si="2"/>
        <v>12.8342786545403</v>
      </c>
      <c r="G34">
        <f t="shared" si="3"/>
        <v>0.19445876749303484</v>
      </c>
    </row>
    <row r="35" spans="1:7">
      <c r="A35">
        <v>1330</v>
      </c>
      <c r="B35">
        <v>191</v>
      </c>
      <c r="C35">
        <v>1750</v>
      </c>
      <c r="D35">
        <f t="shared" si="1"/>
        <v>243.73523004100809</v>
      </c>
      <c r="F35">
        <f t="shared" si="2"/>
        <v>12.931508038286818</v>
      </c>
      <c r="G35">
        <f t="shared" si="3"/>
        <v>0.19445876749303484</v>
      </c>
    </row>
    <row r="36" spans="1:7">
      <c r="A36">
        <v>1340</v>
      </c>
      <c r="B36">
        <v>191</v>
      </c>
      <c r="C36">
        <v>1750</v>
      </c>
      <c r="D36">
        <f t="shared" si="1"/>
        <v>245.56782575560217</v>
      </c>
      <c r="F36">
        <f t="shared" si="2"/>
        <v>13.028737422033338</v>
      </c>
      <c r="G36">
        <f t="shared" si="3"/>
        <v>0.1944587674930349</v>
      </c>
    </row>
    <row r="37" spans="1:7">
      <c r="A37">
        <v>1350</v>
      </c>
      <c r="B37" s="20">
        <v>191</v>
      </c>
      <c r="C37">
        <v>1750</v>
      </c>
      <c r="D37">
        <f t="shared" si="1"/>
        <v>247.40042147019622</v>
      </c>
      <c r="E37">
        <f>(B42-B37)/5</f>
        <v>0.1</v>
      </c>
      <c r="F37">
        <f t="shared" si="2"/>
        <v>13.125966805779855</v>
      </c>
      <c r="G37">
        <f t="shared" si="3"/>
        <v>0.1944587674930349</v>
      </c>
    </row>
    <row r="38" spans="1:7">
      <c r="A38">
        <v>1360</v>
      </c>
      <c r="B38">
        <f>B37+$E$37</f>
        <v>191.1</v>
      </c>
      <c r="C38">
        <v>1750</v>
      </c>
      <c r="D38">
        <f t="shared" si="1"/>
        <v>249.23301718479024</v>
      </c>
      <c r="F38">
        <f t="shared" si="2"/>
        <v>13.230119328892615</v>
      </c>
      <c r="G38">
        <f t="shared" si="3"/>
        <v>0.19456057836606785</v>
      </c>
    </row>
    <row r="39" spans="1:7">
      <c r="A39">
        <v>1370</v>
      </c>
      <c r="B39">
        <f>B38+$E$37</f>
        <v>191.2</v>
      </c>
      <c r="C39">
        <v>1750</v>
      </c>
      <c r="D39">
        <f t="shared" si="1"/>
        <v>251.06561289938432</v>
      </c>
      <c r="F39">
        <f t="shared" si="2"/>
        <v>13.334373662878411</v>
      </c>
      <c r="G39">
        <f t="shared" si="3"/>
        <v>0.19466238923910092</v>
      </c>
    </row>
    <row r="40" spans="1:7">
      <c r="A40">
        <v>1380</v>
      </c>
      <c r="B40">
        <f>B39+$E$37</f>
        <v>191.29999999999998</v>
      </c>
      <c r="C40">
        <v>1750</v>
      </c>
      <c r="D40">
        <f t="shared" si="1"/>
        <v>252.89820861397834</v>
      </c>
      <c r="F40">
        <f t="shared" si="2"/>
        <v>13.438729807737236</v>
      </c>
      <c r="G40">
        <f t="shared" si="3"/>
        <v>0.19476420011213386</v>
      </c>
    </row>
    <row r="41" spans="1:7">
      <c r="A41">
        <v>1390</v>
      </c>
      <c r="B41">
        <f>B40+$E$37</f>
        <v>191.39999999999998</v>
      </c>
      <c r="C41">
        <v>1750</v>
      </c>
      <c r="D41">
        <f t="shared" si="1"/>
        <v>254.73080432857239</v>
      </c>
      <c r="F41">
        <f t="shared" si="2"/>
        <v>13.543187763469096</v>
      </c>
      <c r="G41">
        <f t="shared" si="3"/>
        <v>0.19486601098516682</v>
      </c>
    </row>
    <row r="42" spans="1:7">
      <c r="A42">
        <v>1400</v>
      </c>
      <c r="B42" s="20">
        <v>191.5</v>
      </c>
      <c r="C42">
        <v>1750</v>
      </c>
      <c r="D42">
        <f t="shared" si="1"/>
        <v>256.56340004316644</v>
      </c>
      <c r="E42">
        <f>(B47-B42)/5</f>
        <v>0.2</v>
      </c>
      <c r="F42">
        <f t="shared" si="2"/>
        <v>13.647747530073993</v>
      </c>
      <c r="G42">
        <f t="shared" si="3"/>
        <v>0.19496782185819989</v>
      </c>
    </row>
    <row r="43" spans="1:7">
      <c r="A43">
        <v>1410</v>
      </c>
      <c r="B43">
        <f>B42+$E$42</f>
        <v>191.7</v>
      </c>
      <c r="C43">
        <v>1750</v>
      </c>
      <c r="D43">
        <f t="shared" si="1"/>
        <v>258.39599575776049</v>
      </c>
      <c r="F43">
        <f t="shared" si="2"/>
        <v>13.759586774100745</v>
      </c>
      <c r="G43">
        <f t="shared" si="3"/>
        <v>0.19517144360426589</v>
      </c>
    </row>
    <row r="44" spans="1:7">
      <c r="A44">
        <v>1420</v>
      </c>
      <c r="B44">
        <f>B43+$E$42</f>
        <v>191.89999999999998</v>
      </c>
      <c r="C44">
        <v>1750</v>
      </c>
      <c r="D44">
        <f t="shared" si="1"/>
        <v>260.22859147235454</v>
      </c>
      <c r="F44">
        <f t="shared" si="2"/>
        <v>13.871629639873564</v>
      </c>
      <c r="G44">
        <f t="shared" si="3"/>
        <v>0.19537506535033189</v>
      </c>
    </row>
    <row r="45" spans="1:7">
      <c r="A45">
        <v>1430</v>
      </c>
      <c r="B45">
        <f>B44+$E$42</f>
        <v>192.09999999999997</v>
      </c>
      <c r="C45">
        <v>1750</v>
      </c>
      <c r="D45">
        <f t="shared" si="1"/>
        <v>262.06118718694859</v>
      </c>
      <c r="F45">
        <f t="shared" si="2"/>
        <v>13.983876127392449</v>
      </c>
      <c r="G45">
        <f t="shared" si="3"/>
        <v>0.19557868709639792</v>
      </c>
    </row>
    <row r="46" spans="1:7">
      <c r="A46">
        <v>1440</v>
      </c>
      <c r="B46">
        <f>B45+$E$42</f>
        <v>192.29999999999995</v>
      </c>
      <c r="C46">
        <v>1750</v>
      </c>
      <c r="D46">
        <f t="shared" si="1"/>
        <v>263.89378290154264</v>
      </c>
      <c r="F46">
        <f t="shared" si="2"/>
        <v>14.096326236657399</v>
      </c>
      <c r="G46">
        <f t="shared" si="3"/>
        <v>0.19578230884246386</v>
      </c>
    </row>
    <row r="47" spans="1:7">
      <c r="A47">
        <v>1450</v>
      </c>
      <c r="B47" s="20">
        <v>192.5</v>
      </c>
      <c r="C47">
        <v>1750</v>
      </c>
      <c r="D47">
        <f t="shared" si="1"/>
        <v>265.72637861613669</v>
      </c>
      <c r="E47">
        <f>(B52-B47)/5</f>
        <v>0.1</v>
      </c>
      <c r="F47">
        <f t="shared" si="2"/>
        <v>14.208979967668419</v>
      </c>
      <c r="G47">
        <f t="shared" si="3"/>
        <v>0.19598593058852992</v>
      </c>
    </row>
    <row r="48" spans="1:7">
      <c r="A48">
        <v>1460</v>
      </c>
      <c r="B48">
        <f>B47+$E$47</f>
        <v>192.6</v>
      </c>
      <c r="C48">
        <v>1750</v>
      </c>
      <c r="D48">
        <f t="shared" si="1"/>
        <v>267.55897433073073</v>
      </c>
      <c r="F48">
        <f t="shared" si="2"/>
        <v>14.314405126694094</v>
      </c>
      <c r="G48">
        <f t="shared" si="3"/>
        <v>0.19608774146156294</v>
      </c>
    </row>
    <row r="49" spans="1:7">
      <c r="A49">
        <v>1470</v>
      </c>
      <c r="B49">
        <f>B48+$E$47</f>
        <v>192.7</v>
      </c>
      <c r="C49">
        <v>1750</v>
      </c>
      <c r="D49">
        <f t="shared" si="1"/>
        <v>269.39157004532473</v>
      </c>
      <c r="F49">
        <f t="shared" si="2"/>
        <v>14.419932096592797</v>
      </c>
      <c r="G49">
        <f t="shared" si="3"/>
        <v>0.19618955233459587</v>
      </c>
    </row>
    <row r="50" spans="1:7">
      <c r="A50">
        <v>1480</v>
      </c>
      <c r="B50">
        <f>B49+$E$47</f>
        <v>192.79999999999998</v>
      </c>
      <c r="C50">
        <v>1750</v>
      </c>
      <c r="D50">
        <f t="shared" si="1"/>
        <v>271.22416575991878</v>
      </c>
      <c r="F50">
        <f t="shared" si="2"/>
        <v>14.525560877364537</v>
      </c>
      <c r="G50">
        <f t="shared" si="3"/>
        <v>0.19629136320762888</v>
      </c>
    </row>
    <row r="51" spans="1:7">
      <c r="A51">
        <v>1490</v>
      </c>
      <c r="B51">
        <f>B50+$E$47</f>
        <v>192.89999999999998</v>
      </c>
      <c r="C51">
        <v>1750</v>
      </c>
      <c r="D51">
        <f t="shared" si="1"/>
        <v>273.05676147451288</v>
      </c>
      <c r="F51">
        <f t="shared" si="2"/>
        <v>14.631291469009314</v>
      </c>
      <c r="G51">
        <f t="shared" si="3"/>
        <v>0.19639317408066195</v>
      </c>
    </row>
    <row r="52" spans="1:7">
      <c r="A52">
        <v>1500</v>
      </c>
      <c r="B52" s="20">
        <v>193</v>
      </c>
      <c r="C52">
        <v>1750</v>
      </c>
      <c r="D52">
        <f t="shared" si="1"/>
        <v>274.88935718910687</v>
      </c>
      <c r="E52">
        <f>(B57-B52)/5</f>
        <v>6.0000000000002274E-2</v>
      </c>
      <c r="F52">
        <f t="shared" si="2"/>
        <v>14.737123871527118</v>
      </c>
      <c r="G52">
        <f t="shared" si="3"/>
        <v>0.19649498495369488</v>
      </c>
    </row>
    <row r="53" spans="1:7">
      <c r="A53">
        <v>1510</v>
      </c>
      <c r="B53">
        <f>B52+$E$52</f>
        <v>193.06</v>
      </c>
      <c r="C53">
        <f>C52-8.83333</f>
        <v>1741.1666700000001</v>
      </c>
      <c r="D53">
        <f t="shared" si="1"/>
        <v>275.32516643041936</v>
      </c>
      <c r="F53">
        <f t="shared" si="2"/>
        <v>14.765076841960211</v>
      </c>
      <c r="G53">
        <f t="shared" si="3"/>
        <v>0.1955639316815922</v>
      </c>
    </row>
    <row r="54" spans="1:7">
      <c r="A54">
        <v>1520</v>
      </c>
      <c r="B54">
        <f>B53+$E$52</f>
        <v>193.12</v>
      </c>
      <c r="C54">
        <f t="shared" ref="C54:C82" si="4">C53-8.83333</f>
        <v>1732.3333400000001</v>
      </c>
      <c r="D54">
        <f t="shared" si="1"/>
        <v>275.74247518864195</v>
      </c>
      <c r="F54">
        <f t="shared" si="2"/>
        <v>14.792051891230704</v>
      </c>
      <c r="G54">
        <f t="shared" si="3"/>
        <v>0.1946322617267198</v>
      </c>
    </row>
    <row r="55" spans="1:7">
      <c r="A55">
        <v>1530</v>
      </c>
      <c r="B55">
        <f>B54+$E$52</f>
        <v>193.18</v>
      </c>
      <c r="C55">
        <f t="shared" si="4"/>
        <v>1723.5000100000002</v>
      </c>
      <c r="D55">
        <f t="shared" si="1"/>
        <v>276.14128346377464</v>
      </c>
      <c r="F55">
        <f t="shared" si="2"/>
        <v>14.818048094314442</v>
      </c>
      <c r="G55">
        <f t="shared" si="3"/>
        <v>0.19369997508907766</v>
      </c>
    </row>
    <row r="56" spans="1:7">
      <c r="A56">
        <v>1540</v>
      </c>
      <c r="B56">
        <f>B55+$E$52</f>
        <v>193.24</v>
      </c>
      <c r="C56">
        <f t="shared" si="4"/>
        <v>1714.6666800000003</v>
      </c>
      <c r="D56">
        <f t="shared" si="1"/>
        <v>276.52159125581767</v>
      </c>
      <c r="F56">
        <f t="shared" si="2"/>
        <v>14.843064526187279</v>
      </c>
      <c r="G56">
        <f t="shared" si="3"/>
        <v>0.19276707176866595</v>
      </c>
    </row>
    <row r="57" spans="1:7">
      <c r="A57">
        <v>1550</v>
      </c>
      <c r="B57" s="20">
        <v>193.3</v>
      </c>
      <c r="C57">
        <f t="shared" si="4"/>
        <v>1705.8333500000003</v>
      </c>
      <c r="D57">
        <f t="shared" si="1"/>
        <v>276.8833985647708</v>
      </c>
      <c r="E57">
        <f>(B62-B57)/5</f>
        <v>3.9999999999997725E-2</v>
      </c>
      <c r="F57">
        <f t="shared" si="2"/>
        <v>14.867100261825055</v>
      </c>
      <c r="G57">
        <f t="shared" si="3"/>
        <v>0.19183355176548461</v>
      </c>
    </row>
    <row r="58" spans="1:7">
      <c r="A58">
        <v>1560</v>
      </c>
      <c r="B58">
        <f>B57+$E$57</f>
        <v>193.34</v>
      </c>
      <c r="C58">
        <f t="shared" si="4"/>
        <v>1697.0000200000004</v>
      </c>
      <c r="D58">
        <f t="shared" si="1"/>
        <v>277.22670539063415</v>
      </c>
      <c r="F58">
        <f t="shared" si="2"/>
        <v>14.888614227840336</v>
      </c>
      <c r="G58">
        <f t="shared" si="3"/>
        <v>0.19087966958769662</v>
      </c>
    </row>
    <row r="59" spans="1:7">
      <c r="A59">
        <v>1570</v>
      </c>
      <c r="B59">
        <f>B58+$E$57</f>
        <v>193.38</v>
      </c>
      <c r="C59">
        <f t="shared" si="4"/>
        <v>1688.1666900000005</v>
      </c>
      <c r="D59">
        <f t="shared" si="1"/>
        <v>277.55151173340761</v>
      </c>
      <c r="F59">
        <f t="shared" si="2"/>
        <v>14.909142038612879</v>
      </c>
      <c r="G59">
        <f t="shared" si="3"/>
        <v>0.18992537628806216</v>
      </c>
    </row>
    <row r="60" spans="1:7">
      <c r="A60">
        <v>1580</v>
      </c>
      <c r="B60">
        <f>B59+$E$57</f>
        <v>193.42</v>
      </c>
      <c r="C60">
        <f t="shared" si="4"/>
        <v>1679.3333600000005</v>
      </c>
      <c r="D60">
        <f t="shared" si="1"/>
        <v>277.85781759309134</v>
      </c>
      <c r="F60">
        <f t="shared" si="2"/>
        <v>14.928683077459922</v>
      </c>
      <c r="G60">
        <f t="shared" si="3"/>
        <v>0.18897067186658131</v>
      </c>
    </row>
    <row r="61" spans="1:7">
      <c r="A61">
        <v>1590</v>
      </c>
      <c r="B61">
        <f>B60+$E$57</f>
        <v>193.45999999999998</v>
      </c>
      <c r="C61">
        <f t="shared" si="4"/>
        <v>1670.5000300000006</v>
      </c>
      <c r="D61">
        <f t="shared" si="1"/>
        <v>278.14562296968512</v>
      </c>
      <c r="F61">
        <f t="shared" si="2"/>
        <v>14.947236727698687</v>
      </c>
      <c r="G61">
        <f t="shared" si="3"/>
        <v>0.18801555632325395</v>
      </c>
    </row>
    <row r="62" spans="1:7">
      <c r="A62">
        <v>1600</v>
      </c>
      <c r="B62" s="20">
        <v>193.5</v>
      </c>
      <c r="C62">
        <f t="shared" si="4"/>
        <v>1661.6667000000007</v>
      </c>
      <c r="D62">
        <f t="shared" si="1"/>
        <v>278.41492786318912</v>
      </c>
      <c r="E62">
        <f>(B67-B62)/5</f>
        <v>0.13999999999999774</v>
      </c>
      <c r="F62">
        <f t="shared" si="2"/>
        <v>14.964802372646416</v>
      </c>
      <c r="G62">
        <f t="shared" si="3"/>
        <v>0.18706002965808019</v>
      </c>
    </row>
    <row r="63" spans="1:7">
      <c r="A63">
        <v>1610</v>
      </c>
      <c r="B63">
        <f>B62+$E$62</f>
        <v>193.64</v>
      </c>
      <c r="C63">
        <f t="shared" si="4"/>
        <v>1652.8333700000007</v>
      </c>
      <c r="D63">
        <f t="shared" si="1"/>
        <v>278.6657322736034</v>
      </c>
      <c r="F63">
        <f t="shared" si="2"/>
        <v>14.989120110405711</v>
      </c>
      <c r="G63">
        <f t="shared" si="3"/>
        <v>0.18620024981870451</v>
      </c>
    </row>
    <row r="64" spans="1:7">
      <c r="A64">
        <v>1620</v>
      </c>
      <c r="B64">
        <f>B63+$E$62</f>
        <v>193.77999999999997</v>
      </c>
      <c r="C64">
        <f t="shared" si="4"/>
        <v>1644.0000400000008</v>
      </c>
      <c r="D64">
        <f t="shared" si="1"/>
        <v>278.89803620092772</v>
      </c>
      <c r="F64">
        <f t="shared" si="2"/>
        <v>15.012461515282157</v>
      </c>
      <c r="G64">
        <f t="shared" si="3"/>
        <v>0.18533903105286614</v>
      </c>
    </row>
    <row r="65" spans="1:7">
      <c r="A65">
        <v>1630</v>
      </c>
      <c r="B65">
        <f>B64+$E$62</f>
        <v>193.91999999999996</v>
      </c>
      <c r="C65">
        <f t="shared" si="4"/>
        <v>1635.1667100000009</v>
      </c>
      <c r="D65">
        <f t="shared" si="1"/>
        <v>279.11183964516226</v>
      </c>
      <c r="F65">
        <f t="shared" si="2"/>
        <v>15.03482442888607</v>
      </c>
      <c r="G65">
        <f t="shared" si="3"/>
        <v>0.18447637336056527</v>
      </c>
    </row>
    <row r="66" spans="1:7">
      <c r="A66">
        <v>1640</v>
      </c>
      <c r="B66">
        <f>B65+$E$62</f>
        <v>194.05999999999995</v>
      </c>
      <c r="C66">
        <f t="shared" si="4"/>
        <v>1626.3333800000009</v>
      </c>
      <c r="D66">
        <f t="shared" si="1"/>
        <v>279.30714260630708</v>
      </c>
      <c r="F66">
        <f t="shared" si="2"/>
        <v>15.056206692827759</v>
      </c>
      <c r="G66">
        <f t="shared" si="3"/>
        <v>0.18361227674180194</v>
      </c>
    </row>
    <row r="67" spans="1:7">
      <c r="A67">
        <v>1650</v>
      </c>
      <c r="B67" s="20">
        <v>194.2</v>
      </c>
      <c r="C67">
        <f t="shared" si="4"/>
        <v>1617.500050000001</v>
      </c>
      <c r="D67">
        <f t="shared" ref="D67:D82" si="5">C67*A67/30*PI()/1000</f>
        <v>279.48394508436195</v>
      </c>
      <c r="E67">
        <f>(B72-B67)/5</f>
        <v>0.1</v>
      </c>
      <c r="F67">
        <f t="shared" ref="F67:F82" si="6">B67*D67/3600</f>
        <v>15.076606148717524</v>
      </c>
      <c r="G67">
        <f t="shared" ref="G67:G82" si="7">F67/6/(A67/60/2)</f>
        <v>0.18274674119657602</v>
      </c>
    </row>
    <row r="68" spans="1:7">
      <c r="A68">
        <v>1660</v>
      </c>
      <c r="B68">
        <f>B67+$E$67</f>
        <v>194.29999999999998</v>
      </c>
      <c r="C68">
        <f t="shared" si="4"/>
        <v>1608.6667200000011</v>
      </c>
      <c r="D68">
        <f t="shared" si="5"/>
        <v>279.64224707932703</v>
      </c>
      <c r="F68">
        <f t="shared" si="6"/>
        <v>15.092913502087011</v>
      </c>
      <c r="G68">
        <f t="shared" si="7"/>
        <v>0.18184233135044592</v>
      </c>
    </row>
    <row r="69" spans="1:7">
      <c r="A69">
        <v>1670</v>
      </c>
      <c r="B69">
        <f>B68+$E$67</f>
        <v>194.39999999999998</v>
      </c>
      <c r="C69">
        <f t="shared" si="4"/>
        <v>1599.8333900000011</v>
      </c>
      <c r="D69">
        <f t="shared" si="5"/>
        <v>279.78204859120228</v>
      </c>
      <c r="F69">
        <f t="shared" si="6"/>
        <v>15.108230623924921</v>
      </c>
      <c r="G69">
        <f t="shared" si="7"/>
        <v>0.18093689369969967</v>
      </c>
    </row>
    <row r="70" spans="1:7">
      <c r="A70">
        <v>1680</v>
      </c>
      <c r="B70">
        <f>B69+$E$67</f>
        <v>194.49999999999997</v>
      </c>
      <c r="C70">
        <f t="shared" si="4"/>
        <v>1591.0000600000012</v>
      </c>
      <c r="D70">
        <f t="shared" si="5"/>
        <v>279.90334961998769</v>
      </c>
      <c r="F70">
        <f t="shared" si="6"/>
        <v>15.122555972524333</v>
      </c>
      <c r="G70">
        <f t="shared" si="7"/>
        <v>0.18003042824433729</v>
      </c>
    </row>
    <row r="71" spans="1:7">
      <c r="A71">
        <v>1690</v>
      </c>
      <c r="B71">
        <f>B70+$E$67</f>
        <v>194.59999999999997</v>
      </c>
      <c r="C71">
        <f t="shared" si="4"/>
        <v>1582.1667300000013</v>
      </c>
      <c r="D71">
        <f t="shared" si="5"/>
        <v>280.00615016568338</v>
      </c>
      <c r="F71">
        <f t="shared" si="6"/>
        <v>15.135888006178327</v>
      </c>
      <c r="G71">
        <f t="shared" si="7"/>
        <v>0.17912293498435888</v>
      </c>
    </row>
    <row r="72" spans="1:7">
      <c r="A72">
        <v>1700</v>
      </c>
      <c r="B72" s="20">
        <v>194.7</v>
      </c>
      <c r="C72">
        <f t="shared" si="4"/>
        <v>1573.3334000000013</v>
      </c>
      <c r="D72">
        <f t="shared" si="5"/>
        <v>280.09045022828917</v>
      </c>
      <c r="E72">
        <f>(B77-B72)/5</f>
        <v>0.4600000000000023</v>
      </c>
      <c r="F72">
        <f t="shared" si="6"/>
        <v>15.148225183179973</v>
      </c>
      <c r="G72">
        <f t="shared" si="7"/>
        <v>0.17821441391976439</v>
      </c>
    </row>
    <row r="73" spans="1:7">
      <c r="A73">
        <v>1710</v>
      </c>
      <c r="B73">
        <f>B72+$E$72</f>
        <v>195.16</v>
      </c>
      <c r="C73">
        <f t="shared" si="4"/>
        <v>1564.5000700000014</v>
      </c>
      <c r="D73">
        <f t="shared" si="5"/>
        <v>280.15624980780512</v>
      </c>
      <c r="F73">
        <f t="shared" si="6"/>
        <v>15.187581586803125</v>
      </c>
      <c r="G73">
        <f t="shared" si="7"/>
        <v>0.17763253317898392</v>
      </c>
    </row>
    <row r="74" spans="1:7">
      <c r="A74">
        <v>1720</v>
      </c>
      <c r="B74">
        <f>B73+$E$72</f>
        <v>195.62</v>
      </c>
      <c r="C74">
        <f t="shared" si="4"/>
        <v>1555.6667400000015</v>
      </c>
      <c r="D74">
        <f t="shared" si="5"/>
        <v>280.2035489042313</v>
      </c>
      <c r="F74">
        <f t="shared" si="6"/>
        <v>15.225949510179367</v>
      </c>
      <c r="G74">
        <f t="shared" si="7"/>
        <v>0.17704592453696938</v>
      </c>
    </row>
    <row r="75" spans="1:7">
      <c r="A75">
        <v>1730</v>
      </c>
      <c r="B75">
        <f>B74+$E$72</f>
        <v>196.08</v>
      </c>
      <c r="C75">
        <f t="shared" si="4"/>
        <v>1546.8334100000015</v>
      </c>
      <c r="D75">
        <f t="shared" si="5"/>
        <v>280.23234751756763</v>
      </c>
      <c r="F75">
        <f t="shared" si="6"/>
        <v>15.263321861456852</v>
      </c>
      <c r="G75">
        <f t="shared" si="7"/>
        <v>0.17645458799372082</v>
      </c>
    </row>
    <row r="76" spans="1:7">
      <c r="A76">
        <v>1740</v>
      </c>
      <c r="B76">
        <f>B75+$E$72</f>
        <v>196.54000000000002</v>
      </c>
      <c r="C76">
        <f t="shared" si="4"/>
        <v>1538.0000800000016</v>
      </c>
      <c r="D76">
        <f t="shared" si="5"/>
        <v>280.24264564781413</v>
      </c>
      <c r="F76">
        <f t="shared" si="6"/>
        <v>15.299691548783722</v>
      </c>
      <c r="G76">
        <f t="shared" si="7"/>
        <v>0.17585852354923817</v>
      </c>
    </row>
    <row r="77" spans="1:7">
      <c r="A77">
        <v>1750</v>
      </c>
      <c r="B77" s="20">
        <v>197</v>
      </c>
      <c r="C77">
        <f t="shared" si="4"/>
        <v>1529.1667500000017</v>
      </c>
      <c r="D77">
        <f t="shared" si="5"/>
        <v>280.23444329497079</v>
      </c>
      <c r="E77">
        <f>(B82-B77)/5</f>
        <v>0.7</v>
      </c>
      <c r="F77">
        <f t="shared" si="6"/>
        <v>15.335051480308124</v>
      </c>
      <c r="G77">
        <f t="shared" si="7"/>
        <v>0.17525773120352142</v>
      </c>
    </row>
    <row r="78" spans="1:7">
      <c r="A78">
        <v>1760</v>
      </c>
      <c r="B78">
        <f>B77+$E$77</f>
        <v>197.7</v>
      </c>
      <c r="C78">
        <f t="shared" si="4"/>
        <v>1520.3334200000018</v>
      </c>
      <c r="D78">
        <f t="shared" si="5"/>
        <v>280.20774045903767</v>
      </c>
      <c r="F78">
        <f t="shared" si="6"/>
        <v>15.388075080208816</v>
      </c>
      <c r="G78">
        <f t="shared" si="7"/>
        <v>0.17486448954782746</v>
      </c>
    </row>
    <row r="79" spans="1:7">
      <c r="A79">
        <v>1770</v>
      </c>
      <c r="B79">
        <f>B78+$E$77</f>
        <v>198.39999999999998</v>
      </c>
      <c r="C79">
        <f t="shared" si="4"/>
        <v>1511.5000900000018</v>
      </c>
      <c r="D79">
        <f t="shared" si="5"/>
        <v>280.16253714001471</v>
      </c>
      <c r="F79">
        <f t="shared" si="6"/>
        <v>15.44006871349414</v>
      </c>
      <c r="G79">
        <f t="shared" si="7"/>
        <v>0.17446405325982078</v>
      </c>
    </row>
    <row r="80" spans="1:7">
      <c r="A80">
        <v>1780</v>
      </c>
      <c r="B80">
        <f>B79+$E$77</f>
        <v>199.09999999999997</v>
      </c>
      <c r="C80">
        <f t="shared" si="4"/>
        <v>1502.6667600000019</v>
      </c>
      <c r="D80">
        <f t="shared" si="5"/>
        <v>280.09883333790191</v>
      </c>
      <c r="F80">
        <f t="shared" si="6"/>
        <v>15.491021588215629</v>
      </c>
      <c r="G80">
        <f t="shared" si="7"/>
        <v>0.17405642233950144</v>
      </c>
    </row>
    <row r="81" spans="1:7">
      <c r="A81">
        <v>1790</v>
      </c>
      <c r="B81">
        <f>B80+$E$77</f>
        <v>199.79999999999995</v>
      </c>
      <c r="C81">
        <f t="shared" si="4"/>
        <v>1493.833430000002</v>
      </c>
      <c r="D81">
        <f t="shared" si="5"/>
        <v>280.01662905269933</v>
      </c>
      <c r="F81">
        <f t="shared" si="6"/>
        <v>15.54092291242481</v>
      </c>
      <c r="G81">
        <f t="shared" si="7"/>
        <v>0.17364159678686938</v>
      </c>
    </row>
    <row r="82" spans="1:7">
      <c r="A82">
        <v>1800</v>
      </c>
      <c r="B82" s="20">
        <v>200.5</v>
      </c>
      <c r="C82">
        <f t="shared" si="4"/>
        <v>1485.000100000002</v>
      </c>
      <c r="D82">
        <f t="shared" si="5"/>
        <v>279.9159242844068</v>
      </c>
      <c r="F82">
        <f t="shared" si="6"/>
        <v>15.589761894173211</v>
      </c>
      <c r="G82">
        <f t="shared" si="7"/>
        <v>0.17321957660192455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Sheet5</vt:lpstr>
      <vt:lpstr>F_glob_p_ac1</vt:lpstr>
      <vt:lpstr>F_glob_p_ac</vt:lpstr>
      <vt:lpstr>F_1_p_ac</vt:lpstr>
      <vt:lpstr>F_1_m_dot_a_1</vt:lpstr>
      <vt:lpstr>F_glob_m_dot_a_1</vt:lpstr>
      <vt:lpstr>Mix_Test</vt:lpstr>
      <vt:lpstr>Sheet1</vt:lpstr>
      <vt:lpstr>EnginePerfCurve</vt:lpstr>
      <vt:lpstr>Sheet2</vt:lpstr>
      <vt:lpstr>avg_meas_new</vt:lpstr>
      <vt:lpstr>Simulation</vt:lpstr>
      <vt:lpstr>Next_order</vt:lpstr>
      <vt:lpstr>Ventury Flowmeter</vt:lpstr>
      <vt:lpstr>fuel data</vt:lpstr>
      <vt:lpstr>Sheet4</vt:lpstr>
      <vt:lpstr>Friction</vt:lpstr>
      <vt:lpstr>Valve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KevinKSY</dc:creator>
  <cp:lastModifiedBy>Kevin Koosup Yum</cp:lastModifiedBy>
  <cp:lastPrinted>2012-11-24T14:22:37Z</cp:lastPrinted>
  <dcterms:created xsi:type="dcterms:W3CDTF">2012-02-15T14:34:32Z</dcterms:created>
  <dcterms:modified xsi:type="dcterms:W3CDTF">2016-07-05T18:12:36Z</dcterms:modified>
</cp:coreProperties>
</file>