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90" windowWidth="11640" windowHeight="8325"/>
  </bookViews>
  <sheets>
    <sheet name="Scores" sheetId="1" r:id="rId1"/>
    <sheet name="Ratios" sheetId="2" r:id="rId2"/>
    <sheet name="Overall" sheetId="3" r:id="rId3"/>
  </sheets>
  <definedNames>
    <definedName name="_xlnm._FilterDatabase" localSheetId="0" hidden="1">Scores!$A$1:$L$201</definedName>
  </definedNames>
  <calcPr calcId="145621"/>
</workbook>
</file>

<file path=xl/calcChain.xml><?xml version="1.0" encoding="utf-8"?>
<calcChain xmlns="http://schemas.openxmlformats.org/spreadsheetml/2006/main">
  <c r="L116" i="1" l="1"/>
  <c r="E116" i="1"/>
  <c r="K116" i="1" s="1"/>
  <c r="M116" i="1" s="1"/>
  <c r="C116" i="1"/>
  <c r="A116" i="1"/>
  <c r="L115" i="1"/>
  <c r="K115" i="1"/>
  <c r="M115" i="1" s="1"/>
  <c r="E115" i="1"/>
  <c r="C115" i="1"/>
  <c r="A115" i="1"/>
  <c r="E108" i="1" l="1"/>
  <c r="E99" i="1" l="1"/>
  <c r="C83" i="1" l="1"/>
  <c r="E83" i="1"/>
  <c r="L83" i="1" s="1"/>
  <c r="K83" i="1" l="1"/>
  <c r="M83" i="1" s="1"/>
  <c r="Z23" i="2"/>
  <c r="Z21" i="2"/>
  <c r="Z12" i="2"/>
  <c r="Z10" i="2"/>
  <c r="M10" i="2" l="1"/>
  <c r="M12" i="2"/>
  <c r="M21" i="2"/>
  <c r="M23" i="2"/>
  <c r="AG10" i="2" l="1"/>
  <c r="AG12" i="2"/>
  <c r="AG21" i="2"/>
  <c r="AG23" i="2"/>
  <c r="AF10" i="2"/>
  <c r="AF12" i="2"/>
  <c r="AF21" i="2"/>
  <c r="AF23" i="2"/>
  <c r="AC6" i="2"/>
  <c r="AC7" i="2"/>
  <c r="AC8" i="2"/>
  <c r="AC9" i="2"/>
  <c r="AC13" i="2"/>
  <c r="AC14" i="2"/>
  <c r="AC15" i="2"/>
  <c r="AC16" i="2"/>
  <c r="AC17" i="2"/>
  <c r="AC18" i="2"/>
  <c r="AC19" i="2"/>
  <c r="AC20" i="2"/>
  <c r="AC11" i="2" l="1"/>
  <c r="AC22" i="2"/>
  <c r="E59" i="1"/>
  <c r="AC24" i="2" l="1"/>
  <c r="V23" i="2"/>
  <c r="V21" i="2"/>
  <c r="V12" i="2"/>
  <c r="V10" i="2"/>
  <c r="I10" i="2" l="1"/>
  <c r="I12" i="2"/>
  <c r="I21" i="2"/>
  <c r="I23" i="2"/>
  <c r="E44" i="1" l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62" i="1"/>
  <c r="E63" i="1"/>
  <c r="E64" i="1"/>
  <c r="E65" i="1"/>
  <c r="E66" i="1"/>
  <c r="E67" i="1"/>
  <c r="E68" i="1"/>
  <c r="E69" i="1"/>
  <c r="E71" i="1"/>
  <c r="E74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7" i="1"/>
  <c r="E110" i="1"/>
  <c r="E111" i="1"/>
  <c r="E112" i="1"/>
  <c r="E113" i="1"/>
  <c r="E114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43" i="1"/>
  <c r="B117" i="1" l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42" i="1"/>
  <c r="E42" i="1"/>
  <c r="K42" i="1" s="1"/>
  <c r="M42" i="1" s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N115" i="1"/>
  <c r="N116" i="1" s="1"/>
  <c r="K117" i="1"/>
  <c r="M117" i="1" s="1"/>
  <c r="N117" i="1" s="1"/>
  <c r="K118" i="1"/>
  <c r="M118" i="1" s="1"/>
  <c r="K119" i="1"/>
  <c r="M119" i="1" s="1"/>
  <c r="N119" i="1" s="1"/>
  <c r="K120" i="1"/>
  <c r="M120" i="1" s="1"/>
  <c r="N120" i="1" s="1"/>
  <c r="K121" i="1"/>
  <c r="M121" i="1" s="1"/>
  <c r="N121" i="1" s="1"/>
  <c r="K122" i="1"/>
  <c r="M122" i="1" s="1"/>
  <c r="K123" i="1"/>
  <c r="M123" i="1" s="1"/>
  <c r="N123" i="1" s="1"/>
  <c r="K124" i="1"/>
  <c r="M124" i="1" s="1"/>
  <c r="N124" i="1" s="1"/>
  <c r="K125" i="1"/>
  <c r="M125" i="1" s="1"/>
  <c r="N125" i="1" s="1"/>
  <c r="K126" i="1"/>
  <c r="M126" i="1" s="1"/>
  <c r="K127" i="1"/>
  <c r="M127" i="1" s="1"/>
  <c r="N127" i="1" s="1"/>
  <c r="K128" i="1"/>
  <c r="M128" i="1" s="1"/>
  <c r="N128" i="1" s="1"/>
  <c r="K129" i="1"/>
  <c r="M129" i="1" s="1"/>
  <c r="N129" i="1" s="1"/>
  <c r="K130" i="1"/>
  <c r="M130" i="1" s="1"/>
  <c r="K131" i="1"/>
  <c r="M131" i="1" s="1"/>
  <c r="N131" i="1" s="1"/>
  <c r="K132" i="1"/>
  <c r="M132" i="1" s="1"/>
  <c r="N132" i="1" s="1"/>
  <c r="K133" i="1"/>
  <c r="M133" i="1" s="1"/>
  <c r="N133" i="1" s="1"/>
  <c r="K134" i="1"/>
  <c r="M134" i="1" s="1"/>
  <c r="K135" i="1"/>
  <c r="M135" i="1" s="1"/>
  <c r="N135" i="1" s="1"/>
  <c r="K136" i="1"/>
  <c r="M136" i="1" s="1"/>
  <c r="N136" i="1" s="1"/>
  <c r="K137" i="1"/>
  <c r="M137" i="1" s="1"/>
  <c r="N137" i="1" s="1"/>
  <c r="K138" i="1"/>
  <c r="M138" i="1" s="1"/>
  <c r="K139" i="1"/>
  <c r="M139" i="1" s="1"/>
  <c r="N139" i="1" s="1"/>
  <c r="K140" i="1"/>
  <c r="M140" i="1" s="1"/>
  <c r="N140" i="1" s="1"/>
  <c r="K141" i="1"/>
  <c r="M141" i="1" s="1"/>
  <c r="N141" i="1" s="1"/>
  <c r="K142" i="1"/>
  <c r="M142" i="1" s="1"/>
  <c r="K143" i="1"/>
  <c r="M143" i="1" s="1"/>
  <c r="N143" i="1" s="1"/>
  <c r="K144" i="1"/>
  <c r="M144" i="1" s="1"/>
  <c r="N144" i="1" s="1"/>
  <c r="K145" i="1"/>
  <c r="M145" i="1" s="1"/>
  <c r="N145" i="1" s="1"/>
  <c r="K146" i="1"/>
  <c r="M146" i="1" s="1"/>
  <c r="K147" i="1"/>
  <c r="M147" i="1" s="1"/>
  <c r="N147" i="1" s="1"/>
  <c r="K148" i="1"/>
  <c r="M148" i="1" s="1"/>
  <c r="N148" i="1" s="1"/>
  <c r="K149" i="1"/>
  <c r="M149" i="1" s="1"/>
  <c r="N149" i="1" s="1"/>
  <c r="K150" i="1"/>
  <c r="M150" i="1" s="1"/>
  <c r="K151" i="1"/>
  <c r="M151" i="1" s="1"/>
  <c r="N151" i="1" s="1"/>
  <c r="K152" i="1"/>
  <c r="M152" i="1" s="1"/>
  <c r="N152" i="1" s="1"/>
  <c r="K153" i="1"/>
  <c r="M153" i="1" s="1"/>
  <c r="N153" i="1" s="1"/>
  <c r="K154" i="1"/>
  <c r="M154" i="1" s="1"/>
  <c r="K155" i="1"/>
  <c r="M155" i="1" s="1"/>
  <c r="N155" i="1" s="1"/>
  <c r="K156" i="1"/>
  <c r="M156" i="1" s="1"/>
  <c r="N156" i="1" s="1"/>
  <c r="K157" i="1"/>
  <c r="M157" i="1" s="1"/>
  <c r="N157" i="1" s="1"/>
  <c r="K158" i="1"/>
  <c r="M158" i="1" s="1"/>
  <c r="K159" i="1"/>
  <c r="M159" i="1" s="1"/>
  <c r="N159" i="1" s="1"/>
  <c r="K160" i="1"/>
  <c r="M160" i="1" s="1"/>
  <c r="N160" i="1" s="1"/>
  <c r="K161" i="1"/>
  <c r="M161" i="1" s="1"/>
  <c r="N161" i="1" s="1"/>
  <c r="K162" i="1"/>
  <c r="M162" i="1" s="1"/>
  <c r="K163" i="1"/>
  <c r="M163" i="1" s="1"/>
  <c r="N163" i="1" s="1"/>
  <c r="K164" i="1"/>
  <c r="M164" i="1" s="1"/>
  <c r="N164" i="1" s="1"/>
  <c r="K165" i="1"/>
  <c r="M165" i="1" s="1"/>
  <c r="N165" i="1" s="1"/>
  <c r="K166" i="1"/>
  <c r="M166" i="1" s="1"/>
  <c r="K167" i="1"/>
  <c r="M167" i="1" s="1"/>
  <c r="N167" i="1" s="1"/>
  <c r="K168" i="1"/>
  <c r="M168" i="1" s="1"/>
  <c r="N168" i="1" s="1"/>
  <c r="K169" i="1"/>
  <c r="M169" i="1" s="1"/>
  <c r="N169" i="1" s="1"/>
  <c r="K170" i="1"/>
  <c r="M170" i="1" s="1"/>
  <c r="K171" i="1"/>
  <c r="M171" i="1" s="1"/>
  <c r="N171" i="1" s="1"/>
  <c r="K172" i="1"/>
  <c r="M172" i="1" s="1"/>
  <c r="N172" i="1" s="1"/>
  <c r="K173" i="1"/>
  <c r="M173" i="1" s="1"/>
  <c r="N173" i="1" s="1"/>
  <c r="K174" i="1"/>
  <c r="M174" i="1" s="1"/>
  <c r="K175" i="1"/>
  <c r="M175" i="1" s="1"/>
  <c r="N175" i="1" s="1"/>
  <c r="K176" i="1"/>
  <c r="M176" i="1" s="1"/>
  <c r="N176" i="1" s="1"/>
  <c r="K177" i="1"/>
  <c r="M177" i="1" s="1"/>
  <c r="N177" i="1" s="1"/>
  <c r="K178" i="1"/>
  <c r="M178" i="1" s="1"/>
  <c r="K179" i="1"/>
  <c r="M179" i="1" s="1"/>
  <c r="N179" i="1" s="1"/>
  <c r="K180" i="1"/>
  <c r="M180" i="1" s="1"/>
  <c r="N180" i="1" s="1"/>
  <c r="K181" i="1"/>
  <c r="M181" i="1" s="1"/>
  <c r="N181" i="1" s="1"/>
  <c r="K182" i="1"/>
  <c r="M182" i="1" s="1"/>
  <c r="K183" i="1"/>
  <c r="M183" i="1" s="1"/>
  <c r="N183" i="1" s="1"/>
  <c r="K184" i="1"/>
  <c r="M184" i="1" s="1"/>
  <c r="N184" i="1" s="1"/>
  <c r="K185" i="1"/>
  <c r="M185" i="1" s="1"/>
  <c r="N185" i="1" s="1"/>
  <c r="K186" i="1"/>
  <c r="M186" i="1" s="1"/>
  <c r="K187" i="1"/>
  <c r="M187" i="1" s="1"/>
  <c r="N187" i="1" s="1"/>
  <c r="K188" i="1"/>
  <c r="M188" i="1" s="1"/>
  <c r="N188" i="1" s="1"/>
  <c r="K189" i="1"/>
  <c r="M189" i="1" s="1"/>
  <c r="N189" i="1" s="1"/>
  <c r="K190" i="1"/>
  <c r="M190" i="1" s="1"/>
  <c r="K191" i="1"/>
  <c r="M191" i="1" s="1"/>
  <c r="N191" i="1" s="1"/>
  <c r="K192" i="1"/>
  <c r="M192" i="1" s="1"/>
  <c r="N192" i="1" s="1"/>
  <c r="K193" i="1"/>
  <c r="M193" i="1" s="1"/>
  <c r="N193" i="1" s="1"/>
  <c r="K194" i="1"/>
  <c r="M194" i="1" s="1"/>
  <c r="K195" i="1"/>
  <c r="M195" i="1" s="1"/>
  <c r="N195" i="1" s="1"/>
  <c r="K196" i="1"/>
  <c r="M196" i="1" s="1"/>
  <c r="N196" i="1" s="1"/>
  <c r="K197" i="1"/>
  <c r="M197" i="1" s="1"/>
  <c r="N197" i="1" s="1"/>
  <c r="K198" i="1"/>
  <c r="M198" i="1" s="1"/>
  <c r="K199" i="1"/>
  <c r="M199" i="1" s="1"/>
  <c r="N199" i="1" s="1"/>
  <c r="K200" i="1"/>
  <c r="M200" i="1" s="1"/>
  <c r="N200" i="1" s="1"/>
  <c r="K201" i="1"/>
  <c r="M201" i="1" s="1"/>
  <c r="N201" i="1" s="1"/>
  <c r="K41" i="1"/>
  <c r="M41" i="1" s="1"/>
  <c r="O200" i="1" l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P86" i="1"/>
  <c r="P83" i="1"/>
  <c r="P85" i="1"/>
  <c r="P84" i="1"/>
  <c r="N198" i="1"/>
  <c r="O198" i="1" s="1"/>
  <c r="N190" i="1"/>
  <c r="O190" i="1" s="1"/>
  <c r="N182" i="1"/>
  <c r="O182" i="1" s="1"/>
  <c r="N174" i="1"/>
  <c r="O174" i="1" s="1"/>
  <c r="N166" i="1"/>
  <c r="O166" i="1" s="1"/>
  <c r="N158" i="1"/>
  <c r="O158" i="1" s="1"/>
  <c r="N150" i="1"/>
  <c r="O150" i="1" s="1"/>
  <c r="N142" i="1"/>
  <c r="O142" i="1" s="1"/>
  <c r="N134" i="1"/>
  <c r="O134" i="1" s="1"/>
  <c r="N126" i="1"/>
  <c r="O126" i="1" s="1"/>
  <c r="N118" i="1"/>
  <c r="P197" i="1"/>
  <c r="P189" i="1"/>
  <c r="P181" i="1"/>
  <c r="P173" i="1"/>
  <c r="P165" i="1"/>
  <c r="P157" i="1"/>
  <c r="P145" i="1"/>
  <c r="P137" i="1"/>
  <c r="P129" i="1"/>
  <c r="P121" i="1"/>
  <c r="P113" i="1"/>
  <c r="P105" i="1"/>
  <c r="P97" i="1"/>
  <c r="P89" i="1"/>
  <c r="P80" i="1"/>
  <c r="P72" i="1"/>
  <c r="P64" i="1"/>
  <c r="P56" i="1"/>
  <c r="P48" i="1"/>
  <c r="P44" i="1"/>
  <c r="P35" i="1"/>
  <c r="P27" i="1"/>
  <c r="P15" i="1"/>
  <c r="P7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2" i="1"/>
  <c r="P30" i="1"/>
  <c r="P22" i="1"/>
  <c r="P14" i="1"/>
  <c r="P6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78" i="1"/>
  <c r="P54" i="1"/>
  <c r="P50" i="1"/>
  <c r="P46" i="1"/>
  <c r="P41" i="1"/>
  <c r="P29" i="1"/>
  <c r="P25" i="1"/>
  <c r="P21" i="1"/>
  <c r="P17" i="1"/>
  <c r="P13" i="1"/>
  <c r="P9" i="1"/>
  <c r="P5" i="1"/>
  <c r="N194" i="1"/>
  <c r="O194" i="1" s="1"/>
  <c r="N186" i="1"/>
  <c r="O186" i="1" s="1"/>
  <c r="N178" i="1"/>
  <c r="O178" i="1" s="1"/>
  <c r="N170" i="1"/>
  <c r="O170" i="1" s="1"/>
  <c r="N162" i="1"/>
  <c r="O162" i="1" s="1"/>
  <c r="N154" i="1"/>
  <c r="O154" i="1" s="1"/>
  <c r="N146" i="1"/>
  <c r="O146" i="1" s="1"/>
  <c r="N138" i="1"/>
  <c r="O138" i="1" s="1"/>
  <c r="N130" i="1"/>
  <c r="O130" i="1" s="1"/>
  <c r="N122" i="1"/>
  <c r="O122" i="1" s="1"/>
  <c r="P201" i="1"/>
  <c r="P193" i="1"/>
  <c r="P185" i="1"/>
  <c r="P177" i="1"/>
  <c r="P169" i="1"/>
  <c r="P161" i="1"/>
  <c r="P153" i="1"/>
  <c r="P149" i="1"/>
  <c r="P141" i="1"/>
  <c r="P133" i="1"/>
  <c r="P125" i="1"/>
  <c r="P117" i="1"/>
  <c r="P109" i="1"/>
  <c r="P101" i="1"/>
  <c r="P93" i="1"/>
  <c r="P76" i="1"/>
  <c r="P68" i="1"/>
  <c r="P60" i="1"/>
  <c r="P52" i="1"/>
  <c r="P39" i="1"/>
  <c r="P31" i="1"/>
  <c r="P23" i="1"/>
  <c r="P19" i="1"/>
  <c r="P11" i="1"/>
  <c r="P3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6" i="1"/>
  <c r="P88" i="1"/>
  <c r="P18" i="1"/>
  <c r="P10" i="1"/>
  <c r="P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4" i="1"/>
  <c r="P82" i="1"/>
  <c r="P74" i="1"/>
  <c r="P70" i="1"/>
  <c r="P66" i="1"/>
  <c r="P62" i="1"/>
  <c r="P58" i="1"/>
  <c r="P37" i="1"/>
  <c r="P33" i="1"/>
  <c r="P42" i="1"/>
  <c r="P81" i="1"/>
  <c r="P77" i="1"/>
  <c r="P73" i="1"/>
  <c r="P69" i="1"/>
  <c r="P65" i="1"/>
  <c r="P61" i="1"/>
  <c r="P57" i="1"/>
  <c r="P53" i="1"/>
  <c r="P49" i="1"/>
  <c r="P45" i="1"/>
  <c r="P40" i="1"/>
  <c r="P36" i="1"/>
  <c r="P32" i="1"/>
  <c r="P28" i="1"/>
  <c r="P24" i="1"/>
  <c r="P20" i="1"/>
  <c r="P16" i="1"/>
  <c r="P12" i="1"/>
  <c r="P8" i="1"/>
  <c r="P79" i="1"/>
  <c r="P75" i="1"/>
  <c r="P71" i="1"/>
  <c r="P67" i="1"/>
  <c r="P63" i="1"/>
  <c r="P59" i="1"/>
  <c r="P55" i="1"/>
  <c r="P51" i="1"/>
  <c r="P47" i="1"/>
  <c r="P43" i="1"/>
  <c r="P38" i="1"/>
  <c r="P34" i="1"/>
  <c r="P26" i="1"/>
  <c r="X14" i="2"/>
  <c r="X18" i="2"/>
  <c r="X7" i="2"/>
  <c r="X15" i="2"/>
  <c r="X19" i="2"/>
  <c r="X8" i="2"/>
  <c r="X16" i="2"/>
  <c r="X20" i="2"/>
  <c r="X9" i="2"/>
  <c r="X17" i="2"/>
  <c r="X13" i="2"/>
  <c r="X6" i="2"/>
  <c r="W7" i="2"/>
  <c r="W19" i="2"/>
  <c r="W8" i="2"/>
  <c r="W20" i="2"/>
  <c r="W9" i="2"/>
  <c r="W16" i="2"/>
  <c r="W18" i="2"/>
  <c r="W13" i="2"/>
  <c r="W17" i="2"/>
  <c r="W6" i="2"/>
  <c r="W14" i="2"/>
  <c r="J6" i="2"/>
  <c r="W15" i="2"/>
  <c r="J20" i="2"/>
  <c r="R20" i="2"/>
  <c r="K20" i="2"/>
  <c r="E20" i="2"/>
  <c r="M59" i="1"/>
  <c r="R17" i="2"/>
  <c r="J19" i="2"/>
  <c r="R16" i="2"/>
  <c r="K19" i="2"/>
  <c r="R15" i="2"/>
  <c r="E19" i="2"/>
  <c r="L42" i="1"/>
  <c r="K13" i="2"/>
  <c r="K15" i="2"/>
  <c r="K7" i="2"/>
  <c r="K16" i="2"/>
  <c r="K9" i="2"/>
  <c r="K6" i="2"/>
  <c r="K18" i="2"/>
  <c r="K14" i="2"/>
  <c r="K17" i="2"/>
  <c r="J13" i="2"/>
  <c r="J15" i="2"/>
  <c r="J7" i="2"/>
  <c r="J16" i="2"/>
  <c r="J9" i="2"/>
  <c r="J18" i="2"/>
  <c r="J14" i="2"/>
  <c r="J17" i="2"/>
  <c r="J8" i="2"/>
  <c r="K8" i="2"/>
  <c r="K40" i="1"/>
  <c r="M40" i="1" s="1"/>
  <c r="L40" i="1"/>
  <c r="O171" i="1" l="1"/>
  <c r="O127" i="1"/>
  <c r="O139" i="1"/>
  <c r="O187" i="1"/>
  <c r="O155" i="1"/>
  <c r="O191" i="1"/>
  <c r="O123" i="1"/>
  <c r="O159" i="1"/>
  <c r="O131" i="1"/>
  <c r="O147" i="1"/>
  <c r="O163" i="1"/>
  <c r="O179" i="1"/>
  <c r="O195" i="1"/>
  <c r="O143" i="1"/>
  <c r="O175" i="1"/>
  <c r="O135" i="1"/>
  <c r="O151" i="1"/>
  <c r="O167" i="1"/>
  <c r="O183" i="1"/>
  <c r="O199" i="1"/>
  <c r="M17" i="2"/>
  <c r="M14" i="2"/>
  <c r="M9" i="2"/>
  <c r="M13" i="2"/>
  <c r="M18" i="2"/>
  <c r="M15" i="2"/>
  <c r="M19" i="2"/>
  <c r="M6" i="2"/>
  <c r="M8" i="2"/>
  <c r="M16" i="2"/>
  <c r="M20" i="2"/>
  <c r="M7" i="2"/>
  <c r="Y15" i="2"/>
  <c r="Z15" i="2"/>
  <c r="Z14" i="2"/>
  <c r="Y14" i="2"/>
  <c r="Y17" i="2"/>
  <c r="Z17" i="2"/>
  <c r="Y9" i="2"/>
  <c r="Z9" i="2"/>
  <c r="Y20" i="2"/>
  <c r="Z20" i="2"/>
  <c r="Y7" i="2"/>
  <c r="Z7" i="2"/>
  <c r="Z13" i="2"/>
  <c r="Y13" i="2"/>
  <c r="W22" i="2"/>
  <c r="Y18" i="2"/>
  <c r="Z18" i="2"/>
  <c r="Z8" i="2"/>
  <c r="Y8" i="2"/>
  <c r="X11" i="2"/>
  <c r="Z6" i="2"/>
  <c r="W11" i="2"/>
  <c r="Y6" i="2"/>
  <c r="Z16" i="2"/>
  <c r="Y16" i="2"/>
  <c r="X22" i="2"/>
  <c r="Z19" i="2"/>
  <c r="Y19" i="2"/>
  <c r="L20" i="2"/>
  <c r="L19" i="2"/>
  <c r="J11" i="2"/>
  <c r="K11" i="2"/>
  <c r="K22" i="2" s="1"/>
  <c r="L18" i="2"/>
  <c r="L7" i="2"/>
  <c r="L6" i="2"/>
  <c r="L15" i="2"/>
  <c r="L14" i="2"/>
  <c r="L16" i="2"/>
  <c r="L8" i="2"/>
  <c r="L17" i="2"/>
  <c r="L9" i="2"/>
  <c r="L13" i="2"/>
  <c r="X24" i="2" l="1"/>
  <c r="W24" i="2"/>
  <c r="Z11" i="2"/>
  <c r="Y11" i="2"/>
  <c r="Y22" i="2"/>
  <c r="Z22" i="2"/>
  <c r="J22" i="2"/>
  <c r="M22" i="2" s="1"/>
  <c r="M11" i="2"/>
  <c r="K24" i="2"/>
  <c r="L11" i="2"/>
  <c r="K34" i="1"/>
  <c r="M34" i="1" s="1"/>
  <c r="L34" i="1"/>
  <c r="K33" i="1"/>
  <c r="M33" i="1" s="1"/>
  <c r="L33" i="1"/>
  <c r="K37" i="1"/>
  <c r="M37" i="1" s="1"/>
  <c r="Y24" i="2" l="1"/>
  <c r="Z24" i="2"/>
  <c r="P22" i="2" s="1"/>
  <c r="L22" i="2"/>
  <c r="J24" i="2"/>
  <c r="L29" i="1"/>
  <c r="L30" i="1"/>
  <c r="L31" i="1"/>
  <c r="L32" i="1"/>
  <c r="L35" i="1"/>
  <c r="L36" i="1"/>
  <c r="L37" i="1"/>
  <c r="L38" i="1"/>
  <c r="L39" i="1"/>
  <c r="K29" i="1"/>
  <c r="M29" i="1" s="1"/>
  <c r="K30" i="1"/>
  <c r="K31" i="1"/>
  <c r="M31" i="1" s="1"/>
  <c r="K32" i="1"/>
  <c r="M32" i="1" s="1"/>
  <c r="K35" i="1"/>
  <c r="M35" i="1" s="1"/>
  <c r="K36" i="1"/>
  <c r="M36" i="1" s="1"/>
  <c r="K38" i="1"/>
  <c r="K39" i="1"/>
  <c r="M24" i="2" l="1"/>
  <c r="C24" i="2" s="1"/>
  <c r="L25" i="2"/>
  <c r="P10" i="2"/>
  <c r="P15" i="2"/>
  <c r="P8" i="2"/>
  <c r="P23" i="2"/>
  <c r="P16" i="2"/>
  <c r="P21" i="2"/>
  <c r="P6" i="2"/>
  <c r="P7" i="2"/>
  <c r="P18" i="2"/>
  <c r="P13" i="2"/>
  <c r="P11" i="2"/>
  <c r="P9" i="2"/>
  <c r="P14" i="2"/>
  <c r="P17" i="2"/>
  <c r="P19" i="2"/>
  <c r="P12" i="2"/>
  <c r="P24" i="2"/>
  <c r="P20" i="2"/>
  <c r="L24" i="2"/>
  <c r="B14" i="3"/>
  <c r="M30" i="1"/>
  <c r="M39" i="1"/>
  <c r="M38" i="1"/>
  <c r="C18" i="2" l="1"/>
  <c r="C15" i="2"/>
  <c r="C16" i="2"/>
  <c r="C21" i="2"/>
  <c r="C14" i="2"/>
  <c r="C19" i="2"/>
  <c r="C8" i="2"/>
  <c r="C20" i="2"/>
  <c r="C10" i="2"/>
  <c r="C22" i="2"/>
  <c r="C23" i="2"/>
  <c r="C11" i="2"/>
  <c r="C9" i="2"/>
  <c r="C6" i="2"/>
  <c r="C7" i="2"/>
  <c r="C13" i="2"/>
  <c r="C12" i="2"/>
  <c r="C17" i="2"/>
  <c r="E9" i="2"/>
  <c r="E17" i="2"/>
  <c r="E14" i="2"/>
  <c r="E6" i="2"/>
  <c r="K18" i="1"/>
  <c r="M18" i="1" s="1"/>
  <c r="A3" i="1" l="1"/>
  <c r="A4" i="1" l="1"/>
  <c r="A5" i="1" s="1"/>
  <c r="A6" i="1" s="1"/>
  <c r="L3" i="1"/>
  <c r="L4" i="1"/>
  <c r="L5" i="1"/>
  <c r="L6" i="1"/>
  <c r="L7" i="1"/>
  <c r="L8" i="1"/>
  <c r="L9" i="1"/>
  <c r="L10" i="1"/>
  <c r="L11" i="1"/>
  <c r="R19" i="2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M8" i="1" s="1"/>
  <c r="K9" i="1"/>
  <c r="K10" i="1"/>
  <c r="M10" i="1" s="1"/>
  <c r="K11" i="1"/>
  <c r="K12" i="1"/>
  <c r="M12" i="1" s="1"/>
  <c r="K13" i="1"/>
  <c r="K14" i="1"/>
  <c r="M14" i="1" s="1"/>
  <c r="K15" i="1"/>
  <c r="K16" i="1"/>
  <c r="M16" i="1" s="1"/>
  <c r="K17" i="1"/>
  <c r="K19" i="1"/>
  <c r="M19" i="1" s="1"/>
  <c r="K20" i="1"/>
  <c r="M20" i="1" s="1"/>
  <c r="K21" i="1"/>
  <c r="M21" i="1" s="1"/>
  <c r="K22" i="1"/>
  <c r="K23" i="1"/>
  <c r="M23" i="1" s="1"/>
  <c r="K24" i="1"/>
  <c r="M24" i="1" s="1"/>
  <c r="K25" i="1"/>
  <c r="R8" i="2" s="1"/>
  <c r="K26" i="1"/>
  <c r="M26" i="1" s="1"/>
  <c r="K27" i="1"/>
  <c r="M27" i="1" s="1"/>
  <c r="K28" i="1"/>
  <c r="M28" i="1" s="1"/>
  <c r="K2" i="1"/>
  <c r="F20" i="2" l="1"/>
  <c r="G20" i="2" s="1"/>
  <c r="R6" i="2"/>
  <c r="R14" i="2"/>
  <c r="S20" i="2"/>
  <c r="R18" i="2"/>
  <c r="F19" i="2"/>
  <c r="G19" i="2" s="1"/>
  <c r="R9" i="2"/>
  <c r="R7" i="2"/>
  <c r="R13" i="2"/>
  <c r="S19" i="2"/>
  <c r="T19" i="2" s="1"/>
  <c r="V19" i="2" s="1"/>
  <c r="G5" i="3"/>
  <c r="M22" i="1"/>
  <c r="B13" i="3"/>
  <c r="M17" i="1"/>
  <c r="M13" i="1"/>
  <c r="B12" i="3"/>
  <c r="E18" i="2"/>
  <c r="M9" i="1"/>
  <c r="B10" i="3"/>
  <c r="M5" i="1"/>
  <c r="B8" i="3"/>
  <c r="E7" i="2"/>
  <c r="B7" i="3"/>
  <c r="M4" i="1"/>
  <c r="E15" i="2"/>
  <c r="B9" i="3"/>
  <c r="M6" i="1"/>
  <c r="E16" i="2"/>
  <c r="M2" i="1"/>
  <c r="B5" i="3"/>
  <c r="C5" i="3"/>
  <c r="C10" i="3"/>
  <c r="C13" i="3"/>
  <c r="E13" i="3" s="1"/>
  <c r="C11" i="3"/>
  <c r="C12" i="3"/>
  <c r="C14" i="3"/>
  <c r="F2" i="2"/>
  <c r="C8" i="3"/>
  <c r="B2" i="3"/>
  <c r="E2" i="2"/>
  <c r="C6" i="3"/>
  <c r="C9" i="3"/>
  <c r="E9" i="3" s="1"/>
  <c r="C2" i="3"/>
  <c r="D2" i="3" s="1"/>
  <c r="C7" i="3"/>
  <c r="F16" i="2"/>
  <c r="F9" i="2"/>
  <c r="F7" i="2"/>
  <c r="F15" i="2"/>
  <c r="F14" i="2"/>
  <c r="F13" i="2"/>
  <c r="F18" i="2"/>
  <c r="F6" i="2"/>
  <c r="F8" i="2"/>
  <c r="E8" i="2"/>
  <c r="F17" i="2"/>
  <c r="M25" i="1"/>
  <c r="M15" i="1"/>
  <c r="B11" i="3"/>
  <c r="D11" i="3" s="1"/>
  <c r="M11" i="1"/>
  <c r="M7" i="1"/>
  <c r="S14" i="2"/>
  <c r="S18" i="2"/>
  <c r="S9" i="2"/>
  <c r="S15" i="2"/>
  <c r="S17" i="2"/>
  <c r="S7" i="2"/>
  <c r="S8" i="2"/>
  <c r="U8" i="2" s="1"/>
  <c r="S16" i="2"/>
  <c r="S13" i="2"/>
  <c r="S6" i="2"/>
  <c r="M3" i="1"/>
  <c r="N3" i="1" s="1"/>
  <c r="B6" i="3"/>
  <c r="E13" i="2"/>
  <c r="A7" i="1"/>
  <c r="E22" i="2" l="1"/>
  <c r="H20" i="2"/>
  <c r="N4" i="1"/>
  <c r="N5" i="1" s="1"/>
  <c r="N6" i="1" s="1"/>
  <c r="I19" i="2"/>
  <c r="I20" i="2"/>
  <c r="AD8" i="2"/>
  <c r="AE13" i="2"/>
  <c r="AD20" i="2"/>
  <c r="AD7" i="2"/>
  <c r="AE16" i="2"/>
  <c r="AD19" i="2"/>
  <c r="AE9" i="2"/>
  <c r="AD14" i="2"/>
  <c r="AE17" i="2"/>
  <c r="AE8" i="2"/>
  <c r="AD13" i="2"/>
  <c r="AE20" i="2"/>
  <c r="AE15" i="2"/>
  <c r="AD18" i="2"/>
  <c r="AE6" i="2"/>
  <c r="AE14" i="2"/>
  <c r="AD17" i="2"/>
  <c r="AD9" i="2"/>
  <c r="AE19" i="2"/>
  <c r="AE7" i="2"/>
  <c r="AD16" i="2"/>
  <c r="AE18" i="2"/>
  <c r="AD6" i="2"/>
  <c r="AD15" i="2"/>
  <c r="U20" i="2"/>
  <c r="T20" i="2"/>
  <c r="V20" i="2" s="1"/>
  <c r="D6" i="3"/>
  <c r="F22" i="2"/>
  <c r="F11" i="2"/>
  <c r="E11" i="2"/>
  <c r="A8" i="1"/>
  <c r="A9" i="1" s="1"/>
  <c r="H19" i="2"/>
  <c r="E7" i="3"/>
  <c r="E8" i="3"/>
  <c r="E10" i="3"/>
  <c r="S22" i="2"/>
  <c r="D12" i="3"/>
  <c r="U19" i="2"/>
  <c r="U7" i="2"/>
  <c r="H2" i="2"/>
  <c r="S11" i="2"/>
  <c r="T6" i="2"/>
  <c r="V6" i="2" s="1"/>
  <c r="R11" i="2"/>
  <c r="U6" i="2"/>
  <c r="T7" i="2"/>
  <c r="V7" i="2" s="1"/>
  <c r="H8" i="2"/>
  <c r="G8" i="2"/>
  <c r="T17" i="2"/>
  <c r="V17" i="2" s="1"/>
  <c r="U17" i="2"/>
  <c r="U16" i="2"/>
  <c r="T16" i="2"/>
  <c r="V16" i="2" s="1"/>
  <c r="E6" i="3"/>
  <c r="G2" i="2"/>
  <c r="I2" i="2" s="1"/>
  <c r="G7" i="2"/>
  <c r="H7" i="2"/>
  <c r="D13" i="3"/>
  <c r="U15" i="2"/>
  <c r="T15" i="2"/>
  <c r="V15" i="2" s="1"/>
  <c r="E14" i="3"/>
  <c r="D14" i="3"/>
  <c r="H16" i="2"/>
  <c r="G16" i="2"/>
  <c r="H15" i="2"/>
  <c r="G15" i="2"/>
  <c r="D8" i="3"/>
  <c r="T9" i="2"/>
  <c r="V9" i="2" s="1"/>
  <c r="U9" i="2"/>
  <c r="U18" i="2"/>
  <c r="T18" i="2"/>
  <c r="V18" i="2" s="1"/>
  <c r="G13" i="2"/>
  <c r="H13" i="2"/>
  <c r="T8" i="2"/>
  <c r="V8" i="2" s="1"/>
  <c r="H6" i="2"/>
  <c r="G6" i="2"/>
  <c r="H14" i="2"/>
  <c r="G14" i="2"/>
  <c r="G9" i="2"/>
  <c r="H9" i="2"/>
  <c r="E2" i="3"/>
  <c r="E12" i="3"/>
  <c r="E5" i="3"/>
  <c r="C16" i="3"/>
  <c r="H18" i="2"/>
  <c r="G18" i="2"/>
  <c r="U13" i="2"/>
  <c r="T13" i="2"/>
  <c r="V13" i="2" s="1"/>
  <c r="H17" i="2"/>
  <c r="G17" i="2"/>
  <c r="E11" i="3"/>
  <c r="B16" i="3"/>
  <c r="D5" i="3"/>
  <c r="D9" i="3"/>
  <c r="D7" i="3"/>
  <c r="D10" i="3"/>
  <c r="U14" i="2"/>
  <c r="T14" i="2"/>
  <c r="V14" i="2" s="1"/>
  <c r="N7" i="1" l="1"/>
  <c r="O6" i="1"/>
  <c r="I8" i="2"/>
  <c r="I6" i="2"/>
  <c r="I16" i="2"/>
  <c r="I7" i="2"/>
  <c r="I9" i="2"/>
  <c r="I17" i="2"/>
  <c r="I18" i="2"/>
  <c r="I14" i="2"/>
  <c r="I15" i="2"/>
  <c r="AG15" i="2"/>
  <c r="AF15" i="2"/>
  <c r="AF14" i="2"/>
  <c r="AG14" i="2"/>
  <c r="AF7" i="2"/>
  <c r="AG7" i="2"/>
  <c r="AD11" i="2"/>
  <c r="AF6" i="2"/>
  <c r="AG6" i="2"/>
  <c r="AE11" i="2"/>
  <c r="AG13" i="2"/>
  <c r="AD22" i="2"/>
  <c r="AF13" i="2"/>
  <c r="AF20" i="2"/>
  <c r="AG20" i="2"/>
  <c r="AG9" i="2"/>
  <c r="AF9" i="2"/>
  <c r="AF18" i="2"/>
  <c r="AG18" i="2"/>
  <c r="AF19" i="2"/>
  <c r="AG19" i="2"/>
  <c r="AE22" i="2"/>
  <c r="AE24" i="2" s="1"/>
  <c r="AF16" i="2"/>
  <c r="AG16" i="2"/>
  <c r="AF17" i="2"/>
  <c r="AG17" i="2"/>
  <c r="AF8" i="2"/>
  <c r="AG8" i="2"/>
  <c r="R22" i="2"/>
  <c r="R24" i="2" s="1"/>
  <c r="A10" i="1"/>
  <c r="I13" i="2"/>
  <c r="G22" i="2"/>
  <c r="S24" i="2"/>
  <c r="S25" i="2" s="1"/>
  <c r="U11" i="2"/>
  <c r="H11" i="2"/>
  <c r="G11" i="2"/>
  <c r="T11" i="2"/>
  <c r="T22" i="2" s="1"/>
  <c r="D16" i="3"/>
  <c r="E24" i="2"/>
  <c r="H22" i="2"/>
  <c r="F24" i="2"/>
  <c r="N8" i="1" l="1"/>
  <c r="O7" i="1"/>
  <c r="U22" i="2"/>
  <c r="I22" i="2"/>
  <c r="I11" i="2"/>
  <c r="AG22" i="2"/>
  <c r="AD24" i="2"/>
  <c r="AF22" i="2"/>
  <c r="AG11" i="2"/>
  <c r="AF11" i="2"/>
  <c r="A11" i="1"/>
  <c r="A12" i="1" s="1"/>
  <c r="A13" i="1" s="1"/>
  <c r="R25" i="2"/>
  <c r="V11" i="2"/>
  <c r="V22" i="2"/>
  <c r="U24" i="2"/>
  <c r="T24" i="2"/>
  <c r="T25" i="2" s="1"/>
  <c r="H24" i="2"/>
  <c r="G24" i="2"/>
  <c r="N9" i="1" l="1"/>
  <c r="O8" i="1"/>
  <c r="I24" i="2"/>
  <c r="AG24" i="2"/>
  <c r="AB11" i="2" s="1"/>
  <c r="AF24" i="2"/>
  <c r="V24" i="2"/>
  <c r="Q24" i="2" s="1"/>
  <c r="A14" i="1"/>
  <c r="N10" i="1" l="1"/>
  <c r="O9" i="1"/>
  <c r="AB20" i="2"/>
  <c r="AB17" i="2"/>
  <c r="AB14" i="2"/>
  <c r="A24" i="2"/>
  <c r="O24" i="2"/>
  <c r="AB19" i="2"/>
  <c r="AB8" i="2"/>
  <c r="AB22" i="2"/>
  <c r="AB13" i="2"/>
  <c r="Q7" i="2"/>
  <c r="Q6" i="2"/>
  <c r="Q9" i="2"/>
  <c r="Q8" i="2"/>
  <c r="AB24" i="2"/>
  <c r="AB18" i="2"/>
  <c r="AB21" i="2"/>
  <c r="AB23" i="2"/>
  <c r="AB6" i="2"/>
  <c r="AB12" i="2"/>
  <c r="AB16" i="2"/>
  <c r="AB7" i="2"/>
  <c r="AB10" i="2"/>
  <c r="AB15" i="2"/>
  <c r="AB9" i="2"/>
  <c r="Q19" i="2"/>
  <c r="Q10" i="2"/>
  <c r="Q11" i="2"/>
  <c r="Q17" i="2"/>
  <c r="Q22" i="2"/>
  <c r="Q21" i="2"/>
  <c r="Q12" i="2"/>
  <c r="Q15" i="2"/>
  <c r="Q13" i="2"/>
  <c r="Q16" i="2"/>
  <c r="Q14" i="2"/>
  <c r="Q18" i="2"/>
  <c r="Q20" i="2"/>
  <c r="Q23" i="2"/>
  <c r="A15" i="1"/>
  <c r="A16" i="1" s="1"/>
  <c r="N11" i="1" l="1"/>
  <c r="O10" i="1"/>
  <c r="A16" i="2"/>
  <c r="O16" i="2"/>
  <c r="A14" i="2"/>
  <c r="O14" i="2"/>
  <c r="A12" i="2"/>
  <c r="O12" i="2"/>
  <c r="A11" i="2"/>
  <c r="O11" i="2"/>
  <c r="A6" i="2"/>
  <c r="O6" i="2"/>
  <c r="A21" i="2"/>
  <c r="O21" i="2"/>
  <c r="A10" i="2"/>
  <c r="O10" i="2"/>
  <c r="A7" i="2"/>
  <c r="O7" i="2"/>
  <c r="A20" i="2"/>
  <c r="O20" i="2"/>
  <c r="A13" i="2"/>
  <c r="O13" i="2"/>
  <c r="A22" i="2"/>
  <c r="O22" i="2"/>
  <c r="A19" i="2"/>
  <c r="O19" i="2"/>
  <c r="A8" i="2"/>
  <c r="O8" i="2"/>
  <c r="A23" i="2"/>
  <c r="O23" i="2"/>
  <c r="A18" i="2"/>
  <c r="O18" i="2"/>
  <c r="A15" i="2"/>
  <c r="O15" i="2"/>
  <c r="A17" i="2"/>
  <c r="O17" i="2"/>
  <c r="A9" i="2"/>
  <c r="O9" i="2"/>
  <c r="A17" i="1"/>
  <c r="A18" i="1" s="1"/>
  <c r="N12" i="1" l="1"/>
  <c r="O11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N13" i="1" l="1"/>
  <c r="O12" i="1"/>
  <c r="A83" i="1"/>
  <c r="A84" i="1" s="1"/>
  <c r="N14" i="1" l="1"/>
  <c r="O13" i="1"/>
  <c r="A85" i="1"/>
  <c r="A86" i="1" s="1"/>
  <c r="N15" i="1" l="1"/>
  <c r="O14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N16" i="1" l="1"/>
  <c r="O15" i="1"/>
  <c r="N17" i="1" l="1"/>
  <c r="O16" i="1"/>
  <c r="N18" i="1" l="1"/>
  <c r="O17" i="1"/>
  <c r="N19" i="1" l="1"/>
  <c r="O18" i="1"/>
  <c r="N20" i="1" l="1"/>
  <c r="O19" i="1"/>
  <c r="N21" i="1" l="1"/>
  <c r="O20" i="1"/>
  <c r="N22" i="1" l="1"/>
  <c r="O21" i="1"/>
  <c r="N23" i="1" l="1"/>
  <c r="O22" i="1"/>
  <c r="N24" i="1" l="1"/>
  <c r="O23" i="1"/>
  <c r="N25" i="1" l="1"/>
  <c r="O24" i="1"/>
  <c r="N26" i="1" l="1"/>
  <c r="O25" i="1"/>
  <c r="N27" i="1" l="1"/>
  <c r="O26" i="1"/>
  <c r="N28" i="1" l="1"/>
  <c r="O27" i="1"/>
  <c r="N29" i="1" l="1"/>
  <c r="O28" i="1"/>
  <c r="N30" i="1" l="1"/>
  <c r="O29" i="1"/>
  <c r="N31" i="1" l="1"/>
  <c r="O30" i="1"/>
  <c r="N32" i="1" l="1"/>
  <c r="O31" i="1"/>
  <c r="N33" i="1" l="1"/>
  <c r="O32" i="1"/>
  <c r="N34" i="1" l="1"/>
  <c r="O33" i="1"/>
  <c r="N35" i="1" l="1"/>
  <c r="O34" i="1"/>
  <c r="N36" i="1" l="1"/>
  <c r="O35" i="1"/>
  <c r="N37" i="1" l="1"/>
  <c r="O36" i="1"/>
  <c r="N38" i="1" l="1"/>
  <c r="O37" i="1"/>
  <c r="N39" i="1" l="1"/>
  <c r="O38" i="1"/>
  <c r="N40" i="1" l="1"/>
  <c r="O39" i="1"/>
  <c r="N41" i="1" l="1"/>
  <c r="O40" i="1"/>
  <c r="N42" i="1" l="1"/>
  <c r="O41" i="1"/>
  <c r="N43" i="1" l="1"/>
  <c r="O42" i="1"/>
  <c r="N44" i="1" l="1"/>
  <c r="O43" i="1"/>
  <c r="N45" i="1" l="1"/>
  <c r="O44" i="1"/>
  <c r="N46" i="1" l="1"/>
  <c r="O45" i="1"/>
  <c r="N47" i="1" l="1"/>
  <c r="O46" i="1"/>
  <c r="N48" i="1" l="1"/>
  <c r="O47" i="1"/>
  <c r="N49" i="1" l="1"/>
  <c r="O48" i="1"/>
  <c r="N50" i="1" l="1"/>
  <c r="O49" i="1"/>
  <c r="N51" i="1" l="1"/>
  <c r="O50" i="1"/>
  <c r="N52" i="1" l="1"/>
  <c r="O51" i="1"/>
  <c r="N53" i="1" l="1"/>
  <c r="O52" i="1"/>
  <c r="N54" i="1" l="1"/>
  <c r="O53" i="1"/>
  <c r="N55" i="1" l="1"/>
  <c r="O54" i="1"/>
  <c r="N56" i="1" l="1"/>
  <c r="O55" i="1"/>
  <c r="N57" i="1" l="1"/>
  <c r="O56" i="1"/>
  <c r="N58" i="1" l="1"/>
  <c r="O57" i="1"/>
  <c r="N59" i="1" l="1"/>
  <c r="O58" i="1"/>
  <c r="N60" i="1" l="1"/>
  <c r="O59" i="1"/>
  <c r="N61" i="1" l="1"/>
  <c r="O60" i="1"/>
  <c r="N62" i="1" l="1"/>
  <c r="O61" i="1"/>
  <c r="N63" i="1" l="1"/>
  <c r="O62" i="1"/>
  <c r="N64" i="1" l="1"/>
  <c r="O63" i="1"/>
  <c r="N65" i="1" l="1"/>
  <c r="O64" i="1"/>
  <c r="N66" i="1" l="1"/>
  <c r="O65" i="1"/>
  <c r="N67" i="1" l="1"/>
  <c r="O66" i="1"/>
  <c r="N68" i="1" l="1"/>
  <c r="O67" i="1"/>
  <c r="N69" i="1" l="1"/>
  <c r="O68" i="1"/>
  <c r="N70" i="1" l="1"/>
  <c r="O69" i="1"/>
  <c r="N71" i="1" l="1"/>
  <c r="O70" i="1"/>
  <c r="N72" i="1" l="1"/>
  <c r="O71" i="1"/>
  <c r="N73" i="1" l="1"/>
  <c r="O72" i="1"/>
  <c r="N74" i="1" l="1"/>
  <c r="O73" i="1"/>
  <c r="N75" i="1" l="1"/>
  <c r="O74" i="1"/>
  <c r="N76" i="1" l="1"/>
  <c r="O75" i="1"/>
  <c r="N77" i="1" l="1"/>
  <c r="O76" i="1"/>
  <c r="N78" i="1" l="1"/>
  <c r="O77" i="1"/>
  <c r="N79" i="1" l="1"/>
  <c r="O78" i="1"/>
  <c r="N80" i="1" l="1"/>
  <c r="O79" i="1"/>
  <c r="N81" i="1" l="1"/>
  <c r="O80" i="1"/>
  <c r="N82" i="1" l="1"/>
  <c r="O81" i="1"/>
  <c r="N83" i="1" l="1"/>
  <c r="O82" i="1"/>
  <c r="O83" i="1" l="1"/>
  <c r="N84" i="1"/>
  <c r="O84" i="1" l="1"/>
  <c r="N85" i="1"/>
  <c r="O85" i="1" l="1"/>
  <c r="N86" i="1"/>
  <c r="N87" i="1" l="1"/>
  <c r="O86" i="1"/>
  <c r="N88" i="1" l="1"/>
  <c r="O87" i="1"/>
  <c r="O88" i="1" l="1"/>
  <c r="N89" i="1"/>
  <c r="O89" i="1" l="1"/>
  <c r="N90" i="1"/>
  <c r="O90" i="1" l="1"/>
  <c r="N91" i="1"/>
  <c r="O91" i="1" l="1"/>
  <c r="N92" i="1"/>
  <c r="O92" i="1" l="1"/>
  <c r="N93" i="1"/>
  <c r="O93" i="1" l="1"/>
  <c r="N94" i="1"/>
  <c r="O94" i="1" l="1"/>
  <c r="N95" i="1"/>
  <c r="N96" i="1" l="1"/>
  <c r="O95" i="1"/>
  <c r="O96" i="1" l="1"/>
  <c r="N97" i="1"/>
  <c r="O97" i="1" l="1"/>
  <c r="N98" i="1"/>
  <c r="O98" i="1" l="1"/>
  <c r="N99" i="1"/>
  <c r="O99" i="1" l="1"/>
  <c r="N100" i="1"/>
  <c r="O100" i="1" l="1"/>
  <c r="N101" i="1"/>
  <c r="O101" i="1" l="1"/>
  <c r="N102" i="1"/>
  <c r="O102" i="1" l="1"/>
  <c r="N103" i="1"/>
  <c r="O103" i="1" l="1"/>
  <c r="N104" i="1"/>
  <c r="O104" i="1" l="1"/>
  <c r="N105" i="1"/>
  <c r="O105" i="1" l="1"/>
  <c r="N106" i="1"/>
  <c r="O106" i="1" l="1"/>
  <c r="N107" i="1"/>
  <c r="O107" i="1" l="1"/>
  <c r="N108" i="1"/>
  <c r="N109" i="1" l="1"/>
  <c r="O108" i="1"/>
  <c r="O109" i="1" l="1"/>
  <c r="N110" i="1"/>
  <c r="N111" i="1" l="1"/>
  <c r="O110" i="1"/>
  <c r="O115" i="1"/>
  <c r="O111" i="1" l="1"/>
  <c r="O116" i="1"/>
  <c r="N112" i="1"/>
  <c r="O112" i="1" l="1"/>
  <c r="N113" i="1"/>
  <c r="O117" i="1"/>
  <c r="O113" i="1" l="1"/>
  <c r="N114" i="1"/>
  <c r="O118" i="1"/>
  <c r="O114" i="1" l="1"/>
  <c r="O119" i="1"/>
</calcChain>
</file>

<file path=xl/sharedStrings.xml><?xml version="1.0" encoding="utf-8"?>
<sst xmlns="http://schemas.openxmlformats.org/spreadsheetml/2006/main" count="378" uniqueCount="56">
  <si>
    <t>Kevin</t>
  </si>
  <si>
    <t>Game_Num</t>
  </si>
  <si>
    <t>T1_P1</t>
  </si>
  <si>
    <t>T1_P2</t>
  </si>
  <si>
    <t>T1_Score</t>
  </si>
  <si>
    <t>T2_P1</t>
  </si>
  <si>
    <t>T2_P2</t>
  </si>
  <si>
    <t>Winner_1</t>
  </si>
  <si>
    <t>Winner_2</t>
  </si>
  <si>
    <t>Date</t>
  </si>
  <si>
    <t>Zong</t>
  </si>
  <si>
    <t>Henna</t>
  </si>
  <si>
    <t>Jamie</t>
  </si>
  <si>
    <t>Hallie</t>
  </si>
  <si>
    <t>Will</t>
  </si>
  <si>
    <t>Kirby</t>
  </si>
  <si>
    <t>Angela</t>
  </si>
  <si>
    <t>Andrea</t>
  </si>
  <si>
    <t>Evan</t>
  </si>
  <si>
    <t>DC</t>
  </si>
  <si>
    <t>Cody</t>
  </si>
  <si>
    <t>Type</t>
  </si>
  <si>
    <t>Sam</t>
  </si>
  <si>
    <t>Wins</t>
  </si>
  <si>
    <t>Losses</t>
  </si>
  <si>
    <t>WL_Ratio</t>
  </si>
  <si>
    <t>Total</t>
  </si>
  <si>
    <t>Singles</t>
  </si>
  <si>
    <t>Doubles</t>
  </si>
  <si>
    <t>Totals</t>
  </si>
  <si>
    <t>Result</t>
  </si>
  <si>
    <t>Scored</t>
  </si>
  <si>
    <t>Given</t>
  </si>
  <si>
    <t>Overall</t>
  </si>
  <si>
    <t>Win_Pct</t>
  </si>
  <si>
    <t>Wins Against</t>
  </si>
  <si>
    <t>Losses Against</t>
  </si>
  <si>
    <t>Teamed</t>
  </si>
  <si>
    <t>Rating</t>
  </si>
  <si>
    <t>Player</t>
  </si>
  <si>
    <t>WL Ratio</t>
  </si>
  <si>
    <t>Combined Rating</t>
  </si>
  <si>
    <t>Score Ratio</t>
  </si>
  <si>
    <t>Score Diff</t>
  </si>
  <si>
    <t>Win Rating</t>
  </si>
  <si>
    <t>Score Rating</t>
  </si>
  <si>
    <t>Wins with</t>
  </si>
  <si>
    <t>Losses with</t>
  </si>
  <si>
    <t>Singles Rating</t>
  </si>
  <si>
    <t>Rolling</t>
  </si>
  <si>
    <t>10G</t>
  </si>
  <si>
    <t>Score %</t>
  </si>
  <si>
    <t>Side</t>
  </si>
  <si>
    <t>Yellow</t>
  </si>
  <si>
    <t>Black</t>
  </si>
  <si>
    <t>T2_Score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</si>
</sst>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2" applyAlignment="1">
      <alignment horizontal="center"/>
    </xf>
    <xf numFmtId="43" fontId="2" fillId="3" borderId="1" xfId="2" applyNumberFormat="1" applyAlignment="1">
      <alignment horizontal="center"/>
    </xf>
    <xf numFmtId="16" fontId="2" fillId="3" borderId="1" xfId="2" applyNumberFormat="1" applyAlignment="1">
      <alignment horizontal="center"/>
    </xf>
    <xf numFmtId="0" fontId="2" fillId="3" borderId="1" xfId="2"/>
    <xf numFmtId="43" fontId="2" fillId="3" borderId="1" xfId="2" applyNumberFormat="1"/>
    <xf numFmtId="0" fontId="1" fillId="2" borderId="1" xfId="1" applyAlignment="1">
      <alignment horizontal="center"/>
    </xf>
    <xf numFmtId="0" fontId="1" fillId="2" borderId="1" xfId="1" applyAlignment="1" applyProtection="1">
      <alignment horizontal="center"/>
      <protection locked="0"/>
    </xf>
    <xf numFmtId="0" fontId="1" fillId="2" borderId="1" xfId="1"/>
    <xf numFmtId="0" fontId="1" fillId="2" borderId="1" xfId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0" borderId="0" xfId="0" applyNumberFormat="1" applyAlignment="1">
      <alignment horizontal="centerContinuous"/>
    </xf>
    <xf numFmtId="0" fontId="0" fillId="0" borderId="0" xfId="0" applyAlignment="1">
      <alignment horizontal="right" indent="2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right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1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 inden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 indent="2"/>
    </xf>
    <xf numFmtId="2" fontId="0" fillId="0" borderId="2" xfId="0" applyNumberFormat="1" applyBorder="1" applyAlignment="1">
      <alignment horizontal="right" indent="1"/>
    </xf>
    <xf numFmtId="164" fontId="0" fillId="0" borderId="2" xfId="3" applyNumberFormat="1" applyFont="1" applyBorder="1" applyAlignment="1">
      <alignment horizontal="center"/>
    </xf>
    <xf numFmtId="0" fontId="0" fillId="0" borderId="2" xfId="0" applyNumberFormat="1" applyBorder="1" applyAlignment="1">
      <alignment horizontal="right" indent="1"/>
    </xf>
    <xf numFmtId="2" fontId="0" fillId="0" borderId="2" xfId="0" applyNumberFormat="1" applyBorder="1" applyAlignment="1">
      <alignment horizontal="center"/>
    </xf>
    <xf numFmtId="164" fontId="0" fillId="0" borderId="2" xfId="3" applyNumberFormat="1" applyFont="1" applyBorder="1" applyAlignment="1">
      <alignment horizontal="right" inden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0" fillId="0" borderId="2" xfId="0" applyNumberForma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2"/>
    </xf>
    <xf numFmtId="2" fontId="4" fillId="0" borderId="0" xfId="0" applyNumberFormat="1" applyFont="1" applyBorder="1" applyAlignment="1">
      <alignment horizontal="right" indent="1"/>
    </xf>
    <xf numFmtId="164" fontId="0" fillId="0" borderId="0" xfId="3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right" indent="1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0" applyFont="1" applyBorder="1"/>
    <xf numFmtId="164" fontId="0" fillId="0" borderId="0" xfId="3" applyNumberFormat="1" applyFont="1" applyBorder="1" applyAlignment="1">
      <alignment horizontal="right" inden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 wrapText="1"/>
    </xf>
    <xf numFmtId="2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/>
    <xf numFmtId="9" fontId="0" fillId="0" borderId="0" xfId="3" applyFont="1" applyBorder="1"/>
    <xf numFmtId="9" fontId="0" fillId="0" borderId="0" xfId="3" applyFont="1" applyAlignment="1">
      <alignment horizontal="right"/>
    </xf>
    <xf numFmtId="9" fontId="0" fillId="4" borderId="0" xfId="3" applyFont="1" applyFill="1"/>
    <xf numFmtId="9" fontId="0" fillId="0" borderId="0" xfId="3" applyFont="1"/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16"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rattle 2015">
  <a:themeElements>
    <a:clrScheme name="Brattle 2015">
      <a:dk1>
        <a:srgbClr val="000000"/>
      </a:dk1>
      <a:lt1>
        <a:srgbClr val="FFFFFF"/>
      </a:lt1>
      <a:dk2>
        <a:srgbClr val="FFFFFF"/>
      </a:dk2>
      <a:lt2>
        <a:srgbClr val="00467F"/>
      </a:lt2>
      <a:accent1>
        <a:srgbClr val="002B54"/>
      </a:accent1>
      <a:accent2>
        <a:srgbClr val="7FB9C2"/>
      </a:accent2>
      <a:accent3>
        <a:srgbClr val="6A7277"/>
      </a:accent3>
      <a:accent4>
        <a:srgbClr val="EF4623"/>
      </a:accent4>
      <a:accent5>
        <a:srgbClr val="00467F"/>
      </a:accent5>
      <a:accent6>
        <a:srgbClr val="CCCDC3"/>
      </a:accent6>
      <a:hlink>
        <a:srgbClr val="7FB9C2"/>
      </a:hlink>
      <a:folHlink>
        <a:srgbClr val="00467F"/>
      </a:folHlink>
    </a:clrScheme>
    <a:fontScheme name="Brattle 2015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topLeftCell="A85" workbookViewId="0">
      <selection activeCell="G96" sqref="G96"/>
    </sheetView>
  </sheetViews>
  <sheetFormatPr defaultRowHeight="15" outlineLevelCol="1" x14ac:dyDescent="0.25"/>
  <cols>
    <col min="1" max="1" width="11.42578125" style="4" bestFit="1" customWidth="1"/>
    <col min="2" max="2" width="9.7109375" style="4" bestFit="1" customWidth="1"/>
    <col min="3" max="3" width="9.7109375" style="4" customWidth="1"/>
    <col min="4" max="4" width="8.85546875" style="9" customWidth="1"/>
    <col min="5" max="5" width="6.140625" style="4" bestFit="1" customWidth="1"/>
    <col min="6" max="6" width="10.7109375" style="8" bestFit="1" customWidth="1"/>
    <col min="7" max="7" width="8.85546875" style="9" bestFit="1" customWidth="1"/>
    <col min="8" max="9" width="10.7109375" style="8" bestFit="1" customWidth="1"/>
    <col min="10" max="10" width="9" style="9" bestFit="1" customWidth="1"/>
    <col min="11" max="11" width="9.5703125" style="4" bestFit="1" customWidth="1"/>
    <col min="12" max="12" width="9.5703125" style="5" bestFit="1" customWidth="1"/>
    <col min="13" max="13" width="9.140625" style="1"/>
    <col min="14" max="14" width="7.140625" customWidth="1" outlineLevel="1"/>
    <col min="15" max="15" width="5.28515625" bestFit="1" customWidth="1"/>
  </cols>
  <sheetData>
    <row r="1" spans="1:16" x14ac:dyDescent="0.25">
      <c r="A1" s="1" t="s">
        <v>1</v>
      </c>
      <c r="B1" s="1" t="s">
        <v>9</v>
      </c>
      <c r="C1" s="1" t="s">
        <v>21</v>
      </c>
      <c r="D1" s="7" t="s">
        <v>52</v>
      </c>
      <c r="E1" s="1" t="s">
        <v>2</v>
      </c>
      <c r="F1" s="6" t="s">
        <v>3</v>
      </c>
      <c r="G1" s="7" t="s">
        <v>4</v>
      </c>
      <c r="H1" s="6" t="s">
        <v>5</v>
      </c>
      <c r="I1" s="6" t="s">
        <v>6</v>
      </c>
      <c r="J1" s="7" t="s">
        <v>55</v>
      </c>
      <c r="K1" s="1" t="s">
        <v>7</v>
      </c>
      <c r="L1" s="2" t="s">
        <v>8</v>
      </c>
      <c r="M1" s="1" t="s">
        <v>30</v>
      </c>
      <c r="N1" s="10" t="s">
        <v>49</v>
      </c>
      <c r="O1" s="10" t="s">
        <v>50</v>
      </c>
      <c r="P1" t="s">
        <v>51</v>
      </c>
    </row>
    <row r="2" spans="1:16" x14ac:dyDescent="0.25">
      <c r="A2" s="1">
        <v>1</v>
      </c>
      <c r="B2" s="3">
        <v>42599</v>
      </c>
      <c r="C2" s="3" t="str">
        <f t="shared" ref="C2:C41" si="0">IF(AND(ISBLANK(I2),NOT(ISBLANK(H2))),"Singles",IF(ISBLANK(H2),"","Doubles"))</f>
        <v>Singles</v>
      </c>
      <c r="D2" s="7"/>
      <c r="E2" s="1" t="s">
        <v>0</v>
      </c>
      <c r="F2" s="6"/>
      <c r="G2" s="7">
        <v>10</v>
      </c>
      <c r="H2" s="6" t="s">
        <v>10</v>
      </c>
      <c r="I2" s="6"/>
      <c r="J2" s="7">
        <v>7</v>
      </c>
      <c r="K2" s="1" t="str">
        <f>IFERROR(INDEX(E2:J2,0,MATCH(MAX(G2,J2),E2:J2,0)-2),"")</f>
        <v>Kevin</v>
      </c>
      <c r="L2" s="2">
        <f>IFERROR(INDEX(E2:J2,0,MATCH(MAX(G2,J2),E2:J2,0)-1),"")</f>
        <v>0</v>
      </c>
      <c r="M2" s="1" t="str">
        <f>IF(K2="Kevin","W",IF(K2="","","L"))</f>
        <v>W</v>
      </c>
      <c r="N2">
        <v>1</v>
      </c>
      <c r="O2" s="62"/>
      <c r="P2" s="63">
        <f>IFERROR(SUMIFS($G$2:G2,$H$2:H2,H2,$C$2:C2,C2)/(SUMIFS($J$2:J2,$H$2:H2,H2,$C$2:C2,C2)+SUMIFS($G$2:G2,$H$2:H2,H2,$C$2:C2,C2)),"")</f>
        <v>0.58823529411764708</v>
      </c>
    </row>
    <row r="3" spans="1:16" x14ac:dyDescent="0.25">
      <c r="A3" s="1">
        <f>IF(NOT(B3=""),MAX($A$2:A2)+1,"")</f>
        <v>2</v>
      </c>
      <c r="B3" s="3">
        <v>42599</v>
      </c>
      <c r="C3" s="3" t="str">
        <f t="shared" si="0"/>
        <v>Singles</v>
      </c>
      <c r="D3" s="7"/>
      <c r="E3" s="1" t="s">
        <v>0</v>
      </c>
      <c r="F3" s="6"/>
      <c r="G3" s="7">
        <v>8</v>
      </c>
      <c r="H3" s="6" t="s">
        <v>11</v>
      </c>
      <c r="I3" s="6"/>
      <c r="J3" s="7">
        <v>10</v>
      </c>
      <c r="K3" s="1" t="str">
        <f>IFERROR(INDEX(E3:J3,0,MATCH(MAX(G3,J3),E3:J3,0)-2),"")</f>
        <v>Henna</v>
      </c>
      <c r="L3" s="2">
        <f>IFERROR(INDEX(E3:J3,0,MATCH(MAX(G3,J3),E3:J3,0)-1),"")</f>
        <v>0</v>
      </c>
      <c r="M3" s="1" t="str">
        <f t="shared" ref="M3:M40" si="1">IF(K3="Kevin","W",IF(K3="","","L"))</f>
        <v>L</v>
      </c>
      <c r="N3">
        <f>IF(M3="","",IF(M3="W",1,IF(M3="L",-1,0))+N2)</f>
        <v>0</v>
      </c>
      <c r="O3" s="62"/>
      <c r="P3" s="63">
        <f>IFERROR(SUMIFS($G$2:G3,$H$2:H3,H3,$C$2:C3,C3)/(SUMIFS($J$2:J3,$H$2:H3,H3,$C$2:C3,C3)+SUMIFS($G$2:G3,$H$2:H3,H3,$C$2:C3,C3)),"")</f>
        <v>0.44444444444444442</v>
      </c>
    </row>
    <row r="4" spans="1:16" x14ac:dyDescent="0.25">
      <c r="A4" s="1">
        <f>IF(NOT(B4=""),MAX($A$2:A3)+1,"")</f>
        <v>3</v>
      </c>
      <c r="B4" s="3">
        <v>42605</v>
      </c>
      <c r="C4" s="3" t="str">
        <f t="shared" si="0"/>
        <v>Singles</v>
      </c>
      <c r="D4" s="7"/>
      <c r="E4" s="1" t="s">
        <v>0</v>
      </c>
      <c r="F4" s="6"/>
      <c r="G4" s="7">
        <v>5</v>
      </c>
      <c r="H4" s="6" t="s">
        <v>12</v>
      </c>
      <c r="I4" s="6"/>
      <c r="J4" s="7">
        <v>10</v>
      </c>
      <c r="K4" s="1" t="str">
        <f>IFERROR(INDEX(E4:J4,0,MATCH(MAX(G4,J4),E4:J4,0)-2),"")</f>
        <v>Jamie</v>
      </c>
      <c r="L4" s="2">
        <f>IFERROR(INDEX(E4:J4,0,MATCH(MAX(G4,J4),E4:J4,0)-1),"")</f>
        <v>0</v>
      </c>
      <c r="M4" s="1" t="str">
        <f t="shared" si="1"/>
        <v>L</v>
      </c>
      <c r="N4">
        <f t="shared" ref="N4:N67" si="2">IF(M4="","",IF(M4="W",1,IF(M4="L",-1,0))+N3)</f>
        <v>-1</v>
      </c>
      <c r="O4" s="62"/>
      <c r="P4" s="63">
        <f>IFERROR(SUMIFS($G$2:G4,$H$2:H4,H4,$C$2:C4,C4)/(SUMIFS($J$2:J4,$H$2:H4,H4,$C$2:C4,C4)+SUMIFS($G$2:G4,$H$2:H4,H4,$C$2:C4,C4)),"")</f>
        <v>0.33333333333333331</v>
      </c>
    </row>
    <row r="5" spans="1:16" x14ac:dyDescent="0.25">
      <c r="A5" s="1">
        <f>IF(NOT(B5=""),MAX($A$2:A4)+1,"")</f>
        <v>4</v>
      </c>
      <c r="B5" s="3">
        <v>42605</v>
      </c>
      <c r="C5" s="3" t="str">
        <f t="shared" si="0"/>
        <v>Singles</v>
      </c>
      <c r="D5" s="7"/>
      <c r="E5" s="1" t="s">
        <v>0</v>
      </c>
      <c r="F5" s="6"/>
      <c r="G5" s="7">
        <v>10</v>
      </c>
      <c r="H5" s="6" t="s">
        <v>13</v>
      </c>
      <c r="I5" s="6"/>
      <c r="J5" s="7">
        <v>7</v>
      </c>
      <c r="K5" s="1" t="str">
        <f>IFERROR(INDEX(E5:J5,0,MATCH(MAX(G5,J5),E5:J5,0)-2),"")</f>
        <v>Kevin</v>
      </c>
      <c r="L5" s="2">
        <f>IFERROR(INDEX(E5:J5,0,MATCH(MAX(G5,J5),E5:J5,0)-1),"")</f>
        <v>0</v>
      </c>
      <c r="M5" s="1" t="str">
        <f t="shared" si="1"/>
        <v>W</v>
      </c>
      <c r="N5">
        <f t="shared" si="2"/>
        <v>0</v>
      </c>
      <c r="O5" s="62"/>
      <c r="P5" s="63">
        <f>IFERROR(SUMIFS($G$2:G5,$H$2:H5,H5,$C$2:C5,C5)/(SUMIFS($J$2:J5,$H$2:H5,H5,$C$2:C5,C5)+SUMIFS($G$2:G5,$H$2:H5,H5,$C$2:C5,C5)),"")</f>
        <v>0.58823529411764708</v>
      </c>
    </row>
    <row r="6" spans="1:16" x14ac:dyDescent="0.25">
      <c r="A6" s="1">
        <f>IF(NOT(B6=""),MAX($A$2:A5)+1,"")</f>
        <v>5</v>
      </c>
      <c r="B6" s="3">
        <v>42606</v>
      </c>
      <c r="C6" s="3" t="str">
        <f t="shared" si="0"/>
        <v>Singles</v>
      </c>
      <c r="D6" s="7"/>
      <c r="E6" s="1" t="s">
        <v>0</v>
      </c>
      <c r="F6" s="6"/>
      <c r="G6" s="7">
        <v>6</v>
      </c>
      <c r="H6" s="6" t="s">
        <v>14</v>
      </c>
      <c r="I6" s="6"/>
      <c r="J6" s="7">
        <v>10</v>
      </c>
      <c r="K6" s="1" t="str">
        <f>IFERROR(INDEX(E6:J6,0,MATCH(MAX(G6,J6),E6:J6,0)-2),"")</f>
        <v>Will</v>
      </c>
      <c r="L6" s="2">
        <f>IFERROR(INDEX(E6:J6,0,MATCH(MAX(G6,J6),E6:J6,0)-1),"")</f>
        <v>0</v>
      </c>
      <c r="M6" s="1" t="str">
        <f t="shared" si="1"/>
        <v>L</v>
      </c>
      <c r="N6">
        <f t="shared" si="2"/>
        <v>-1</v>
      </c>
      <c r="O6" s="63" t="str">
        <f t="shared" ref="O6:O69" si="3">IFERROR((N6-N1)/5,"")</f>
        <v/>
      </c>
      <c r="P6" s="63">
        <f>IFERROR(SUMIFS($G$2:G6,$H$2:H6,H6,$C$2:C6,C6)/(SUMIFS($J$2:J6,$H$2:H6,H6,$C$2:C6,C6)+SUMIFS($G$2:G6,$H$2:H6,H6,$C$2:C6,C6)),"")</f>
        <v>0.375</v>
      </c>
    </row>
    <row r="7" spans="1:16" x14ac:dyDescent="0.25">
      <c r="A7" s="1">
        <f>IF(NOT(B7=""),MAX($A$2:A6)+1,"")</f>
        <v>6</v>
      </c>
      <c r="B7" s="3">
        <v>42607</v>
      </c>
      <c r="C7" s="3" t="str">
        <f t="shared" si="0"/>
        <v>Doubles</v>
      </c>
      <c r="D7" s="7"/>
      <c r="E7" s="1" t="s">
        <v>0</v>
      </c>
      <c r="F7" s="6" t="s">
        <v>15</v>
      </c>
      <c r="G7" s="7">
        <v>10</v>
      </c>
      <c r="H7" s="6" t="s">
        <v>11</v>
      </c>
      <c r="I7" s="6" t="s">
        <v>16</v>
      </c>
      <c r="J7" s="7">
        <v>4</v>
      </c>
      <c r="K7" s="1" t="str">
        <f>IFERROR(INDEX(E7:J7,0,MATCH(MAX(G7,J7),E7:J7,0)-2),"")</f>
        <v>Kevin</v>
      </c>
      <c r="L7" s="2" t="str">
        <f>IFERROR(INDEX(E7:J7,0,MATCH(MAX(G7,J7),E7:J7,0)-1),"")</f>
        <v>Kirby</v>
      </c>
      <c r="M7" s="1" t="str">
        <f t="shared" si="1"/>
        <v>W</v>
      </c>
      <c r="N7">
        <f t="shared" si="2"/>
        <v>0</v>
      </c>
      <c r="O7" s="63">
        <f t="shared" si="3"/>
        <v>-0.2</v>
      </c>
      <c r="P7" s="63">
        <f>IFERROR(SUMIFS($G$2:G7,$H$2:H7,H7,$C$2:C7,C7)/(SUMIFS($J$2:J7,$H$2:H7,H7,$C$2:C7,C7)+SUMIFS($G$2:G7,$H$2:H7,H7,$C$2:C7,C7)),"")</f>
        <v>0.7142857142857143</v>
      </c>
    </row>
    <row r="8" spans="1:16" x14ac:dyDescent="0.25">
      <c r="A8" s="1">
        <f>IF(NOT(B8=""),MAX($A$2:A7)+1,"")</f>
        <v>7</v>
      </c>
      <c r="B8" s="3">
        <v>42607</v>
      </c>
      <c r="C8" s="3" t="str">
        <f t="shared" si="0"/>
        <v>Singles</v>
      </c>
      <c r="D8" s="7"/>
      <c r="E8" s="1" t="s">
        <v>0</v>
      </c>
      <c r="F8" s="6"/>
      <c r="G8" s="7">
        <v>7</v>
      </c>
      <c r="H8" s="6" t="s">
        <v>14</v>
      </c>
      <c r="I8" s="6"/>
      <c r="J8" s="7">
        <v>10</v>
      </c>
      <c r="K8" s="1" t="str">
        <f>IFERROR(INDEX(E8:J8,0,MATCH(MAX(G8,J8),E8:J8,0)-2),"")</f>
        <v>Will</v>
      </c>
      <c r="L8" s="2">
        <f>IFERROR(INDEX(E8:J8,0,MATCH(MAX(G8,J8),E8:J8,0)-1),"")</f>
        <v>0</v>
      </c>
      <c r="M8" s="1" t="str">
        <f t="shared" si="1"/>
        <v>L</v>
      </c>
      <c r="N8">
        <f t="shared" si="2"/>
        <v>-1</v>
      </c>
      <c r="O8" s="63">
        <f t="shared" si="3"/>
        <v>-0.2</v>
      </c>
      <c r="P8" s="63">
        <f>IFERROR(SUMIFS($G$2:G8,$H$2:H8,H8,$C$2:C8,C8)/(SUMIFS($J$2:J8,$H$2:H8,H8,$C$2:C8,C8)+SUMIFS($G$2:G8,$H$2:H8,H8,$C$2:C8,C8)),"")</f>
        <v>0.39393939393939392</v>
      </c>
    </row>
    <row r="9" spans="1:16" x14ac:dyDescent="0.25">
      <c r="A9" s="1">
        <f>IF(NOT(B9=""),MAX($A$2:A8)+1,"")</f>
        <v>8</v>
      </c>
      <c r="B9" s="3">
        <v>42608</v>
      </c>
      <c r="C9" s="3" t="str">
        <f t="shared" si="0"/>
        <v>Doubles</v>
      </c>
      <c r="D9" s="7"/>
      <c r="E9" s="1" t="s">
        <v>0</v>
      </c>
      <c r="F9" s="6" t="s">
        <v>10</v>
      </c>
      <c r="G9" s="7">
        <v>10</v>
      </c>
      <c r="H9" s="6" t="s">
        <v>17</v>
      </c>
      <c r="I9" s="6" t="s">
        <v>15</v>
      </c>
      <c r="J9" s="7">
        <v>6</v>
      </c>
      <c r="K9" s="1" t="str">
        <f>IFERROR(INDEX(E9:J9,0,MATCH(MAX(G9,J9),E9:J9,0)-2),"")</f>
        <v>Kevin</v>
      </c>
      <c r="L9" s="2" t="str">
        <f>IFERROR(INDEX(E9:J9,0,MATCH(MAX(G9,J9),E9:J9,0)-1),"")</f>
        <v>Zong</v>
      </c>
      <c r="M9" s="1" t="str">
        <f t="shared" si="1"/>
        <v>W</v>
      </c>
      <c r="N9">
        <f t="shared" si="2"/>
        <v>0</v>
      </c>
      <c r="O9" s="63">
        <f t="shared" si="3"/>
        <v>0.2</v>
      </c>
      <c r="P9" s="63">
        <f>IFERROR(SUMIFS($G$2:G9,$H$2:H9,H9,$C$2:C9,C9)/(SUMIFS($J$2:J9,$H$2:H9,H9,$C$2:C9,C9)+SUMIFS($G$2:G9,$H$2:H9,H9,$C$2:C9,C9)),"")</f>
        <v>0.625</v>
      </c>
    </row>
    <row r="10" spans="1:16" x14ac:dyDescent="0.25">
      <c r="A10" s="1">
        <f>IF(NOT(B10=""),MAX($A$2:A9)+1,"")</f>
        <v>9</v>
      </c>
      <c r="B10" s="3">
        <v>42608</v>
      </c>
      <c r="C10" s="3" t="str">
        <f t="shared" si="0"/>
        <v>Singles</v>
      </c>
      <c r="D10" s="7"/>
      <c r="E10" s="1" t="s">
        <v>0</v>
      </c>
      <c r="F10" s="6"/>
      <c r="G10" s="7">
        <v>14</v>
      </c>
      <c r="H10" s="6" t="s">
        <v>12</v>
      </c>
      <c r="I10" s="6"/>
      <c r="J10" s="7">
        <v>16</v>
      </c>
      <c r="K10" s="1" t="str">
        <f>IFERROR(INDEX(E10:J10,0,MATCH(MAX(G10,J10),E10:J10,0)-2),"")</f>
        <v>Jamie</v>
      </c>
      <c r="L10" s="2">
        <f>IFERROR(INDEX(E10:J10,0,MATCH(MAX(G10,J10),E10:J10,0)-1),"")</f>
        <v>0</v>
      </c>
      <c r="M10" s="1" t="str">
        <f t="shared" si="1"/>
        <v>L</v>
      </c>
      <c r="N10">
        <f t="shared" si="2"/>
        <v>-1</v>
      </c>
      <c r="O10" s="63">
        <f t="shared" si="3"/>
        <v>-0.2</v>
      </c>
      <c r="P10" s="63">
        <f>IFERROR(SUMIFS($G$2:G10,$H$2:H10,H10,$C$2:C10,C10)/(SUMIFS($J$2:J10,$H$2:H10,H10,$C$2:C10,C10)+SUMIFS($G$2:G10,$H$2:H10,H10,$C$2:C10,C10)),"")</f>
        <v>0.42222222222222222</v>
      </c>
    </row>
    <row r="11" spans="1:16" x14ac:dyDescent="0.25">
      <c r="A11" s="1">
        <f>IF(NOT(B11=""),MAX($A$2:A10)+1,"")</f>
        <v>10</v>
      </c>
      <c r="B11" s="3">
        <v>42608</v>
      </c>
      <c r="C11" s="3" t="str">
        <f t="shared" si="0"/>
        <v>Doubles</v>
      </c>
      <c r="D11" s="7"/>
      <c r="E11" s="1" t="s">
        <v>0</v>
      </c>
      <c r="F11" s="6" t="s">
        <v>16</v>
      </c>
      <c r="G11" s="7">
        <v>5</v>
      </c>
      <c r="H11" s="6" t="s">
        <v>18</v>
      </c>
      <c r="I11" s="6" t="s">
        <v>19</v>
      </c>
      <c r="J11" s="7">
        <v>2</v>
      </c>
      <c r="K11" s="1" t="str">
        <f>IFERROR(INDEX(E11:J11,0,MATCH(MAX(G11,J11),E11:J11,0)-2),"")</f>
        <v>Kevin</v>
      </c>
      <c r="L11" s="2" t="str">
        <f>IFERROR(INDEX(E11:J11,0,MATCH(MAX(G11,J11),E11:J11,0)-1),"")</f>
        <v>Angela</v>
      </c>
      <c r="M11" s="1" t="str">
        <f t="shared" si="1"/>
        <v>W</v>
      </c>
      <c r="N11">
        <f t="shared" si="2"/>
        <v>0</v>
      </c>
      <c r="O11" s="63">
        <f t="shared" si="3"/>
        <v>0.2</v>
      </c>
      <c r="P11" s="63">
        <f>IFERROR(SUMIFS($G$2:G11,$H$2:H11,H11,$C$2:C11,C11)/(SUMIFS($J$2:J11,$H$2:H11,H11,$C$2:C11,C11)+SUMIFS($G$2:G11,$H$2:H11,H11,$C$2:C11,C11)),"")</f>
        <v>0.7142857142857143</v>
      </c>
    </row>
    <row r="12" spans="1:16" x14ac:dyDescent="0.25">
      <c r="A12" s="1">
        <f>IF(NOT(B12=""),MAX($A$2:A11)+1,"")</f>
        <v>11</v>
      </c>
      <c r="B12" s="3">
        <v>42608</v>
      </c>
      <c r="C12" s="3" t="str">
        <f t="shared" si="0"/>
        <v>Doubles</v>
      </c>
      <c r="D12" s="7"/>
      <c r="E12" s="1" t="s">
        <v>0</v>
      </c>
      <c r="F12" s="6" t="s">
        <v>20</v>
      </c>
      <c r="G12" s="7">
        <v>5</v>
      </c>
      <c r="H12" s="6" t="s">
        <v>18</v>
      </c>
      <c r="I12" s="6" t="s">
        <v>19</v>
      </c>
      <c r="J12" s="7">
        <v>1</v>
      </c>
      <c r="K12" s="1" t="str">
        <f>IFERROR(INDEX(E12:J12,0,MATCH(MAX(G12,J12),E12:J12,0)-2),"")</f>
        <v>Kevin</v>
      </c>
      <c r="L12" s="2" t="str">
        <f>IFERROR(INDEX(E12:J12,0,MATCH(MAX(G12,J12),E12:J12,0)-1),"")</f>
        <v>Cody</v>
      </c>
      <c r="M12" s="1" t="str">
        <f t="shared" si="1"/>
        <v>W</v>
      </c>
      <c r="N12">
        <f t="shared" si="2"/>
        <v>1</v>
      </c>
      <c r="O12" s="63">
        <f t="shared" si="3"/>
        <v>0.2</v>
      </c>
      <c r="P12" s="63">
        <f>IFERROR(SUMIFS($G$2:G12,$H$2:H12,H12,$C$2:C12,C12)/(SUMIFS($J$2:J12,$H$2:H12,H12,$C$2:C12,C12)+SUMIFS($G$2:G12,$H$2:H12,H12,$C$2:C12,C12)),"")</f>
        <v>0.76923076923076927</v>
      </c>
    </row>
    <row r="13" spans="1:16" x14ac:dyDescent="0.25">
      <c r="A13" s="1">
        <f>IF(NOT(B13=""),MAX($A$2:A12)+1,"")</f>
        <v>12</v>
      </c>
      <c r="B13" s="3">
        <v>42611</v>
      </c>
      <c r="C13" s="3" t="str">
        <f t="shared" si="0"/>
        <v>Singles</v>
      </c>
      <c r="D13" s="7"/>
      <c r="E13" s="1" t="s">
        <v>0</v>
      </c>
      <c r="F13" s="6"/>
      <c r="G13" s="7">
        <v>0</v>
      </c>
      <c r="H13" s="6" t="s">
        <v>16</v>
      </c>
      <c r="I13" s="6"/>
      <c r="J13" s="7">
        <v>10</v>
      </c>
      <c r="K13" s="1" t="str">
        <f>IFERROR(INDEX(E13:J13,0,MATCH(MAX(G13,J13),E13:J13,0)-2),"")</f>
        <v>Angela</v>
      </c>
      <c r="L13" s="2">
        <f>IFERROR(INDEX(E13:J13,0,MATCH(MAX(G13,J13),E13:J13,0)-1),"")</f>
        <v>0</v>
      </c>
      <c r="M13" s="1" t="str">
        <f t="shared" si="1"/>
        <v>L</v>
      </c>
      <c r="N13">
        <f t="shared" si="2"/>
        <v>0</v>
      </c>
      <c r="O13" s="63">
        <f t="shared" si="3"/>
        <v>0.2</v>
      </c>
      <c r="P13" s="63">
        <f>IFERROR(SUMIFS($G$2:G13,$H$2:H13,H13,$C$2:C13,C13)/(SUMIFS($J$2:J13,$H$2:H13,H13,$C$2:C13,C13)+SUMIFS($G$2:G13,$H$2:H13,H13,$C$2:C13,C13)),"")</f>
        <v>0</v>
      </c>
    </row>
    <row r="14" spans="1:16" x14ac:dyDescent="0.25">
      <c r="A14" s="1">
        <f>IF(NOT(B14=""),MAX($A$2:A13)+1,"")</f>
        <v>13</v>
      </c>
      <c r="B14" s="3">
        <v>42611</v>
      </c>
      <c r="C14" s="3" t="str">
        <f t="shared" si="0"/>
        <v>Singles</v>
      </c>
      <c r="D14" s="7"/>
      <c r="E14" s="1" t="s">
        <v>0</v>
      </c>
      <c r="F14" s="6"/>
      <c r="G14" s="7">
        <v>4</v>
      </c>
      <c r="H14" s="6" t="s">
        <v>14</v>
      </c>
      <c r="I14" s="6"/>
      <c r="J14" s="7">
        <v>10</v>
      </c>
      <c r="K14" s="1" t="str">
        <f>IFERROR(INDEX(E14:J14,0,MATCH(MAX(G14,J14),E14:J14,0)-2),"")</f>
        <v>Will</v>
      </c>
      <c r="L14" s="2">
        <f>IFERROR(INDEX(E14:J14,0,MATCH(MAX(G14,J14),E14:J14,0)-1),"")</f>
        <v>0</v>
      </c>
      <c r="M14" s="1" t="str">
        <f t="shared" si="1"/>
        <v>L</v>
      </c>
      <c r="N14">
        <f t="shared" si="2"/>
        <v>-1</v>
      </c>
      <c r="O14" s="63">
        <f t="shared" si="3"/>
        <v>-0.2</v>
      </c>
      <c r="P14" s="63">
        <f>IFERROR(SUMIFS($G$2:G14,$H$2:H14,H14,$C$2:C14,C14)/(SUMIFS($J$2:J14,$H$2:H14,H14,$C$2:C14,C14)+SUMIFS($G$2:G14,$H$2:H14,H14,$C$2:C14,C14)),"")</f>
        <v>0.36170212765957449</v>
      </c>
    </row>
    <row r="15" spans="1:16" x14ac:dyDescent="0.25">
      <c r="A15" s="1">
        <f>IF(NOT(B15=""),MAX($A$2:A14)+1,"")</f>
        <v>14</v>
      </c>
      <c r="B15" s="3">
        <v>42612</v>
      </c>
      <c r="C15" s="3" t="str">
        <f t="shared" si="0"/>
        <v>Doubles</v>
      </c>
      <c r="D15" s="7"/>
      <c r="E15" s="1" t="s">
        <v>0</v>
      </c>
      <c r="F15" s="6" t="s">
        <v>17</v>
      </c>
      <c r="G15" s="7">
        <v>5</v>
      </c>
      <c r="H15" s="6" t="s">
        <v>13</v>
      </c>
      <c r="I15" s="6" t="s">
        <v>18</v>
      </c>
      <c r="J15" s="7">
        <v>4</v>
      </c>
      <c r="K15" s="1" t="str">
        <f>IFERROR(INDEX(E15:J15,0,MATCH(MAX(G15,J15),E15:J15,0)-2),"")</f>
        <v>Kevin</v>
      </c>
      <c r="L15" s="2" t="str">
        <f>IFERROR(INDEX(E15:J15,0,MATCH(MAX(G15,J15),E15:J15,0)-1),"")</f>
        <v>Andrea</v>
      </c>
      <c r="M15" s="1" t="str">
        <f t="shared" si="1"/>
        <v>W</v>
      </c>
      <c r="N15">
        <f t="shared" si="2"/>
        <v>0</v>
      </c>
      <c r="O15" s="63">
        <f t="shared" si="3"/>
        <v>0.2</v>
      </c>
      <c r="P15" s="63">
        <f>IFERROR(SUMIFS($G$2:G15,$H$2:H15,H15,$C$2:C15,C15)/(SUMIFS($J$2:J15,$H$2:H15,H15,$C$2:C15,C15)+SUMIFS($G$2:G15,$H$2:H15,H15,$C$2:C15,C15)),"")</f>
        <v>0.55555555555555558</v>
      </c>
    </row>
    <row r="16" spans="1:16" x14ac:dyDescent="0.25">
      <c r="A16" s="1">
        <f>IF(NOT(B16=""),MAX($A$2:A15)+1,"")</f>
        <v>15</v>
      </c>
      <c r="B16" s="3">
        <v>42612</v>
      </c>
      <c r="C16" s="3" t="str">
        <f t="shared" si="0"/>
        <v>Doubles</v>
      </c>
      <c r="D16" s="7"/>
      <c r="E16" s="1" t="s">
        <v>0</v>
      </c>
      <c r="F16" s="6" t="s">
        <v>18</v>
      </c>
      <c r="G16" s="7">
        <v>4</v>
      </c>
      <c r="H16" s="6" t="s">
        <v>13</v>
      </c>
      <c r="I16" s="6" t="s">
        <v>17</v>
      </c>
      <c r="J16" s="7">
        <v>5</v>
      </c>
      <c r="K16" s="1" t="str">
        <f>IFERROR(INDEX(E16:J16,0,MATCH(MAX(G16,J16),E16:J16,0)-2),"")</f>
        <v>Hallie</v>
      </c>
      <c r="L16" s="2" t="str">
        <f>IFERROR(INDEX(E16:J16,0,MATCH(MAX(G16,J16),E16:J16,0)-1),"")</f>
        <v>Andrea</v>
      </c>
      <c r="M16" s="1" t="str">
        <f t="shared" si="1"/>
        <v>L</v>
      </c>
      <c r="N16">
        <f t="shared" si="2"/>
        <v>-1</v>
      </c>
      <c r="O16" s="63">
        <f t="shared" si="3"/>
        <v>-0.2</v>
      </c>
      <c r="P16" s="63">
        <f>IFERROR(SUMIFS($G$2:G16,$H$2:H16,H16,$C$2:C16,C16)/(SUMIFS($J$2:J16,$H$2:H16,H16,$C$2:C16,C16)+SUMIFS($G$2:G16,$H$2:H16,H16,$C$2:C16,C16)),"")</f>
        <v>0.5</v>
      </c>
    </row>
    <row r="17" spans="1:16" x14ac:dyDescent="0.25">
      <c r="A17" s="1">
        <f>IF(NOT(B17=""),MAX($A$2:A16)+1,"")</f>
        <v>16</v>
      </c>
      <c r="B17" s="3">
        <v>42612</v>
      </c>
      <c r="C17" s="3" t="str">
        <f t="shared" si="0"/>
        <v>Doubles</v>
      </c>
      <c r="D17" s="7"/>
      <c r="E17" s="1" t="s">
        <v>0</v>
      </c>
      <c r="F17" s="6" t="s">
        <v>15</v>
      </c>
      <c r="G17" s="7">
        <v>8</v>
      </c>
      <c r="H17" s="6" t="s">
        <v>16</v>
      </c>
      <c r="I17" s="6" t="s">
        <v>11</v>
      </c>
      <c r="J17" s="7">
        <v>10</v>
      </c>
      <c r="K17" s="1" t="str">
        <f>IFERROR(INDEX(E17:J17,0,MATCH(MAX(G17,J17),E17:J17,0)-2),"")</f>
        <v>Angela</v>
      </c>
      <c r="L17" s="2" t="str">
        <f>IFERROR(INDEX(E17:J17,0,MATCH(MAX(G17,J17),E17:J17,0)-1),"")</f>
        <v>Henna</v>
      </c>
      <c r="M17" s="1" t="str">
        <f t="shared" si="1"/>
        <v>L</v>
      </c>
      <c r="N17">
        <f t="shared" si="2"/>
        <v>-2</v>
      </c>
      <c r="O17" s="63">
        <f t="shared" si="3"/>
        <v>-0.6</v>
      </c>
      <c r="P17" s="63">
        <f>IFERROR(SUMIFS($G$2:G17,$H$2:H17,H17,$C$2:C17,C17)/(SUMIFS($J$2:J17,$H$2:H17,H17,$C$2:C17,C17)+SUMIFS($G$2:G17,$H$2:H17,H17,$C$2:C17,C17)),"")</f>
        <v>0.44444444444444442</v>
      </c>
    </row>
    <row r="18" spans="1:16" x14ac:dyDescent="0.25">
      <c r="A18" s="1">
        <f>IF(NOT(B18=""),MAX($A$2:A17)+1,"")</f>
        <v>17</v>
      </c>
      <c r="B18" s="3">
        <v>42613</v>
      </c>
      <c r="C18" s="3" t="str">
        <f t="shared" si="0"/>
        <v>Singles</v>
      </c>
      <c r="D18" s="7"/>
      <c r="E18" s="1" t="s">
        <v>0</v>
      </c>
      <c r="F18" s="6"/>
      <c r="G18" s="7">
        <v>10</v>
      </c>
      <c r="H18" s="6" t="s">
        <v>10</v>
      </c>
      <c r="I18" s="6"/>
      <c r="J18" s="7">
        <v>8</v>
      </c>
      <c r="K18" s="1" t="str">
        <f>IFERROR(INDEX(E18:J18,0,MATCH(MAX(G18,J18),E18:J18,0)-2),"")</f>
        <v>Kevin</v>
      </c>
      <c r="L18" s="2">
        <f>IFERROR(INDEX(E18:J18,0,MATCH(MAX(G18,J18),E18:J18,0)-1),"")</f>
        <v>0</v>
      </c>
      <c r="M18" s="1" t="str">
        <f t="shared" si="1"/>
        <v>W</v>
      </c>
      <c r="N18">
        <f t="shared" si="2"/>
        <v>-1</v>
      </c>
      <c r="O18" s="63">
        <f t="shared" si="3"/>
        <v>-0.2</v>
      </c>
      <c r="P18" s="63">
        <f>IFERROR(SUMIFS($G$2:G18,$H$2:H18,H18,$C$2:C18,C18)/(SUMIFS($J$2:J18,$H$2:H18,H18,$C$2:C18,C18)+SUMIFS($G$2:G18,$H$2:H18,H18,$C$2:C18,C18)),"")</f>
        <v>0.5714285714285714</v>
      </c>
    </row>
    <row r="19" spans="1:16" x14ac:dyDescent="0.25">
      <c r="A19" s="1">
        <f>IF(NOT(B19=""),MAX($A$2:A18)+1,"")</f>
        <v>18</v>
      </c>
      <c r="B19" s="3">
        <v>42613</v>
      </c>
      <c r="C19" s="3" t="str">
        <f t="shared" si="0"/>
        <v>Singles</v>
      </c>
      <c r="D19" s="7"/>
      <c r="E19" s="1" t="s">
        <v>0</v>
      </c>
      <c r="F19" s="6"/>
      <c r="G19" s="7">
        <v>10</v>
      </c>
      <c r="H19" s="6" t="s">
        <v>11</v>
      </c>
      <c r="I19" s="6"/>
      <c r="J19" s="7">
        <v>8</v>
      </c>
      <c r="K19" s="1" t="str">
        <f>IFERROR(INDEX(E19:J19,0,MATCH(MAX(G19,J19),E19:J19,0)-2),"")</f>
        <v>Kevin</v>
      </c>
      <c r="L19" s="2">
        <f>IFERROR(INDEX(E19:J19,0,MATCH(MAX(G19,J19),E19:J19,0)-1),"")</f>
        <v>0</v>
      </c>
      <c r="M19" s="1" t="str">
        <f t="shared" si="1"/>
        <v>W</v>
      </c>
      <c r="N19">
        <f t="shared" si="2"/>
        <v>0</v>
      </c>
      <c r="O19" s="63">
        <f t="shared" si="3"/>
        <v>0.2</v>
      </c>
      <c r="P19" s="63">
        <f>IFERROR(SUMIFS($G$2:G19,$H$2:H19,H19,$C$2:C19,C19)/(SUMIFS($J$2:J19,$H$2:H19,H19,$C$2:C19,C19)+SUMIFS($G$2:G19,$H$2:H19,H19,$C$2:C19,C19)),"")</f>
        <v>0.5</v>
      </c>
    </row>
    <row r="20" spans="1:16" x14ac:dyDescent="0.25">
      <c r="A20" s="1">
        <f>IF(NOT(B20=""),MAX($A$2:A19)+1,"")</f>
        <v>19</v>
      </c>
      <c r="B20" s="3">
        <v>42613</v>
      </c>
      <c r="C20" s="3" t="str">
        <f t="shared" si="0"/>
        <v>Singles</v>
      </c>
      <c r="D20" s="7"/>
      <c r="E20" s="1" t="s">
        <v>0</v>
      </c>
      <c r="F20" s="6"/>
      <c r="G20" s="7">
        <v>7</v>
      </c>
      <c r="H20" s="6" t="s">
        <v>14</v>
      </c>
      <c r="I20" s="6"/>
      <c r="J20" s="7">
        <v>10</v>
      </c>
      <c r="K20" s="1" t="str">
        <f>IFERROR(INDEX(E20:J20,0,MATCH(MAX(G20,J20),E20:J20,0)-2),"")</f>
        <v>Will</v>
      </c>
      <c r="L20" s="2">
        <f>IFERROR(INDEX(E20:J20,0,MATCH(MAX(G20,J20),E20:J20,0)-1),"")</f>
        <v>0</v>
      </c>
      <c r="M20" s="1" t="str">
        <f t="shared" si="1"/>
        <v>L</v>
      </c>
      <c r="N20">
        <f t="shared" si="2"/>
        <v>-1</v>
      </c>
      <c r="O20" s="63">
        <f t="shared" si="3"/>
        <v>-0.2</v>
      </c>
      <c r="P20" s="63">
        <f>IFERROR(SUMIFS($G$2:G20,$H$2:H20,H20,$C$2:C20,C20)/(SUMIFS($J$2:J20,$H$2:H20,H20,$C$2:C20,C20)+SUMIFS($G$2:G20,$H$2:H20,H20,$C$2:C20,C20)),"")</f>
        <v>0.375</v>
      </c>
    </row>
    <row r="21" spans="1:16" x14ac:dyDescent="0.25">
      <c r="A21" s="1">
        <f>IF(NOT(B21=""),MAX($A$2:A20)+1,"")</f>
        <v>20</v>
      </c>
      <c r="B21" s="3">
        <v>42613</v>
      </c>
      <c r="C21" s="3" t="str">
        <f t="shared" si="0"/>
        <v>Singles</v>
      </c>
      <c r="D21" s="7"/>
      <c r="E21" s="1" t="s">
        <v>0</v>
      </c>
      <c r="F21" s="6"/>
      <c r="G21" s="7">
        <v>10</v>
      </c>
      <c r="H21" s="6" t="s">
        <v>12</v>
      </c>
      <c r="I21" s="6"/>
      <c r="J21" s="7">
        <v>12</v>
      </c>
      <c r="K21" s="1" t="str">
        <f>IFERROR(INDEX(E21:J21,0,MATCH(MAX(G21,J21),E21:J21,0)-2),"")</f>
        <v>Jamie</v>
      </c>
      <c r="L21" s="2">
        <f>IFERROR(INDEX(E21:J21,0,MATCH(MAX(G21,J21),E21:J21,0)-1),"")</f>
        <v>0</v>
      </c>
      <c r="M21" s="1" t="str">
        <f t="shared" si="1"/>
        <v>L</v>
      </c>
      <c r="N21">
        <f t="shared" si="2"/>
        <v>-2</v>
      </c>
      <c r="O21" s="63">
        <f t="shared" si="3"/>
        <v>-0.2</v>
      </c>
      <c r="P21" s="63">
        <f>IFERROR(SUMIFS($G$2:G21,$H$2:H21,H21,$C$2:C21,C21)/(SUMIFS($J$2:J21,$H$2:H21,H21,$C$2:C21,C21)+SUMIFS($G$2:G21,$H$2:H21,H21,$C$2:C21,C21)),"")</f>
        <v>0.43283582089552236</v>
      </c>
    </row>
    <row r="22" spans="1:16" x14ac:dyDescent="0.25">
      <c r="A22" s="1">
        <f>IF(NOT(B22=""),MAX($A$2:A21)+1,"")</f>
        <v>21</v>
      </c>
      <c r="B22" s="3">
        <v>42619</v>
      </c>
      <c r="C22" s="3" t="str">
        <f t="shared" si="0"/>
        <v>Doubles</v>
      </c>
      <c r="D22" s="7"/>
      <c r="E22" s="1" t="s">
        <v>0</v>
      </c>
      <c r="F22" s="6" t="s">
        <v>16</v>
      </c>
      <c r="G22" s="7">
        <v>10</v>
      </c>
      <c r="H22" s="6" t="s">
        <v>15</v>
      </c>
      <c r="I22" s="6" t="s">
        <v>10</v>
      </c>
      <c r="J22" s="7">
        <v>7</v>
      </c>
      <c r="K22" s="1" t="str">
        <f>IFERROR(INDEX(E22:J22,0,MATCH(MAX(G22,J22),E22:J22,0)-2),"")</f>
        <v>Kevin</v>
      </c>
      <c r="L22" s="2" t="str">
        <f>IFERROR(INDEX(E22:J22,0,MATCH(MAX(G22,J22),E22:J22,0)-1),"")</f>
        <v>Angela</v>
      </c>
      <c r="M22" s="1" t="str">
        <f t="shared" si="1"/>
        <v>W</v>
      </c>
      <c r="N22">
        <f t="shared" si="2"/>
        <v>-1</v>
      </c>
      <c r="O22" s="63">
        <f t="shared" si="3"/>
        <v>0.2</v>
      </c>
      <c r="P22" s="63">
        <f>IFERROR(SUMIFS($G$2:G22,$H$2:H22,H22,$C$2:C22,C22)/(SUMIFS($J$2:J22,$H$2:H22,H22,$C$2:C22,C22)+SUMIFS($G$2:G22,$H$2:H22,H22,$C$2:C22,C22)),"")</f>
        <v>0.58823529411764708</v>
      </c>
    </row>
    <row r="23" spans="1:16" x14ac:dyDescent="0.25">
      <c r="A23" s="1">
        <f>IF(NOT(B23=""),MAX($A$2:A22)+1,"")</f>
        <v>22</v>
      </c>
      <c r="B23" s="3">
        <v>42619</v>
      </c>
      <c r="C23" s="3" t="str">
        <f t="shared" si="0"/>
        <v>Singles</v>
      </c>
      <c r="D23" s="7"/>
      <c r="E23" s="1" t="s">
        <v>0</v>
      </c>
      <c r="F23" s="6"/>
      <c r="G23" s="7">
        <v>4</v>
      </c>
      <c r="H23" s="6" t="s">
        <v>14</v>
      </c>
      <c r="I23" s="6"/>
      <c r="J23" s="7">
        <v>10</v>
      </c>
      <c r="K23" s="1" t="str">
        <f>IFERROR(INDEX(E23:J23,0,MATCH(MAX(G23,J23),E23:J23,0)-2),"")</f>
        <v>Will</v>
      </c>
      <c r="L23" s="2">
        <f>IFERROR(INDEX(E23:J23,0,MATCH(MAX(G23,J23),E23:J23,0)-1),"")</f>
        <v>0</v>
      </c>
      <c r="M23" s="1" t="str">
        <f t="shared" si="1"/>
        <v>L</v>
      </c>
      <c r="N23">
        <f t="shared" si="2"/>
        <v>-2</v>
      </c>
      <c r="O23" s="63">
        <f t="shared" si="3"/>
        <v>-0.2</v>
      </c>
      <c r="P23" s="63">
        <f>IFERROR(SUMIFS($G$2:G23,$H$2:H23,H23,$C$2:C23,C23)/(SUMIFS($J$2:J23,$H$2:H23,H23,$C$2:C23,C23)+SUMIFS($G$2:G23,$H$2:H23,H23,$C$2:C23,C23)),"")</f>
        <v>0.35897435897435898</v>
      </c>
    </row>
    <row r="24" spans="1:16" x14ac:dyDescent="0.25">
      <c r="A24" s="1">
        <f>IF(NOT(B24=""),MAX($A$2:A23)+1,"")</f>
        <v>23</v>
      </c>
      <c r="B24" s="3">
        <v>42621</v>
      </c>
      <c r="C24" s="3" t="str">
        <f t="shared" si="0"/>
        <v>Singles</v>
      </c>
      <c r="D24" s="7"/>
      <c r="E24" s="1" t="s">
        <v>0</v>
      </c>
      <c r="F24" s="6"/>
      <c r="G24" s="7">
        <v>10</v>
      </c>
      <c r="H24" s="6" t="s">
        <v>10</v>
      </c>
      <c r="I24" s="6"/>
      <c r="J24" s="7">
        <v>5</v>
      </c>
      <c r="K24" s="1" t="str">
        <f>IFERROR(INDEX(E24:J24,0,MATCH(MAX(G24,J24),E24:J24,0)-2),"")</f>
        <v>Kevin</v>
      </c>
      <c r="L24" s="2">
        <f>IFERROR(INDEX(E24:J24,0,MATCH(MAX(G24,J24),E24:J24,0)-1),"")</f>
        <v>0</v>
      </c>
      <c r="M24" s="1" t="str">
        <f t="shared" si="1"/>
        <v>W</v>
      </c>
      <c r="N24">
        <f t="shared" si="2"/>
        <v>-1</v>
      </c>
      <c r="O24" s="63">
        <f t="shared" si="3"/>
        <v>-0.2</v>
      </c>
      <c r="P24" s="63">
        <f>IFERROR(SUMIFS($G$2:G24,$H$2:H24,H24,$C$2:C24,C24)/(SUMIFS($J$2:J24,$H$2:H24,H24,$C$2:C24,C24)+SUMIFS($G$2:G24,$H$2:H24,H24,$C$2:C24,C24)),"")</f>
        <v>0.6</v>
      </c>
    </row>
    <row r="25" spans="1:16" x14ac:dyDescent="0.25">
      <c r="A25" s="1">
        <f>IF(NOT(B25=""),MAX($A$2:A24)+1,"")</f>
        <v>24</v>
      </c>
      <c r="B25" s="3">
        <v>42622</v>
      </c>
      <c r="C25" s="3" t="str">
        <f t="shared" si="0"/>
        <v>Doubles</v>
      </c>
      <c r="D25" s="7"/>
      <c r="E25" s="1" t="s">
        <v>0</v>
      </c>
      <c r="F25" s="6" t="s">
        <v>18</v>
      </c>
      <c r="G25" s="7">
        <v>10</v>
      </c>
      <c r="H25" s="6" t="s">
        <v>10</v>
      </c>
      <c r="I25" s="6" t="s">
        <v>17</v>
      </c>
      <c r="J25" s="7">
        <v>8</v>
      </c>
      <c r="K25" s="1" t="str">
        <f>IFERROR(INDEX(E25:J25,0,MATCH(MAX(G25,J25),E25:J25,0)-2),"")</f>
        <v>Kevin</v>
      </c>
      <c r="L25" s="2" t="str">
        <f>IFERROR(INDEX(E25:J25,0,MATCH(MAX(G25,J25),E25:J25,0)-1),"")</f>
        <v>Evan</v>
      </c>
      <c r="M25" s="1" t="str">
        <f t="shared" si="1"/>
        <v>W</v>
      </c>
      <c r="N25">
        <f t="shared" si="2"/>
        <v>0</v>
      </c>
      <c r="O25" s="63">
        <f t="shared" si="3"/>
        <v>0.2</v>
      </c>
      <c r="P25" s="63">
        <f>IFERROR(SUMIFS($G$2:G25,$H$2:H25,H25,$C$2:C25,C25)/(SUMIFS($J$2:J25,$H$2:H25,H25,$C$2:C25,C25)+SUMIFS($G$2:G25,$H$2:H25,H25,$C$2:C25,C25)),"")</f>
        <v>0.55555555555555558</v>
      </c>
    </row>
    <row r="26" spans="1:16" x14ac:dyDescent="0.25">
      <c r="A26" s="1">
        <f>IF(NOT(B26=""),MAX($A$2:A25)+1,"")</f>
        <v>25</v>
      </c>
      <c r="B26" s="3">
        <v>42626</v>
      </c>
      <c r="C26" s="3" t="str">
        <f t="shared" si="0"/>
        <v>Doubles</v>
      </c>
      <c r="D26" s="7"/>
      <c r="E26" s="1" t="s">
        <v>0</v>
      </c>
      <c r="F26" s="6" t="s">
        <v>13</v>
      </c>
      <c r="G26" s="7">
        <v>10</v>
      </c>
      <c r="H26" s="6" t="s">
        <v>17</v>
      </c>
      <c r="I26" s="6" t="s">
        <v>18</v>
      </c>
      <c r="J26" s="7">
        <v>1</v>
      </c>
      <c r="K26" s="1" t="str">
        <f>IFERROR(INDEX(E26:J26,0,MATCH(MAX(G26,J26),E26:J26,0)-2),"")</f>
        <v>Kevin</v>
      </c>
      <c r="L26" s="2" t="str">
        <f>IFERROR(INDEX(E26:J26,0,MATCH(MAX(G26,J26),E26:J26,0)-1),"")</f>
        <v>Hallie</v>
      </c>
      <c r="M26" s="1" t="str">
        <f t="shared" si="1"/>
        <v>W</v>
      </c>
      <c r="N26">
        <f t="shared" si="2"/>
        <v>1</v>
      </c>
      <c r="O26" s="63">
        <f t="shared" si="3"/>
        <v>0.6</v>
      </c>
      <c r="P26" s="63">
        <f>IFERROR(SUMIFS($G$2:G26,$H$2:H26,H26,$C$2:C26,C26)/(SUMIFS($J$2:J26,$H$2:H26,H26,$C$2:C26,C26)+SUMIFS($G$2:G26,$H$2:H26,H26,$C$2:C26,C26)),"")</f>
        <v>0.7407407407407407</v>
      </c>
    </row>
    <row r="27" spans="1:16" x14ac:dyDescent="0.25">
      <c r="A27" s="1">
        <f>IF(NOT(B27=""),MAX($A$2:A26)+1,"")</f>
        <v>26</v>
      </c>
      <c r="B27" s="3">
        <v>42626</v>
      </c>
      <c r="C27" s="3" t="str">
        <f t="shared" si="0"/>
        <v>Singles</v>
      </c>
      <c r="D27" s="7"/>
      <c r="E27" s="1" t="s">
        <v>0</v>
      </c>
      <c r="F27" s="6"/>
      <c r="G27" s="7">
        <v>10</v>
      </c>
      <c r="H27" s="6" t="s">
        <v>11</v>
      </c>
      <c r="I27" s="6"/>
      <c r="J27" s="7">
        <v>1</v>
      </c>
      <c r="K27" s="1" t="str">
        <f>IFERROR(INDEX(E27:J27,0,MATCH(MAX(G27,J27),E27:J27,0)-2),"")</f>
        <v>Kevin</v>
      </c>
      <c r="L27" s="2">
        <f>IFERROR(INDEX(E27:J27,0,MATCH(MAX(G27,J27),E27:J27,0)-1),"")</f>
        <v>0</v>
      </c>
      <c r="M27" s="1" t="str">
        <f t="shared" si="1"/>
        <v>W</v>
      </c>
      <c r="N27">
        <f t="shared" si="2"/>
        <v>2</v>
      </c>
      <c r="O27" s="63">
        <f t="shared" si="3"/>
        <v>0.6</v>
      </c>
      <c r="P27" s="63">
        <f>IFERROR(SUMIFS($G$2:G27,$H$2:H27,H27,$C$2:C27,C27)/(SUMIFS($J$2:J27,$H$2:H27,H27,$C$2:C27,C27)+SUMIFS($G$2:G27,$H$2:H27,H27,$C$2:C27,C27)),"")</f>
        <v>0.5957446808510638</v>
      </c>
    </row>
    <row r="28" spans="1:16" x14ac:dyDescent="0.25">
      <c r="A28" s="1">
        <f>IF(NOT(B28=""),MAX($A$2:A27)+1,"")</f>
        <v>27</v>
      </c>
      <c r="B28" s="3">
        <v>42632</v>
      </c>
      <c r="C28" s="3" t="str">
        <f t="shared" si="0"/>
        <v>Doubles</v>
      </c>
      <c r="D28" s="7"/>
      <c r="E28" s="1" t="s">
        <v>0</v>
      </c>
      <c r="F28" s="6" t="s">
        <v>17</v>
      </c>
      <c r="G28" s="7">
        <v>9</v>
      </c>
      <c r="H28" s="6" t="s">
        <v>16</v>
      </c>
      <c r="I28" s="6" t="s">
        <v>10</v>
      </c>
      <c r="J28" s="7">
        <v>11</v>
      </c>
      <c r="K28" s="1" t="str">
        <f>IFERROR(INDEX(E28:J28,0,MATCH(MAX(G28,J28),E28:J28,0)-2),"")</f>
        <v>Angela</v>
      </c>
      <c r="L28" s="2" t="str">
        <f>IFERROR(INDEX(E28:J28,0,MATCH(MAX(G28,J28),E28:J28,0)-1),"")</f>
        <v>Zong</v>
      </c>
      <c r="M28" s="1" t="str">
        <f t="shared" si="1"/>
        <v>L</v>
      </c>
      <c r="N28">
        <f t="shared" si="2"/>
        <v>1</v>
      </c>
      <c r="O28" s="63">
        <f t="shared" si="3"/>
        <v>0.6</v>
      </c>
      <c r="P28" s="63">
        <f>IFERROR(SUMIFS($G$2:G28,$H$2:H28,H28,$C$2:C28,C28)/(SUMIFS($J$2:J28,$H$2:H28,H28,$C$2:C28,C28)+SUMIFS($G$2:G28,$H$2:H28,H28,$C$2:C28,C28)),"")</f>
        <v>0.44736842105263158</v>
      </c>
    </row>
    <row r="29" spans="1:16" x14ac:dyDescent="0.25">
      <c r="A29" s="1">
        <f>IF(NOT(B29=""),MAX($A$2:A28)+1,"")</f>
        <v>28</v>
      </c>
      <c r="B29" s="3">
        <v>42632</v>
      </c>
      <c r="C29" s="3" t="str">
        <f t="shared" si="0"/>
        <v>Singles</v>
      </c>
      <c r="D29" s="7"/>
      <c r="E29" s="1" t="s">
        <v>0</v>
      </c>
      <c r="F29" s="6"/>
      <c r="G29" s="7">
        <v>10</v>
      </c>
      <c r="H29" s="6" t="s">
        <v>12</v>
      </c>
      <c r="I29" s="6"/>
      <c r="J29" s="7">
        <v>8</v>
      </c>
      <c r="K29" s="1" t="str">
        <f>IFERROR(INDEX(E29:J29,0,MATCH(MAX(G29,J29),E29:J29,0)-2),"")</f>
        <v>Kevin</v>
      </c>
      <c r="L29" s="2">
        <f>IFERROR(INDEX(E29:J29,0,MATCH(MAX(G29,J29),E29:J29,0)-1),"")</f>
        <v>0</v>
      </c>
      <c r="M29" s="1" t="str">
        <f t="shared" si="1"/>
        <v>W</v>
      </c>
      <c r="N29">
        <f t="shared" si="2"/>
        <v>2</v>
      </c>
      <c r="O29" s="63">
        <f t="shared" si="3"/>
        <v>0.6</v>
      </c>
      <c r="P29" s="63">
        <f>IFERROR(SUMIFS($G$2:G29,$H$2:H29,H29,$C$2:C29,C29)/(SUMIFS($J$2:J29,$H$2:H29,H29,$C$2:C29,C29)+SUMIFS($G$2:G29,$H$2:H29,H29,$C$2:C29,C29)),"")</f>
        <v>0.45882352941176469</v>
      </c>
    </row>
    <row r="30" spans="1:16" x14ac:dyDescent="0.25">
      <c r="A30" s="1">
        <f>IF(NOT(B30=""),MAX($A$2:A29)+1,"")</f>
        <v>29</v>
      </c>
      <c r="B30" s="3">
        <v>42632</v>
      </c>
      <c r="C30" s="3" t="str">
        <f t="shared" si="0"/>
        <v>Singles</v>
      </c>
      <c r="D30" s="7"/>
      <c r="E30" s="1" t="s">
        <v>0</v>
      </c>
      <c r="F30" s="6"/>
      <c r="G30" s="7">
        <v>3</v>
      </c>
      <c r="H30" s="6" t="s">
        <v>22</v>
      </c>
      <c r="I30" s="6"/>
      <c r="J30" s="7">
        <v>10</v>
      </c>
      <c r="K30" s="1" t="str">
        <f>IFERROR(INDEX(E30:J30,0,MATCH(MAX(G30,J30),E30:J30,0)-2),"")</f>
        <v>Sam</v>
      </c>
      <c r="L30" s="2">
        <f>IFERROR(INDEX(E30:J30,0,MATCH(MAX(G30,J30),E30:J30,0)-1),"")</f>
        <v>0</v>
      </c>
      <c r="M30" s="1" t="str">
        <f t="shared" si="1"/>
        <v>L</v>
      </c>
      <c r="N30">
        <f t="shared" si="2"/>
        <v>1</v>
      </c>
      <c r="O30" s="63">
        <f t="shared" si="3"/>
        <v>0.2</v>
      </c>
      <c r="P30" s="63">
        <f>IFERROR(SUMIFS($G$2:G30,$H$2:H30,H30,$C$2:C30,C30)/(SUMIFS($J$2:J30,$H$2:H30,H30,$C$2:C30,C30)+SUMIFS($G$2:G30,$H$2:H30,H30,$C$2:C30,C30)),"")</f>
        <v>0.23076923076923078</v>
      </c>
    </row>
    <row r="31" spans="1:16" x14ac:dyDescent="0.25">
      <c r="A31" s="1">
        <f>IF(NOT(B31=""),MAX($A$2:A30)+1,"")</f>
        <v>30</v>
      </c>
      <c r="B31" s="3">
        <v>42633</v>
      </c>
      <c r="C31" s="3" t="str">
        <f t="shared" si="0"/>
        <v>Doubles</v>
      </c>
      <c r="D31" s="7"/>
      <c r="E31" s="1" t="s">
        <v>0</v>
      </c>
      <c r="F31" s="6" t="s">
        <v>17</v>
      </c>
      <c r="G31" s="7">
        <v>10</v>
      </c>
      <c r="H31" s="6" t="s">
        <v>18</v>
      </c>
      <c r="I31" s="6" t="s">
        <v>10</v>
      </c>
      <c r="J31" s="7">
        <v>12</v>
      </c>
      <c r="K31" s="1" t="str">
        <f>IFERROR(INDEX(E31:J31,0,MATCH(MAX(G31,J31),E31:J31,0)-2),"")</f>
        <v>Evan</v>
      </c>
      <c r="L31" s="2" t="str">
        <f>IFERROR(INDEX(E31:J31,0,MATCH(MAX(G31,J31),E31:J31,0)-1),"")</f>
        <v>Zong</v>
      </c>
      <c r="M31" s="1" t="str">
        <f t="shared" si="1"/>
        <v>L</v>
      </c>
      <c r="N31">
        <f t="shared" si="2"/>
        <v>0</v>
      </c>
      <c r="O31" s="63">
        <f t="shared" si="3"/>
        <v>-0.2</v>
      </c>
      <c r="P31" s="63">
        <f>IFERROR(SUMIFS($G$2:G31,$H$2:H31,H31,$C$2:C31,C31)/(SUMIFS($J$2:J31,$H$2:H31,H31,$C$2:C31,C31)+SUMIFS($G$2:G31,$H$2:H31,H31,$C$2:C31,C31)),"")</f>
        <v>0.5714285714285714</v>
      </c>
    </row>
    <row r="32" spans="1:16" x14ac:dyDescent="0.25">
      <c r="A32" s="1">
        <f>IF(NOT(B32=""),MAX($A$2:A31)+1,"")</f>
        <v>31</v>
      </c>
      <c r="B32" s="3">
        <v>42634</v>
      </c>
      <c r="C32" s="3" t="str">
        <f t="shared" si="0"/>
        <v>Doubles</v>
      </c>
      <c r="D32" s="7"/>
      <c r="E32" s="1" t="s">
        <v>0</v>
      </c>
      <c r="F32" s="6" t="s">
        <v>12</v>
      </c>
      <c r="G32" s="7">
        <v>10</v>
      </c>
      <c r="H32" s="6" t="s">
        <v>15</v>
      </c>
      <c r="I32" s="6" t="s">
        <v>18</v>
      </c>
      <c r="J32" s="7">
        <v>4</v>
      </c>
      <c r="K32" s="1" t="str">
        <f>IFERROR(INDEX(E32:J32,0,MATCH(MAX(G32,J32),E32:J32,0)-2),"")</f>
        <v>Kevin</v>
      </c>
      <c r="L32" s="2" t="str">
        <f>IFERROR(INDEX(E32:J32,0,MATCH(MAX(G32,J32),E32:J32,0)-1),"")</f>
        <v>Jamie</v>
      </c>
      <c r="M32" s="1" t="str">
        <f t="shared" si="1"/>
        <v>W</v>
      </c>
      <c r="N32">
        <f t="shared" si="2"/>
        <v>1</v>
      </c>
      <c r="O32" s="63">
        <f t="shared" si="3"/>
        <v>-0.2</v>
      </c>
      <c r="P32" s="63">
        <f>IFERROR(SUMIFS($G$2:G32,$H$2:H32,H32,$C$2:C32,C32)/(SUMIFS($J$2:J32,$H$2:H32,H32,$C$2:C32,C32)+SUMIFS($G$2:G32,$H$2:H32,H32,$C$2:C32,C32)),"")</f>
        <v>0.64516129032258063</v>
      </c>
    </row>
    <row r="33" spans="1:16" x14ac:dyDescent="0.25">
      <c r="A33" s="1">
        <f>IF(NOT(B33=""),MAX($A$2:A32)+1,"")</f>
        <v>32</v>
      </c>
      <c r="B33" s="3">
        <v>42634</v>
      </c>
      <c r="C33" s="3" t="str">
        <f t="shared" si="0"/>
        <v>Singles</v>
      </c>
      <c r="D33" s="7"/>
      <c r="E33" s="1" t="s">
        <v>0</v>
      </c>
      <c r="F33" s="6"/>
      <c r="G33" s="7">
        <v>10</v>
      </c>
      <c r="H33" s="6" t="s">
        <v>13</v>
      </c>
      <c r="I33" s="6"/>
      <c r="J33" s="7">
        <v>8</v>
      </c>
      <c r="K33" s="1" t="str">
        <f>IFERROR(INDEX(E33:J33,0,MATCH(MAX(G33,J33),E33:J33,0)-2),"")</f>
        <v>Kevin</v>
      </c>
      <c r="L33" s="2">
        <f>IFERROR(INDEX(E33:J33,0,MATCH(MAX(G33,J33),E33:J33,0)-1),"")</f>
        <v>0</v>
      </c>
      <c r="M33" s="1" t="str">
        <f t="shared" si="1"/>
        <v>W</v>
      </c>
      <c r="N33">
        <f t="shared" si="2"/>
        <v>2</v>
      </c>
      <c r="O33" s="63">
        <f t="shared" si="3"/>
        <v>0.2</v>
      </c>
      <c r="P33" s="63">
        <f>IFERROR(SUMIFS($G$2:G33,$H$2:H33,H33,$C$2:C33,C33)/(SUMIFS($J$2:J33,$H$2:H33,H33,$C$2:C33,C33)+SUMIFS($G$2:G33,$H$2:H33,H33,$C$2:C33,C33)),"")</f>
        <v>0.5714285714285714</v>
      </c>
    </row>
    <row r="34" spans="1:16" x14ac:dyDescent="0.25">
      <c r="A34" s="1">
        <f>IF(NOT(B34=""),MAX($A$2:A33)+1,"")</f>
        <v>33</v>
      </c>
      <c r="B34" s="3">
        <v>42634</v>
      </c>
      <c r="C34" s="3" t="str">
        <f t="shared" si="0"/>
        <v>Singles</v>
      </c>
      <c r="D34" s="7"/>
      <c r="E34" s="1" t="s">
        <v>0</v>
      </c>
      <c r="F34" s="6"/>
      <c r="G34" s="7">
        <v>5</v>
      </c>
      <c r="H34" s="6" t="s">
        <v>13</v>
      </c>
      <c r="I34" s="6"/>
      <c r="J34" s="7">
        <v>0</v>
      </c>
      <c r="K34" s="1" t="str">
        <f>IFERROR(INDEX(E34:J34,0,MATCH(MAX(G34,J34),E34:J34,0)-2),"")</f>
        <v>Kevin</v>
      </c>
      <c r="L34" s="2">
        <f>IFERROR(INDEX(E34:J34,0,MATCH(MAX(G34,J34),E34:J34,0)-1),"")</f>
        <v>0</v>
      </c>
      <c r="M34" s="1" t="str">
        <f t="shared" si="1"/>
        <v>W</v>
      </c>
      <c r="N34">
        <f t="shared" si="2"/>
        <v>3</v>
      </c>
      <c r="O34" s="63">
        <f t="shared" si="3"/>
        <v>0.2</v>
      </c>
      <c r="P34" s="63">
        <f>IFERROR(SUMIFS($G$2:G34,$H$2:H34,H34,$C$2:C34,C34)/(SUMIFS($J$2:J34,$H$2:H34,H34,$C$2:C34,C34)+SUMIFS($G$2:G34,$H$2:H34,H34,$C$2:C34,C34)),"")</f>
        <v>0.625</v>
      </c>
    </row>
    <row r="35" spans="1:16" x14ac:dyDescent="0.25">
      <c r="A35" s="1">
        <f>IF(NOT(B35=""),MAX($A$2:A34)+1,"")</f>
        <v>34</v>
      </c>
      <c r="B35" s="3">
        <v>42635</v>
      </c>
      <c r="C35" s="3" t="str">
        <f t="shared" si="0"/>
        <v>Singles</v>
      </c>
      <c r="D35" s="7"/>
      <c r="E35" s="1" t="s">
        <v>0</v>
      </c>
      <c r="F35" s="6"/>
      <c r="G35" s="7">
        <v>10</v>
      </c>
      <c r="H35" s="6" t="s">
        <v>10</v>
      </c>
      <c r="I35" s="6"/>
      <c r="J35" s="7">
        <v>6</v>
      </c>
      <c r="K35" s="1" t="str">
        <f>IFERROR(INDEX(E35:J35,0,MATCH(MAX(G35,J35),E35:J35,0)-2),"")</f>
        <v>Kevin</v>
      </c>
      <c r="L35" s="2">
        <f>IFERROR(INDEX(E35:J35,0,MATCH(MAX(G35,J35),E35:J35,0)-1),"")</f>
        <v>0</v>
      </c>
      <c r="M35" s="1" t="str">
        <f t="shared" si="1"/>
        <v>W</v>
      </c>
      <c r="N35">
        <f t="shared" si="2"/>
        <v>4</v>
      </c>
      <c r="O35" s="63">
        <f t="shared" si="3"/>
        <v>0.6</v>
      </c>
      <c r="P35" s="63">
        <f>IFERROR(SUMIFS($G$2:G35,$H$2:H35,H35,$C$2:C35,C35)/(SUMIFS($J$2:J35,$H$2:H35,H35,$C$2:C35,C35)+SUMIFS($G$2:G35,$H$2:H35,H35,$C$2:C35,C35)),"")</f>
        <v>0.60606060606060608</v>
      </c>
    </row>
    <row r="36" spans="1:16" x14ac:dyDescent="0.25">
      <c r="A36" s="1">
        <f>IF(NOT(B36=""),MAX($A$2:A35)+1,"")</f>
        <v>35</v>
      </c>
      <c r="B36" s="3">
        <v>42635</v>
      </c>
      <c r="C36" s="3" t="str">
        <f t="shared" si="0"/>
        <v>Doubles</v>
      </c>
      <c r="D36" s="7"/>
      <c r="E36" s="1" t="s">
        <v>0</v>
      </c>
      <c r="F36" s="6" t="s">
        <v>13</v>
      </c>
      <c r="G36" s="7">
        <v>10</v>
      </c>
      <c r="H36" s="6" t="s">
        <v>17</v>
      </c>
      <c r="I36" s="6" t="s">
        <v>11</v>
      </c>
      <c r="J36" s="7">
        <v>7</v>
      </c>
      <c r="K36" s="1" t="str">
        <f>IFERROR(INDEX(E36:J36,0,MATCH(MAX(G36,J36),E36:J36,0)-2),"")</f>
        <v>Kevin</v>
      </c>
      <c r="L36" s="2" t="str">
        <f>IFERROR(INDEX(E36:J36,0,MATCH(MAX(G36,J36),E36:J36,0)-1),"")</f>
        <v>Hallie</v>
      </c>
      <c r="M36" s="1" t="str">
        <f t="shared" si="1"/>
        <v>W</v>
      </c>
      <c r="N36">
        <f t="shared" si="2"/>
        <v>5</v>
      </c>
      <c r="O36" s="63">
        <f t="shared" si="3"/>
        <v>1</v>
      </c>
      <c r="P36" s="63">
        <f>IFERROR(SUMIFS($G$2:G36,$H$2:H36,H36,$C$2:C36,C36)/(SUMIFS($J$2:J36,$H$2:H36,H36,$C$2:C36,C36)+SUMIFS($G$2:G36,$H$2:H36,H36,$C$2:C36,C36)),"")</f>
        <v>0.68181818181818177</v>
      </c>
    </row>
    <row r="37" spans="1:16" x14ac:dyDescent="0.25">
      <c r="A37" s="1">
        <f>IF(NOT(B37=""),MAX($A$2:A36)+1,"")</f>
        <v>36</v>
      </c>
      <c r="B37" s="3">
        <v>42635</v>
      </c>
      <c r="C37" s="3" t="str">
        <f t="shared" si="0"/>
        <v>Singles</v>
      </c>
      <c r="D37" s="7"/>
      <c r="E37" s="1" t="s">
        <v>0</v>
      </c>
      <c r="F37" s="6"/>
      <c r="G37" s="7">
        <v>10</v>
      </c>
      <c r="H37" s="6" t="s">
        <v>18</v>
      </c>
      <c r="I37" s="6"/>
      <c r="J37" s="7">
        <v>6</v>
      </c>
      <c r="K37" s="1" t="str">
        <f>IFERROR(INDEX(E37:J37,0,MATCH(MAX(G37,J37),E37:J37,0)-2),"")</f>
        <v>Kevin</v>
      </c>
      <c r="L37" s="2">
        <f>IFERROR(INDEX(E37:J37,0,MATCH(MAX(G37,J37),E37:J37,0)-1),"")</f>
        <v>0</v>
      </c>
      <c r="M37" s="1" t="str">
        <f t="shared" si="1"/>
        <v>W</v>
      </c>
      <c r="N37">
        <f t="shared" si="2"/>
        <v>6</v>
      </c>
      <c r="O37" s="63">
        <f t="shared" si="3"/>
        <v>1</v>
      </c>
      <c r="P37" s="63">
        <f>IFERROR(SUMIFS($G$2:G37,$H$2:H37,H37,$C$2:C37,C37)/(SUMIFS($J$2:J37,$H$2:H37,H37,$C$2:C37,C37)+SUMIFS($G$2:G37,$H$2:H37,H37,$C$2:C37,C37)),"")</f>
        <v>0.625</v>
      </c>
    </row>
    <row r="38" spans="1:16" x14ac:dyDescent="0.25">
      <c r="A38" s="1">
        <f>IF(NOT(B38=""),MAX($A$2:A37)+1,"")</f>
        <v>37</v>
      </c>
      <c r="B38" s="3">
        <v>42636</v>
      </c>
      <c r="C38" s="3" t="str">
        <f t="shared" si="0"/>
        <v>Doubles</v>
      </c>
      <c r="D38" s="7"/>
      <c r="E38" s="1" t="s">
        <v>0</v>
      </c>
      <c r="F38" s="6" t="s">
        <v>17</v>
      </c>
      <c r="G38" s="7">
        <v>5</v>
      </c>
      <c r="H38" s="6" t="s">
        <v>13</v>
      </c>
      <c r="I38" s="6" t="s">
        <v>10</v>
      </c>
      <c r="J38" s="7">
        <v>10</v>
      </c>
      <c r="K38" s="1" t="str">
        <f>IFERROR(INDEX(E38:J38,0,MATCH(MAX(G38,J38),E38:J38,0)-2),"")</f>
        <v>Hallie</v>
      </c>
      <c r="L38" s="2" t="str">
        <f>IFERROR(INDEX(E38:J38,0,MATCH(MAX(G38,J38),E38:J38,0)-1),"")</f>
        <v>Zong</v>
      </c>
      <c r="M38" s="1" t="str">
        <f>IF(K38="Kevin","W",IF(K38="","","L"))</f>
        <v>L</v>
      </c>
      <c r="N38">
        <f t="shared" si="2"/>
        <v>5</v>
      </c>
      <c r="O38" s="63">
        <f t="shared" si="3"/>
        <v>0.6</v>
      </c>
      <c r="P38" s="63">
        <f>IFERROR(SUMIFS($G$2:G38,$H$2:H38,H38,$C$2:C38,C38)/(SUMIFS($J$2:J38,$H$2:H38,H38,$C$2:C38,C38)+SUMIFS($G$2:G38,$H$2:H38,H38,$C$2:C38,C38)),"")</f>
        <v>0.42424242424242425</v>
      </c>
    </row>
    <row r="39" spans="1:16" x14ac:dyDescent="0.25">
      <c r="A39" s="1">
        <f>IF(NOT(B39=""),MAX($A$2:A38)+1,"")</f>
        <v>38</v>
      </c>
      <c r="B39" s="3">
        <v>42639</v>
      </c>
      <c r="C39" s="3" t="str">
        <f t="shared" si="0"/>
        <v>Doubles</v>
      </c>
      <c r="D39" s="7"/>
      <c r="E39" s="1" t="s">
        <v>0</v>
      </c>
      <c r="F39" s="6" t="s">
        <v>11</v>
      </c>
      <c r="G39" s="7">
        <v>10</v>
      </c>
      <c r="H39" s="6" t="s">
        <v>16</v>
      </c>
      <c r="I39" s="6" t="s">
        <v>18</v>
      </c>
      <c r="J39" s="7">
        <v>8</v>
      </c>
      <c r="K39" s="1" t="str">
        <f>IFERROR(INDEX(E39:J39,0,MATCH(MAX(G39,J39),E39:J39,0)-2),"")</f>
        <v>Kevin</v>
      </c>
      <c r="L39" s="2" t="str">
        <f>IFERROR(INDEX(E39:J39,0,MATCH(MAX(G39,J39),E39:J39,0)-1),"")</f>
        <v>Henna</v>
      </c>
      <c r="M39" s="1" t="str">
        <f t="shared" si="1"/>
        <v>W</v>
      </c>
      <c r="N39">
        <f t="shared" si="2"/>
        <v>6</v>
      </c>
      <c r="O39" s="63">
        <f t="shared" si="3"/>
        <v>0.6</v>
      </c>
      <c r="P39" s="63">
        <f>IFERROR(SUMIFS($G$2:G39,$H$2:H39,H39,$C$2:C39,C39)/(SUMIFS($J$2:J39,$H$2:H39,H39,$C$2:C39,C39)+SUMIFS($G$2:G39,$H$2:H39,H39,$C$2:C39,C39)),"")</f>
        <v>0.48214285714285715</v>
      </c>
    </row>
    <row r="40" spans="1:16" x14ac:dyDescent="0.25">
      <c r="A40" s="1">
        <f>IF(NOT(B40=""),MAX($A$2:A39)+1,"")</f>
        <v>39</v>
      </c>
      <c r="B40" s="3">
        <v>42639</v>
      </c>
      <c r="C40" s="3" t="str">
        <f t="shared" si="0"/>
        <v>Doubles</v>
      </c>
      <c r="D40" s="7"/>
      <c r="E40" s="1" t="s">
        <v>0</v>
      </c>
      <c r="F40" s="6" t="s">
        <v>12</v>
      </c>
      <c r="G40" s="7">
        <v>10</v>
      </c>
      <c r="H40" s="6" t="s">
        <v>15</v>
      </c>
      <c r="I40" s="6" t="s">
        <v>18</v>
      </c>
      <c r="J40" s="7">
        <v>4</v>
      </c>
      <c r="K40" s="1" t="str">
        <f>IFERROR(INDEX(E40:J40,0,MATCH(MAX(G40,J40),E40:J40,0)-2),"")</f>
        <v>Kevin</v>
      </c>
      <c r="L40" s="2" t="str">
        <f>IFERROR(INDEX(E40:J40,0,MATCH(MAX(G40,J40),E40:J40,0)-1),"")</f>
        <v>Jamie</v>
      </c>
      <c r="M40" s="1" t="str">
        <f t="shared" si="1"/>
        <v>W</v>
      </c>
      <c r="N40">
        <f t="shared" si="2"/>
        <v>7</v>
      </c>
      <c r="O40" s="63">
        <f t="shared" si="3"/>
        <v>0.6</v>
      </c>
      <c r="P40" s="63">
        <f>IFERROR(SUMIFS($G$2:G40,$H$2:H40,H40,$C$2:C40,C40)/(SUMIFS($J$2:J40,$H$2:H40,H40,$C$2:C40,C40)+SUMIFS($G$2:G40,$H$2:H40,H40,$C$2:C40,C40)),"")</f>
        <v>0.66666666666666663</v>
      </c>
    </row>
    <row r="41" spans="1:16" x14ac:dyDescent="0.25">
      <c r="A41" s="1">
        <f>IF(NOT(B41=""),MAX($A$2:A40)+1,"")</f>
        <v>40</v>
      </c>
      <c r="B41" s="3">
        <v>42640</v>
      </c>
      <c r="C41" s="3" t="str">
        <f t="shared" si="0"/>
        <v>Singles</v>
      </c>
      <c r="D41" s="7"/>
      <c r="E41" s="1" t="s">
        <v>0</v>
      </c>
      <c r="F41" s="6"/>
      <c r="G41" s="7">
        <v>11</v>
      </c>
      <c r="H41" s="6" t="s">
        <v>12</v>
      </c>
      <c r="I41" s="6"/>
      <c r="J41" s="7">
        <v>13</v>
      </c>
      <c r="K41" s="1" t="str">
        <f>IFERROR(INDEX(E41:J41,0,MATCH(MAX(G41,J41),E41:J41,0)-2),"")</f>
        <v>Jamie</v>
      </c>
      <c r="L41" s="2">
        <f>IFERROR(INDEX(E41:J41,0,MATCH(MAX(G41,J41),E41:J41,0)-1),"")</f>
        <v>0</v>
      </c>
      <c r="M41" s="1" t="str">
        <f t="shared" ref="M41:M105" si="4">IF(K41="Kevin","W",IF(K41="","","L"))</f>
        <v>L</v>
      </c>
      <c r="N41">
        <f t="shared" si="2"/>
        <v>6</v>
      </c>
      <c r="O41" s="63">
        <f t="shared" si="3"/>
        <v>0.2</v>
      </c>
      <c r="P41" s="63">
        <f>IFERROR(SUMIFS($G$2:G41,$H$2:H41,H41,$C$2:C41,C41)/(SUMIFS($J$2:J41,$H$2:H41,H41,$C$2:C41,C41)+SUMIFS($G$2:G41,$H$2:H41,H41,$C$2:C41,C41)),"")</f>
        <v>0.45871559633027525</v>
      </c>
    </row>
    <row r="42" spans="1:16" x14ac:dyDescent="0.25">
      <c r="A42" s="1">
        <f>IF(NOT(B42=""),MAX($A$2:A41)+1,"")</f>
        <v>41</v>
      </c>
      <c r="B42" s="3">
        <v>42640</v>
      </c>
      <c r="C42" s="3" t="str">
        <f>IF(AND(ISBLANK(I42),NOT(ISBLANK(H42))),"Singles",IF(ISBLANK(H42),"","Doubles"))</f>
        <v>Doubles</v>
      </c>
      <c r="D42" s="7"/>
      <c r="E42" s="1" t="str">
        <f>IF(ISBLANK(H42),"","Kevin")</f>
        <v>Kevin</v>
      </c>
      <c r="F42" s="6" t="s">
        <v>17</v>
      </c>
      <c r="G42" s="7">
        <v>10</v>
      </c>
      <c r="H42" s="6" t="s">
        <v>18</v>
      </c>
      <c r="I42" s="6" t="s">
        <v>10</v>
      </c>
      <c r="J42" s="7">
        <v>7</v>
      </c>
      <c r="K42" s="1" t="str">
        <f>IFERROR(INDEX(E42:J42,0,MATCH(MAX(G42,J42),E42:J42,0)-2),"")</f>
        <v>Kevin</v>
      </c>
      <c r="L42" s="2" t="str">
        <f>IFERROR(INDEX(E42:J42,0,MATCH(MAX(G42,J42),E42:J42,0)-1),"")</f>
        <v>Andrea</v>
      </c>
      <c r="M42" s="1" t="str">
        <f t="shared" si="4"/>
        <v>W</v>
      </c>
      <c r="N42">
        <f t="shared" si="2"/>
        <v>7</v>
      </c>
      <c r="O42" s="63">
        <f t="shared" si="3"/>
        <v>0.2</v>
      </c>
      <c r="P42" s="63">
        <f>IFERROR(SUMIFS($G$2:G42,$H$2:H42,H42,$C$2:C42,C42)/(SUMIFS($J$2:J42,$H$2:H42,H42,$C$2:C42,C42)+SUMIFS($G$2:G42,$H$2:H42,H42,$C$2:C42,C42)),"")</f>
        <v>0.57692307692307687</v>
      </c>
    </row>
    <row r="43" spans="1:16" x14ac:dyDescent="0.25">
      <c r="A43" s="1">
        <f>IF(NOT(B43=""),MAX($A$2:A42)+1,"")</f>
        <v>42</v>
      </c>
      <c r="B43" s="3">
        <v>42640</v>
      </c>
      <c r="C43" s="3" t="str">
        <f t="shared" ref="C43:C107" si="5">IF(AND(ISBLANK(I43),NOT(ISBLANK(H43))),"Singles",IF(ISBLANK(H43),"","Doubles"))</f>
        <v>Singles</v>
      </c>
      <c r="D43" s="7"/>
      <c r="E43" s="1" t="str">
        <f>IF(ISBLANK(H43),"","Kevin")</f>
        <v>Kevin</v>
      </c>
      <c r="F43" s="6"/>
      <c r="G43" s="7">
        <v>6</v>
      </c>
      <c r="H43" s="6" t="s">
        <v>11</v>
      </c>
      <c r="I43" s="6"/>
      <c r="J43" s="7">
        <v>10</v>
      </c>
      <c r="K43" s="1" t="str">
        <f>IFERROR(INDEX(E43:J43,0,MATCH(MAX(G43,J43),E43:J43,0)-2),"")</f>
        <v>Henna</v>
      </c>
      <c r="L43" s="2">
        <f>IFERROR(INDEX(E43:J43,0,MATCH(MAX(G43,J43),E43:J43,0)-1),"")</f>
        <v>0</v>
      </c>
      <c r="M43" s="1" t="str">
        <f t="shared" si="4"/>
        <v>L</v>
      </c>
      <c r="N43">
        <f t="shared" si="2"/>
        <v>6</v>
      </c>
      <c r="O43" s="63">
        <f t="shared" si="3"/>
        <v>0.2</v>
      </c>
      <c r="P43" s="63">
        <f>IFERROR(SUMIFS($G$2:G43,$H$2:H43,H43,$C$2:C43,C43)/(SUMIFS($J$2:J43,$H$2:H43,H43,$C$2:C43,C43)+SUMIFS($G$2:G43,$H$2:H43,H43,$C$2:C43,C43)),"")</f>
        <v>0.53968253968253965</v>
      </c>
    </row>
    <row r="44" spans="1:16" x14ac:dyDescent="0.25">
      <c r="A44" s="1">
        <f>IF(NOT(B44=""),MAX($A$2:A43)+1,"")</f>
        <v>43</v>
      </c>
      <c r="B44" s="3">
        <v>42642</v>
      </c>
      <c r="C44" s="3" t="str">
        <f t="shared" si="5"/>
        <v>Doubles</v>
      </c>
      <c r="D44" s="7"/>
      <c r="E44" s="1" t="str">
        <f t="shared" ref="E44:E108" si="6">IF(ISBLANK(H44),"","Kevin")</f>
        <v>Kevin</v>
      </c>
      <c r="F44" s="6" t="s">
        <v>18</v>
      </c>
      <c r="G44" s="7">
        <v>10</v>
      </c>
      <c r="H44" s="6" t="s">
        <v>10</v>
      </c>
      <c r="I44" s="6" t="s">
        <v>17</v>
      </c>
      <c r="J44" s="7">
        <v>7</v>
      </c>
      <c r="K44" s="1" t="str">
        <f>IFERROR(INDEX(E44:J44,0,MATCH(MAX(G44,J44),E44:J44,0)-2),"")</f>
        <v>Kevin</v>
      </c>
      <c r="L44" s="2" t="str">
        <f>IFERROR(INDEX(E44:J44,0,MATCH(MAX(G44,J44),E44:J44,0)-1),"")</f>
        <v>Evan</v>
      </c>
      <c r="M44" s="1" t="str">
        <f t="shared" si="4"/>
        <v>W</v>
      </c>
      <c r="N44">
        <f t="shared" si="2"/>
        <v>7</v>
      </c>
      <c r="O44" s="63">
        <f t="shared" si="3"/>
        <v>0.2</v>
      </c>
      <c r="P44" s="63">
        <f>IFERROR(SUMIFS($G$2:G44,$H$2:H44,H44,$C$2:C44,C44)/(SUMIFS($J$2:J44,$H$2:H44,H44,$C$2:C44,C44)+SUMIFS($G$2:G44,$H$2:H44,H44,$C$2:C44,C44)),"")</f>
        <v>0.5714285714285714</v>
      </c>
    </row>
    <row r="45" spans="1:16" x14ac:dyDescent="0.25">
      <c r="A45" s="1">
        <f>IF(NOT(B45=""),MAX($A$2:A44)+1,"")</f>
        <v>44</v>
      </c>
      <c r="B45" s="3">
        <v>42642</v>
      </c>
      <c r="C45" s="3" t="str">
        <f t="shared" si="5"/>
        <v>Singles</v>
      </c>
      <c r="D45" s="7"/>
      <c r="E45" s="1" t="str">
        <f t="shared" si="6"/>
        <v>Kevin</v>
      </c>
      <c r="F45" s="6"/>
      <c r="G45" s="7">
        <v>10</v>
      </c>
      <c r="H45" s="6" t="s">
        <v>14</v>
      </c>
      <c r="I45" s="6"/>
      <c r="J45" s="7">
        <v>12</v>
      </c>
      <c r="K45" s="1" t="str">
        <f>IFERROR(INDEX(E45:J45,0,MATCH(MAX(G45,J45),E45:J45,0)-2),"")</f>
        <v>Will</v>
      </c>
      <c r="L45" s="2">
        <f>IFERROR(INDEX(E45:J45,0,MATCH(MAX(G45,J45),E45:J45,0)-1),"")</f>
        <v>0</v>
      </c>
      <c r="M45" s="1" t="str">
        <f t="shared" si="4"/>
        <v>L</v>
      </c>
      <c r="N45">
        <f t="shared" si="2"/>
        <v>6</v>
      </c>
      <c r="O45" s="63">
        <f t="shared" si="3"/>
        <v>-0.2</v>
      </c>
      <c r="P45" s="63">
        <f>IFERROR(SUMIFS($G$2:G45,$H$2:H45,H45,$C$2:C45,C45)/(SUMIFS($J$2:J45,$H$2:H45,H45,$C$2:C45,C45)+SUMIFS($G$2:G45,$H$2:H45,H45,$C$2:C45,C45)),"")</f>
        <v>0.38</v>
      </c>
    </row>
    <row r="46" spans="1:16" x14ac:dyDescent="0.25">
      <c r="A46" s="1">
        <f>IF(NOT(B46=""),MAX($A$2:A45)+1,"")</f>
        <v>45</v>
      </c>
      <c r="B46" s="3">
        <v>42643</v>
      </c>
      <c r="C46" s="3" t="str">
        <f t="shared" si="5"/>
        <v>Singles</v>
      </c>
      <c r="D46" s="7"/>
      <c r="E46" s="1" t="str">
        <f t="shared" si="6"/>
        <v>Kevin</v>
      </c>
      <c r="F46" s="6"/>
      <c r="G46" s="7">
        <v>10</v>
      </c>
      <c r="H46" s="6" t="s">
        <v>17</v>
      </c>
      <c r="I46" s="6"/>
      <c r="J46" s="7">
        <v>2</v>
      </c>
      <c r="K46" s="1" t="str">
        <f>IFERROR(INDEX(E46:J46,0,MATCH(MAX(G46,J46),E46:J46,0)-2),"")</f>
        <v>Kevin</v>
      </c>
      <c r="L46" s="2">
        <f>IFERROR(INDEX(E46:J46,0,MATCH(MAX(G46,J46),E46:J46,0)-1),"")</f>
        <v>0</v>
      </c>
      <c r="M46" s="1" t="str">
        <f t="shared" si="4"/>
        <v>W</v>
      </c>
      <c r="N46">
        <f t="shared" si="2"/>
        <v>7</v>
      </c>
      <c r="O46" s="63">
        <f t="shared" si="3"/>
        <v>0.2</v>
      </c>
      <c r="P46" s="63">
        <f>IFERROR(SUMIFS($G$2:G46,$H$2:H46,H46,$C$2:C46,C46)/(SUMIFS($J$2:J46,$H$2:H46,H46,$C$2:C46,C46)+SUMIFS($G$2:G46,$H$2:H46,H46,$C$2:C46,C46)),"")</f>
        <v>0.83333333333333337</v>
      </c>
    </row>
    <row r="47" spans="1:16" x14ac:dyDescent="0.25">
      <c r="A47" s="1">
        <f>IF(NOT(B47=""),MAX($A$2:A46)+1,"")</f>
        <v>46</v>
      </c>
      <c r="B47" s="3">
        <v>42643</v>
      </c>
      <c r="C47" s="3" t="str">
        <f t="shared" si="5"/>
        <v>Singles</v>
      </c>
      <c r="D47" s="7"/>
      <c r="E47" s="1" t="str">
        <f t="shared" si="6"/>
        <v>Kevin</v>
      </c>
      <c r="F47" s="6"/>
      <c r="G47" s="7">
        <v>6</v>
      </c>
      <c r="H47" s="6" t="s">
        <v>12</v>
      </c>
      <c r="I47" s="6"/>
      <c r="J47" s="7">
        <v>10</v>
      </c>
      <c r="K47" s="1" t="str">
        <f>IFERROR(INDEX(E47:J47,0,MATCH(MAX(G47,J47),E47:J47,0)-2),"")</f>
        <v>Jamie</v>
      </c>
      <c r="L47" s="2">
        <f>IFERROR(INDEX(E47:J47,0,MATCH(MAX(G47,J47),E47:J47,0)-1),"")</f>
        <v>0</v>
      </c>
      <c r="M47" s="1" t="str">
        <f t="shared" si="4"/>
        <v>L</v>
      </c>
      <c r="N47">
        <f t="shared" si="2"/>
        <v>6</v>
      </c>
      <c r="O47" s="63">
        <f t="shared" si="3"/>
        <v>-0.2</v>
      </c>
      <c r="P47" s="63">
        <f>IFERROR(SUMIFS($G$2:G47,$H$2:H47,H47,$C$2:C47,C47)/(SUMIFS($J$2:J47,$H$2:H47,H47,$C$2:C47,C47)+SUMIFS($G$2:G47,$H$2:H47,H47,$C$2:C47,C47)),"")</f>
        <v>0.44800000000000001</v>
      </c>
    </row>
    <row r="48" spans="1:16" x14ac:dyDescent="0.25">
      <c r="A48" s="1">
        <f>IF(NOT(B48=""),MAX($A$2:A47)+1,"")</f>
        <v>47</v>
      </c>
      <c r="B48" s="3">
        <v>42643</v>
      </c>
      <c r="C48" s="3" t="str">
        <f t="shared" si="5"/>
        <v>Singles</v>
      </c>
      <c r="D48" s="7"/>
      <c r="E48" s="1" t="str">
        <f t="shared" si="6"/>
        <v>Kevin</v>
      </c>
      <c r="F48" s="6"/>
      <c r="G48" s="7">
        <v>10</v>
      </c>
      <c r="H48" s="6" t="s">
        <v>18</v>
      </c>
      <c r="I48" s="6"/>
      <c r="J48" s="7">
        <v>1</v>
      </c>
      <c r="K48" s="1" t="str">
        <f>IFERROR(INDEX(E48:J48,0,MATCH(MAX(G48,J48),E48:J48,0)-2),"")</f>
        <v>Kevin</v>
      </c>
      <c r="L48" s="2">
        <f>IFERROR(INDEX(E48:J48,0,MATCH(MAX(G48,J48),E48:J48,0)-1),"")</f>
        <v>0</v>
      </c>
      <c r="M48" s="1" t="str">
        <f t="shared" si="4"/>
        <v>W</v>
      </c>
      <c r="N48">
        <f t="shared" si="2"/>
        <v>7</v>
      </c>
      <c r="O48" s="63">
        <f t="shared" si="3"/>
        <v>0.2</v>
      </c>
      <c r="P48" s="63">
        <f>IFERROR(SUMIFS($G$2:G48,$H$2:H48,H48,$C$2:C48,C48)/(SUMIFS($J$2:J48,$H$2:H48,H48,$C$2:C48,C48)+SUMIFS($G$2:G48,$H$2:H48,H48,$C$2:C48,C48)),"")</f>
        <v>0.7407407407407407</v>
      </c>
    </row>
    <row r="49" spans="1:16" x14ac:dyDescent="0.25">
      <c r="A49" s="1">
        <f>IF(NOT(B49=""),MAX($A$2:A48)+1,"")</f>
        <v>48</v>
      </c>
      <c r="B49" s="3">
        <v>42643</v>
      </c>
      <c r="C49" s="3" t="str">
        <f t="shared" si="5"/>
        <v>Singles</v>
      </c>
      <c r="D49" s="7"/>
      <c r="E49" s="1" t="str">
        <f t="shared" si="6"/>
        <v>Kevin</v>
      </c>
      <c r="F49" s="6"/>
      <c r="G49" s="7">
        <v>10</v>
      </c>
      <c r="H49" s="6" t="s">
        <v>18</v>
      </c>
      <c r="I49" s="6"/>
      <c r="J49" s="7">
        <v>5</v>
      </c>
      <c r="K49" s="1" t="str">
        <f>IFERROR(INDEX(E49:J49,0,MATCH(MAX(G49,J49),E49:J49,0)-2),"")</f>
        <v>Kevin</v>
      </c>
      <c r="L49" s="2">
        <f>IFERROR(INDEX(E49:J49,0,MATCH(MAX(G49,J49),E49:J49,0)-1),"")</f>
        <v>0</v>
      </c>
      <c r="M49" s="1" t="str">
        <f t="shared" si="4"/>
        <v>W</v>
      </c>
      <c r="N49">
        <f t="shared" si="2"/>
        <v>8</v>
      </c>
      <c r="O49" s="63">
        <f t="shared" si="3"/>
        <v>0.2</v>
      </c>
      <c r="P49" s="63">
        <f>IFERROR(SUMIFS($G$2:G49,$H$2:H49,H49,$C$2:C49,C49)/(SUMIFS($J$2:J49,$H$2:H49,H49,$C$2:C49,C49)+SUMIFS($G$2:G49,$H$2:H49,H49,$C$2:C49,C49)),"")</f>
        <v>0.7142857142857143</v>
      </c>
    </row>
    <row r="50" spans="1:16" x14ac:dyDescent="0.25">
      <c r="A50" s="1">
        <f>IF(NOT(B50=""),MAX($A$2:A49)+1,"")</f>
        <v>49</v>
      </c>
      <c r="B50" s="3">
        <v>42643</v>
      </c>
      <c r="C50" s="3" t="str">
        <f t="shared" si="5"/>
        <v>Doubles</v>
      </c>
      <c r="D50" s="7"/>
      <c r="E50" s="1" t="str">
        <f t="shared" si="6"/>
        <v>Kevin</v>
      </c>
      <c r="F50" s="6" t="s">
        <v>10</v>
      </c>
      <c r="G50" s="7">
        <v>11</v>
      </c>
      <c r="H50" s="6" t="s">
        <v>15</v>
      </c>
      <c r="I50" s="6" t="s">
        <v>17</v>
      </c>
      <c r="J50" s="7">
        <v>9</v>
      </c>
      <c r="K50" s="1" t="str">
        <f>IFERROR(INDEX(E50:J50,0,MATCH(MAX(G50,J50),E50:J50,0)-2),"")</f>
        <v>Kevin</v>
      </c>
      <c r="L50" s="2" t="str">
        <f>IFERROR(INDEX(E50:J50,0,MATCH(MAX(G50,J50),E50:J50,0)-1),"")</f>
        <v>Zong</v>
      </c>
      <c r="M50" s="1" t="str">
        <f t="shared" si="4"/>
        <v>W</v>
      </c>
      <c r="N50">
        <f t="shared" si="2"/>
        <v>9</v>
      </c>
      <c r="O50" s="63">
        <f t="shared" si="3"/>
        <v>0.6</v>
      </c>
      <c r="P50" s="63">
        <f>IFERROR(SUMIFS($G$2:G50,$H$2:H50,H50,$C$2:C50,C50)/(SUMIFS($J$2:J50,$H$2:H50,H50,$C$2:C50,C50)+SUMIFS($G$2:G50,$H$2:H50,H50,$C$2:C50,C50)),"")</f>
        <v>0.63076923076923075</v>
      </c>
    </row>
    <row r="51" spans="1:16" x14ac:dyDescent="0.25">
      <c r="A51" s="1">
        <f>IF(NOT(B51=""),MAX($A$2:A50)+1,"")</f>
        <v>50</v>
      </c>
      <c r="B51" s="3">
        <v>42646</v>
      </c>
      <c r="C51" s="3" t="str">
        <f t="shared" si="5"/>
        <v>Doubles</v>
      </c>
      <c r="D51" s="7"/>
      <c r="E51" s="1" t="str">
        <f t="shared" si="6"/>
        <v>Kevin</v>
      </c>
      <c r="F51" s="6" t="s">
        <v>13</v>
      </c>
      <c r="G51" s="7">
        <v>10</v>
      </c>
      <c r="H51" s="6" t="s">
        <v>10</v>
      </c>
      <c r="I51" s="6" t="s">
        <v>18</v>
      </c>
      <c r="J51" s="7">
        <v>3</v>
      </c>
      <c r="K51" s="1" t="str">
        <f>IFERROR(INDEX(E51:J51,0,MATCH(MAX(G51,J51),E51:J51,0)-2),"")</f>
        <v>Kevin</v>
      </c>
      <c r="L51" s="2" t="str">
        <f>IFERROR(INDEX(E51:J51,0,MATCH(MAX(G51,J51),E51:J51,0)-1),"")</f>
        <v>Hallie</v>
      </c>
      <c r="M51" s="1" t="str">
        <f t="shared" si="4"/>
        <v>W</v>
      </c>
      <c r="N51">
        <f t="shared" si="2"/>
        <v>10</v>
      </c>
      <c r="O51" s="63">
        <f t="shared" si="3"/>
        <v>0.6</v>
      </c>
      <c r="P51" s="63">
        <f>IFERROR(SUMIFS($G$2:G51,$H$2:H51,H51,$C$2:C51,C51)/(SUMIFS($J$2:J51,$H$2:H51,H51,$C$2:C51,C51)+SUMIFS($G$2:G51,$H$2:H51,H51,$C$2:C51,C51)),"")</f>
        <v>0.625</v>
      </c>
    </row>
    <row r="52" spans="1:16" x14ac:dyDescent="0.25">
      <c r="A52" s="1">
        <f>IF(NOT(B52=""),MAX($A$2:A51)+1,"")</f>
        <v>51</v>
      </c>
      <c r="B52" s="3">
        <v>42646</v>
      </c>
      <c r="C52" s="3" t="str">
        <f t="shared" si="5"/>
        <v>Singles</v>
      </c>
      <c r="D52" s="7"/>
      <c r="E52" s="1" t="str">
        <f t="shared" si="6"/>
        <v>Kevin</v>
      </c>
      <c r="F52" s="6"/>
      <c r="G52" s="7">
        <v>8</v>
      </c>
      <c r="H52" s="6" t="s">
        <v>14</v>
      </c>
      <c r="I52" s="6"/>
      <c r="J52" s="7">
        <v>10</v>
      </c>
      <c r="K52" s="1" t="str">
        <f>IFERROR(INDEX(E52:J52,0,MATCH(MAX(G52,J52),E52:J52,0)-2),"")</f>
        <v>Will</v>
      </c>
      <c r="L52" s="2">
        <f>IFERROR(INDEX(E52:J52,0,MATCH(MAX(G52,J52),E52:J52,0)-1),"")</f>
        <v>0</v>
      </c>
      <c r="M52" s="1" t="str">
        <f t="shared" si="4"/>
        <v>L</v>
      </c>
      <c r="N52">
        <f t="shared" si="2"/>
        <v>9</v>
      </c>
      <c r="O52" s="63">
        <f t="shared" si="3"/>
        <v>0.6</v>
      </c>
      <c r="P52" s="63">
        <f>IFERROR(SUMIFS($G$2:G52,$H$2:H52,H52,$C$2:C52,C52)/(SUMIFS($J$2:J52,$H$2:H52,H52,$C$2:C52,C52)+SUMIFS($G$2:G52,$H$2:H52,H52,$C$2:C52,C52)),"")</f>
        <v>0.38983050847457629</v>
      </c>
    </row>
    <row r="53" spans="1:16" x14ac:dyDescent="0.25">
      <c r="A53" s="1">
        <f>IF(NOT(B53=""),MAX($A$2:A52)+1,"")</f>
        <v>52</v>
      </c>
      <c r="B53" s="3">
        <v>42646</v>
      </c>
      <c r="C53" s="3" t="str">
        <f t="shared" si="5"/>
        <v>Doubles</v>
      </c>
      <c r="D53" s="7"/>
      <c r="E53" s="1" t="s">
        <v>0</v>
      </c>
      <c r="F53" s="6" t="s">
        <v>12</v>
      </c>
      <c r="G53" s="7">
        <v>10</v>
      </c>
      <c r="H53" s="6" t="s">
        <v>13</v>
      </c>
      <c r="I53" s="6" t="s">
        <v>15</v>
      </c>
      <c r="J53" s="7">
        <v>6</v>
      </c>
      <c r="K53" s="1" t="str">
        <f>IFERROR(INDEX(E53:J53,0,MATCH(MAX(G53,J53),E53:J53,0)-2),"")</f>
        <v>Kevin</v>
      </c>
      <c r="L53" s="2" t="str">
        <f>IFERROR(INDEX(E53:J53,0,MATCH(MAX(G53,J53),E53:J53,0)-1),"")</f>
        <v>Jamie</v>
      </c>
      <c r="M53" s="1" t="str">
        <f t="shared" si="4"/>
        <v>W</v>
      </c>
      <c r="N53">
        <f t="shared" si="2"/>
        <v>10</v>
      </c>
      <c r="O53" s="63">
        <f t="shared" si="3"/>
        <v>0.6</v>
      </c>
      <c r="P53" s="63">
        <f>IFERROR(SUMIFS($G$2:G53,$H$2:H53,H53,$C$2:C53,C53)/(SUMIFS($J$2:J53,$H$2:H53,H53,$C$2:C53,C53)+SUMIFS($G$2:G53,$H$2:H53,H53,$C$2:C53,C53)),"")</f>
        <v>0.48979591836734693</v>
      </c>
    </row>
    <row r="54" spans="1:16" x14ac:dyDescent="0.25">
      <c r="A54" s="1">
        <f>IF(NOT(B54=""),MAX($A$2:A53)+1,"")</f>
        <v>53</v>
      </c>
      <c r="B54" s="3">
        <v>42647</v>
      </c>
      <c r="C54" s="3" t="str">
        <f t="shared" si="5"/>
        <v>Singles</v>
      </c>
      <c r="D54" s="7"/>
      <c r="E54" s="1" t="str">
        <f t="shared" si="6"/>
        <v>Kevin</v>
      </c>
      <c r="F54" s="6"/>
      <c r="G54" s="7">
        <v>9</v>
      </c>
      <c r="H54" s="6" t="s">
        <v>12</v>
      </c>
      <c r="I54" s="6"/>
      <c r="J54" s="7">
        <v>11</v>
      </c>
      <c r="K54" s="1" t="str">
        <f>IFERROR(INDEX(E54:J54,0,MATCH(MAX(G54,J54),E54:J54,0)-2),"")</f>
        <v>Jamie</v>
      </c>
      <c r="L54" s="2">
        <f>IFERROR(INDEX(E54:J54,0,MATCH(MAX(G54,J54),E54:J54,0)-1),"")</f>
        <v>0</v>
      </c>
      <c r="M54" s="1" t="str">
        <f t="shared" si="4"/>
        <v>L</v>
      </c>
      <c r="N54">
        <f t="shared" si="2"/>
        <v>9</v>
      </c>
      <c r="O54" s="63">
        <f t="shared" si="3"/>
        <v>0.2</v>
      </c>
      <c r="P54" s="63">
        <f>IFERROR(SUMIFS($G$2:G54,$H$2:H54,H54,$C$2:C54,C54)/(SUMIFS($J$2:J54,$H$2:H54,H54,$C$2:C54,C54)+SUMIFS($G$2:G54,$H$2:H54,H54,$C$2:C54,C54)),"")</f>
        <v>0.44827586206896552</v>
      </c>
    </row>
    <row r="55" spans="1:16" x14ac:dyDescent="0.25">
      <c r="A55" s="1">
        <f>IF(NOT(B55=""),MAX($A$2:A54)+1,"")</f>
        <v>54</v>
      </c>
      <c r="B55" s="3">
        <v>42647</v>
      </c>
      <c r="C55" s="3" t="str">
        <f t="shared" si="5"/>
        <v>Doubles</v>
      </c>
      <c r="D55" s="7"/>
      <c r="E55" s="1" t="str">
        <f t="shared" si="6"/>
        <v>Kevin</v>
      </c>
      <c r="F55" s="6" t="s">
        <v>17</v>
      </c>
      <c r="G55" s="7">
        <v>10</v>
      </c>
      <c r="H55" s="6" t="s">
        <v>10</v>
      </c>
      <c r="I55" s="6" t="s">
        <v>18</v>
      </c>
      <c r="J55" s="7">
        <v>6</v>
      </c>
      <c r="K55" s="1" t="str">
        <f>IFERROR(INDEX(E55:J55,0,MATCH(MAX(G55,J55),E55:J55,0)-2),"")</f>
        <v>Kevin</v>
      </c>
      <c r="L55" s="2" t="str">
        <f>IFERROR(INDEX(E55:J55,0,MATCH(MAX(G55,J55),E55:J55,0)-1),"")</f>
        <v>Andrea</v>
      </c>
      <c r="M55" s="1" t="str">
        <f t="shared" si="4"/>
        <v>W</v>
      </c>
      <c r="N55">
        <f t="shared" si="2"/>
        <v>10</v>
      </c>
      <c r="O55" s="63">
        <f t="shared" si="3"/>
        <v>0.2</v>
      </c>
      <c r="P55" s="63">
        <f>IFERROR(SUMIFS($G$2:G55,$H$2:H55,H55,$C$2:C55,C55)/(SUMIFS($J$2:J55,$H$2:H55,H55,$C$2:C55,C55)+SUMIFS($G$2:G55,$H$2:H55,H55,$C$2:C55,C55)),"")</f>
        <v>0.625</v>
      </c>
    </row>
    <row r="56" spans="1:16" x14ac:dyDescent="0.25">
      <c r="A56" s="1">
        <f>IF(NOT(B56=""),MAX($A$2:A55)+1,"")</f>
        <v>55</v>
      </c>
      <c r="B56" s="3">
        <v>42648</v>
      </c>
      <c r="C56" s="3" t="str">
        <f t="shared" si="5"/>
        <v>Singles</v>
      </c>
      <c r="D56" s="7"/>
      <c r="E56" s="1" t="str">
        <f t="shared" si="6"/>
        <v>Kevin</v>
      </c>
      <c r="F56" s="6"/>
      <c r="G56" s="7">
        <v>10</v>
      </c>
      <c r="H56" s="6" t="s">
        <v>13</v>
      </c>
      <c r="I56" s="6"/>
      <c r="J56" s="7">
        <v>1</v>
      </c>
      <c r="K56" s="1" t="str">
        <f>IFERROR(INDEX(E56:J56,0,MATCH(MAX(G56,J56),E56:J56,0)-2),"")</f>
        <v>Kevin</v>
      </c>
      <c r="L56" s="2">
        <f>IFERROR(INDEX(E56:J56,0,MATCH(MAX(G56,J56),E56:J56,0)-1),"")</f>
        <v>0</v>
      </c>
      <c r="M56" s="1" t="str">
        <f t="shared" si="4"/>
        <v>W</v>
      </c>
      <c r="N56">
        <f t="shared" si="2"/>
        <v>11</v>
      </c>
      <c r="O56" s="63">
        <f t="shared" si="3"/>
        <v>0.2</v>
      </c>
      <c r="P56" s="63">
        <f>IFERROR(SUMIFS($G$2:G56,$H$2:H56,H56,$C$2:C56,C56)/(SUMIFS($J$2:J56,$H$2:H56,H56,$C$2:C56,C56)+SUMIFS($G$2:G56,$H$2:H56,H56,$C$2:C56,C56)),"")</f>
        <v>0.68627450980392157</v>
      </c>
    </row>
    <row r="57" spans="1:16" x14ac:dyDescent="0.25">
      <c r="A57" s="1">
        <f>IF(NOT(B57=""),MAX($A$2:A56)+1,"")</f>
        <v>56</v>
      </c>
      <c r="B57" s="3">
        <v>42648</v>
      </c>
      <c r="C57" s="3" t="str">
        <f t="shared" si="5"/>
        <v>Doubles</v>
      </c>
      <c r="D57" s="7"/>
      <c r="E57" s="1" t="str">
        <f t="shared" si="6"/>
        <v>Kevin</v>
      </c>
      <c r="F57" s="6" t="s">
        <v>12</v>
      </c>
      <c r="G57" s="7">
        <v>10</v>
      </c>
      <c r="H57" s="6" t="s">
        <v>18</v>
      </c>
      <c r="I57" s="6" t="s">
        <v>15</v>
      </c>
      <c r="J57" s="7">
        <v>1</v>
      </c>
      <c r="K57" s="1" t="str">
        <f>IFERROR(INDEX(E57:J57,0,MATCH(MAX(G57,J57),E57:J57,0)-2),"")</f>
        <v>Kevin</v>
      </c>
      <c r="L57" s="2" t="str">
        <f>IFERROR(INDEX(E57:J57,0,MATCH(MAX(G57,J57),E57:J57,0)-1),"")</f>
        <v>Jamie</v>
      </c>
      <c r="M57" s="1" t="str">
        <f t="shared" si="4"/>
        <v>W</v>
      </c>
      <c r="N57">
        <f t="shared" si="2"/>
        <v>12</v>
      </c>
      <c r="O57" s="63">
        <f t="shared" si="3"/>
        <v>0.6</v>
      </c>
      <c r="P57" s="63">
        <f>IFERROR(SUMIFS($G$2:G57,$H$2:H57,H57,$C$2:C57,C57)/(SUMIFS($J$2:J57,$H$2:H57,H57,$C$2:C57,C57)+SUMIFS($G$2:G57,$H$2:H57,H57,$C$2:C57,C57)),"")</f>
        <v>0.63492063492063489</v>
      </c>
    </row>
    <row r="58" spans="1:16" x14ac:dyDescent="0.25">
      <c r="A58" s="1">
        <f>IF(NOT(B58=""),MAX($A$2:A57)+1,"")</f>
        <v>57</v>
      </c>
      <c r="B58" s="3">
        <v>42648</v>
      </c>
      <c r="C58" s="3" t="str">
        <f t="shared" si="5"/>
        <v>Doubles</v>
      </c>
      <c r="D58" s="7"/>
      <c r="E58" s="1" t="str">
        <f t="shared" si="6"/>
        <v>Kevin</v>
      </c>
      <c r="F58" s="6" t="s">
        <v>12</v>
      </c>
      <c r="G58" s="7">
        <v>10</v>
      </c>
      <c r="H58" s="6" t="s">
        <v>10</v>
      </c>
      <c r="I58" s="6" t="s">
        <v>20</v>
      </c>
      <c r="J58" s="7">
        <v>7</v>
      </c>
      <c r="K58" s="1" t="str">
        <f>IFERROR(INDEX(E58:J58,0,MATCH(MAX(G58,J58),E58:J58,0)-2),"")</f>
        <v>Kevin</v>
      </c>
      <c r="L58" s="2" t="str">
        <f>IFERROR(INDEX(E58:J58,0,MATCH(MAX(G58,J58),E58:J58,0)-1),"")</f>
        <v>Jamie</v>
      </c>
      <c r="M58" s="1" t="str">
        <f t="shared" si="4"/>
        <v>W</v>
      </c>
      <c r="N58">
        <f t="shared" si="2"/>
        <v>13</v>
      </c>
      <c r="O58" s="63">
        <f t="shared" si="3"/>
        <v>0.6</v>
      </c>
      <c r="P58" s="63">
        <f>IFERROR(SUMIFS($G$2:G58,$H$2:H58,H58,$C$2:C58,C58)/(SUMIFS($J$2:J58,$H$2:H58,H58,$C$2:C58,C58)+SUMIFS($G$2:G58,$H$2:H58,H58,$C$2:C58,C58)),"")</f>
        <v>0.61728395061728392</v>
      </c>
    </row>
    <row r="59" spans="1:16" x14ac:dyDescent="0.25">
      <c r="A59" s="1">
        <f>IF(NOT(B59=""),MAX($A$2:A58)+1,"")</f>
        <v>58</v>
      </c>
      <c r="B59" s="3">
        <v>42648</v>
      </c>
      <c r="C59" s="3" t="str">
        <f t="shared" si="5"/>
        <v>Doubles</v>
      </c>
      <c r="D59" s="7"/>
      <c r="E59" s="1" t="str">
        <f t="shared" si="6"/>
        <v>Kevin</v>
      </c>
      <c r="F59" s="6" t="s">
        <v>12</v>
      </c>
      <c r="G59" s="7">
        <v>10</v>
      </c>
      <c r="H59" s="6" t="s">
        <v>14</v>
      </c>
      <c r="I59" s="6" t="s">
        <v>17</v>
      </c>
      <c r="J59" s="7">
        <v>7</v>
      </c>
      <c r="K59" s="1" t="str">
        <f>IFERROR(INDEX(E59:J59,0,MATCH(MAX(G59,J59),E59:J59,0)-2),"")</f>
        <v>Kevin</v>
      </c>
      <c r="L59" s="2" t="str">
        <f>IFERROR(INDEX(E59:J59,0,MATCH(MAX(G59,J59),E59:J59,0)-1),"")</f>
        <v>Jamie</v>
      </c>
      <c r="M59" s="1" t="str">
        <f t="shared" si="4"/>
        <v>W</v>
      </c>
      <c r="N59">
        <f t="shared" si="2"/>
        <v>14</v>
      </c>
      <c r="O59" s="63">
        <f t="shared" si="3"/>
        <v>1</v>
      </c>
      <c r="P59" s="63">
        <f>IFERROR(SUMIFS($G$2:G59,$H$2:H59,H59,$C$2:C59,C59)/(SUMIFS($J$2:J59,$H$2:H59,H59,$C$2:C59,C59)+SUMIFS($G$2:G59,$H$2:H59,H59,$C$2:C59,C59)),"")</f>
        <v>0.58823529411764708</v>
      </c>
    </row>
    <row r="60" spans="1:16" x14ac:dyDescent="0.25">
      <c r="A60" s="1">
        <f>IF(NOT(B60=""),MAX($A$2:A59)+1,"")</f>
        <v>59</v>
      </c>
      <c r="B60" s="3">
        <v>42649</v>
      </c>
      <c r="C60" s="3" t="str">
        <f t="shared" si="5"/>
        <v>Doubles</v>
      </c>
      <c r="D60" s="7"/>
      <c r="E60" s="1" t="s">
        <v>0</v>
      </c>
      <c r="F60" s="6" t="s">
        <v>12</v>
      </c>
      <c r="G60" s="7">
        <v>2</v>
      </c>
      <c r="H60" s="6" t="s">
        <v>15</v>
      </c>
      <c r="I60" s="6" t="s">
        <v>20</v>
      </c>
      <c r="J60" s="7">
        <v>10</v>
      </c>
      <c r="K60" s="1" t="str">
        <f>IFERROR(INDEX(E60:J60,0,MATCH(MAX(G60,J60),E60:J60,0)-2),"")</f>
        <v>Kirby</v>
      </c>
      <c r="L60" s="2" t="str">
        <f>IFERROR(INDEX(E60:J60,0,MATCH(MAX(G60,J60),E60:J60,0)-1),"")</f>
        <v>Cody</v>
      </c>
      <c r="M60" s="1" t="str">
        <f t="shared" si="4"/>
        <v>L</v>
      </c>
      <c r="N60">
        <f t="shared" si="2"/>
        <v>13</v>
      </c>
      <c r="O60" s="63">
        <f t="shared" si="3"/>
        <v>0.6</v>
      </c>
      <c r="P60" s="63">
        <f>IFERROR(SUMIFS($G$2:G60,$H$2:H60,H60,$C$2:C60,C60)/(SUMIFS($J$2:J60,$H$2:H60,H60,$C$2:C60,C60)+SUMIFS($G$2:G60,$H$2:H60,H60,$C$2:C60,C60)),"")</f>
        <v>0.55844155844155841</v>
      </c>
    </row>
    <row r="61" spans="1:16" x14ac:dyDescent="0.25">
      <c r="A61" s="1">
        <f>IF(NOT(B61=""),MAX($A$2:A60)+1,"")</f>
        <v>60</v>
      </c>
      <c r="B61" s="3">
        <v>42650</v>
      </c>
      <c r="C61" s="3" t="str">
        <f t="shared" si="5"/>
        <v>Doubles</v>
      </c>
      <c r="D61" s="7"/>
      <c r="E61" s="1" t="s">
        <v>0</v>
      </c>
      <c r="F61" s="6" t="s">
        <v>15</v>
      </c>
      <c r="G61" s="7">
        <v>6</v>
      </c>
      <c r="H61" s="6" t="s">
        <v>22</v>
      </c>
      <c r="I61" s="6" t="s">
        <v>10</v>
      </c>
      <c r="J61" s="7">
        <v>10</v>
      </c>
      <c r="K61" s="1" t="str">
        <f>IFERROR(INDEX(E61:J61,0,MATCH(MAX(G61,J61),E61:J61,0)-2),"")</f>
        <v>Sam</v>
      </c>
      <c r="L61" s="2" t="str">
        <f>IFERROR(INDEX(E61:J61,0,MATCH(MAX(G61,J61),E61:J61,0)-1),"")</f>
        <v>Zong</v>
      </c>
      <c r="M61" s="1" t="str">
        <f t="shared" si="4"/>
        <v>L</v>
      </c>
      <c r="N61">
        <f t="shared" si="2"/>
        <v>12</v>
      </c>
      <c r="O61" s="63">
        <f t="shared" si="3"/>
        <v>0.2</v>
      </c>
      <c r="P61" s="63">
        <f>IFERROR(SUMIFS($G$2:G61,$H$2:H61,H61,$C$2:C61,C61)/(SUMIFS($J$2:J61,$H$2:H61,H61,$C$2:C61,C61)+SUMIFS($G$2:G61,$H$2:H61,H61,$C$2:C61,C61)),"")</f>
        <v>0.375</v>
      </c>
    </row>
    <row r="62" spans="1:16" x14ac:dyDescent="0.25">
      <c r="A62" s="1">
        <f>IF(NOT(B62=""),MAX($A$2:A61)+1,"")</f>
        <v>61</v>
      </c>
      <c r="B62" s="3">
        <v>42650</v>
      </c>
      <c r="C62" s="3" t="str">
        <f t="shared" si="5"/>
        <v>Singles</v>
      </c>
      <c r="D62" s="7"/>
      <c r="E62" s="1" t="str">
        <f t="shared" si="6"/>
        <v>Kevin</v>
      </c>
      <c r="F62" s="6"/>
      <c r="G62" s="7">
        <v>10</v>
      </c>
      <c r="H62" s="6" t="s">
        <v>13</v>
      </c>
      <c r="I62" s="6"/>
      <c r="J62" s="7">
        <v>1</v>
      </c>
      <c r="K62" s="1" t="str">
        <f>IFERROR(INDEX(E62:J62,0,MATCH(MAX(G62,J62),E62:J62,0)-2),"")</f>
        <v>Kevin</v>
      </c>
      <c r="L62" s="2">
        <f>IFERROR(INDEX(E62:J62,0,MATCH(MAX(G62,J62),E62:J62,0)-1),"")</f>
        <v>0</v>
      </c>
      <c r="M62" s="1" t="str">
        <f t="shared" si="4"/>
        <v>W</v>
      </c>
      <c r="N62">
        <f t="shared" si="2"/>
        <v>13</v>
      </c>
      <c r="O62" s="63">
        <f t="shared" si="3"/>
        <v>0.2</v>
      </c>
      <c r="P62" s="63">
        <f>IFERROR(SUMIFS($G$2:G62,$H$2:H62,H62,$C$2:C62,C62)/(SUMIFS($J$2:J62,$H$2:H62,H62,$C$2:C62,C62)+SUMIFS($G$2:G62,$H$2:H62,H62,$C$2:C62,C62)),"")</f>
        <v>0.72580645161290325</v>
      </c>
    </row>
    <row r="63" spans="1:16" x14ac:dyDescent="0.25">
      <c r="A63" s="1">
        <f>IF(NOT(B63=""),MAX($A$2:A62)+1,"")</f>
        <v>62</v>
      </c>
      <c r="B63" s="3">
        <v>42654</v>
      </c>
      <c r="C63" s="3" t="str">
        <f t="shared" si="5"/>
        <v>Doubles</v>
      </c>
      <c r="D63" s="7"/>
      <c r="E63" s="1" t="str">
        <f t="shared" si="6"/>
        <v>Kevin</v>
      </c>
      <c r="F63" s="6" t="s">
        <v>13</v>
      </c>
      <c r="G63" s="7">
        <v>10</v>
      </c>
      <c r="H63" s="6" t="s">
        <v>15</v>
      </c>
      <c r="I63" s="6" t="s">
        <v>17</v>
      </c>
      <c r="J63" s="7">
        <v>6</v>
      </c>
      <c r="K63" s="1" t="str">
        <f>IFERROR(INDEX(E63:J63,0,MATCH(MAX(G63,J63),E63:J63,0)-2),"")</f>
        <v>Kevin</v>
      </c>
      <c r="L63" s="2" t="str">
        <f>IFERROR(INDEX(E63:J63,0,MATCH(MAX(G63,J63),E63:J63,0)-1),"")</f>
        <v>Hallie</v>
      </c>
      <c r="M63" s="1" t="str">
        <f t="shared" si="4"/>
        <v>W</v>
      </c>
      <c r="N63">
        <f t="shared" si="2"/>
        <v>14</v>
      </c>
      <c r="O63" s="63">
        <f t="shared" si="3"/>
        <v>0.2</v>
      </c>
      <c r="P63" s="63">
        <f>IFERROR(SUMIFS($G$2:G63,$H$2:H63,H63,$C$2:C63,C63)/(SUMIFS($J$2:J63,$H$2:H63,H63,$C$2:C63,C63)+SUMIFS($G$2:G63,$H$2:H63,H63,$C$2:C63,C63)),"")</f>
        <v>0.56989247311827962</v>
      </c>
    </row>
    <row r="64" spans="1:16" x14ac:dyDescent="0.25">
      <c r="A64" s="1">
        <f>IF(NOT(B64=""),MAX($A$2:A63)+1,"")</f>
        <v>63</v>
      </c>
      <c r="B64" s="3">
        <v>42654</v>
      </c>
      <c r="C64" s="3" t="str">
        <f t="shared" si="5"/>
        <v>Singles</v>
      </c>
      <c r="D64" s="7"/>
      <c r="E64" s="1" t="str">
        <f t="shared" si="6"/>
        <v>Kevin</v>
      </c>
      <c r="F64" s="6"/>
      <c r="G64" s="7">
        <v>8</v>
      </c>
      <c r="H64" s="6" t="s">
        <v>14</v>
      </c>
      <c r="I64" s="6"/>
      <c r="J64" s="7">
        <v>10</v>
      </c>
      <c r="K64" s="1" t="str">
        <f>IFERROR(INDEX(E64:J64,0,MATCH(MAX(G64,J64),E64:J64,0)-2),"")</f>
        <v>Will</v>
      </c>
      <c r="L64" s="2">
        <f>IFERROR(INDEX(E64:J64,0,MATCH(MAX(G64,J64),E64:J64,0)-1),"")</f>
        <v>0</v>
      </c>
      <c r="M64" s="1" t="str">
        <f t="shared" si="4"/>
        <v>L</v>
      </c>
      <c r="N64">
        <f t="shared" si="2"/>
        <v>13</v>
      </c>
      <c r="O64" s="63">
        <f t="shared" si="3"/>
        <v>-0.2</v>
      </c>
      <c r="P64" s="63">
        <f>IFERROR(SUMIFS($G$2:G64,$H$2:H64,H64,$C$2:C64,C64)/(SUMIFS($J$2:J64,$H$2:H64,H64,$C$2:C64,C64)+SUMIFS($G$2:G64,$H$2:H64,H64,$C$2:C64,C64)),"")</f>
        <v>0.39705882352941174</v>
      </c>
    </row>
    <row r="65" spans="1:16" x14ac:dyDescent="0.25">
      <c r="A65" s="1">
        <f>IF(NOT(B65=""),MAX($A$2:A64)+1,"")</f>
        <v>64</v>
      </c>
      <c r="B65" s="3">
        <v>42655</v>
      </c>
      <c r="C65" s="3" t="str">
        <f t="shared" si="5"/>
        <v>Doubles</v>
      </c>
      <c r="D65" s="7"/>
      <c r="E65" s="1" t="str">
        <f t="shared" si="6"/>
        <v>Kevin</v>
      </c>
      <c r="F65" s="6" t="s">
        <v>13</v>
      </c>
      <c r="G65" s="7">
        <v>10</v>
      </c>
      <c r="H65" s="6" t="s">
        <v>15</v>
      </c>
      <c r="I65" s="6" t="s">
        <v>18</v>
      </c>
      <c r="J65" s="7">
        <v>6</v>
      </c>
      <c r="K65" s="1" t="str">
        <f>IFERROR(INDEX(E65:J65,0,MATCH(MAX(G65,J65),E65:J65,0)-2),"")</f>
        <v>Kevin</v>
      </c>
      <c r="L65" s="2" t="str">
        <f>IFERROR(INDEX(E65:J65,0,MATCH(MAX(G65,J65),E65:J65,0)-1),"")</f>
        <v>Hallie</v>
      </c>
      <c r="M65" s="1" t="str">
        <f t="shared" si="4"/>
        <v>W</v>
      </c>
      <c r="N65">
        <f t="shared" si="2"/>
        <v>14</v>
      </c>
      <c r="O65" s="63">
        <f t="shared" si="3"/>
        <v>0.2</v>
      </c>
      <c r="P65" s="63">
        <f>IFERROR(SUMIFS($G$2:G65,$H$2:H65,H65,$C$2:C65,C65)/(SUMIFS($J$2:J65,$H$2:H65,H65,$C$2:C65,C65)+SUMIFS($G$2:G65,$H$2:H65,H65,$C$2:C65,C65)),"")</f>
        <v>0.57798165137614677</v>
      </c>
    </row>
    <row r="66" spans="1:16" x14ac:dyDescent="0.25">
      <c r="A66" s="1">
        <f>IF(NOT(B66=""),MAX($A$2:A65)+1,"")</f>
        <v>65</v>
      </c>
      <c r="B66" s="3">
        <v>42655</v>
      </c>
      <c r="C66" s="3" t="str">
        <f t="shared" si="5"/>
        <v>Singles</v>
      </c>
      <c r="D66" s="7"/>
      <c r="E66" s="1" t="str">
        <f t="shared" si="6"/>
        <v>Kevin</v>
      </c>
      <c r="F66" s="6"/>
      <c r="G66" s="7">
        <v>10</v>
      </c>
      <c r="H66" s="6" t="s">
        <v>11</v>
      </c>
      <c r="I66" s="6"/>
      <c r="J66" s="7">
        <v>8</v>
      </c>
      <c r="K66" s="1" t="str">
        <f>IFERROR(INDEX(E66:J66,0,MATCH(MAX(G66,J66),E66:J66,0)-2),"")</f>
        <v>Kevin</v>
      </c>
      <c r="L66" s="2">
        <f>IFERROR(INDEX(E66:J66,0,MATCH(MAX(G66,J66),E66:J66,0)-1),"")</f>
        <v>0</v>
      </c>
      <c r="M66" s="1" t="str">
        <f t="shared" si="4"/>
        <v>W</v>
      </c>
      <c r="N66">
        <f t="shared" si="2"/>
        <v>15</v>
      </c>
      <c r="O66" s="63">
        <f t="shared" si="3"/>
        <v>0.6</v>
      </c>
      <c r="P66" s="63">
        <f>IFERROR(SUMIFS($G$2:G66,$H$2:H66,H66,$C$2:C66,C66)/(SUMIFS($J$2:J66,$H$2:H66,H66,$C$2:C66,C66)+SUMIFS($G$2:G66,$H$2:H66,H66,$C$2:C66,C66)),"")</f>
        <v>0.54320987654320985</v>
      </c>
    </row>
    <row r="67" spans="1:16" x14ac:dyDescent="0.25">
      <c r="A67" s="1">
        <f>IF(NOT(B67=""),MAX($A$2:A66)+1,"")</f>
        <v>66</v>
      </c>
      <c r="B67" s="3">
        <v>42656</v>
      </c>
      <c r="C67" s="3" t="str">
        <f t="shared" si="5"/>
        <v>Singles</v>
      </c>
      <c r="D67" s="7"/>
      <c r="E67" s="1" t="str">
        <f t="shared" si="6"/>
        <v>Kevin</v>
      </c>
      <c r="F67" s="6"/>
      <c r="G67" s="7">
        <v>8</v>
      </c>
      <c r="H67" s="6" t="s">
        <v>11</v>
      </c>
      <c r="I67" s="6"/>
      <c r="J67" s="7">
        <v>10</v>
      </c>
      <c r="K67" s="1" t="str">
        <f>IFERROR(INDEX(E67:J67,0,MATCH(MAX(G67,J67),E67:J67,0)-2),"")</f>
        <v>Henna</v>
      </c>
      <c r="L67" s="2">
        <f>IFERROR(INDEX(E67:J67,0,MATCH(MAX(G67,J67),E67:J67,0)-1),"")</f>
        <v>0</v>
      </c>
      <c r="M67" s="1" t="str">
        <f t="shared" si="4"/>
        <v>L</v>
      </c>
      <c r="N67">
        <f t="shared" si="2"/>
        <v>14</v>
      </c>
      <c r="O67" s="63">
        <f t="shared" si="3"/>
        <v>0.2</v>
      </c>
      <c r="P67" s="63">
        <f>IFERROR(SUMIFS($G$2:G67,$H$2:H67,H67,$C$2:C67,C67)/(SUMIFS($J$2:J67,$H$2:H67,H67,$C$2:C67,C67)+SUMIFS($G$2:G67,$H$2:H67,H67,$C$2:C67,C67)),"")</f>
        <v>0.5252525252525253</v>
      </c>
    </row>
    <row r="68" spans="1:16" x14ac:dyDescent="0.25">
      <c r="A68" s="1">
        <f>IF(NOT(B68=""),MAX($A$2:A67)+1,"")</f>
        <v>67</v>
      </c>
      <c r="B68" s="3">
        <v>42656</v>
      </c>
      <c r="C68" s="3" t="str">
        <f t="shared" si="5"/>
        <v>Singles</v>
      </c>
      <c r="D68" s="7"/>
      <c r="E68" s="1" t="str">
        <f t="shared" si="6"/>
        <v>Kevin</v>
      </c>
      <c r="F68" s="6"/>
      <c r="G68" s="7">
        <v>10</v>
      </c>
      <c r="H68" s="6" t="s">
        <v>10</v>
      </c>
      <c r="I68" s="6"/>
      <c r="J68" s="7">
        <v>3</v>
      </c>
      <c r="K68" s="1" t="str">
        <f>IFERROR(INDEX(E68:J68,0,MATCH(MAX(G68,J68),E68:J68,0)-2),"")</f>
        <v>Kevin</v>
      </c>
      <c r="L68" s="2">
        <f>IFERROR(INDEX(E68:J68,0,MATCH(MAX(G68,J68),E68:J68,0)-1),"")</f>
        <v>0</v>
      </c>
      <c r="M68" s="1" t="str">
        <f t="shared" si="4"/>
        <v>W</v>
      </c>
      <c r="N68">
        <f t="shared" ref="N68:N132" si="7">IF(M68="","",IF(M68="W",1,IF(M68="L",-1,0))+N67)</f>
        <v>15</v>
      </c>
      <c r="O68" s="63">
        <f t="shared" si="3"/>
        <v>0.2</v>
      </c>
      <c r="P68" s="63">
        <f>IFERROR(SUMIFS($G$2:G68,$H$2:H68,H68,$C$2:C68,C68)/(SUMIFS($J$2:J68,$H$2:H68,H68,$C$2:C68,C68)+SUMIFS($G$2:G68,$H$2:H68,H68,$C$2:C68,C68)),"")</f>
        <v>0.63291139240506333</v>
      </c>
    </row>
    <row r="69" spans="1:16" x14ac:dyDescent="0.25">
      <c r="A69" s="1">
        <f>IF(NOT(B69=""),MAX($A$2:A68)+1,"")</f>
        <v>68</v>
      </c>
      <c r="B69" s="3">
        <v>42657</v>
      </c>
      <c r="C69" s="3" t="str">
        <f t="shared" si="5"/>
        <v>Singles</v>
      </c>
      <c r="D69" s="7"/>
      <c r="E69" s="1" t="str">
        <f t="shared" si="6"/>
        <v>Kevin</v>
      </c>
      <c r="F69" s="6"/>
      <c r="G69" s="7">
        <v>10</v>
      </c>
      <c r="H69" s="6" t="s">
        <v>13</v>
      </c>
      <c r="I69" s="6"/>
      <c r="J69" s="7">
        <v>7</v>
      </c>
      <c r="K69" s="1" t="str">
        <f>IFERROR(INDEX(E69:J69,0,MATCH(MAX(G69,J69),E69:J69,0)-2),"")</f>
        <v>Kevin</v>
      </c>
      <c r="L69" s="2">
        <f>IFERROR(INDEX(E69:J69,0,MATCH(MAX(G69,J69),E69:J69,0)-1),"")</f>
        <v>0</v>
      </c>
      <c r="M69" s="1" t="str">
        <f t="shared" si="4"/>
        <v>W</v>
      </c>
      <c r="N69">
        <f t="shared" si="7"/>
        <v>16</v>
      </c>
      <c r="O69" s="63">
        <f t="shared" si="3"/>
        <v>0.6</v>
      </c>
      <c r="P69" s="63">
        <f>IFERROR(SUMIFS($G$2:G69,$H$2:H69,H69,$C$2:C69,C69)/(SUMIFS($J$2:J69,$H$2:H69,H69,$C$2:C69,C69)+SUMIFS($G$2:G69,$H$2:H69,H69,$C$2:C69,C69)),"")</f>
        <v>0.69620253164556967</v>
      </c>
    </row>
    <row r="70" spans="1:16" x14ac:dyDescent="0.25">
      <c r="A70" s="1">
        <f>IF(NOT(B70=""),MAX($A$2:A69)+1,"")</f>
        <v>69</v>
      </c>
      <c r="B70" s="3">
        <v>42657</v>
      </c>
      <c r="C70" s="3" t="str">
        <f t="shared" si="5"/>
        <v>Doubles</v>
      </c>
      <c r="D70" s="7"/>
      <c r="E70" s="1" t="s">
        <v>0</v>
      </c>
      <c r="F70" s="6" t="s">
        <v>11</v>
      </c>
      <c r="G70" s="7">
        <v>10</v>
      </c>
      <c r="H70" s="6" t="s">
        <v>18</v>
      </c>
      <c r="I70" s="6" t="s">
        <v>16</v>
      </c>
      <c r="J70" s="7">
        <v>5</v>
      </c>
      <c r="K70" s="1" t="str">
        <f>IFERROR(INDEX(E70:J70,0,MATCH(MAX(G70,J70),E70:J70,0)-2),"")</f>
        <v>Kevin</v>
      </c>
      <c r="L70" s="2" t="str">
        <f>IFERROR(INDEX(E70:J70,0,MATCH(MAX(G70,J70),E70:J70,0)-1),"")</f>
        <v>Henna</v>
      </c>
      <c r="M70" s="1" t="str">
        <f t="shared" si="4"/>
        <v>W</v>
      </c>
      <c r="N70">
        <f t="shared" si="7"/>
        <v>17</v>
      </c>
      <c r="O70" s="63">
        <f t="shared" ref="O70:O133" si="8">IFERROR((N70-N65)/5,"")</f>
        <v>0.6</v>
      </c>
      <c r="P70" s="63">
        <f>IFERROR(SUMIFS($G$2:G70,$H$2:H70,H70,$C$2:C70,C70)/(SUMIFS($J$2:J70,$H$2:H70,H70,$C$2:C70,C70)+SUMIFS($G$2:G70,$H$2:H70,H70,$C$2:C70,C70)),"")</f>
        <v>0.64102564102564108</v>
      </c>
    </row>
    <row r="71" spans="1:16" x14ac:dyDescent="0.25">
      <c r="A71" s="1">
        <f>IF(NOT(B71=""),MAX($A$2:A70)+1,"")</f>
        <v>70</v>
      </c>
      <c r="B71" s="3">
        <v>42657</v>
      </c>
      <c r="C71" s="3" t="str">
        <f t="shared" si="5"/>
        <v>Doubles</v>
      </c>
      <c r="D71" s="7"/>
      <c r="E71" s="1" t="str">
        <f t="shared" si="6"/>
        <v>Kevin</v>
      </c>
      <c r="F71" s="6" t="s">
        <v>18</v>
      </c>
      <c r="G71" s="7">
        <v>5</v>
      </c>
      <c r="H71" s="6" t="s">
        <v>11</v>
      </c>
      <c r="I71" s="6" t="s">
        <v>13</v>
      </c>
      <c r="J71" s="7">
        <v>10</v>
      </c>
      <c r="K71" s="1" t="str">
        <f>IFERROR(INDEX(E71:J71,0,MATCH(MAX(G71,J71),E71:J71,0)-2),"")</f>
        <v>Henna</v>
      </c>
      <c r="L71" s="2" t="str">
        <f>IFERROR(INDEX(E71:J71,0,MATCH(MAX(G71,J71),E71:J71,0)-1),"")</f>
        <v>Hallie</v>
      </c>
      <c r="M71" s="1" t="str">
        <f t="shared" si="4"/>
        <v>L</v>
      </c>
      <c r="N71">
        <f t="shared" si="7"/>
        <v>16</v>
      </c>
      <c r="O71" s="63">
        <f t="shared" si="8"/>
        <v>0.2</v>
      </c>
      <c r="P71" s="63">
        <f>IFERROR(SUMIFS($G$2:G71,$H$2:H71,H71,$C$2:C71,C71)/(SUMIFS($J$2:J71,$H$2:H71,H71,$C$2:C71,C71)+SUMIFS($G$2:G71,$H$2:H71,H71,$C$2:C71,C71)),"")</f>
        <v>0.51724137931034486</v>
      </c>
    </row>
    <row r="72" spans="1:16" x14ac:dyDescent="0.25">
      <c r="A72" s="1">
        <f>IF(NOT(B72=""),MAX($A$2:A71)+1,"")</f>
        <v>71</v>
      </c>
      <c r="B72" s="3">
        <v>42660</v>
      </c>
      <c r="C72" s="3" t="str">
        <f t="shared" si="5"/>
        <v>Doubles</v>
      </c>
      <c r="D72" s="7"/>
      <c r="E72" s="1" t="s">
        <v>0</v>
      </c>
      <c r="F72" s="6" t="s">
        <v>15</v>
      </c>
      <c r="G72" s="7">
        <v>4</v>
      </c>
      <c r="H72" s="6" t="s">
        <v>11</v>
      </c>
      <c r="I72" s="6" t="s">
        <v>20</v>
      </c>
      <c r="J72" s="7">
        <v>10</v>
      </c>
      <c r="K72" s="1" t="str">
        <f>IFERROR(INDEX(E72:J72,0,MATCH(MAX(G72,J72),E72:J72,0)-2),"")</f>
        <v>Henna</v>
      </c>
      <c r="L72" s="2" t="str">
        <f>IFERROR(INDEX(E72:J72,0,MATCH(MAX(G72,J72),E72:J72,0)-1),"")</f>
        <v>Cody</v>
      </c>
      <c r="M72" s="1" t="str">
        <f t="shared" si="4"/>
        <v>L</v>
      </c>
      <c r="N72">
        <f t="shared" si="7"/>
        <v>15</v>
      </c>
      <c r="O72" s="63">
        <f t="shared" si="8"/>
        <v>0.2</v>
      </c>
      <c r="P72" s="63">
        <f>IFERROR(SUMIFS($G$2:G72,$H$2:H72,H72,$C$2:C72,C72)/(SUMIFS($J$2:J72,$H$2:H72,H72,$C$2:C72,C72)+SUMIFS($G$2:G72,$H$2:H72,H72,$C$2:C72,C72)),"")</f>
        <v>0.44186046511627908</v>
      </c>
    </row>
    <row r="73" spans="1:16" x14ac:dyDescent="0.25">
      <c r="A73" s="1">
        <f>IF(NOT(B73=""),MAX($A$2:A72)+1,"")</f>
        <v>72</v>
      </c>
      <c r="B73" s="3">
        <v>42660</v>
      </c>
      <c r="C73" s="3" t="str">
        <f t="shared" si="5"/>
        <v>Singles</v>
      </c>
      <c r="D73" s="7"/>
      <c r="E73" s="1" t="s">
        <v>0</v>
      </c>
      <c r="F73" s="6"/>
      <c r="G73" s="7">
        <v>10</v>
      </c>
      <c r="H73" s="6" t="s">
        <v>13</v>
      </c>
      <c r="I73" s="6"/>
      <c r="J73" s="7">
        <v>5</v>
      </c>
      <c r="K73" s="1" t="str">
        <f>IFERROR(INDEX(E73:J73,0,MATCH(MAX(G73,J73),E73:J73,0)-2),"")</f>
        <v>Kevin</v>
      </c>
      <c r="L73" s="2">
        <f>IFERROR(INDEX(E73:J73,0,MATCH(MAX(G73,J73),E73:J73,0)-1),"")</f>
        <v>0</v>
      </c>
      <c r="M73" s="1" t="str">
        <f t="shared" si="4"/>
        <v>W</v>
      </c>
      <c r="N73">
        <f t="shared" si="7"/>
        <v>16</v>
      </c>
      <c r="O73" s="63">
        <f t="shared" si="8"/>
        <v>0.2</v>
      </c>
      <c r="P73" s="63">
        <f>IFERROR(SUMIFS($G$2:G73,$H$2:H73,H73,$C$2:C73,C73)/(SUMIFS($J$2:J73,$H$2:H73,H73,$C$2:C73,C73)+SUMIFS($G$2:G73,$H$2:H73,H73,$C$2:C73,C73)),"")</f>
        <v>0.69148936170212771</v>
      </c>
    </row>
    <row r="74" spans="1:16" x14ac:dyDescent="0.25">
      <c r="A74" s="1">
        <f>IF(NOT(B74=""),MAX($A$2:A73)+1,"")</f>
        <v>73</v>
      </c>
      <c r="B74" s="3">
        <v>42660</v>
      </c>
      <c r="C74" s="3" t="str">
        <f t="shared" si="5"/>
        <v>Doubles</v>
      </c>
      <c r="D74" s="7"/>
      <c r="E74" s="1" t="str">
        <f t="shared" si="6"/>
        <v>Kevin</v>
      </c>
      <c r="F74" s="6" t="s">
        <v>10</v>
      </c>
      <c r="G74" s="7">
        <v>10</v>
      </c>
      <c r="H74" s="6" t="s">
        <v>18</v>
      </c>
      <c r="I74" s="6" t="s">
        <v>13</v>
      </c>
      <c r="J74" s="7">
        <v>4</v>
      </c>
      <c r="K74" s="1" t="str">
        <f>IFERROR(INDEX(E74:J74,0,MATCH(MAX(G74,J74),E74:J74,0)-2),"")</f>
        <v>Kevin</v>
      </c>
      <c r="L74" s="2" t="str">
        <f>IFERROR(INDEX(E74:J74,0,MATCH(MAX(G74,J74),E74:J74,0)-1),"")</f>
        <v>Zong</v>
      </c>
      <c r="M74" s="1" t="str">
        <f t="shared" si="4"/>
        <v>W</v>
      </c>
      <c r="N74">
        <f t="shared" si="7"/>
        <v>17</v>
      </c>
      <c r="O74" s="63">
        <f t="shared" si="8"/>
        <v>0.2</v>
      </c>
      <c r="P74" s="63">
        <f>IFERROR(SUMIFS($G$2:G74,$H$2:H74,H74,$C$2:C74,C74)/(SUMIFS($J$2:J74,$H$2:H74,H74,$C$2:C74,C74)+SUMIFS($G$2:G74,$H$2:H74,H74,$C$2:C74,C74)),"")</f>
        <v>0.65217391304347827</v>
      </c>
    </row>
    <row r="75" spans="1:16" x14ac:dyDescent="0.25">
      <c r="A75" s="1">
        <f>IF(NOT(B75=""),MAX($A$2:A74)+1,"")</f>
        <v>74</v>
      </c>
      <c r="B75" s="3">
        <v>42661</v>
      </c>
      <c r="C75" s="3" t="str">
        <f t="shared" si="5"/>
        <v>Doubles</v>
      </c>
      <c r="D75" s="7"/>
      <c r="E75" s="1" t="s">
        <v>0</v>
      </c>
      <c r="F75" s="6" t="s">
        <v>15</v>
      </c>
      <c r="G75" s="7">
        <v>10</v>
      </c>
      <c r="H75" s="6" t="s">
        <v>16</v>
      </c>
      <c r="I75" s="6" t="s">
        <v>13</v>
      </c>
      <c r="J75" s="7">
        <v>8</v>
      </c>
      <c r="K75" s="1" t="str">
        <f>IFERROR(INDEX(E75:J75,0,MATCH(MAX(G75,J75),E75:J75,0)-2),"")</f>
        <v>Kevin</v>
      </c>
      <c r="L75" s="2" t="str">
        <f>IFERROR(INDEX(E75:J75,0,MATCH(MAX(G75,J75),E75:J75,0)-1),"")</f>
        <v>Kirby</v>
      </c>
      <c r="M75" s="1" t="str">
        <f t="shared" si="4"/>
        <v>W</v>
      </c>
      <c r="N75">
        <f t="shared" si="7"/>
        <v>18</v>
      </c>
      <c r="O75" s="63">
        <f t="shared" si="8"/>
        <v>0.2</v>
      </c>
      <c r="P75" s="63">
        <f>IFERROR(SUMIFS($G$2:G75,$H$2:H75,H75,$C$2:C75,C75)/(SUMIFS($J$2:J75,$H$2:H75,H75,$C$2:C75,C75)+SUMIFS($G$2:G75,$H$2:H75,H75,$C$2:C75,C75)),"")</f>
        <v>0.5</v>
      </c>
    </row>
    <row r="76" spans="1:16" x14ac:dyDescent="0.25">
      <c r="A76" s="1">
        <f>IF(NOT(B76=""),MAX($A$2:A75)+1,"")</f>
        <v>75</v>
      </c>
      <c r="B76" s="3">
        <v>42661</v>
      </c>
      <c r="C76" s="3" t="str">
        <f t="shared" si="5"/>
        <v>Doubles</v>
      </c>
      <c r="D76" s="7"/>
      <c r="E76" s="1" t="str">
        <f t="shared" si="6"/>
        <v>Kevin</v>
      </c>
      <c r="F76" s="6" t="s">
        <v>15</v>
      </c>
      <c r="G76" s="7">
        <v>9</v>
      </c>
      <c r="H76" s="6" t="s">
        <v>18</v>
      </c>
      <c r="I76" s="6" t="s">
        <v>12</v>
      </c>
      <c r="J76" s="7">
        <v>11</v>
      </c>
      <c r="K76" s="1" t="str">
        <f>IFERROR(INDEX(E76:J76,0,MATCH(MAX(G76,J76),E76:J76,0)-2),"")</f>
        <v>Evan</v>
      </c>
      <c r="L76" s="2" t="str">
        <f>IFERROR(INDEX(E76:J76,0,MATCH(MAX(G76,J76),E76:J76,0)-1),"")</f>
        <v>Jamie</v>
      </c>
      <c r="M76" s="1" t="str">
        <f t="shared" si="4"/>
        <v>L</v>
      </c>
      <c r="N76">
        <f t="shared" si="7"/>
        <v>17</v>
      </c>
      <c r="O76" s="63">
        <f t="shared" si="8"/>
        <v>0.2</v>
      </c>
      <c r="P76" s="63">
        <f>IFERROR(SUMIFS($G$2:G76,$H$2:H76,H76,$C$2:C76,C76)/(SUMIFS($J$2:J76,$H$2:H76,H76,$C$2:C76,C76)+SUMIFS($G$2:G76,$H$2:H76,H76,$C$2:C76,C76)),"")</f>
        <v>0.6160714285714286</v>
      </c>
    </row>
    <row r="77" spans="1:16" x14ac:dyDescent="0.25">
      <c r="A77" s="1">
        <f>IF(NOT(B77=""),MAX($A$2:A76)+1,"")</f>
        <v>76</v>
      </c>
      <c r="B77" s="3">
        <v>42662</v>
      </c>
      <c r="C77" s="3" t="str">
        <f t="shared" si="5"/>
        <v>Singles</v>
      </c>
      <c r="D77" s="7"/>
      <c r="E77" s="1" t="str">
        <f t="shared" si="6"/>
        <v>Kevin</v>
      </c>
      <c r="F77" s="6"/>
      <c r="G77" s="7">
        <v>9</v>
      </c>
      <c r="H77" s="6" t="s">
        <v>14</v>
      </c>
      <c r="I77" s="6"/>
      <c r="J77" s="7">
        <v>11</v>
      </c>
      <c r="K77" s="1" t="str">
        <f>IFERROR(INDEX(E77:J77,0,MATCH(MAX(G77,J77),E77:J77,0)-2),"")</f>
        <v>Will</v>
      </c>
      <c r="L77" s="2">
        <f>IFERROR(INDEX(E77:J77,0,MATCH(MAX(G77,J77),E77:J77,0)-1),"")</f>
        <v>0</v>
      </c>
      <c r="M77" s="1" t="str">
        <f t="shared" si="4"/>
        <v>L</v>
      </c>
      <c r="N77">
        <f t="shared" si="7"/>
        <v>16</v>
      </c>
      <c r="O77" s="63">
        <f t="shared" si="8"/>
        <v>0.2</v>
      </c>
      <c r="P77" s="63">
        <f>IFERROR(SUMIFS($G$2:G77,$H$2:H77,H77,$C$2:C77,C77)/(SUMIFS($J$2:J77,$H$2:H77,H77,$C$2:C77,C77)+SUMIFS($G$2:G77,$H$2:H77,H77,$C$2:C77,C77)),"")</f>
        <v>0.40384615384615385</v>
      </c>
    </row>
    <row r="78" spans="1:16" x14ac:dyDescent="0.25">
      <c r="A78" s="1">
        <f>IF(NOT(B78=""),MAX($A$2:A77)+1,"")</f>
        <v>77</v>
      </c>
      <c r="B78" s="3">
        <v>42662</v>
      </c>
      <c r="C78" s="3" t="str">
        <f t="shared" si="5"/>
        <v>Singles</v>
      </c>
      <c r="D78" s="7"/>
      <c r="E78" s="1" t="str">
        <f t="shared" si="6"/>
        <v>Kevin</v>
      </c>
      <c r="F78" s="6"/>
      <c r="G78" s="7">
        <v>10</v>
      </c>
      <c r="H78" s="6" t="s">
        <v>12</v>
      </c>
      <c r="I78" s="6"/>
      <c r="J78" s="7">
        <v>6</v>
      </c>
      <c r="K78" s="1" t="str">
        <f>IFERROR(INDEX(E78:J78,0,MATCH(MAX(G78,J78),E78:J78,0)-2),"")</f>
        <v>Kevin</v>
      </c>
      <c r="L78" s="2">
        <f>IFERROR(INDEX(E78:J78,0,MATCH(MAX(G78,J78),E78:J78,0)-1),"")</f>
        <v>0</v>
      </c>
      <c r="M78" s="1" t="str">
        <f t="shared" si="4"/>
        <v>W</v>
      </c>
      <c r="N78">
        <f t="shared" si="7"/>
        <v>17</v>
      </c>
      <c r="O78" s="63">
        <f t="shared" si="8"/>
        <v>0.2</v>
      </c>
      <c r="P78" s="63">
        <f>IFERROR(SUMIFS($G$2:G78,$H$2:H78,H78,$C$2:C78,C78)/(SUMIFS($J$2:J78,$H$2:H78,H78,$C$2:C78,C78)+SUMIFS($G$2:G78,$H$2:H78,H78,$C$2:C78,C78)),"")</f>
        <v>0.46583850931677018</v>
      </c>
    </row>
    <row r="79" spans="1:16" x14ac:dyDescent="0.25">
      <c r="A79" s="1">
        <f>IF(NOT(B79=""),MAX($A$2:A78)+1,"")</f>
        <v>78</v>
      </c>
      <c r="B79" s="3">
        <v>42663</v>
      </c>
      <c r="C79" s="3" t="str">
        <f t="shared" si="5"/>
        <v>Singles</v>
      </c>
      <c r="D79" s="7"/>
      <c r="E79" s="1" t="str">
        <f t="shared" si="6"/>
        <v>Kevin</v>
      </c>
      <c r="F79" s="6"/>
      <c r="G79" s="7">
        <v>10</v>
      </c>
      <c r="H79" s="6" t="s">
        <v>16</v>
      </c>
      <c r="I79" s="6"/>
      <c r="J79" s="7">
        <v>2</v>
      </c>
      <c r="K79" s="1" t="str">
        <f>IFERROR(INDEX(E79:J79,0,MATCH(MAX(G79,J79),E79:J79,0)-2),"")</f>
        <v>Kevin</v>
      </c>
      <c r="L79" s="2">
        <f>IFERROR(INDEX(E79:J79,0,MATCH(MAX(G79,J79),E79:J79,0)-1),"")</f>
        <v>0</v>
      </c>
      <c r="M79" s="1" t="str">
        <f t="shared" si="4"/>
        <v>W</v>
      </c>
      <c r="N79">
        <f t="shared" si="7"/>
        <v>18</v>
      </c>
      <c r="O79" s="63">
        <f t="shared" si="8"/>
        <v>0.2</v>
      </c>
      <c r="P79" s="63">
        <f>IFERROR(SUMIFS($G$2:G79,$H$2:H79,H79,$C$2:C79,C79)/(SUMIFS($J$2:J79,$H$2:H79,H79,$C$2:C79,C79)+SUMIFS($G$2:G79,$H$2:H79,H79,$C$2:C79,C79)),"")</f>
        <v>0.45454545454545453</v>
      </c>
    </row>
    <row r="80" spans="1:16" x14ac:dyDescent="0.25">
      <c r="A80" s="1">
        <f>IF(NOT(B80=""),MAX($A$2:A79)+1,"")</f>
        <v>79</v>
      </c>
      <c r="B80" s="3">
        <v>42663</v>
      </c>
      <c r="C80" s="3" t="str">
        <f t="shared" si="5"/>
        <v>Singles</v>
      </c>
      <c r="D80" s="7"/>
      <c r="E80" s="1" t="str">
        <f t="shared" si="6"/>
        <v>Kevin</v>
      </c>
      <c r="F80" s="6"/>
      <c r="G80" s="7">
        <v>10</v>
      </c>
      <c r="H80" s="6" t="s">
        <v>13</v>
      </c>
      <c r="I80" s="6"/>
      <c r="J80" s="7">
        <v>7</v>
      </c>
      <c r="K80" s="1" t="str">
        <f>IFERROR(INDEX(E80:J80,0,MATCH(MAX(G80,J80),E80:J80,0)-2),"")</f>
        <v>Kevin</v>
      </c>
      <c r="L80" s="2">
        <f>IFERROR(INDEX(E80:J80,0,MATCH(MAX(G80,J80),E80:J80,0)-1),"")</f>
        <v>0</v>
      </c>
      <c r="M80" s="1" t="str">
        <f t="shared" si="4"/>
        <v>W</v>
      </c>
      <c r="N80">
        <f t="shared" si="7"/>
        <v>19</v>
      </c>
      <c r="O80" s="63">
        <f t="shared" si="8"/>
        <v>0.2</v>
      </c>
      <c r="P80" s="63">
        <f>IFERROR(SUMIFS($G$2:G80,$H$2:H80,H80,$C$2:C80,C80)/(SUMIFS($J$2:J80,$H$2:H80,H80,$C$2:C80,C80)+SUMIFS($G$2:G80,$H$2:H80,H80,$C$2:C80,C80)),"")</f>
        <v>0.67567567567567566</v>
      </c>
    </row>
    <row r="81" spans="1:16" x14ac:dyDescent="0.25">
      <c r="A81" s="1">
        <f>IF(NOT(B81=""),MAX($A$2:A80)+1,"")</f>
        <v>80</v>
      </c>
      <c r="B81" s="3">
        <v>42663</v>
      </c>
      <c r="C81" s="3" t="str">
        <f t="shared" si="5"/>
        <v>Doubles</v>
      </c>
      <c r="D81" s="7"/>
      <c r="E81" s="1" t="str">
        <f t="shared" si="6"/>
        <v>Kevin</v>
      </c>
      <c r="F81" s="6" t="s">
        <v>13</v>
      </c>
      <c r="G81" s="7">
        <v>10</v>
      </c>
      <c r="H81" s="6" t="s">
        <v>18</v>
      </c>
      <c r="I81" s="6" t="s">
        <v>11</v>
      </c>
      <c r="J81" s="7">
        <v>7</v>
      </c>
      <c r="K81" s="1" t="str">
        <f>IFERROR(INDEX(E81:J81,0,MATCH(MAX(G81,J81),E81:J81,0)-2),"")</f>
        <v>Kevin</v>
      </c>
      <c r="L81" s="2" t="str">
        <f>IFERROR(INDEX(E81:J81,0,MATCH(MAX(G81,J81),E81:J81,0)-1),"")</f>
        <v>Hallie</v>
      </c>
      <c r="M81" s="1" t="str">
        <f t="shared" si="4"/>
        <v>W</v>
      </c>
      <c r="N81">
        <f t="shared" si="7"/>
        <v>20</v>
      </c>
      <c r="O81" s="63">
        <f t="shared" si="8"/>
        <v>0.6</v>
      </c>
      <c r="P81" s="63">
        <f>IFERROR(SUMIFS($G$2:G81,$H$2:H81,H81,$C$2:C81,C81)/(SUMIFS($J$2:J81,$H$2:H81,H81,$C$2:C81,C81)+SUMIFS($G$2:G81,$H$2:H81,H81,$C$2:C81,C81)),"")</f>
        <v>0.61240310077519378</v>
      </c>
    </row>
    <row r="82" spans="1:16" x14ac:dyDescent="0.25">
      <c r="A82" s="1">
        <f>IF(NOT(B82=""),MAX($A$2:A81)+1,"")</f>
        <v>81</v>
      </c>
      <c r="B82" s="3">
        <v>42664</v>
      </c>
      <c r="C82" s="3" t="str">
        <f t="shared" si="5"/>
        <v>Singles</v>
      </c>
      <c r="D82" s="7" t="s">
        <v>53</v>
      </c>
      <c r="E82" s="1" t="str">
        <f t="shared" si="6"/>
        <v>Kevin</v>
      </c>
      <c r="F82" s="6"/>
      <c r="G82" s="7">
        <v>10</v>
      </c>
      <c r="H82" s="6" t="s">
        <v>14</v>
      </c>
      <c r="I82" s="6"/>
      <c r="J82" s="7">
        <v>6</v>
      </c>
      <c r="K82" s="1" t="str">
        <f>IFERROR(INDEX(E82:J82,0,MATCH(MAX(G82,J82),E82:J82,0)-2),"")</f>
        <v>Kevin</v>
      </c>
      <c r="L82" s="2">
        <f>IFERROR(INDEX(E82:J82,0,MATCH(MAX(G82,J82),E82:J82,0)-1),"")</f>
        <v>0</v>
      </c>
      <c r="M82" s="1" t="str">
        <f t="shared" si="4"/>
        <v>W</v>
      </c>
      <c r="N82">
        <f>IF(M82="","",IF(M82="W",1,IF(M82="L",-1,0))+N81)</f>
        <v>21</v>
      </c>
      <c r="O82" s="63">
        <f t="shared" si="8"/>
        <v>1</v>
      </c>
      <c r="P82" s="63">
        <f>IFERROR(SUMIFS($G$2:G82,$H$2:H82,H82,$C$2:C82,C82)/(SUMIFS($J$2:J82,$H$2:H82,H82,$C$2:C82,C82)+SUMIFS($G$2:G82,$H$2:H82,H82,$C$2:C82,C82)),"")</f>
        <v>0.42441860465116277</v>
      </c>
    </row>
    <row r="83" spans="1:16" x14ac:dyDescent="0.25">
      <c r="A83" s="1">
        <f>IF(NOT(B83=""),MAX($A$2:A82)+1,"")</f>
        <v>82</v>
      </c>
      <c r="B83" s="3">
        <v>42664</v>
      </c>
      <c r="C83" s="3" t="str">
        <f t="shared" si="5"/>
        <v>Singles</v>
      </c>
      <c r="D83" s="7" t="s">
        <v>53</v>
      </c>
      <c r="E83" s="1" t="str">
        <f t="shared" si="6"/>
        <v>Kevin</v>
      </c>
      <c r="F83" s="6"/>
      <c r="G83" s="7">
        <v>6</v>
      </c>
      <c r="H83" s="6" t="s">
        <v>12</v>
      </c>
      <c r="I83" s="6"/>
      <c r="J83" s="7">
        <v>10</v>
      </c>
      <c r="K83" s="1" t="str">
        <f>IFERROR(INDEX(E83:J83,0,MATCH(MAX(G83,J83),E83:J83,0)-2),"")</f>
        <v>Jamie</v>
      </c>
      <c r="L83" s="2">
        <f>IFERROR(INDEX(E83:J83,0,MATCH(MAX(G83,J83),E83:J83,0)-1),"")</f>
        <v>0</v>
      </c>
      <c r="M83" s="1" t="str">
        <f t="shared" si="4"/>
        <v>L</v>
      </c>
      <c r="N83">
        <f>IF(M83="","",IF(M83="W",1,IF(M83="L",-1,0))+N82)</f>
        <v>20</v>
      </c>
      <c r="O83" s="63">
        <f t="shared" si="8"/>
        <v>0.6</v>
      </c>
      <c r="P83" s="63">
        <f>IFERROR(SUMIFS($G$2:G83,$H$2:H83,H83,$C$2:C83,C83)/(SUMIFS($J$2:J83,$H$2:H83,H83,$C$2:C83,C83)+SUMIFS($G$2:G83,$H$2:H83,H83,$C$2:C83,C83)),"")</f>
        <v>0.4576271186440678</v>
      </c>
    </row>
    <row r="84" spans="1:16" x14ac:dyDescent="0.25">
      <c r="A84" s="1">
        <f>IF(NOT(B84=""),MAX($A$2:A83)+1,"")</f>
        <v>83</v>
      </c>
      <c r="B84" s="3">
        <v>42664</v>
      </c>
      <c r="C84" s="3" t="str">
        <f t="shared" si="5"/>
        <v>Singles</v>
      </c>
      <c r="D84" s="7" t="s">
        <v>53</v>
      </c>
      <c r="E84" s="1" t="str">
        <f t="shared" si="6"/>
        <v>Kevin</v>
      </c>
      <c r="F84" s="6"/>
      <c r="G84" s="7">
        <v>6</v>
      </c>
      <c r="H84" s="6" t="s">
        <v>13</v>
      </c>
      <c r="I84" s="6"/>
      <c r="J84" s="7">
        <v>4</v>
      </c>
      <c r="K84" s="1" t="str">
        <f>IFERROR(INDEX(E84:J84,0,MATCH(MAX(G84,J84),E84:J84,0)-2),"")</f>
        <v>Kevin</v>
      </c>
      <c r="L84" s="2">
        <f>IFERROR(INDEX(E84:J84,0,MATCH(MAX(G84,J84),E84:J84,0)-1),"")</f>
        <v>0</v>
      </c>
      <c r="M84" s="1" t="str">
        <f t="shared" si="4"/>
        <v>W</v>
      </c>
      <c r="N84">
        <f>IF(M84="","",IF(M84="W",1,IF(M84="L",-1,0))+N83)</f>
        <v>21</v>
      </c>
      <c r="O84" s="63">
        <f t="shared" si="8"/>
        <v>0.6</v>
      </c>
      <c r="P84" s="63">
        <f>IFERROR(SUMIFS($G$2:G84,$H$2:H84,H84,$C$2:C84,C84)/(SUMIFS($J$2:J84,$H$2:H84,H84,$C$2:C84,C84)+SUMIFS($G$2:G84,$H$2:H84,H84,$C$2:C84,C84)),"")</f>
        <v>0.66942148760330578</v>
      </c>
    </row>
    <row r="85" spans="1:16" x14ac:dyDescent="0.25">
      <c r="A85" s="1">
        <f>IF(NOT(B85=""),MAX($A$2:A84)+1,"")</f>
        <v>84</v>
      </c>
      <c r="B85" s="3">
        <v>42664</v>
      </c>
      <c r="C85" s="3" t="str">
        <f t="shared" si="5"/>
        <v>Singles</v>
      </c>
      <c r="D85" s="7" t="s">
        <v>53</v>
      </c>
      <c r="E85" s="1" t="str">
        <f t="shared" si="6"/>
        <v>Kevin</v>
      </c>
      <c r="F85" s="6"/>
      <c r="G85" s="7">
        <v>5</v>
      </c>
      <c r="H85" s="6" t="s">
        <v>13</v>
      </c>
      <c r="I85" s="6"/>
      <c r="J85" s="7">
        <v>1</v>
      </c>
      <c r="K85" s="1" t="str">
        <f>IFERROR(INDEX(E85:J85,0,MATCH(MAX(G85,J85),E85:J85,0)-2),"")</f>
        <v>Kevin</v>
      </c>
      <c r="L85" s="2">
        <f>IFERROR(INDEX(E85:J85,0,MATCH(MAX(G85,J85),E85:J85,0)-1),"")</f>
        <v>0</v>
      </c>
      <c r="M85" s="1" t="str">
        <f t="shared" si="4"/>
        <v>W</v>
      </c>
      <c r="N85">
        <f t="shared" si="7"/>
        <v>22</v>
      </c>
      <c r="O85" s="63">
        <f t="shared" si="8"/>
        <v>0.6</v>
      </c>
      <c r="P85" s="63">
        <f>IFERROR(SUMIFS($G$2:G85,$H$2:H85,H85,$C$2:C85,C85)/(SUMIFS($J$2:J85,$H$2:H85,H85,$C$2:C85,C85)+SUMIFS($G$2:G85,$H$2:H85,H85,$C$2:C85,C85)),"")</f>
        <v>0.67716535433070868</v>
      </c>
    </row>
    <row r="86" spans="1:16" x14ac:dyDescent="0.25">
      <c r="A86" s="1">
        <f>IF(NOT(B86=""),MAX($A$2:A85)+1,"")</f>
        <v>85</v>
      </c>
      <c r="B86" s="3">
        <v>42667</v>
      </c>
      <c r="C86" s="3" t="str">
        <f t="shared" si="5"/>
        <v>Singles</v>
      </c>
      <c r="D86" s="7" t="s">
        <v>53</v>
      </c>
      <c r="E86" s="1" t="str">
        <f t="shared" si="6"/>
        <v>Kevin</v>
      </c>
      <c r="F86" s="6"/>
      <c r="G86" s="7">
        <v>6</v>
      </c>
      <c r="H86" s="6" t="s">
        <v>14</v>
      </c>
      <c r="I86" s="6"/>
      <c r="J86" s="7">
        <v>10</v>
      </c>
      <c r="K86" s="1" t="str">
        <f>IFERROR(INDEX(E86:J86,0,MATCH(MAX(G86,J86),E86:J86,0)-2),"")</f>
        <v>Will</v>
      </c>
      <c r="L86" s="2">
        <f>IFERROR(INDEX(E86:J86,0,MATCH(MAX(G86,J86),E86:J86,0)-1),"")</f>
        <v>0</v>
      </c>
      <c r="M86" s="1" t="str">
        <f t="shared" si="4"/>
        <v>L</v>
      </c>
      <c r="N86">
        <f t="shared" si="7"/>
        <v>21</v>
      </c>
      <c r="O86" s="63">
        <f t="shared" si="8"/>
        <v>0.2</v>
      </c>
      <c r="P86" s="63">
        <f>IFERROR(SUMIFS($G$2:G86,$H$2:H86,H86,$C$2:C86,C86)/(SUMIFS($J$2:J86,$H$2:H86,H86,$C$2:C86,C86)+SUMIFS($G$2:G86,$H$2:H86,H86,$C$2:C86,C86)),"")</f>
        <v>0.42021276595744683</v>
      </c>
    </row>
    <row r="87" spans="1:16" x14ac:dyDescent="0.25">
      <c r="A87" s="1">
        <f>IF(NOT(B87=""),MAX($A$2:A86)+1,"")</f>
        <v>86</v>
      </c>
      <c r="B87" s="3">
        <v>42667</v>
      </c>
      <c r="C87" s="3" t="str">
        <f t="shared" si="5"/>
        <v>Singles</v>
      </c>
      <c r="D87" s="7" t="s">
        <v>53</v>
      </c>
      <c r="E87" s="1" t="str">
        <f t="shared" si="6"/>
        <v>Kevin</v>
      </c>
      <c r="F87" s="6"/>
      <c r="G87" s="7">
        <v>2</v>
      </c>
      <c r="H87" s="6" t="s">
        <v>16</v>
      </c>
      <c r="I87" s="6"/>
      <c r="J87" s="7">
        <v>10</v>
      </c>
      <c r="K87" s="1" t="str">
        <f>IFERROR(INDEX(E87:J87,0,MATCH(MAX(G87,J87),E87:J87,0)-2),"")</f>
        <v>Angela</v>
      </c>
      <c r="L87" s="2">
        <f>IFERROR(INDEX(E87:J87,0,MATCH(MAX(G87,J87),E87:J87,0)-1),"")</f>
        <v>0</v>
      </c>
      <c r="M87" s="1" t="str">
        <f t="shared" si="4"/>
        <v>L</v>
      </c>
      <c r="N87">
        <f t="shared" si="7"/>
        <v>20</v>
      </c>
      <c r="O87" s="63">
        <f t="shared" si="8"/>
        <v>-0.2</v>
      </c>
      <c r="P87" s="63">
        <f>IFERROR(SUMIFS($G$2:G87,$H$2:H87,H87,$C$2:C87,C87)/(SUMIFS($J$2:J87,$H$2:H87,H87,$C$2:C87,C87)+SUMIFS($G$2:G87,$H$2:H87,H87,$C$2:C87,C87)),"")</f>
        <v>0.35294117647058826</v>
      </c>
    </row>
    <row r="88" spans="1:16" x14ac:dyDescent="0.25">
      <c r="A88" s="1">
        <f>IF(NOT(B88=""),MAX($A$2:A87)+1,"")</f>
        <v>87</v>
      </c>
      <c r="B88" s="3">
        <v>42667</v>
      </c>
      <c r="C88" s="3" t="str">
        <f t="shared" si="5"/>
        <v>Singles</v>
      </c>
      <c r="D88" s="7" t="s">
        <v>53</v>
      </c>
      <c r="E88" s="1" t="str">
        <f t="shared" si="6"/>
        <v>Kevin</v>
      </c>
      <c r="F88" s="6"/>
      <c r="G88" s="7">
        <v>2</v>
      </c>
      <c r="H88" s="6" t="s">
        <v>22</v>
      </c>
      <c r="I88" s="6"/>
      <c r="J88" s="7">
        <v>10</v>
      </c>
      <c r="K88" s="1" t="str">
        <f>IFERROR(INDEX(E88:J88,0,MATCH(MAX(G88,J88),E88:J88,0)-2),"")</f>
        <v>Sam</v>
      </c>
      <c r="L88" s="2">
        <f>IFERROR(INDEX(E88:J88,0,MATCH(MAX(G88,J88),E88:J88,0)-1),"")</f>
        <v>0</v>
      </c>
      <c r="M88" s="1" t="str">
        <f t="shared" si="4"/>
        <v>L</v>
      </c>
      <c r="N88">
        <f t="shared" si="7"/>
        <v>19</v>
      </c>
      <c r="O88" s="63">
        <f t="shared" si="8"/>
        <v>-0.2</v>
      </c>
      <c r="P88" s="63">
        <f>IFERROR(SUMIFS($G$2:G88,$H$2:H88,H88,$C$2:C88,C88)/(SUMIFS($J$2:J88,$H$2:H88,H88,$C$2:C88,C88)+SUMIFS($G$2:G88,$H$2:H88,H88,$C$2:C88,C88)),"")</f>
        <v>0.2</v>
      </c>
    </row>
    <row r="89" spans="1:16" x14ac:dyDescent="0.25">
      <c r="A89" s="1">
        <f>IF(NOT(B89=""),MAX($A$2:A88)+1,"")</f>
        <v>88</v>
      </c>
      <c r="B89" s="3">
        <v>42667</v>
      </c>
      <c r="C89" s="3" t="str">
        <f t="shared" si="5"/>
        <v>Singles</v>
      </c>
      <c r="D89" s="7" t="s">
        <v>53</v>
      </c>
      <c r="E89" s="1" t="str">
        <f t="shared" si="6"/>
        <v>Kevin</v>
      </c>
      <c r="F89" s="6"/>
      <c r="G89" s="7">
        <v>9</v>
      </c>
      <c r="H89" s="6" t="s">
        <v>13</v>
      </c>
      <c r="I89" s="6"/>
      <c r="J89" s="7">
        <v>11</v>
      </c>
      <c r="K89" s="1" t="str">
        <f>IFERROR(INDEX(E89:J89,0,MATCH(MAX(G89,J89),E89:J89,0)-2),"")</f>
        <v>Hallie</v>
      </c>
      <c r="L89" s="2">
        <f>IFERROR(INDEX(E89:J89,0,MATCH(MAX(G89,J89),E89:J89,0)-1),"")</f>
        <v>0</v>
      </c>
      <c r="M89" s="1" t="str">
        <f t="shared" si="4"/>
        <v>L</v>
      </c>
      <c r="N89">
        <f t="shared" si="7"/>
        <v>18</v>
      </c>
      <c r="O89" s="63">
        <f t="shared" si="8"/>
        <v>-0.6</v>
      </c>
      <c r="P89" s="63">
        <f>IFERROR(SUMIFS($G$2:G89,$H$2:H89,H89,$C$2:C89,C89)/(SUMIFS($J$2:J89,$H$2:H89,H89,$C$2:C89,C89)+SUMIFS($G$2:G89,$H$2:H89,H89,$C$2:C89,C89)),"")</f>
        <v>0.6462585034013606</v>
      </c>
    </row>
    <row r="90" spans="1:16" x14ac:dyDescent="0.25">
      <c r="A90" s="1">
        <f>IF(NOT(B90=""),MAX($A$2:A89)+1,"")</f>
        <v>89</v>
      </c>
      <c r="B90" s="3">
        <v>42668</v>
      </c>
      <c r="C90" s="3" t="str">
        <f t="shared" si="5"/>
        <v>Doubles</v>
      </c>
      <c r="D90" s="7" t="s">
        <v>54</v>
      </c>
      <c r="E90" s="1" t="str">
        <f t="shared" si="6"/>
        <v>Kevin</v>
      </c>
      <c r="F90" s="6" t="s">
        <v>17</v>
      </c>
      <c r="G90" s="7">
        <v>4</v>
      </c>
      <c r="H90" s="6" t="s">
        <v>10</v>
      </c>
      <c r="I90" s="6" t="s">
        <v>16</v>
      </c>
      <c r="J90" s="7">
        <v>10</v>
      </c>
      <c r="K90" s="1" t="str">
        <f>IFERROR(INDEX(E90:J90,0,MATCH(MAX(G90,J90),E90:J90,0)-2),"")</f>
        <v>Zong</v>
      </c>
      <c r="L90" s="2" t="str">
        <f>IFERROR(INDEX(E90:J90,0,MATCH(MAX(G90,J90),E90:J90,0)-1),"")</f>
        <v>Angela</v>
      </c>
      <c r="M90" s="1" t="str">
        <f t="shared" si="4"/>
        <v>L</v>
      </c>
      <c r="N90">
        <f t="shared" si="7"/>
        <v>17</v>
      </c>
      <c r="O90" s="63">
        <f t="shared" si="8"/>
        <v>-1</v>
      </c>
      <c r="P90" s="63">
        <f>IFERROR(SUMIFS($G$2:G90,$H$2:H90,H90,$C$2:C90,C90)/(SUMIFS($J$2:J90,$H$2:H90,H90,$C$2:C90,C90)+SUMIFS($G$2:G90,$H$2:H90,H90,$C$2:C90,C90)),"")</f>
        <v>0.56842105263157894</v>
      </c>
    </row>
    <row r="91" spans="1:16" x14ac:dyDescent="0.25">
      <c r="A91" s="1">
        <f>IF(NOT(B91=""),MAX($A$2:A90)+1,"")</f>
        <v>90</v>
      </c>
      <c r="B91" s="3">
        <v>42668</v>
      </c>
      <c r="C91" s="3" t="str">
        <f t="shared" si="5"/>
        <v>Singles</v>
      </c>
      <c r="D91" s="7" t="s">
        <v>53</v>
      </c>
      <c r="E91" s="1" t="str">
        <f t="shared" si="6"/>
        <v>Kevin</v>
      </c>
      <c r="F91" s="6"/>
      <c r="G91" s="7">
        <v>10</v>
      </c>
      <c r="H91" s="6" t="s">
        <v>13</v>
      </c>
      <c r="I91" s="6"/>
      <c r="J91" s="7">
        <v>6</v>
      </c>
      <c r="K91" s="1" t="str">
        <f>IFERROR(INDEX(E91:J91,0,MATCH(MAX(G91,J91),E91:J91,0)-2),"")</f>
        <v>Kevin</v>
      </c>
      <c r="L91" s="2">
        <f>IFERROR(INDEX(E91:J91,0,MATCH(MAX(G91,J91),E91:J91,0)-1),"")</f>
        <v>0</v>
      </c>
      <c r="M91" s="1" t="str">
        <f t="shared" si="4"/>
        <v>W</v>
      </c>
      <c r="N91">
        <f t="shared" si="7"/>
        <v>18</v>
      </c>
      <c r="O91" s="63">
        <f t="shared" si="8"/>
        <v>-0.6</v>
      </c>
      <c r="P91" s="63">
        <f>IFERROR(SUMIFS($G$2:G91,$H$2:H91,H91,$C$2:C91,C91)/(SUMIFS($J$2:J91,$H$2:H91,H91,$C$2:C91,C91)+SUMIFS($G$2:G91,$H$2:H91,H91,$C$2:C91,C91)),"")</f>
        <v>0.64417177914110424</v>
      </c>
    </row>
    <row r="92" spans="1:16" x14ac:dyDescent="0.25">
      <c r="A92" s="1">
        <f>IF(NOT(B92=""),MAX($A$2:A91)+1,"")</f>
        <v>91</v>
      </c>
      <c r="B92" s="3">
        <v>42669</v>
      </c>
      <c r="C92" s="3" t="str">
        <f t="shared" si="5"/>
        <v>Singles</v>
      </c>
      <c r="D92" s="7" t="s">
        <v>54</v>
      </c>
      <c r="E92" s="1" t="str">
        <f t="shared" si="6"/>
        <v>Kevin</v>
      </c>
      <c r="F92" s="6"/>
      <c r="G92" s="7">
        <v>9</v>
      </c>
      <c r="H92" s="6" t="s">
        <v>12</v>
      </c>
      <c r="I92" s="6"/>
      <c r="J92" s="7">
        <v>11</v>
      </c>
      <c r="K92" s="1" t="str">
        <f>IFERROR(INDEX(E92:J92,0,MATCH(MAX(G92,J92),E92:J92,0)-2),"")</f>
        <v>Jamie</v>
      </c>
      <c r="L92" s="2">
        <f>IFERROR(INDEX(E92:J92,0,MATCH(MAX(G92,J92),E92:J92,0)-1),"")</f>
        <v>0</v>
      </c>
      <c r="M92" s="1" t="str">
        <f t="shared" si="4"/>
        <v>L</v>
      </c>
      <c r="N92">
        <f t="shared" si="7"/>
        <v>17</v>
      </c>
      <c r="O92" s="63">
        <f t="shared" si="8"/>
        <v>-0.6</v>
      </c>
      <c r="P92" s="63">
        <f>IFERROR(SUMIFS($G$2:G92,$H$2:H92,H92,$C$2:C92,C92)/(SUMIFS($J$2:J92,$H$2:H92,H92,$C$2:C92,C92)+SUMIFS($G$2:G92,$H$2:H92,H92,$C$2:C92,C92)),"")</f>
        <v>0.45685279187817257</v>
      </c>
    </row>
    <row r="93" spans="1:16" x14ac:dyDescent="0.25">
      <c r="A93" s="1">
        <f>IF(NOT(B93=""),MAX($A$2:A92)+1,"")</f>
        <v>92</v>
      </c>
      <c r="B93" s="3">
        <v>42670</v>
      </c>
      <c r="C93" s="3" t="str">
        <f t="shared" si="5"/>
        <v>Singles</v>
      </c>
      <c r="D93" s="7" t="s">
        <v>53</v>
      </c>
      <c r="E93" s="1" t="str">
        <f t="shared" si="6"/>
        <v>Kevin</v>
      </c>
      <c r="F93" s="6"/>
      <c r="G93" s="7">
        <v>10</v>
      </c>
      <c r="H93" s="6" t="s">
        <v>13</v>
      </c>
      <c r="I93" s="6"/>
      <c r="J93" s="7">
        <v>4</v>
      </c>
      <c r="K93" s="1" t="str">
        <f>IFERROR(INDEX(E93:J93,0,MATCH(MAX(G93,J93),E93:J93,0)-2),"")</f>
        <v>Kevin</v>
      </c>
      <c r="L93" s="2">
        <f>IFERROR(INDEX(E93:J93,0,MATCH(MAX(G93,J93),E93:J93,0)-1),"")</f>
        <v>0</v>
      </c>
      <c r="M93" s="1" t="str">
        <f t="shared" si="4"/>
        <v>W</v>
      </c>
      <c r="N93">
        <f t="shared" si="7"/>
        <v>18</v>
      </c>
      <c r="O93" s="63">
        <f t="shared" si="8"/>
        <v>-0.2</v>
      </c>
      <c r="P93" s="63">
        <f>IFERROR(SUMIFS($G$2:G93,$H$2:H93,H93,$C$2:C93,C93)/(SUMIFS($J$2:J93,$H$2:H93,H93,$C$2:C93,C93)+SUMIFS($G$2:G93,$H$2:H93,H93,$C$2:C93,C93)),"")</f>
        <v>0.64971751412429379</v>
      </c>
    </row>
    <row r="94" spans="1:16" x14ac:dyDescent="0.25">
      <c r="A94" s="1">
        <f>IF(NOT(B94=""),MAX($A$2:A93)+1,"")</f>
        <v>93</v>
      </c>
      <c r="B94" s="3">
        <v>42670</v>
      </c>
      <c r="C94" s="3" t="str">
        <f t="shared" si="5"/>
        <v>Singles</v>
      </c>
      <c r="D94" s="7" t="s">
        <v>54</v>
      </c>
      <c r="E94" s="1" t="str">
        <f t="shared" si="6"/>
        <v>Kevin</v>
      </c>
      <c r="F94" s="6"/>
      <c r="G94" s="7">
        <v>9</v>
      </c>
      <c r="H94" s="6" t="s">
        <v>14</v>
      </c>
      <c r="I94" s="6"/>
      <c r="J94" s="7">
        <v>11</v>
      </c>
      <c r="K94" s="1" t="str">
        <f>IFERROR(INDEX(E94:J94,0,MATCH(MAX(G94,J94),E94:J94,0)-2),"")</f>
        <v>Will</v>
      </c>
      <c r="L94" s="2">
        <f>IFERROR(INDEX(E94:J94,0,MATCH(MAX(G94,J94),E94:J94,0)-1),"")</f>
        <v>0</v>
      </c>
      <c r="M94" s="1" t="str">
        <f t="shared" si="4"/>
        <v>L</v>
      </c>
      <c r="N94">
        <f t="shared" si="7"/>
        <v>17</v>
      </c>
      <c r="O94" s="63">
        <f t="shared" si="8"/>
        <v>-0.2</v>
      </c>
      <c r="P94" s="63">
        <f>IFERROR(SUMIFS($G$2:G94,$H$2:H94,H94,$C$2:C94,C94)/(SUMIFS($J$2:J94,$H$2:H94,H94,$C$2:C94,C94)+SUMIFS($G$2:G94,$H$2:H94,H94,$C$2:C94,C94)),"")</f>
        <v>0.42307692307692307</v>
      </c>
    </row>
    <row r="95" spans="1:16" x14ac:dyDescent="0.25">
      <c r="A95" s="1">
        <f>IF(NOT(B95=""),MAX($A$2:A94)+1,"")</f>
        <v>94</v>
      </c>
      <c r="B95" s="3">
        <v>42670</v>
      </c>
      <c r="C95" s="3" t="str">
        <f t="shared" si="5"/>
        <v>Doubles</v>
      </c>
      <c r="D95" s="7" t="s">
        <v>53</v>
      </c>
      <c r="E95" s="1" t="str">
        <f t="shared" si="6"/>
        <v>Kevin</v>
      </c>
      <c r="F95" s="6" t="s">
        <v>12</v>
      </c>
      <c r="G95" s="7">
        <v>7</v>
      </c>
      <c r="H95" s="6" t="s">
        <v>15</v>
      </c>
      <c r="I95" s="6" t="s">
        <v>18</v>
      </c>
      <c r="J95" s="7">
        <v>10</v>
      </c>
      <c r="K95" s="1" t="str">
        <f>IFERROR(INDEX(E95:J95,0,MATCH(MAX(G95,J95),E95:J95,0)-2),"")</f>
        <v>Kirby</v>
      </c>
      <c r="L95" s="2" t="str">
        <f>IFERROR(INDEX(E95:J95,0,MATCH(MAX(G95,J95),E95:J95,0)-1),"")</f>
        <v>Evan</v>
      </c>
      <c r="M95" s="1" t="str">
        <f t="shared" si="4"/>
        <v>L</v>
      </c>
      <c r="N95">
        <f t="shared" si="7"/>
        <v>16</v>
      </c>
      <c r="O95" s="63">
        <f t="shared" si="8"/>
        <v>-0.2</v>
      </c>
      <c r="P95" s="63">
        <f>IFERROR(SUMIFS($G$2:G95,$H$2:H95,H95,$C$2:C95,C95)/(SUMIFS($J$2:J95,$H$2:H95,H95,$C$2:C95,C95)+SUMIFS($G$2:G95,$H$2:H95,H95,$C$2:C95,C95)),"")</f>
        <v>0.55555555555555558</v>
      </c>
    </row>
    <row r="96" spans="1:16" x14ac:dyDescent="0.25">
      <c r="A96" s="1">
        <f>IF(NOT(B96=""),MAX($A$2:A95)+1,"")</f>
        <v>95</v>
      </c>
      <c r="B96" s="3">
        <v>42671</v>
      </c>
      <c r="C96" s="3" t="str">
        <f t="shared" si="5"/>
        <v>Singles</v>
      </c>
      <c r="D96" s="7"/>
      <c r="E96" s="1" t="str">
        <f t="shared" si="6"/>
        <v>Kevin</v>
      </c>
      <c r="F96" s="6"/>
      <c r="G96" s="7">
        <v>10</v>
      </c>
      <c r="H96" s="6" t="s">
        <v>14</v>
      </c>
      <c r="I96" s="6"/>
      <c r="J96" s="7">
        <v>8</v>
      </c>
      <c r="K96" s="1" t="str">
        <f>IFERROR(INDEX(E96:J96,0,MATCH(MAX(G96,J96),E96:J96,0)-2),"")</f>
        <v>Kevin</v>
      </c>
      <c r="L96" s="2">
        <f>IFERROR(INDEX(E96:J96,0,MATCH(MAX(G96,J96),E96:J96,0)-1),"")</f>
        <v>0</v>
      </c>
      <c r="M96" s="1" t="str">
        <f t="shared" si="4"/>
        <v>W</v>
      </c>
      <c r="N96">
        <f t="shared" si="7"/>
        <v>17</v>
      </c>
      <c r="O96" s="63">
        <f t="shared" si="8"/>
        <v>-0.2</v>
      </c>
      <c r="P96" s="63">
        <f>IFERROR(SUMIFS($G$2:G96,$H$2:H96,H96,$C$2:C96,C96)/(SUMIFS($J$2:J96,$H$2:H96,H96,$C$2:C96,C96)+SUMIFS($G$2:G96,$H$2:H96,H96,$C$2:C96,C96)),"")</f>
        <v>0.4336283185840708</v>
      </c>
    </row>
    <row r="97" spans="1:16" x14ac:dyDescent="0.25">
      <c r="A97" s="1">
        <f>IF(NOT(B97=""),MAX($A$2:A96)+1,"")</f>
        <v>96</v>
      </c>
      <c r="B97" s="3">
        <v>42671</v>
      </c>
      <c r="C97" s="3" t="str">
        <f t="shared" si="5"/>
        <v>Doubles</v>
      </c>
      <c r="D97" s="7" t="s">
        <v>53</v>
      </c>
      <c r="E97" s="1" t="str">
        <f t="shared" si="6"/>
        <v>Kevin</v>
      </c>
      <c r="F97" s="6" t="s">
        <v>17</v>
      </c>
      <c r="G97" s="7">
        <v>10</v>
      </c>
      <c r="H97" s="6" t="s">
        <v>13</v>
      </c>
      <c r="I97" s="6" t="s">
        <v>18</v>
      </c>
      <c r="J97" s="7">
        <v>8</v>
      </c>
      <c r="K97" s="1" t="str">
        <f>IFERROR(INDEX(E97:J97,0,MATCH(MAX(G97,J97),E97:J97,0)-2),"")</f>
        <v>Kevin</v>
      </c>
      <c r="L97" s="2" t="str">
        <f>IFERROR(INDEX(E97:J97,0,MATCH(MAX(G97,J97),E97:J97,0)-1),"")</f>
        <v>Andrea</v>
      </c>
      <c r="M97" s="1" t="str">
        <f t="shared" si="4"/>
        <v>W</v>
      </c>
      <c r="N97">
        <f t="shared" si="7"/>
        <v>18</v>
      </c>
      <c r="O97" s="63">
        <f t="shared" si="8"/>
        <v>0.2</v>
      </c>
      <c r="P97" s="63">
        <f>IFERROR(SUMIFS($G$2:G97,$H$2:H97,H97,$C$2:C97,C97)/(SUMIFS($J$2:J97,$H$2:H97,H97,$C$2:C97,C97)+SUMIFS($G$2:G97,$H$2:H97,H97,$C$2:C97,C97)),"")</f>
        <v>0.5074626865671642</v>
      </c>
    </row>
    <row r="98" spans="1:16" x14ac:dyDescent="0.25">
      <c r="A98" s="1">
        <f>IF(NOT(B98=""),MAX($A$2:A97)+1,"")</f>
        <v>97</v>
      </c>
      <c r="B98" s="3">
        <v>42671</v>
      </c>
      <c r="C98" s="3" t="str">
        <f t="shared" si="5"/>
        <v>Doubles</v>
      </c>
      <c r="D98" s="7" t="s">
        <v>53</v>
      </c>
      <c r="E98" s="1" t="str">
        <f t="shared" si="6"/>
        <v>Kevin</v>
      </c>
      <c r="F98" s="6" t="s">
        <v>17</v>
      </c>
      <c r="G98" s="7">
        <v>6</v>
      </c>
      <c r="H98" s="6" t="s">
        <v>13</v>
      </c>
      <c r="I98" s="6" t="s">
        <v>18</v>
      </c>
      <c r="J98" s="7">
        <v>4</v>
      </c>
      <c r="K98" s="1" t="str">
        <f>IFERROR(INDEX(E98:J98,0,MATCH(MAX(G98,J98),E98:J98,0)-2),"")</f>
        <v>Kevin</v>
      </c>
      <c r="L98" s="2" t="str">
        <f>IFERROR(INDEX(E98:J98,0,MATCH(MAX(G98,J98),E98:J98,0)-1),"")</f>
        <v>Andrea</v>
      </c>
      <c r="M98" s="1" t="str">
        <f t="shared" si="4"/>
        <v>W</v>
      </c>
      <c r="N98">
        <f t="shared" si="7"/>
        <v>19</v>
      </c>
      <c r="O98" s="63">
        <f t="shared" si="8"/>
        <v>0.2</v>
      </c>
      <c r="P98" s="63">
        <f>IFERROR(SUMIFS($G$2:G98,$H$2:H98,H98,$C$2:C98,C98)/(SUMIFS($J$2:J98,$H$2:H98,H98,$C$2:C98,C98)+SUMIFS($G$2:G98,$H$2:H98,H98,$C$2:C98,C98)),"")</f>
        <v>0.51948051948051943</v>
      </c>
    </row>
    <row r="99" spans="1:16" x14ac:dyDescent="0.25">
      <c r="A99" s="1">
        <f>IF(NOT(B99=""),MAX($A$2:A98)+1,"")</f>
        <v>98</v>
      </c>
      <c r="B99" s="3">
        <v>42671</v>
      </c>
      <c r="C99" s="3" t="str">
        <f t="shared" si="5"/>
        <v>Doubles</v>
      </c>
      <c r="D99" s="7" t="s">
        <v>53</v>
      </c>
      <c r="E99" s="1" t="str">
        <f t="shared" si="6"/>
        <v>Kevin</v>
      </c>
      <c r="F99" s="6" t="s">
        <v>17</v>
      </c>
      <c r="G99" s="7">
        <v>7</v>
      </c>
      <c r="H99" s="6" t="s">
        <v>16</v>
      </c>
      <c r="I99" s="6" t="s">
        <v>13</v>
      </c>
      <c r="J99" s="7">
        <v>10</v>
      </c>
      <c r="K99" s="1" t="str">
        <f>IFERROR(INDEX(E99:J99,0,MATCH(MAX(G99,J99),E99:J99,0)-2),"")</f>
        <v>Angela</v>
      </c>
      <c r="L99" s="2" t="str">
        <f>IFERROR(INDEX(E99:J99,0,MATCH(MAX(G99,J99),E99:J99,0)-1),"")</f>
        <v>Hallie</v>
      </c>
      <c r="M99" s="1" t="str">
        <f t="shared" si="4"/>
        <v>L</v>
      </c>
      <c r="N99">
        <f t="shared" si="7"/>
        <v>18</v>
      </c>
      <c r="O99" s="63">
        <f t="shared" si="8"/>
        <v>0.2</v>
      </c>
      <c r="P99" s="63">
        <f>IFERROR(SUMIFS($G$2:G99,$H$2:H99,H99,$C$2:C99,C99)/(SUMIFS($J$2:J99,$H$2:H99,H99,$C$2:C99,C99)+SUMIFS($G$2:G99,$H$2:H99,H99,$C$2:C99,C99)),"")</f>
        <v>0.48351648351648352</v>
      </c>
    </row>
    <row r="100" spans="1:16" x14ac:dyDescent="0.25">
      <c r="A100" s="1">
        <f>IF(NOT(B100=""),MAX($A$2:A99)+1,"")</f>
        <v>99</v>
      </c>
      <c r="B100" s="3">
        <v>42671</v>
      </c>
      <c r="C100" s="3" t="str">
        <f t="shared" si="5"/>
        <v>Doubles</v>
      </c>
      <c r="D100" s="7" t="s">
        <v>53</v>
      </c>
      <c r="E100" s="1" t="str">
        <f t="shared" si="6"/>
        <v>Kevin</v>
      </c>
      <c r="F100" s="6" t="s">
        <v>17</v>
      </c>
      <c r="G100" s="7">
        <v>10</v>
      </c>
      <c r="H100" s="6" t="s">
        <v>10</v>
      </c>
      <c r="I100" s="6" t="s">
        <v>13</v>
      </c>
      <c r="J100" s="7">
        <v>8</v>
      </c>
      <c r="K100" s="1" t="str">
        <f>IFERROR(INDEX(E100:J100,0,MATCH(MAX(G100,J100),E100:J100,0)-2),"")</f>
        <v>Kevin</v>
      </c>
      <c r="L100" s="2" t="str">
        <f>IFERROR(INDEX(E100:J100,0,MATCH(MAX(G100,J100),E100:J100,0)-1),"")</f>
        <v>Andrea</v>
      </c>
      <c r="M100" s="1" t="str">
        <f t="shared" si="4"/>
        <v>W</v>
      </c>
      <c r="N100">
        <f t="shared" si="7"/>
        <v>19</v>
      </c>
      <c r="O100" s="63">
        <f t="shared" si="8"/>
        <v>0.6</v>
      </c>
      <c r="P100" s="63">
        <f>IFERROR(SUMIFS($G$2:G100,$H$2:H100,H100,$C$2:C100,C100)/(SUMIFS($J$2:J100,$H$2:H100,H100,$C$2:C100,C100)+SUMIFS($G$2:G100,$H$2:H100,H100,$C$2:C100,C100)),"")</f>
        <v>0.5663716814159292</v>
      </c>
    </row>
    <row r="101" spans="1:16" x14ac:dyDescent="0.25">
      <c r="A101" s="1">
        <f>IF(NOT(B101=""),MAX($A$2:A100)+1,"")</f>
        <v>100</v>
      </c>
      <c r="B101" s="3">
        <v>42674</v>
      </c>
      <c r="C101" s="3" t="str">
        <f t="shared" si="5"/>
        <v>Singles</v>
      </c>
      <c r="D101" s="7" t="s">
        <v>54</v>
      </c>
      <c r="E101" s="1" t="str">
        <f t="shared" si="6"/>
        <v>Kevin</v>
      </c>
      <c r="F101" s="6"/>
      <c r="G101" s="7">
        <v>10</v>
      </c>
      <c r="H101" s="6" t="s">
        <v>10</v>
      </c>
      <c r="I101" s="6"/>
      <c r="J101" s="7">
        <v>6</v>
      </c>
      <c r="K101" s="1" t="str">
        <f>IFERROR(INDEX(E101:J101,0,MATCH(MAX(G101,J101),E101:J101,0)-2),"")</f>
        <v>Kevin</v>
      </c>
      <c r="L101" s="2">
        <f>IFERROR(INDEX(E101:J101,0,MATCH(MAX(G101,J101),E101:J101,0)-1),"")</f>
        <v>0</v>
      </c>
      <c r="M101" s="1" t="str">
        <f t="shared" si="4"/>
        <v>W</v>
      </c>
      <c r="N101">
        <f t="shared" si="7"/>
        <v>20</v>
      </c>
      <c r="O101" s="63">
        <f t="shared" si="8"/>
        <v>0.6</v>
      </c>
      <c r="P101" s="63">
        <f>IFERROR(SUMIFS($G$2:G101,$H$2:H101,H101,$C$2:C101,C101)/(SUMIFS($J$2:J101,$H$2:H101,H101,$C$2:C101,C101)+SUMIFS($G$2:G101,$H$2:H101,H101,$C$2:C101,C101)),"")</f>
        <v>0.63157894736842102</v>
      </c>
    </row>
    <row r="102" spans="1:16" x14ac:dyDescent="0.25">
      <c r="A102" s="1">
        <f>IF(NOT(B102=""),MAX($A$2:A101)+1,"")</f>
        <v>101</v>
      </c>
      <c r="B102" s="3">
        <v>42674</v>
      </c>
      <c r="C102" s="3" t="str">
        <f t="shared" si="5"/>
        <v>Singles</v>
      </c>
      <c r="D102" s="7" t="s">
        <v>53</v>
      </c>
      <c r="E102" s="1" t="str">
        <f t="shared" si="6"/>
        <v>Kevin</v>
      </c>
      <c r="F102" s="6"/>
      <c r="G102" s="7">
        <v>10</v>
      </c>
      <c r="H102" s="6" t="s">
        <v>18</v>
      </c>
      <c r="I102" s="6"/>
      <c r="J102" s="7">
        <v>6</v>
      </c>
      <c r="K102" s="1" t="str">
        <f>IFERROR(INDEX(E102:J102,0,MATCH(MAX(G102,J102),E102:J102,0)-2),"")</f>
        <v>Kevin</v>
      </c>
      <c r="L102" s="2">
        <f>IFERROR(INDEX(E102:J102,0,MATCH(MAX(G102,J102),E102:J102,0)-1),"")</f>
        <v>0</v>
      </c>
      <c r="M102" s="1" t="str">
        <f t="shared" si="4"/>
        <v>W</v>
      </c>
      <c r="N102">
        <f t="shared" si="7"/>
        <v>21</v>
      </c>
      <c r="O102" s="63">
        <f t="shared" si="8"/>
        <v>0.6</v>
      </c>
      <c r="P102" s="63">
        <f>IFERROR(SUMIFS($G$2:G102,$H$2:H102,H102,$C$2:C102,C102)/(SUMIFS($J$2:J102,$H$2:H102,H102,$C$2:C102,C102)+SUMIFS($G$2:G102,$H$2:H102,H102,$C$2:C102,C102)),"")</f>
        <v>0.68965517241379315</v>
      </c>
    </row>
    <row r="103" spans="1:16" x14ac:dyDescent="0.25">
      <c r="A103" s="1">
        <f>IF(NOT(B103=""),MAX($A$2:A102)+1,"")</f>
        <v>102</v>
      </c>
      <c r="B103" s="3">
        <v>42674</v>
      </c>
      <c r="C103" s="3" t="str">
        <f t="shared" si="5"/>
        <v>Singles</v>
      </c>
      <c r="D103" s="7" t="s">
        <v>54</v>
      </c>
      <c r="E103" s="1" t="str">
        <f t="shared" si="6"/>
        <v>Kevin</v>
      </c>
      <c r="F103" s="6"/>
      <c r="G103" s="7">
        <v>10</v>
      </c>
      <c r="H103" s="6" t="s">
        <v>13</v>
      </c>
      <c r="I103" s="6"/>
      <c r="J103" s="7">
        <v>5</v>
      </c>
      <c r="K103" s="1" t="str">
        <f>IFERROR(INDEX(E103:J103,0,MATCH(MAX(G103,J103),E103:J103,0)-2),"")</f>
        <v>Kevin</v>
      </c>
      <c r="L103" s="2">
        <f>IFERROR(INDEX(E103:J103,0,MATCH(MAX(G103,J103),E103:J103,0)-1),"")</f>
        <v>0</v>
      </c>
      <c r="M103" s="1" t="str">
        <f t="shared" si="4"/>
        <v>W</v>
      </c>
      <c r="N103">
        <f t="shared" si="7"/>
        <v>22</v>
      </c>
      <c r="O103" s="63">
        <f t="shared" si="8"/>
        <v>0.6</v>
      </c>
      <c r="P103" s="63">
        <f>IFERROR(SUMIFS($G$2:G103,$H$2:H103,H103,$C$2:C103,C103)/(SUMIFS($J$2:J103,$H$2:H103,H103,$C$2:C103,C103)+SUMIFS($G$2:G103,$H$2:H103,H103,$C$2:C103,C103)),"")</f>
        <v>0.65104166666666663</v>
      </c>
    </row>
    <row r="104" spans="1:16" x14ac:dyDescent="0.25">
      <c r="A104" s="1">
        <f>IF(NOT(B104=""),MAX($A$2:A103)+1,"")</f>
        <v>103</v>
      </c>
      <c r="B104" s="3">
        <v>42674</v>
      </c>
      <c r="C104" s="3" t="str">
        <f t="shared" si="5"/>
        <v>Singles</v>
      </c>
      <c r="D104" s="7" t="s">
        <v>53</v>
      </c>
      <c r="E104" s="1" t="str">
        <f t="shared" si="6"/>
        <v>Kevin</v>
      </c>
      <c r="F104" s="6"/>
      <c r="G104" s="7">
        <v>10</v>
      </c>
      <c r="H104" s="6" t="s">
        <v>14</v>
      </c>
      <c r="I104" s="6"/>
      <c r="J104" s="7">
        <v>3</v>
      </c>
      <c r="K104" s="1" t="str">
        <f>IFERROR(INDEX(E104:J104,0,MATCH(MAX(G104,J104),E104:J104,0)-2),"")</f>
        <v>Kevin</v>
      </c>
      <c r="L104" s="2">
        <f>IFERROR(INDEX(E104:J104,0,MATCH(MAX(G104,J104),E104:J104,0)-1),"")</f>
        <v>0</v>
      </c>
      <c r="M104" s="1" t="str">
        <f t="shared" si="4"/>
        <v>W</v>
      </c>
      <c r="N104">
        <f t="shared" si="7"/>
        <v>23</v>
      </c>
      <c r="O104" s="63">
        <f t="shared" si="8"/>
        <v>1</v>
      </c>
      <c r="P104" s="63">
        <f>IFERROR(SUMIFS($G$2:G104,$H$2:H104,H104,$C$2:C104,C104)/(SUMIFS($J$2:J104,$H$2:H104,H104,$C$2:C104,C104)+SUMIFS($G$2:G104,$H$2:H104,H104,$C$2:C104,C104)),"")</f>
        <v>0.45188284518828453</v>
      </c>
    </row>
    <row r="105" spans="1:16" x14ac:dyDescent="0.25">
      <c r="A105" s="1">
        <f>IF(NOT(B105=""),MAX($A$2:A104)+1,"")</f>
        <v>104</v>
      </c>
      <c r="B105" s="3">
        <v>42674</v>
      </c>
      <c r="C105" s="3" t="str">
        <f t="shared" si="5"/>
        <v>Doubles</v>
      </c>
      <c r="D105" s="7" t="s">
        <v>53</v>
      </c>
      <c r="E105" s="1" t="str">
        <f t="shared" si="6"/>
        <v>Kevin</v>
      </c>
      <c r="F105" s="6" t="s">
        <v>12</v>
      </c>
      <c r="G105" s="7">
        <v>6</v>
      </c>
      <c r="H105" s="6" t="s">
        <v>15</v>
      </c>
      <c r="I105" s="6" t="s">
        <v>16</v>
      </c>
      <c r="J105" s="7">
        <v>10</v>
      </c>
      <c r="K105" s="1" t="str">
        <f>IFERROR(INDEX(E105:J105,0,MATCH(MAX(G105,J105),E105:J105,0)-2),"")</f>
        <v>Kirby</v>
      </c>
      <c r="L105" s="2" t="str">
        <f>IFERROR(INDEX(E105:J105,0,MATCH(MAX(G105,J105),E105:J105,0)-1),"")</f>
        <v>Angela</v>
      </c>
      <c r="M105" s="1" t="str">
        <f t="shared" si="4"/>
        <v>L</v>
      </c>
      <c r="N105">
        <f t="shared" si="7"/>
        <v>22</v>
      </c>
      <c r="O105" s="63">
        <f t="shared" si="8"/>
        <v>0.6</v>
      </c>
      <c r="P105" s="63">
        <f>IFERROR(SUMIFS($G$2:G105,$H$2:H105,H105,$C$2:C105,C105)/(SUMIFS($J$2:J105,$H$2:H105,H105,$C$2:C105,C105)+SUMIFS($G$2:G105,$H$2:H105,H105,$C$2:C105,C105)),"")</f>
        <v>0.53521126760563376</v>
      </c>
    </row>
    <row r="106" spans="1:16" x14ac:dyDescent="0.25">
      <c r="A106" s="1">
        <f>IF(NOT(B106=""),MAX($A$2:A105)+1,"")</f>
        <v>105</v>
      </c>
      <c r="B106" s="3">
        <v>42674</v>
      </c>
      <c r="C106" s="3" t="str">
        <f t="shared" si="5"/>
        <v>Doubles</v>
      </c>
      <c r="D106" s="7" t="s">
        <v>53</v>
      </c>
      <c r="E106" s="1" t="s">
        <v>0</v>
      </c>
      <c r="F106" s="6" t="s">
        <v>11</v>
      </c>
      <c r="G106" s="7">
        <v>1</v>
      </c>
      <c r="H106" s="6" t="s">
        <v>15</v>
      </c>
      <c r="I106" s="6" t="s">
        <v>10</v>
      </c>
      <c r="J106" s="7">
        <v>5</v>
      </c>
      <c r="K106" s="1" t="str">
        <f>IFERROR(INDEX(E106:J106,0,MATCH(MAX(G106,J106),E106:J106,0)-2),"")</f>
        <v>Kirby</v>
      </c>
      <c r="L106" s="2" t="str">
        <f>IFERROR(INDEX(E106:J106,0,MATCH(MAX(G106,J106),E106:J106,0)-1),"")</f>
        <v>Zong</v>
      </c>
      <c r="M106" s="1" t="str">
        <f t="shared" ref="M106:M169" si="9">IF(K106="Kevin","W",IF(K106="","","L"))</f>
        <v>L</v>
      </c>
      <c r="N106">
        <f t="shared" si="7"/>
        <v>21</v>
      </c>
      <c r="O106" s="63">
        <f t="shared" si="8"/>
        <v>0.2</v>
      </c>
      <c r="P106" s="63">
        <f>IFERROR(SUMIFS($G$2:G106,$H$2:H106,H106,$C$2:C106,C106)/(SUMIFS($J$2:J106,$H$2:H106,H106,$C$2:C106,C106)+SUMIFS($G$2:G106,$H$2:H106,H106,$C$2:C106,C106)),"")</f>
        <v>0.52027027027027029</v>
      </c>
    </row>
    <row r="107" spans="1:16" x14ac:dyDescent="0.25">
      <c r="A107" s="1">
        <f>IF(NOT(B107=""),MAX($A$2:A106)+1,"")</f>
        <v>106</v>
      </c>
      <c r="B107" s="3">
        <v>42675</v>
      </c>
      <c r="C107" s="3" t="str">
        <f t="shared" si="5"/>
        <v>Singles</v>
      </c>
      <c r="D107" s="7" t="s">
        <v>53</v>
      </c>
      <c r="E107" s="1" t="str">
        <f t="shared" si="6"/>
        <v>Kevin</v>
      </c>
      <c r="F107" s="6"/>
      <c r="G107" s="7">
        <v>6</v>
      </c>
      <c r="H107" s="6" t="s">
        <v>14</v>
      </c>
      <c r="I107" s="6"/>
      <c r="J107" s="7">
        <v>10</v>
      </c>
      <c r="K107" s="1" t="str">
        <f>IFERROR(INDEX(E107:J107,0,MATCH(MAX(G107,J107),E107:J107,0)-2),"")</f>
        <v>Will</v>
      </c>
      <c r="L107" s="2">
        <f>IFERROR(INDEX(E107:J107,0,MATCH(MAX(G107,J107),E107:J107,0)-1),"")</f>
        <v>0</v>
      </c>
      <c r="M107" s="1" t="str">
        <f t="shared" si="9"/>
        <v>L</v>
      </c>
      <c r="N107">
        <f t="shared" si="7"/>
        <v>20</v>
      </c>
      <c r="O107" s="63">
        <f t="shared" si="8"/>
        <v>-0.2</v>
      </c>
      <c r="P107" s="63">
        <f>IFERROR(SUMIFS($G$2:G107,$H$2:H107,H107,$C$2:C107,C107)/(SUMIFS($J$2:J107,$H$2:H107,H107,$C$2:C107,C107)+SUMIFS($G$2:G107,$H$2:H107,H107,$C$2:C107,C107)),"")</f>
        <v>0.44705882352941179</v>
      </c>
    </row>
    <row r="108" spans="1:16" x14ac:dyDescent="0.25">
      <c r="A108" s="1">
        <f>IF(NOT(B108=""),MAX($A$2:A107)+1,"")</f>
        <v>107</v>
      </c>
      <c r="B108" s="3">
        <v>42675</v>
      </c>
      <c r="C108" s="3" t="str">
        <f>IF(AND(ISBLANK(I108),NOT(ISBLANK(H108))),"Singles",IF(ISBLANK(H108),"","Doubles"))</f>
        <v>Singles</v>
      </c>
      <c r="D108" s="7" t="s">
        <v>54</v>
      </c>
      <c r="E108" s="1" t="str">
        <f t="shared" si="6"/>
        <v>Kevin</v>
      </c>
      <c r="F108" s="6"/>
      <c r="G108" s="7">
        <v>10</v>
      </c>
      <c r="H108" s="6" t="s">
        <v>10</v>
      </c>
      <c r="I108" s="6"/>
      <c r="J108" s="7">
        <v>8</v>
      </c>
      <c r="K108" s="1" t="str">
        <f>IFERROR(INDEX(E108:J108,0,MATCH(MAX(G108,J108),E108:J108,0)-2),"")</f>
        <v>Kevin</v>
      </c>
      <c r="L108" s="2">
        <f>IFERROR(INDEX(E108:J108,0,MATCH(MAX(G108,J108),E108:J108,0)-1),"")</f>
        <v>0</v>
      </c>
      <c r="M108" s="1" t="str">
        <f t="shared" si="9"/>
        <v>W</v>
      </c>
      <c r="N108">
        <f t="shared" si="7"/>
        <v>21</v>
      </c>
      <c r="O108" s="63">
        <f t="shared" si="8"/>
        <v>-0.2</v>
      </c>
      <c r="P108" s="63">
        <f>IFERROR(SUMIFS($G$2:G108,$H$2:H108,H108,$C$2:C108,C108)/(SUMIFS($J$2:J108,$H$2:H108,H108,$C$2:C108,C108)+SUMIFS($G$2:G108,$H$2:H108,H108,$C$2:C108,C108)),"")</f>
        <v>0.61946902654867253</v>
      </c>
    </row>
    <row r="109" spans="1:16" x14ac:dyDescent="0.25">
      <c r="A109" s="1">
        <f>IF(NOT(B109=""),MAX($A$2:A108)+1,"")</f>
        <v>108</v>
      </c>
      <c r="B109" s="3">
        <v>42675</v>
      </c>
      <c r="C109" s="3" t="str">
        <f>IF(AND(ISBLANK(I109),NOT(ISBLANK(H109))),"Singles",IF(ISBLANK(H109),"","Doubles"))</f>
        <v>Doubles</v>
      </c>
      <c r="D109" s="7" t="s">
        <v>53</v>
      </c>
      <c r="E109" s="1" t="s">
        <v>0</v>
      </c>
      <c r="F109" s="6" t="s">
        <v>19</v>
      </c>
      <c r="G109" s="7">
        <v>1</v>
      </c>
      <c r="H109" s="6" t="s">
        <v>16</v>
      </c>
      <c r="I109" s="6" t="s">
        <v>13</v>
      </c>
      <c r="J109" s="7">
        <v>10</v>
      </c>
      <c r="K109" s="1" t="str">
        <f>IFERROR(INDEX(E109:J109,0,MATCH(MAX(G109,J109),E109:J109,0)-2),"")</f>
        <v>Angela</v>
      </c>
      <c r="L109" s="2" t="str">
        <f>IFERROR(INDEX(E109:J109,0,MATCH(MAX(G109,J109),E109:J109,0)-1),"")</f>
        <v>Hallie</v>
      </c>
      <c r="M109" s="1" t="str">
        <f t="shared" si="9"/>
        <v>L</v>
      </c>
      <c r="N109">
        <f t="shared" si="7"/>
        <v>20</v>
      </c>
      <c r="O109" s="63">
        <f t="shared" si="8"/>
        <v>-0.6</v>
      </c>
      <c r="P109" s="63">
        <f>IFERROR(SUMIFS($G$2:G109,$H$2:H109,H109,$C$2:C109,C109)/(SUMIFS($J$2:J109,$H$2:H109,H109,$C$2:C109,C109)+SUMIFS($G$2:G109,$H$2:H109,H109,$C$2:C109,C109)),"")</f>
        <v>0.44117647058823528</v>
      </c>
    </row>
    <row r="110" spans="1:16" x14ac:dyDescent="0.25">
      <c r="A110" s="1">
        <f>IF(NOT(B110=""),MAX($A$2:A109)+1,"")</f>
        <v>109</v>
      </c>
      <c r="B110" s="3">
        <v>42675</v>
      </c>
      <c r="C110" s="3" t="str">
        <f>IF(AND(ISBLANK(I110),NOT(ISBLANK(H110))),"Singles",IF(ISBLANK(H110),"","Doubles"))</f>
        <v>Singles</v>
      </c>
      <c r="D110" s="7" t="s">
        <v>54</v>
      </c>
      <c r="E110" s="1" t="str">
        <f t="shared" ref="E110:E172" si="10">IF(ISBLANK(H110),"","Kevin")</f>
        <v>Kevin</v>
      </c>
      <c r="F110" s="6"/>
      <c r="G110" s="7">
        <v>10</v>
      </c>
      <c r="H110" s="6" t="s">
        <v>12</v>
      </c>
      <c r="I110" s="6"/>
      <c r="J110" s="7">
        <v>3</v>
      </c>
      <c r="K110" s="1" t="str">
        <f>IFERROR(INDEX(E110:J110,0,MATCH(MAX(G110,J110),E110:J110,0)-2),"")</f>
        <v>Kevin</v>
      </c>
      <c r="L110" s="2">
        <f>IFERROR(INDEX(E110:J110,0,MATCH(MAX(G110,J110),E110:J110,0)-1),"")</f>
        <v>0</v>
      </c>
      <c r="M110" s="1" t="str">
        <f t="shared" si="9"/>
        <v>W</v>
      </c>
      <c r="N110">
        <f t="shared" si="7"/>
        <v>21</v>
      </c>
      <c r="O110" s="63">
        <f t="shared" si="8"/>
        <v>-0.2</v>
      </c>
      <c r="P110" s="63">
        <f>IFERROR(SUMIFS($G$2:G110,$H$2:H110,H110,$C$2:C110,C110)/(SUMIFS($J$2:J110,$H$2:H110,H110,$C$2:C110,C110)+SUMIFS($G$2:G110,$H$2:H110,H110,$C$2:C110,C110)),"")</f>
        <v>0.47619047619047616</v>
      </c>
    </row>
    <row r="111" spans="1:16" x14ac:dyDescent="0.25">
      <c r="A111" s="1">
        <f>IF(NOT(B111=""),MAX($A$2:A110)+1,"")</f>
        <v>110</v>
      </c>
      <c r="B111" s="3">
        <v>42675</v>
      </c>
      <c r="C111" s="3" t="str">
        <f>IF(AND(ISBLANK(I111),NOT(ISBLANK(H111))),"Singles",IF(ISBLANK(H111),"","Doubles"))</f>
        <v>Singles</v>
      </c>
      <c r="D111" s="7" t="s">
        <v>53</v>
      </c>
      <c r="E111" s="1" t="str">
        <f t="shared" si="10"/>
        <v>Kevin</v>
      </c>
      <c r="F111" s="6"/>
      <c r="G111" s="7">
        <v>10</v>
      </c>
      <c r="H111" s="6" t="s">
        <v>11</v>
      </c>
      <c r="I111" s="6"/>
      <c r="J111" s="7">
        <v>3</v>
      </c>
      <c r="K111" s="1" t="str">
        <f>IFERROR(INDEX(E111:J111,0,MATCH(MAX(G111,J111),E111:J111,0)-2),"")</f>
        <v>Kevin</v>
      </c>
      <c r="L111" s="2">
        <f>IFERROR(INDEX(E111:J111,0,MATCH(MAX(G111,J111),E111:J111,0)-1),"")</f>
        <v>0</v>
      </c>
      <c r="M111" s="1" t="str">
        <f t="shared" si="9"/>
        <v>W</v>
      </c>
      <c r="N111">
        <f t="shared" si="7"/>
        <v>22</v>
      </c>
      <c r="O111" s="63">
        <f t="shared" si="8"/>
        <v>0.2</v>
      </c>
      <c r="P111" s="63">
        <f>IFERROR(SUMIFS($G$2:G111,$H$2:H111,H111,$C$2:C111,C111)/(SUMIFS($J$2:J111,$H$2:H111,H111,$C$2:C111,C111)+SUMIFS($G$2:G111,$H$2:H111,H111,$C$2:C111,C111)),"")</f>
        <v>0.5535714285714286</v>
      </c>
    </row>
    <row r="112" spans="1:16" x14ac:dyDescent="0.25">
      <c r="A112" s="1">
        <f>IF(NOT(B112=""),MAX($A$2:A111)+1,"")</f>
        <v>111</v>
      </c>
      <c r="B112" s="3">
        <v>42676</v>
      </c>
      <c r="C112" s="3" t="str">
        <f>IF(AND(ISBLANK(I112),NOT(ISBLANK(H112))),"Singles",IF(ISBLANK(H112),"","Doubles"))</f>
        <v>Singles</v>
      </c>
      <c r="D112" s="7" t="s">
        <v>54</v>
      </c>
      <c r="E112" s="1" t="str">
        <f t="shared" si="10"/>
        <v>Kevin</v>
      </c>
      <c r="F112" s="6"/>
      <c r="G112" s="7">
        <v>10</v>
      </c>
      <c r="H112" s="6" t="s">
        <v>16</v>
      </c>
      <c r="I112" s="6"/>
      <c r="J112" s="7">
        <v>8</v>
      </c>
      <c r="K112" s="1" t="str">
        <f>IFERROR(INDEX(E112:J112,0,MATCH(MAX(G112,J112),E112:J112,0)-2),"")</f>
        <v>Kevin</v>
      </c>
      <c r="L112" s="2">
        <f>IFERROR(INDEX(E112:J112,0,MATCH(MAX(G112,J112),E112:J112,0)-1),"")</f>
        <v>0</v>
      </c>
      <c r="M112" s="1" t="str">
        <f t="shared" si="9"/>
        <v>W</v>
      </c>
      <c r="N112">
        <f t="shared" si="7"/>
        <v>23</v>
      </c>
      <c r="O112" s="63">
        <f t="shared" si="8"/>
        <v>0.6</v>
      </c>
      <c r="P112" s="63">
        <f>IFERROR(SUMIFS($G$2:G112,$H$2:H112,H112,$C$2:C112,C112)/(SUMIFS($J$2:J112,$H$2:H112,H112,$C$2:C112,C112)+SUMIFS($G$2:G112,$H$2:H112,H112,$C$2:C112,C112)),"")</f>
        <v>0.42307692307692307</v>
      </c>
    </row>
    <row r="113" spans="1:16" x14ac:dyDescent="0.25">
      <c r="A113" s="1">
        <f>IF(NOT(B113=""),MAX($A$2:A112)+1,"")</f>
        <v>112</v>
      </c>
      <c r="B113" s="3">
        <v>42676</v>
      </c>
      <c r="C113" s="3" t="str">
        <f>IF(AND(ISBLANK(I113),NOT(ISBLANK(H113))),"Singles",IF(ISBLANK(H113),"","Doubles"))</f>
        <v>Singles</v>
      </c>
      <c r="D113" s="7" t="s">
        <v>54</v>
      </c>
      <c r="E113" s="1" t="str">
        <f t="shared" si="10"/>
        <v>Kevin</v>
      </c>
      <c r="F113" s="6"/>
      <c r="G113" s="7">
        <v>7</v>
      </c>
      <c r="H113" s="6" t="s">
        <v>22</v>
      </c>
      <c r="I113" s="6"/>
      <c r="J113" s="7">
        <v>10</v>
      </c>
      <c r="K113" s="1" t="str">
        <f>IFERROR(INDEX(E113:J113,0,MATCH(MAX(G113,J113),E113:J113,0)-2),"")</f>
        <v>Sam</v>
      </c>
      <c r="L113" s="2">
        <f>IFERROR(INDEX(E113:J113,0,MATCH(MAX(G113,J113),E113:J113,0)-1),"")</f>
        <v>0</v>
      </c>
      <c r="M113" s="1" t="str">
        <f t="shared" si="9"/>
        <v>L</v>
      </c>
      <c r="N113">
        <f t="shared" si="7"/>
        <v>22</v>
      </c>
      <c r="O113" s="63">
        <f t="shared" si="8"/>
        <v>0.2</v>
      </c>
      <c r="P113" s="63">
        <f>IFERROR(SUMIFS($G$2:G113,$H$2:H113,H113,$C$2:C113,C113)/(SUMIFS($J$2:J113,$H$2:H113,H113,$C$2:C113,C113)+SUMIFS($G$2:G113,$H$2:H113,H113,$C$2:C113,C113)),"")</f>
        <v>0.2857142857142857</v>
      </c>
    </row>
    <row r="114" spans="1:16" x14ac:dyDescent="0.25">
      <c r="A114" s="1">
        <f>IF(NOT(B114=""),MAX($A$2:A113)+1,"")</f>
        <v>113</v>
      </c>
      <c r="B114" s="3">
        <v>42676</v>
      </c>
      <c r="C114" s="3" t="str">
        <f>IF(AND(ISBLANK(I114),NOT(ISBLANK(H114))),"Singles",IF(ISBLANK(H114),"","Doubles"))</f>
        <v>Singles</v>
      </c>
      <c r="D114" s="7" t="s">
        <v>53</v>
      </c>
      <c r="E114" s="1" t="str">
        <f t="shared" si="10"/>
        <v>Kevin</v>
      </c>
      <c r="F114" s="6"/>
      <c r="G114" s="7">
        <v>6</v>
      </c>
      <c r="H114" s="6" t="s">
        <v>14</v>
      </c>
      <c r="I114" s="6"/>
      <c r="J114" s="7">
        <v>10</v>
      </c>
      <c r="K114" s="1" t="str">
        <f>IFERROR(INDEX(E114:J114,0,MATCH(MAX(G114,J114),E114:J114,0)-2),"")</f>
        <v>Will</v>
      </c>
      <c r="L114" s="2">
        <f>IFERROR(INDEX(E114:J114,0,MATCH(MAX(G114,J114),E114:J114,0)-1),"")</f>
        <v>0</v>
      </c>
      <c r="M114" s="1" t="str">
        <f t="shared" si="9"/>
        <v>L</v>
      </c>
      <c r="N114">
        <f t="shared" si="7"/>
        <v>21</v>
      </c>
      <c r="O114" s="63">
        <f t="shared" si="8"/>
        <v>0.2</v>
      </c>
      <c r="P114" s="63">
        <f>IFERROR(SUMIFS($G$2:G114,$H$2:H114,H114,$C$2:C114,C114)/(SUMIFS($J$2:J114,$H$2:H114,H114,$C$2:C114,C114)+SUMIFS($G$2:G114,$H$2:H114,H114,$C$2:C114,C114)),"")</f>
        <v>0.44280442804428044</v>
      </c>
    </row>
    <row r="115" spans="1:16" x14ac:dyDescent="0.25">
      <c r="A115" s="1">
        <f>IF(NOT(B115=""),MAX($A$2:A114)+1,"")</f>
        <v>114</v>
      </c>
      <c r="B115" s="3">
        <v>42677</v>
      </c>
      <c r="C115" s="3" t="str">
        <f t="shared" ref="C115:C116" si="11">IF(AND(ISBLANK(I115),NOT(ISBLANK(H115))),"Singles",IF(ISBLANK(H115),"","Doubles"))</f>
        <v>Singles</v>
      </c>
      <c r="D115" s="7" t="s">
        <v>54</v>
      </c>
      <c r="E115" s="1" t="str">
        <f t="shared" si="10"/>
        <v>Kevin</v>
      </c>
      <c r="F115" s="6"/>
      <c r="G115" s="7">
        <v>10</v>
      </c>
      <c r="H115" s="6" t="s">
        <v>13</v>
      </c>
      <c r="I115" s="6"/>
      <c r="J115" s="7">
        <v>3</v>
      </c>
      <c r="K115" s="1" t="str">
        <f>IFERROR(INDEX(E115:J115,0,MATCH(MAX(G115,J115),E115:J115,0)-2),"")</f>
        <v>Kevin</v>
      </c>
      <c r="L115" s="2">
        <f>IFERROR(INDEX(E115:J115,0,MATCH(MAX(G115,J115),E115:J115,0)-1),"")</f>
        <v>0</v>
      </c>
      <c r="M115" s="1" t="str">
        <f t="shared" si="9"/>
        <v>W</v>
      </c>
      <c r="N115">
        <f t="shared" si="7"/>
        <v>22</v>
      </c>
      <c r="O115" s="63">
        <f t="shared" si="8"/>
        <v>0.2</v>
      </c>
      <c r="P115" s="63">
        <f>IFERROR(SUMIFS($G$2:G115,$H$2:H115,H115,$C$2:C115,C115)/(SUMIFS($J$2:J115,$H$2:H115,H115,$C$2:C115,C115)+SUMIFS($G$2:G115,$H$2:H115,H115,$C$2:C115,C115)),"")</f>
        <v>0.65853658536585369</v>
      </c>
    </row>
    <row r="116" spans="1:16" x14ac:dyDescent="0.25">
      <c r="A116" s="1">
        <f>IF(NOT(B116=""),MAX($A$2:A115)+1,"")</f>
        <v>115</v>
      </c>
      <c r="B116" s="3">
        <v>42677</v>
      </c>
      <c r="C116" s="3" t="str">
        <f t="shared" si="11"/>
        <v>Singles</v>
      </c>
      <c r="D116" s="7" t="s">
        <v>54</v>
      </c>
      <c r="E116" s="1" t="str">
        <f t="shared" si="10"/>
        <v>Kevin</v>
      </c>
      <c r="F116" s="6"/>
      <c r="G116" s="7">
        <v>5</v>
      </c>
      <c r="H116" s="6" t="s">
        <v>13</v>
      </c>
      <c r="I116" s="6"/>
      <c r="J116" s="7">
        <v>2</v>
      </c>
      <c r="K116" s="1" t="str">
        <f>IFERROR(INDEX(E116:J116,0,MATCH(MAX(G116,J116),E116:J116,0)-2),"")</f>
        <v>Kevin</v>
      </c>
      <c r="L116" s="2">
        <f>IFERROR(INDEX(E116:J116,0,MATCH(MAX(G116,J116),E116:J116,0)-1),"")</f>
        <v>0</v>
      </c>
      <c r="M116" s="1" t="str">
        <f t="shared" si="9"/>
        <v>W</v>
      </c>
      <c r="N116">
        <f t="shared" si="7"/>
        <v>23</v>
      </c>
      <c r="O116" s="63">
        <f t="shared" si="8"/>
        <v>0.2</v>
      </c>
      <c r="P116" s="63">
        <f>IFERROR(SUMIFS($G$2:G116,$H$2:H116,H116,$C$2:C116,C116)/(SUMIFS($J$2:J116,$H$2:H116,H116,$C$2:C116,C116)+SUMIFS($G$2:G116,$H$2:H116,H116,$C$2:C116,C116)),"")</f>
        <v>0.660377358490566</v>
      </c>
    </row>
    <row r="117" spans="1:16" x14ac:dyDescent="0.25">
      <c r="A117" s="1" t="str">
        <f ca="1">IF(NOT(B117=""),MAX($A$2:A116)+1,"")</f>
        <v/>
      </c>
      <c r="B117" s="3" t="str">
        <f t="shared" ref="B115:B171" ca="1" si="12">IF(ISBLANK(H117),"",TODAY())</f>
        <v/>
      </c>
      <c r="C117" s="3" t="str">
        <f>IF(AND(ISBLANK(I117),NOT(ISBLANK(H117))),"Singles",IF(ISBLANK(H117),"","Doubles"))</f>
        <v/>
      </c>
      <c r="D117" s="7"/>
      <c r="E117" s="1" t="str">
        <f t="shared" si="10"/>
        <v/>
      </c>
      <c r="F117" s="6"/>
      <c r="G117" s="7"/>
      <c r="H117" s="6"/>
      <c r="I117" s="6"/>
      <c r="J117" s="7"/>
      <c r="K117" s="1" t="str">
        <f>IFERROR(INDEX(E117:J117,0,MATCH(MAX(G117,J117),E117:J117,0)-2),"")</f>
        <v/>
      </c>
      <c r="L117" s="2" t="str">
        <f>IFERROR(INDEX(E117:J117,0,MATCH(MAX(G117,J117),E117:J117,0)-1),"")</f>
        <v/>
      </c>
      <c r="M117" s="1" t="str">
        <f t="shared" si="9"/>
        <v/>
      </c>
      <c r="N117" t="str">
        <f t="shared" si="7"/>
        <v/>
      </c>
      <c r="O117" s="63" t="str">
        <f t="shared" si="8"/>
        <v/>
      </c>
      <c r="P117" s="63" t="str">
        <f>IFERROR(SUMIFS($G$2:G117,$H$2:H117,H117,$C$2:C117,C117)/(SUMIFS($J$2:J117,$H$2:H117,H117,$C$2:C117,C117)+SUMIFS($G$2:G117,$H$2:H117,H117,$C$2:C117,C117)),"")</f>
        <v/>
      </c>
    </row>
    <row r="118" spans="1:16" x14ac:dyDescent="0.25">
      <c r="A118" s="1" t="str">
        <f ca="1">IF(NOT(B118=""),MAX($A$2:A117)+1,"")</f>
        <v/>
      </c>
      <c r="B118" s="3" t="str">
        <f t="shared" ca="1" si="12"/>
        <v/>
      </c>
      <c r="C118" s="3" t="str">
        <f>IF(AND(ISBLANK(I118),NOT(ISBLANK(H118))),"Singles",IF(ISBLANK(H118),"","Doubles"))</f>
        <v/>
      </c>
      <c r="D118" s="7"/>
      <c r="E118" s="1" t="str">
        <f t="shared" si="10"/>
        <v/>
      </c>
      <c r="F118" s="6"/>
      <c r="G118" s="7"/>
      <c r="H118" s="6"/>
      <c r="I118" s="6"/>
      <c r="J118" s="7"/>
      <c r="K118" s="1" t="str">
        <f>IFERROR(INDEX(E118:J118,0,MATCH(MAX(G118,J118),E118:J118,0)-2),"")</f>
        <v/>
      </c>
      <c r="L118" s="2" t="str">
        <f>IFERROR(INDEX(E118:J118,0,MATCH(MAX(G118,J118),E118:J118,0)-1),"")</f>
        <v/>
      </c>
      <c r="M118" s="1" t="str">
        <f t="shared" si="9"/>
        <v/>
      </c>
      <c r="N118" t="str">
        <f t="shared" si="7"/>
        <v/>
      </c>
      <c r="O118" s="63" t="str">
        <f t="shared" si="8"/>
        <v/>
      </c>
      <c r="P118" s="63" t="str">
        <f>IFERROR(SUMIFS($G$2:G118,$H$2:H118,H118,$C$2:C118,C118)/(SUMIFS($J$2:J118,$H$2:H118,H118,$C$2:C118,C118)+SUMIFS($G$2:G118,$H$2:H118,H118,$C$2:C118,C118)),"")</f>
        <v/>
      </c>
    </row>
    <row r="119" spans="1:16" x14ac:dyDescent="0.25">
      <c r="A119" s="1" t="str">
        <f ca="1">IF(NOT(B119=""),MAX($A$2:A118)+1,"")</f>
        <v/>
      </c>
      <c r="B119" s="3" t="str">
        <f t="shared" ca="1" si="12"/>
        <v/>
      </c>
      <c r="C119" s="3" t="str">
        <f>IF(AND(ISBLANK(I119),NOT(ISBLANK(H119))),"Singles",IF(ISBLANK(H119),"","Doubles"))</f>
        <v/>
      </c>
      <c r="D119" s="7"/>
      <c r="E119" s="1" t="str">
        <f t="shared" si="10"/>
        <v/>
      </c>
      <c r="F119" s="6"/>
      <c r="G119" s="7"/>
      <c r="H119" s="6"/>
      <c r="I119" s="6"/>
      <c r="J119" s="7"/>
      <c r="K119" s="1" t="str">
        <f>IFERROR(INDEX(E119:J119,0,MATCH(MAX(G119,J119),E119:J119,0)-2),"")</f>
        <v/>
      </c>
      <c r="L119" s="2" t="str">
        <f>IFERROR(INDEX(E119:J119,0,MATCH(MAX(G119,J119),E119:J119,0)-1),"")</f>
        <v/>
      </c>
      <c r="M119" s="1" t="str">
        <f t="shared" si="9"/>
        <v/>
      </c>
      <c r="N119" t="str">
        <f t="shared" si="7"/>
        <v/>
      </c>
      <c r="O119" s="63" t="str">
        <f t="shared" si="8"/>
        <v/>
      </c>
      <c r="P119" s="63" t="str">
        <f>IFERROR(SUMIFS($G$2:G119,$H$2:H119,H119,$C$2:C119,C119)/(SUMIFS($J$2:J119,$H$2:H119,H119,$C$2:C119,C119)+SUMIFS($G$2:G119,$H$2:H119,H119,$C$2:C119,C119)),"")</f>
        <v/>
      </c>
    </row>
    <row r="120" spans="1:16" x14ac:dyDescent="0.25">
      <c r="A120" s="1" t="str">
        <f ca="1">IF(NOT(B120=""),MAX($A$2:A119)+1,"")</f>
        <v/>
      </c>
      <c r="B120" s="3" t="str">
        <f t="shared" ca="1" si="12"/>
        <v/>
      </c>
      <c r="C120" s="3" t="str">
        <f>IF(AND(ISBLANK(I120),NOT(ISBLANK(H120))),"Singles",IF(ISBLANK(H120),"","Doubles"))</f>
        <v/>
      </c>
      <c r="D120" s="7"/>
      <c r="E120" s="1" t="str">
        <f t="shared" si="10"/>
        <v/>
      </c>
      <c r="F120" s="6"/>
      <c r="G120" s="7"/>
      <c r="H120" s="6"/>
      <c r="I120" s="6"/>
      <c r="J120" s="7"/>
      <c r="K120" s="1" t="str">
        <f>IFERROR(INDEX(E120:J120,0,MATCH(MAX(G120,J120),E120:J120,0)-2),"")</f>
        <v/>
      </c>
      <c r="L120" s="2" t="str">
        <f>IFERROR(INDEX(E120:J120,0,MATCH(MAX(G120,J120),E120:J120,0)-1),"")</f>
        <v/>
      </c>
      <c r="M120" s="1" t="str">
        <f t="shared" si="9"/>
        <v/>
      </c>
      <c r="N120" t="str">
        <f t="shared" si="7"/>
        <v/>
      </c>
      <c r="O120" s="63" t="str">
        <f t="shared" si="8"/>
        <v/>
      </c>
      <c r="P120" s="63" t="str">
        <f>IFERROR(SUMIFS($G$2:G120,$H$2:H120,H120,$C$2:C120,C120)/(SUMIFS($J$2:J120,$H$2:H120,H120,$C$2:C120,C120)+SUMIFS($G$2:G120,$H$2:H120,H120,$C$2:C120,C120)),"")</f>
        <v/>
      </c>
    </row>
    <row r="121" spans="1:16" x14ac:dyDescent="0.25">
      <c r="A121" s="1" t="str">
        <f ca="1">IF(NOT(B121=""),MAX($A$2:A120)+1,"")</f>
        <v/>
      </c>
      <c r="B121" s="3" t="str">
        <f t="shared" ca="1" si="12"/>
        <v/>
      </c>
      <c r="C121" s="3" t="str">
        <f>IF(AND(ISBLANK(I121),NOT(ISBLANK(H121))),"Singles",IF(ISBLANK(H121),"","Doubles"))</f>
        <v/>
      </c>
      <c r="D121" s="7"/>
      <c r="E121" s="1" t="str">
        <f t="shared" si="10"/>
        <v/>
      </c>
      <c r="F121" s="6"/>
      <c r="G121" s="7"/>
      <c r="H121" s="6"/>
      <c r="I121" s="6"/>
      <c r="J121" s="7"/>
      <c r="K121" s="1" t="str">
        <f>IFERROR(INDEX(E121:J121,0,MATCH(MAX(G121,J121),E121:J121,0)-2),"")</f>
        <v/>
      </c>
      <c r="L121" s="2" t="str">
        <f>IFERROR(INDEX(E121:J121,0,MATCH(MAX(G121,J121),E121:J121,0)-1),"")</f>
        <v/>
      </c>
      <c r="M121" s="1" t="str">
        <f t="shared" si="9"/>
        <v/>
      </c>
      <c r="N121" t="str">
        <f t="shared" si="7"/>
        <v/>
      </c>
      <c r="O121" s="63" t="str">
        <f t="shared" si="8"/>
        <v/>
      </c>
      <c r="P121" s="63" t="str">
        <f>IFERROR(SUMIFS($G$2:G121,$H$2:H121,H121,$C$2:C121,C121)/(SUMIFS($J$2:J121,$H$2:H121,H121,$C$2:C121,C121)+SUMIFS($G$2:G121,$H$2:H121,H121,$C$2:C121,C121)),"")</f>
        <v/>
      </c>
    </row>
    <row r="122" spans="1:16" x14ac:dyDescent="0.25">
      <c r="A122" s="1" t="str">
        <f ca="1">IF(NOT(B122=""),MAX($A$2:A121)+1,"")</f>
        <v/>
      </c>
      <c r="B122" s="3" t="str">
        <f t="shared" ca="1" si="12"/>
        <v/>
      </c>
      <c r="C122" s="3" t="str">
        <f>IF(AND(ISBLANK(I122),NOT(ISBLANK(H122))),"Singles",IF(ISBLANK(H122),"","Doubles"))</f>
        <v/>
      </c>
      <c r="D122" s="7"/>
      <c r="E122" s="1" t="str">
        <f t="shared" si="10"/>
        <v/>
      </c>
      <c r="F122" s="6"/>
      <c r="G122" s="7"/>
      <c r="H122" s="6"/>
      <c r="I122" s="6"/>
      <c r="J122" s="7"/>
      <c r="K122" s="1" t="str">
        <f>IFERROR(INDEX(E122:J122,0,MATCH(MAX(G122,J122),E122:J122,0)-2),"")</f>
        <v/>
      </c>
      <c r="L122" s="2" t="str">
        <f>IFERROR(INDEX(E122:J122,0,MATCH(MAX(G122,J122),E122:J122,0)-1),"")</f>
        <v/>
      </c>
      <c r="M122" s="1" t="str">
        <f t="shared" si="9"/>
        <v/>
      </c>
      <c r="N122" t="str">
        <f t="shared" si="7"/>
        <v/>
      </c>
      <c r="O122" s="63" t="str">
        <f t="shared" si="8"/>
        <v/>
      </c>
      <c r="P122" s="63" t="str">
        <f>IFERROR(SUMIFS($G$2:G122,$H$2:H122,H122,$C$2:C122,C122)/(SUMIFS($J$2:J122,$H$2:H122,H122,$C$2:C122,C122)+SUMIFS($G$2:G122,$H$2:H122,H122,$C$2:C122,C122)),"")</f>
        <v/>
      </c>
    </row>
    <row r="123" spans="1:16" x14ac:dyDescent="0.25">
      <c r="A123" s="1" t="str">
        <f ca="1">IF(NOT(B123=""),MAX($A$2:A122)+1,"")</f>
        <v/>
      </c>
      <c r="B123" s="3" t="str">
        <f t="shared" ca="1" si="12"/>
        <v/>
      </c>
      <c r="C123" s="3" t="str">
        <f>IF(AND(ISBLANK(I123),NOT(ISBLANK(H123))),"Singles",IF(ISBLANK(H123),"","Doubles"))</f>
        <v/>
      </c>
      <c r="D123" s="7"/>
      <c r="E123" s="1" t="str">
        <f t="shared" si="10"/>
        <v/>
      </c>
      <c r="F123" s="6"/>
      <c r="G123" s="7"/>
      <c r="H123" s="6"/>
      <c r="I123" s="6"/>
      <c r="J123" s="7"/>
      <c r="K123" s="1" t="str">
        <f>IFERROR(INDEX(E123:J123,0,MATCH(MAX(G123,J123),E123:J123,0)-2),"")</f>
        <v/>
      </c>
      <c r="L123" s="2" t="str">
        <f>IFERROR(INDEX(E123:J123,0,MATCH(MAX(G123,J123),E123:J123,0)-1),"")</f>
        <v/>
      </c>
      <c r="M123" s="1" t="str">
        <f t="shared" si="9"/>
        <v/>
      </c>
      <c r="N123" t="str">
        <f t="shared" si="7"/>
        <v/>
      </c>
      <c r="O123" s="63" t="str">
        <f t="shared" si="8"/>
        <v/>
      </c>
      <c r="P123" s="63" t="str">
        <f>IFERROR(SUMIFS($G$2:G123,$H$2:H123,H123,$C$2:C123,C123)/(SUMIFS($J$2:J123,$H$2:H123,H123,$C$2:C123,C123)+SUMIFS($G$2:G123,$H$2:H123,H123,$C$2:C123,C123)),"")</f>
        <v/>
      </c>
    </row>
    <row r="124" spans="1:16" x14ac:dyDescent="0.25">
      <c r="A124" s="1" t="str">
        <f ca="1">IF(NOT(B124=""),MAX($A$2:A123)+1,"")</f>
        <v/>
      </c>
      <c r="B124" s="3" t="str">
        <f t="shared" ca="1" si="12"/>
        <v/>
      </c>
      <c r="C124" s="3" t="str">
        <f>IF(AND(ISBLANK(I124),NOT(ISBLANK(H124))),"Singles",IF(ISBLANK(H124),"","Doubles"))</f>
        <v/>
      </c>
      <c r="D124" s="7"/>
      <c r="E124" s="1" t="str">
        <f t="shared" si="10"/>
        <v/>
      </c>
      <c r="F124" s="6"/>
      <c r="G124" s="7"/>
      <c r="H124" s="6"/>
      <c r="I124" s="6"/>
      <c r="J124" s="7"/>
      <c r="K124" s="1" t="str">
        <f>IFERROR(INDEX(E124:J124,0,MATCH(MAX(G124,J124),E124:J124,0)-2),"")</f>
        <v/>
      </c>
      <c r="L124" s="2" t="str">
        <f>IFERROR(INDEX(E124:J124,0,MATCH(MAX(G124,J124),E124:J124,0)-1),"")</f>
        <v/>
      </c>
      <c r="M124" s="1" t="str">
        <f t="shared" si="9"/>
        <v/>
      </c>
      <c r="N124" t="str">
        <f t="shared" si="7"/>
        <v/>
      </c>
      <c r="O124" s="63" t="str">
        <f t="shared" si="8"/>
        <v/>
      </c>
      <c r="P124" s="63" t="str">
        <f>IFERROR(SUMIFS($G$2:G124,$H$2:H124,H124,$C$2:C124,C124)/(SUMIFS($J$2:J124,$H$2:H124,H124,$C$2:C124,C124)+SUMIFS($G$2:G124,$H$2:H124,H124,$C$2:C124,C124)),"")</f>
        <v/>
      </c>
    </row>
    <row r="125" spans="1:16" x14ac:dyDescent="0.25">
      <c r="A125" s="1" t="str">
        <f ca="1">IF(NOT(B125=""),MAX($A$2:A124)+1,"")</f>
        <v/>
      </c>
      <c r="B125" s="3" t="str">
        <f t="shared" ca="1" si="12"/>
        <v/>
      </c>
      <c r="C125" s="3" t="str">
        <f>IF(AND(ISBLANK(I125),NOT(ISBLANK(H125))),"Singles",IF(ISBLANK(H125),"","Doubles"))</f>
        <v/>
      </c>
      <c r="D125" s="7"/>
      <c r="E125" s="1" t="str">
        <f t="shared" si="10"/>
        <v/>
      </c>
      <c r="F125" s="6"/>
      <c r="G125" s="7"/>
      <c r="H125" s="6"/>
      <c r="I125" s="6"/>
      <c r="J125" s="7"/>
      <c r="K125" s="1" t="str">
        <f>IFERROR(INDEX(E125:J125,0,MATCH(MAX(G125,J125),E125:J125,0)-2),"")</f>
        <v/>
      </c>
      <c r="L125" s="2" t="str">
        <f>IFERROR(INDEX(E125:J125,0,MATCH(MAX(G125,J125),E125:J125,0)-1),"")</f>
        <v/>
      </c>
      <c r="M125" s="1" t="str">
        <f t="shared" si="9"/>
        <v/>
      </c>
      <c r="N125" t="str">
        <f t="shared" si="7"/>
        <v/>
      </c>
      <c r="O125" s="63" t="str">
        <f t="shared" si="8"/>
        <v/>
      </c>
      <c r="P125" s="63" t="str">
        <f>IFERROR(SUMIFS($G$2:G125,$H$2:H125,H125,$C$2:C125,C125)/(SUMIFS($J$2:J125,$H$2:H125,H125,$C$2:C125,C125)+SUMIFS($G$2:G125,$H$2:H125,H125,$C$2:C125,C125)),"")</f>
        <v/>
      </c>
    </row>
    <row r="126" spans="1:16" x14ac:dyDescent="0.25">
      <c r="A126" s="1" t="str">
        <f ca="1">IF(NOT(B126=""),MAX($A$2:A125)+1,"")</f>
        <v/>
      </c>
      <c r="B126" s="3" t="str">
        <f t="shared" ca="1" si="12"/>
        <v/>
      </c>
      <c r="C126" s="3" t="str">
        <f>IF(AND(ISBLANK(I126),NOT(ISBLANK(H126))),"Singles",IF(ISBLANK(H126),"","Doubles"))</f>
        <v/>
      </c>
      <c r="D126" s="7"/>
      <c r="E126" s="1" t="str">
        <f t="shared" si="10"/>
        <v/>
      </c>
      <c r="F126" s="6"/>
      <c r="G126" s="7"/>
      <c r="H126" s="6"/>
      <c r="I126" s="6"/>
      <c r="J126" s="7"/>
      <c r="K126" s="1" t="str">
        <f>IFERROR(INDEX(E126:J126,0,MATCH(MAX(G126,J126),E126:J126,0)-2),"")</f>
        <v/>
      </c>
      <c r="L126" s="2" t="str">
        <f>IFERROR(INDEX(E126:J126,0,MATCH(MAX(G126,J126),E126:J126,0)-1),"")</f>
        <v/>
      </c>
      <c r="M126" s="1" t="str">
        <f t="shared" si="9"/>
        <v/>
      </c>
      <c r="N126" t="str">
        <f t="shared" si="7"/>
        <v/>
      </c>
      <c r="O126" s="63" t="str">
        <f t="shared" si="8"/>
        <v/>
      </c>
      <c r="P126" s="63" t="str">
        <f>IFERROR(SUMIFS($G$2:G126,$H$2:H126,H126,$C$2:C126,C126)/(SUMIFS($J$2:J126,$H$2:H126,H126,$C$2:C126,C126)+SUMIFS($G$2:G126,$H$2:H126,H126,$C$2:C126,C126)),"")</f>
        <v/>
      </c>
    </row>
    <row r="127" spans="1:16" x14ac:dyDescent="0.25">
      <c r="A127" s="1" t="str">
        <f ca="1">IF(NOT(B127=""),MAX($A$2:A126)+1,"")</f>
        <v/>
      </c>
      <c r="B127" s="3" t="str">
        <f t="shared" ca="1" si="12"/>
        <v/>
      </c>
      <c r="C127" s="3" t="str">
        <f>IF(AND(ISBLANK(I127),NOT(ISBLANK(H127))),"Singles",IF(ISBLANK(H127),"","Doubles"))</f>
        <v/>
      </c>
      <c r="D127" s="7"/>
      <c r="E127" s="1" t="str">
        <f t="shared" si="10"/>
        <v/>
      </c>
      <c r="F127" s="6"/>
      <c r="G127" s="7"/>
      <c r="H127" s="6"/>
      <c r="I127" s="6"/>
      <c r="J127" s="7"/>
      <c r="K127" s="1" t="str">
        <f>IFERROR(INDEX(E127:J127,0,MATCH(MAX(G127,J127),E127:J127,0)-2),"")</f>
        <v/>
      </c>
      <c r="L127" s="2" t="str">
        <f>IFERROR(INDEX(E127:J127,0,MATCH(MAX(G127,J127),E127:J127,0)-1),"")</f>
        <v/>
      </c>
      <c r="M127" s="1" t="str">
        <f t="shared" si="9"/>
        <v/>
      </c>
      <c r="N127" t="str">
        <f t="shared" si="7"/>
        <v/>
      </c>
      <c r="O127" s="63" t="str">
        <f t="shared" si="8"/>
        <v/>
      </c>
      <c r="P127" s="63" t="str">
        <f>IFERROR(SUMIFS($G$2:G127,$H$2:H127,H127,$C$2:C127,C127)/(SUMIFS($J$2:J127,$H$2:H127,H127,$C$2:C127,C127)+SUMIFS($G$2:G127,$H$2:H127,H127,$C$2:C127,C127)),"")</f>
        <v/>
      </c>
    </row>
    <row r="128" spans="1:16" x14ac:dyDescent="0.25">
      <c r="A128" s="1" t="str">
        <f ca="1">IF(NOT(B128=""),MAX($A$2:A127)+1,"")</f>
        <v/>
      </c>
      <c r="B128" s="3" t="str">
        <f t="shared" ca="1" si="12"/>
        <v/>
      </c>
      <c r="C128" s="3" t="str">
        <f>IF(AND(ISBLANK(I128),NOT(ISBLANK(H128))),"Singles",IF(ISBLANK(H128),"","Doubles"))</f>
        <v/>
      </c>
      <c r="D128" s="7"/>
      <c r="E128" s="1" t="str">
        <f t="shared" si="10"/>
        <v/>
      </c>
      <c r="F128" s="6"/>
      <c r="G128" s="7"/>
      <c r="H128" s="6"/>
      <c r="I128" s="6"/>
      <c r="J128" s="7"/>
      <c r="K128" s="1" t="str">
        <f>IFERROR(INDEX(E128:J128,0,MATCH(MAX(G128,J128),E128:J128,0)-2),"")</f>
        <v/>
      </c>
      <c r="L128" s="2" t="str">
        <f>IFERROR(INDEX(E128:J128,0,MATCH(MAX(G128,J128),E128:J128,0)-1),"")</f>
        <v/>
      </c>
      <c r="M128" s="1" t="str">
        <f t="shared" si="9"/>
        <v/>
      </c>
      <c r="N128" t="str">
        <f t="shared" si="7"/>
        <v/>
      </c>
      <c r="O128" s="63" t="str">
        <f t="shared" si="8"/>
        <v/>
      </c>
      <c r="P128" s="63" t="str">
        <f>IFERROR(SUMIFS($G$2:G128,$H$2:H128,H128,$C$2:C128,C128)/(SUMIFS($J$2:J128,$H$2:H128,H128,$C$2:C128,C128)+SUMIFS($G$2:G128,$H$2:H128,H128,$C$2:C128,C128)),"")</f>
        <v/>
      </c>
    </row>
    <row r="129" spans="1:16" x14ac:dyDescent="0.25">
      <c r="A129" s="1" t="str">
        <f ca="1">IF(NOT(B129=""),MAX($A$2:A128)+1,"")</f>
        <v/>
      </c>
      <c r="B129" s="3" t="str">
        <f t="shared" ca="1" si="12"/>
        <v/>
      </c>
      <c r="C129" s="3" t="str">
        <f>IF(AND(ISBLANK(I129),NOT(ISBLANK(H129))),"Singles",IF(ISBLANK(H129),"","Doubles"))</f>
        <v/>
      </c>
      <c r="D129" s="7"/>
      <c r="E129" s="1" t="str">
        <f t="shared" si="10"/>
        <v/>
      </c>
      <c r="F129" s="6"/>
      <c r="G129" s="7"/>
      <c r="H129" s="6"/>
      <c r="I129" s="6"/>
      <c r="J129" s="7"/>
      <c r="K129" s="1" t="str">
        <f>IFERROR(INDEX(E129:J129,0,MATCH(MAX(G129,J129),E129:J129,0)-2),"")</f>
        <v/>
      </c>
      <c r="L129" s="2" t="str">
        <f>IFERROR(INDEX(E129:J129,0,MATCH(MAX(G129,J129),E129:J129,0)-1),"")</f>
        <v/>
      </c>
      <c r="M129" s="1" t="str">
        <f t="shared" si="9"/>
        <v/>
      </c>
      <c r="N129" t="str">
        <f t="shared" si="7"/>
        <v/>
      </c>
      <c r="O129" s="63" t="str">
        <f t="shared" si="8"/>
        <v/>
      </c>
      <c r="P129" s="63" t="str">
        <f>IFERROR(SUMIFS($G$2:G129,$H$2:H129,H129,$C$2:C129,C129)/(SUMIFS($J$2:J129,$H$2:H129,H129,$C$2:C129,C129)+SUMIFS($G$2:G129,$H$2:H129,H129,$C$2:C129,C129)),"")</f>
        <v/>
      </c>
    </row>
    <row r="130" spans="1:16" x14ac:dyDescent="0.25">
      <c r="A130" s="1" t="str">
        <f ca="1">IF(NOT(B130=""),MAX($A$2:A129)+1,"")</f>
        <v/>
      </c>
      <c r="B130" s="3" t="str">
        <f t="shared" ca="1" si="12"/>
        <v/>
      </c>
      <c r="C130" s="3" t="str">
        <f>IF(AND(ISBLANK(I130),NOT(ISBLANK(H130))),"Singles",IF(ISBLANK(H130),"","Doubles"))</f>
        <v/>
      </c>
      <c r="D130" s="7"/>
      <c r="E130" s="1" t="str">
        <f t="shared" si="10"/>
        <v/>
      </c>
      <c r="F130" s="6"/>
      <c r="G130" s="7"/>
      <c r="H130" s="6"/>
      <c r="I130" s="6"/>
      <c r="J130" s="7"/>
      <c r="K130" s="1" t="str">
        <f>IFERROR(INDEX(E130:J130,0,MATCH(MAX(G130,J130),E130:J130,0)-2),"")</f>
        <v/>
      </c>
      <c r="L130" s="2" t="str">
        <f>IFERROR(INDEX(E130:J130,0,MATCH(MAX(G130,J130),E130:J130,0)-1),"")</f>
        <v/>
      </c>
      <c r="M130" s="1" t="str">
        <f t="shared" si="9"/>
        <v/>
      </c>
      <c r="N130" t="str">
        <f t="shared" si="7"/>
        <v/>
      </c>
      <c r="O130" s="63" t="str">
        <f t="shared" si="8"/>
        <v/>
      </c>
      <c r="P130" s="63" t="str">
        <f>IFERROR(SUMIFS($G$2:G130,$H$2:H130,H130,$C$2:C130,C130)/(SUMIFS($J$2:J130,$H$2:H130,H130,$C$2:C130,C130)+SUMIFS($G$2:G130,$H$2:H130,H130,$C$2:C130,C130)),"")</f>
        <v/>
      </c>
    </row>
    <row r="131" spans="1:16" x14ac:dyDescent="0.25">
      <c r="A131" s="1" t="str">
        <f ca="1">IF(NOT(B131=""),MAX($A$2:A130)+1,"")</f>
        <v/>
      </c>
      <c r="B131" s="3" t="str">
        <f t="shared" ca="1" si="12"/>
        <v/>
      </c>
      <c r="C131" s="3" t="str">
        <f>IF(AND(ISBLANK(I131),NOT(ISBLANK(H131))),"Singles",IF(ISBLANK(H131),"","Doubles"))</f>
        <v/>
      </c>
      <c r="D131" s="7"/>
      <c r="E131" s="1" t="str">
        <f t="shared" si="10"/>
        <v/>
      </c>
      <c r="F131" s="6"/>
      <c r="G131" s="7"/>
      <c r="H131" s="6"/>
      <c r="I131" s="6"/>
      <c r="J131" s="7"/>
      <c r="K131" s="1" t="str">
        <f>IFERROR(INDEX(E131:J131,0,MATCH(MAX(G131,J131),E131:J131,0)-2),"")</f>
        <v/>
      </c>
      <c r="L131" s="2" t="str">
        <f>IFERROR(INDEX(E131:J131,0,MATCH(MAX(G131,J131),E131:J131,0)-1),"")</f>
        <v/>
      </c>
      <c r="M131" s="1" t="str">
        <f t="shared" si="9"/>
        <v/>
      </c>
      <c r="N131" t="str">
        <f t="shared" si="7"/>
        <v/>
      </c>
      <c r="O131" s="63" t="str">
        <f t="shared" si="8"/>
        <v/>
      </c>
      <c r="P131" s="63" t="str">
        <f>IFERROR(SUMIFS($G$2:G131,$H$2:H131,H131,$C$2:C131,C131)/(SUMIFS($J$2:J131,$H$2:H131,H131,$C$2:C131,C131)+SUMIFS($G$2:G131,$H$2:H131,H131,$C$2:C131,C131)),"")</f>
        <v/>
      </c>
    </row>
    <row r="132" spans="1:16" x14ac:dyDescent="0.25">
      <c r="A132" s="1" t="str">
        <f ca="1">IF(NOT(B132=""),MAX($A$2:A131)+1,"")</f>
        <v/>
      </c>
      <c r="B132" s="3" t="str">
        <f t="shared" ca="1" si="12"/>
        <v/>
      </c>
      <c r="C132" s="3" t="str">
        <f>IF(AND(ISBLANK(I132),NOT(ISBLANK(H132))),"Singles",IF(ISBLANK(H132),"","Doubles"))</f>
        <v/>
      </c>
      <c r="D132" s="7"/>
      <c r="E132" s="1" t="str">
        <f t="shared" si="10"/>
        <v/>
      </c>
      <c r="F132" s="6"/>
      <c r="G132" s="7"/>
      <c r="H132" s="6"/>
      <c r="I132" s="6"/>
      <c r="J132" s="7"/>
      <c r="K132" s="1" t="str">
        <f>IFERROR(INDEX(E132:J132,0,MATCH(MAX(G132,J132),E132:J132,0)-2),"")</f>
        <v/>
      </c>
      <c r="L132" s="2" t="str">
        <f>IFERROR(INDEX(E132:J132,0,MATCH(MAX(G132,J132),E132:J132,0)-1),"")</f>
        <v/>
      </c>
      <c r="M132" s="1" t="str">
        <f t="shared" si="9"/>
        <v/>
      </c>
      <c r="N132" t="str">
        <f t="shared" si="7"/>
        <v/>
      </c>
      <c r="O132" s="63" t="str">
        <f t="shared" si="8"/>
        <v/>
      </c>
      <c r="P132" s="63" t="str">
        <f>IFERROR(SUMIFS($G$2:G132,$H$2:H132,H132,$C$2:C132,C132)/(SUMIFS($J$2:J132,$H$2:H132,H132,$C$2:C132,C132)+SUMIFS($G$2:G132,$H$2:H132,H132,$C$2:C132,C132)),"")</f>
        <v/>
      </c>
    </row>
    <row r="133" spans="1:16" x14ac:dyDescent="0.25">
      <c r="A133" s="1" t="str">
        <f ca="1">IF(NOT(B133=""),MAX($A$2:A132)+1,"")</f>
        <v/>
      </c>
      <c r="B133" s="3" t="str">
        <f t="shared" ca="1" si="12"/>
        <v/>
      </c>
      <c r="C133" s="3" t="str">
        <f>IF(AND(ISBLANK(I133),NOT(ISBLANK(H133))),"Singles",IF(ISBLANK(H133),"","Doubles"))</f>
        <v/>
      </c>
      <c r="D133" s="7"/>
      <c r="E133" s="1" t="str">
        <f t="shared" si="10"/>
        <v/>
      </c>
      <c r="F133" s="6"/>
      <c r="G133" s="7"/>
      <c r="H133" s="6"/>
      <c r="I133" s="6"/>
      <c r="J133" s="7"/>
      <c r="K133" s="1" t="str">
        <f>IFERROR(INDEX(E133:J133,0,MATCH(MAX(G133,J133),E133:J133,0)-2),"")</f>
        <v/>
      </c>
      <c r="L133" s="2" t="str">
        <f>IFERROR(INDEX(E133:J133,0,MATCH(MAX(G133,J133),E133:J133,0)-1),"")</f>
        <v/>
      </c>
      <c r="M133" s="1" t="str">
        <f t="shared" si="9"/>
        <v/>
      </c>
      <c r="N133" t="str">
        <f t="shared" ref="N133:N196" si="13">IF(M133="","",IF(M133="W",1,IF(M133="L",-1,0))+N132)</f>
        <v/>
      </c>
      <c r="O133" s="63" t="str">
        <f t="shared" si="8"/>
        <v/>
      </c>
      <c r="P133" s="63" t="str">
        <f>IFERROR(SUMIFS($G$2:G133,$H$2:H133,H133,$C$2:C133,C133)/(SUMIFS($J$2:J133,$H$2:H133,H133,$C$2:C133,C133)+SUMIFS($G$2:G133,$H$2:H133,H133,$C$2:C133,C133)),"")</f>
        <v/>
      </c>
    </row>
    <row r="134" spans="1:16" x14ac:dyDescent="0.25">
      <c r="A134" s="1" t="str">
        <f ca="1">IF(NOT(B134=""),MAX($A$2:A133)+1,"")</f>
        <v/>
      </c>
      <c r="B134" s="3" t="str">
        <f t="shared" ca="1" si="12"/>
        <v/>
      </c>
      <c r="C134" s="3" t="str">
        <f>IF(AND(ISBLANK(I134),NOT(ISBLANK(H134))),"Singles",IF(ISBLANK(H134),"","Doubles"))</f>
        <v/>
      </c>
      <c r="D134" s="7"/>
      <c r="E134" s="1" t="str">
        <f t="shared" si="10"/>
        <v/>
      </c>
      <c r="F134" s="6"/>
      <c r="G134" s="7"/>
      <c r="H134" s="6"/>
      <c r="I134" s="6"/>
      <c r="J134" s="7"/>
      <c r="K134" s="1" t="str">
        <f>IFERROR(INDEX(E134:J134,0,MATCH(MAX(G134,J134),E134:J134,0)-2),"")</f>
        <v/>
      </c>
      <c r="L134" s="2" t="str">
        <f>IFERROR(INDEX(E134:J134,0,MATCH(MAX(G134,J134),E134:J134,0)-1),"")</f>
        <v/>
      </c>
      <c r="M134" s="1" t="str">
        <f t="shared" si="9"/>
        <v/>
      </c>
      <c r="N134" t="str">
        <f t="shared" si="13"/>
        <v/>
      </c>
      <c r="O134" s="63" t="str">
        <f t="shared" ref="O134:O197" si="14">IFERROR((N134-N129)/5,"")</f>
        <v/>
      </c>
      <c r="P134" s="63" t="str">
        <f>IFERROR(SUMIFS($G$2:G134,$H$2:H134,H134,$C$2:C134,C134)/(SUMIFS($J$2:J134,$H$2:H134,H134,$C$2:C134,C134)+SUMIFS($G$2:G134,$H$2:H134,H134,$C$2:C134,C134)),"")</f>
        <v/>
      </c>
    </row>
    <row r="135" spans="1:16" x14ac:dyDescent="0.25">
      <c r="A135" s="1" t="str">
        <f ca="1">IF(NOT(B135=""),MAX($A$2:A134)+1,"")</f>
        <v/>
      </c>
      <c r="B135" s="3" t="str">
        <f t="shared" ca="1" si="12"/>
        <v/>
      </c>
      <c r="C135" s="3" t="str">
        <f>IF(AND(ISBLANK(I135),NOT(ISBLANK(H135))),"Singles",IF(ISBLANK(H135),"","Doubles"))</f>
        <v/>
      </c>
      <c r="D135" s="7"/>
      <c r="E135" s="1" t="str">
        <f t="shared" si="10"/>
        <v/>
      </c>
      <c r="F135" s="6"/>
      <c r="G135" s="7"/>
      <c r="H135" s="6"/>
      <c r="I135" s="6"/>
      <c r="J135" s="7"/>
      <c r="K135" s="1" t="str">
        <f>IFERROR(INDEX(E135:J135,0,MATCH(MAX(G135,J135),E135:J135,0)-2),"")</f>
        <v/>
      </c>
      <c r="L135" s="2" t="str">
        <f>IFERROR(INDEX(E135:J135,0,MATCH(MAX(G135,J135),E135:J135,0)-1),"")</f>
        <v/>
      </c>
      <c r="M135" s="1" t="str">
        <f t="shared" si="9"/>
        <v/>
      </c>
      <c r="N135" t="str">
        <f t="shared" si="13"/>
        <v/>
      </c>
      <c r="O135" s="63" t="str">
        <f t="shared" si="14"/>
        <v/>
      </c>
      <c r="P135" s="63" t="str">
        <f>IFERROR(SUMIFS($G$2:G135,$H$2:H135,H135,$C$2:C135,C135)/(SUMIFS($J$2:J135,$H$2:H135,H135,$C$2:C135,C135)+SUMIFS($G$2:G135,$H$2:H135,H135,$C$2:C135,C135)),"")</f>
        <v/>
      </c>
    </row>
    <row r="136" spans="1:16" x14ac:dyDescent="0.25">
      <c r="A136" s="1" t="str">
        <f ca="1">IF(NOT(B136=""),MAX($A$2:A135)+1,"")</f>
        <v/>
      </c>
      <c r="B136" s="3" t="str">
        <f t="shared" ca="1" si="12"/>
        <v/>
      </c>
      <c r="C136" s="3" t="str">
        <f>IF(AND(ISBLANK(I136),NOT(ISBLANK(H136))),"Singles",IF(ISBLANK(H136),"","Doubles"))</f>
        <v/>
      </c>
      <c r="D136" s="7"/>
      <c r="E136" s="1" t="str">
        <f t="shared" si="10"/>
        <v/>
      </c>
      <c r="F136" s="6"/>
      <c r="G136" s="7"/>
      <c r="H136" s="6"/>
      <c r="I136" s="6"/>
      <c r="J136" s="7"/>
      <c r="K136" s="1" t="str">
        <f>IFERROR(INDEX(E136:J136,0,MATCH(MAX(G136,J136),E136:J136,0)-2),"")</f>
        <v/>
      </c>
      <c r="L136" s="2" t="str">
        <f>IFERROR(INDEX(E136:J136,0,MATCH(MAX(G136,J136),E136:J136,0)-1),"")</f>
        <v/>
      </c>
      <c r="M136" s="1" t="str">
        <f t="shared" si="9"/>
        <v/>
      </c>
      <c r="N136" t="str">
        <f t="shared" si="13"/>
        <v/>
      </c>
      <c r="O136" s="63" t="str">
        <f t="shared" si="14"/>
        <v/>
      </c>
      <c r="P136" s="63" t="str">
        <f>IFERROR(SUMIFS($G$2:G136,$H$2:H136,H136,$C$2:C136,C136)/(SUMIFS($J$2:J136,$H$2:H136,H136,$C$2:C136,C136)+SUMIFS($G$2:G136,$H$2:H136,H136,$C$2:C136,C136)),"")</f>
        <v/>
      </c>
    </row>
    <row r="137" spans="1:16" x14ac:dyDescent="0.25">
      <c r="A137" s="1" t="str">
        <f ca="1">IF(NOT(B137=""),MAX($A$2:A136)+1,"")</f>
        <v/>
      </c>
      <c r="B137" s="3" t="str">
        <f t="shared" ca="1" si="12"/>
        <v/>
      </c>
      <c r="C137" s="3" t="str">
        <f>IF(AND(ISBLANK(I137),NOT(ISBLANK(H137))),"Singles",IF(ISBLANK(H137),"","Doubles"))</f>
        <v/>
      </c>
      <c r="D137" s="7"/>
      <c r="E137" s="1" t="str">
        <f t="shared" si="10"/>
        <v/>
      </c>
      <c r="F137" s="6"/>
      <c r="G137" s="7"/>
      <c r="H137" s="6"/>
      <c r="I137" s="6"/>
      <c r="J137" s="7"/>
      <c r="K137" s="1" t="str">
        <f>IFERROR(INDEX(E137:J137,0,MATCH(MAX(G137,J137),E137:J137,0)-2),"")</f>
        <v/>
      </c>
      <c r="L137" s="2" t="str">
        <f>IFERROR(INDEX(E137:J137,0,MATCH(MAX(G137,J137),E137:J137,0)-1),"")</f>
        <v/>
      </c>
      <c r="M137" s="1" t="str">
        <f t="shared" si="9"/>
        <v/>
      </c>
      <c r="N137" t="str">
        <f t="shared" si="13"/>
        <v/>
      </c>
      <c r="O137" s="63" t="str">
        <f t="shared" si="14"/>
        <v/>
      </c>
      <c r="P137" s="63" t="str">
        <f>IFERROR(SUMIFS($G$2:G137,$H$2:H137,H137,$C$2:C137,C137)/(SUMIFS($J$2:J137,$H$2:H137,H137,$C$2:C137,C137)+SUMIFS($G$2:G137,$H$2:H137,H137,$C$2:C137,C137)),"")</f>
        <v/>
      </c>
    </row>
    <row r="138" spans="1:16" x14ac:dyDescent="0.25">
      <c r="A138" s="1" t="str">
        <f ca="1">IF(NOT(B138=""),MAX($A$2:A137)+1,"")</f>
        <v/>
      </c>
      <c r="B138" s="3" t="str">
        <f t="shared" ca="1" si="12"/>
        <v/>
      </c>
      <c r="C138" s="3" t="str">
        <f>IF(AND(ISBLANK(I138),NOT(ISBLANK(H138))),"Singles",IF(ISBLANK(H138),"","Doubles"))</f>
        <v/>
      </c>
      <c r="D138" s="7"/>
      <c r="E138" s="1" t="str">
        <f t="shared" si="10"/>
        <v/>
      </c>
      <c r="F138" s="6"/>
      <c r="G138" s="7"/>
      <c r="H138" s="6"/>
      <c r="I138" s="6"/>
      <c r="J138" s="7"/>
      <c r="K138" s="1" t="str">
        <f>IFERROR(INDEX(E138:J138,0,MATCH(MAX(G138,J138),E138:J138,0)-2),"")</f>
        <v/>
      </c>
      <c r="L138" s="2" t="str">
        <f>IFERROR(INDEX(E138:J138,0,MATCH(MAX(G138,J138),E138:J138,0)-1),"")</f>
        <v/>
      </c>
      <c r="M138" s="1" t="str">
        <f t="shared" si="9"/>
        <v/>
      </c>
      <c r="N138" t="str">
        <f t="shared" si="13"/>
        <v/>
      </c>
      <c r="O138" s="63" t="str">
        <f t="shared" si="14"/>
        <v/>
      </c>
      <c r="P138" s="63" t="str">
        <f>IFERROR(SUMIFS($G$2:G138,$H$2:H138,H138,$C$2:C138,C138)/(SUMIFS($J$2:J138,$H$2:H138,H138,$C$2:C138,C138)+SUMIFS($G$2:G138,$H$2:H138,H138,$C$2:C138,C138)),"")</f>
        <v/>
      </c>
    </row>
    <row r="139" spans="1:16" x14ac:dyDescent="0.25">
      <c r="A139" s="1" t="str">
        <f ca="1">IF(NOT(B139=""),MAX($A$2:A138)+1,"")</f>
        <v/>
      </c>
      <c r="B139" s="3" t="str">
        <f t="shared" ca="1" si="12"/>
        <v/>
      </c>
      <c r="C139" s="3" t="str">
        <f>IF(AND(ISBLANK(I139),NOT(ISBLANK(H139))),"Singles",IF(ISBLANK(H139),"","Doubles"))</f>
        <v/>
      </c>
      <c r="D139" s="7"/>
      <c r="E139" s="1" t="str">
        <f t="shared" si="10"/>
        <v/>
      </c>
      <c r="F139" s="6"/>
      <c r="G139" s="7"/>
      <c r="H139" s="6"/>
      <c r="I139" s="6"/>
      <c r="J139" s="7"/>
      <c r="K139" s="1" t="str">
        <f>IFERROR(INDEX(E139:J139,0,MATCH(MAX(G139,J139),E139:J139,0)-2),"")</f>
        <v/>
      </c>
      <c r="L139" s="2" t="str">
        <f>IFERROR(INDEX(E139:J139,0,MATCH(MAX(G139,J139),E139:J139,0)-1),"")</f>
        <v/>
      </c>
      <c r="M139" s="1" t="str">
        <f t="shared" si="9"/>
        <v/>
      </c>
      <c r="N139" t="str">
        <f t="shared" si="13"/>
        <v/>
      </c>
      <c r="O139" s="63" t="str">
        <f t="shared" si="14"/>
        <v/>
      </c>
      <c r="P139" s="63" t="str">
        <f>IFERROR(SUMIFS($G$2:G139,$H$2:H139,H139,$C$2:C139,C139)/(SUMIFS($J$2:J139,$H$2:H139,H139,$C$2:C139,C139)+SUMIFS($G$2:G139,$H$2:H139,H139,$C$2:C139,C139)),"")</f>
        <v/>
      </c>
    </row>
    <row r="140" spans="1:16" x14ac:dyDescent="0.25">
      <c r="A140" s="1" t="str">
        <f ca="1">IF(NOT(B140=""),MAX($A$2:A139)+1,"")</f>
        <v/>
      </c>
      <c r="B140" s="3" t="str">
        <f t="shared" ca="1" si="12"/>
        <v/>
      </c>
      <c r="C140" s="3" t="str">
        <f>IF(AND(ISBLANK(I140),NOT(ISBLANK(H140))),"Singles",IF(ISBLANK(H140),"","Doubles"))</f>
        <v/>
      </c>
      <c r="D140" s="7"/>
      <c r="E140" s="1" t="str">
        <f t="shared" si="10"/>
        <v/>
      </c>
      <c r="F140" s="6"/>
      <c r="G140" s="7"/>
      <c r="H140" s="6"/>
      <c r="I140" s="6"/>
      <c r="J140" s="7"/>
      <c r="K140" s="1" t="str">
        <f>IFERROR(INDEX(E140:J140,0,MATCH(MAX(G140,J140),E140:J140,0)-2),"")</f>
        <v/>
      </c>
      <c r="L140" s="2" t="str">
        <f>IFERROR(INDEX(E140:J140,0,MATCH(MAX(G140,J140),E140:J140,0)-1),"")</f>
        <v/>
      </c>
      <c r="M140" s="1" t="str">
        <f t="shared" si="9"/>
        <v/>
      </c>
      <c r="N140" t="str">
        <f t="shared" si="13"/>
        <v/>
      </c>
      <c r="O140" s="63" t="str">
        <f t="shared" si="14"/>
        <v/>
      </c>
      <c r="P140" s="63" t="str">
        <f>IFERROR(SUMIFS($G$2:G140,$H$2:H140,H140,$C$2:C140,C140)/(SUMIFS($J$2:J140,$H$2:H140,H140,$C$2:C140,C140)+SUMIFS($G$2:G140,$H$2:H140,H140,$C$2:C140,C140)),"")</f>
        <v/>
      </c>
    </row>
    <row r="141" spans="1:16" x14ac:dyDescent="0.25">
      <c r="A141" s="1" t="str">
        <f ca="1">IF(NOT(B141=""),MAX($A$2:A140)+1,"")</f>
        <v/>
      </c>
      <c r="B141" s="3" t="str">
        <f t="shared" ca="1" si="12"/>
        <v/>
      </c>
      <c r="C141" s="3" t="str">
        <f>IF(AND(ISBLANK(I141),NOT(ISBLANK(H141))),"Singles",IF(ISBLANK(H141),"","Doubles"))</f>
        <v/>
      </c>
      <c r="D141" s="7"/>
      <c r="E141" s="1" t="str">
        <f t="shared" si="10"/>
        <v/>
      </c>
      <c r="F141" s="6"/>
      <c r="G141" s="7"/>
      <c r="H141" s="6"/>
      <c r="I141" s="6"/>
      <c r="J141" s="7"/>
      <c r="K141" s="1" t="str">
        <f>IFERROR(INDEX(E141:J141,0,MATCH(MAX(G141,J141),E141:J141,0)-2),"")</f>
        <v/>
      </c>
      <c r="L141" s="2" t="str">
        <f>IFERROR(INDEX(E141:J141,0,MATCH(MAX(G141,J141),E141:J141,0)-1),"")</f>
        <v/>
      </c>
      <c r="M141" s="1" t="str">
        <f t="shared" si="9"/>
        <v/>
      </c>
      <c r="N141" t="str">
        <f t="shared" si="13"/>
        <v/>
      </c>
      <c r="O141" s="63" t="str">
        <f t="shared" si="14"/>
        <v/>
      </c>
      <c r="P141" s="63" t="str">
        <f>IFERROR(SUMIFS($G$2:G141,$H$2:H141,H141,$C$2:C141,C141)/(SUMIFS($J$2:J141,$H$2:H141,H141,$C$2:C141,C141)+SUMIFS($G$2:G141,$H$2:H141,H141,$C$2:C141,C141)),"")</f>
        <v/>
      </c>
    </row>
    <row r="142" spans="1:16" x14ac:dyDescent="0.25">
      <c r="A142" s="1" t="str">
        <f ca="1">IF(NOT(B142=""),MAX($A$2:A141)+1,"")</f>
        <v/>
      </c>
      <c r="B142" s="3" t="str">
        <f t="shared" ca="1" si="12"/>
        <v/>
      </c>
      <c r="C142" s="3" t="str">
        <f>IF(AND(ISBLANK(I142),NOT(ISBLANK(H142))),"Singles",IF(ISBLANK(H142),"","Doubles"))</f>
        <v/>
      </c>
      <c r="D142" s="7"/>
      <c r="E142" s="1" t="str">
        <f t="shared" si="10"/>
        <v/>
      </c>
      <c r="F142" s="6"/>
      <c r="G142" s="7"/>
      <c r="H142" s="6"/>
      <c r="I142" s="6"/>
      <c r="J142" s="7"/>
      <c r="K142" s="1" t="str">
        <f>IFERROR(INDEX(E142:J142,0,MATCH(MAX(G142,J142),E142:J142,0)-2),"")</f>
        <v/>
      </c>
      <c r="L142" s="2" t="str">
        <f>IFERROR(INDEX(E142:J142,0,MATCH(MAX(G142,J142),E142:J142,0)-1),"")</f>
        <v/>
      </c>
      <c r="M142" s="1" t="str">
        <f t="shared" si="9"/>
        <v/>
      </c>
      <c r="N142" t="str">
        <f t="shared" si="13"/>
        <v/>
      </c>
      <c r="O142" s="63" t="str">
        <f t="shared" si="14"/>
        <v/>
      </c>
      <c r="P142" s="63" t="str">
        <f>IFERROR(SUMIFS($G$2:G142,$H$2:H142,H142,$C$2:C142,C142)/(SUMIFS($J$2:J142,$H$2:H142,H142,$C$2:C142,C142)+SUMIFS($G$2:G142,$H$2:H142,H142,$C$2:C142,C142)),"")</f>
        <v/>
      </c>
    </row>
    <row r="143" spans="1:16" x14ac:dyDescent="0.25">
      <c r="A143" s="1" t="str">
        <f ca="1">IF(NOT(B143=""),MAX($A$2:A142)+1,"")</f>
        <v/>
      </c>
      <c r="B143" s="3" t="str">
        <f t="shared" ca="1" si="12"/>
        <v/>
      </c>
      <c r="C143" s="3" t="str">
        <f>IF(AND(ISBLANK(I143),NOT(ISBLANK(H143))),"Singles",IF(ISBLANK(H143),"","Doubles"))</f>
        <v/>
      </c>
      <c r="D143" s="7"/>
      <c r="E143" s="1" t="str">
        <f t="shared" si="10"/>
        <v/>
      </c>
      <c r="F143" s="6"/>
      <c r="G143" s="7"/>
      <c r="H143" s="6"/>
      <c r="I143" s="6"/>
      <c r="J143" s="7"/>
      <c r="K143" s="1" t="str">
        <f>IFERROR(INDEX(E143:J143,0,MATCH(MAX(G143,J143),E143:J143,0)-2),"")</f>
        <v/>
      </c>
      <c r="L143" s="2" t="str">
        <f>IFERROR(INDEX(E143:J143,0,MATCH(MAX(G143,J143),E143:J143,0)-1),"")</f>
        <v/>
      </c>
      <c r="M143" s="1" t="str">
        <f t="shared" si="9"/>
        <v/>
      </c>
      <c r="N143" t="str">
        <f t="shared" si="13"/>
        <v/>
      </c>
      <c r="O143" s="63" t="str">
        <f t="shared" si="14"/>
        <v/>
      </c>
      <c r="P143" s="63" t="str">
        <f>IFERROR(SUMIFS($G$2:G143,$H$2:H143,H143,$C$2:C143,C143)/(SUMIFS($J$2:J143,$H$2:H143,H143,$C$2:C143,C143)+SUMIFS($G$2:G143,$H$2:H143,H143,$C$2:C143,C143)),"")</f>
        <v/>
      </c>
    </row>
    <row r="144" spans="1:16" x14ac:dyDescent="0.25">
      <c r="A144" s="1" t="str">
        <f ca="1">IF(NOT(B144=""),MAX($A$2:A143)+1,"")</f>
        <v/>
      </c>
      <c r="B144" s="3" t="str">
        <f t="shared" ca="1" si="12"/>
        <v/>
      </c>
      <c r="C144" s="3" t="str">
        <f>IF(AND(ISBLANK(I144),NOT(ISBLANK(H144))),"Singles",IF(ISBLANK(H144),"","Doubles"))</f>
        <v/>
      </c>
      <c r="D144" s="7"/>
      <c r="E144" s="1" t="str">
        <f t="shared" si="10"/>
        <v/>
      </c>
      <c r="F144" s="6"/>
      <c r="G144" s="7"/>
      <c r="H144" s="6"/>
      <c r="I144" s="6"/>
      <c r="J144" s="7"/>
      <c r="K144" s="1" t="str">
        <f>IFERROR(INDEX(E144:J144,0,MATCH(MAX(G144,J144),E144:J144,0)-2),"")</f>
        <v/>
      </c>
      <c r="L144" s="2" t="str">
        <f>IFERROR(INDEX(E144:J144,0,MATCH(MAX(G144,J144),E144:J144,0)-1),"")</f>
        <v/>
      </c>
      <c r="M144" s="1" t="str">
        <f t="shared" si="9"/>
        <v/>
      </c>
      <c r="N144" t="str">
        <f t="shared" si="13"/>
        <v/>
      </c>
      <c r="O144" s="63" t="str">
        <f t="shared" si="14"/>
        <v/>
      </c>
      <c r="P144" s="63" t="str">
        <f>IFERROR(SUMIFS($G$2:G144,$H$2:H144,H144,$C$2:C144,C144)/(SUMIFS($J$2:J144,$H$2:H144,H144,$C$2:C144,C144)+SUMIFS($G$2:G144,$H$2:H144,H144,$C$2:C144,C144)),"")</f>
        <v/>
      </c>
    </row>
    <row r="145" spans="1:16" x14ac:dyDescent="0.25">
      <c r="A145" s="1" t="str">
        <f ca="1">IF(NOT(B145=""),MAX($A$2:A144)+1,"")</f>
        <v/>
      </c>
      <c r="B145" s="3" t="str">
        <f t="shared" ca="1" si="12"/>
        <v/>
      </c>
      <c r="C145" s="3" t="str">
        <f>IF(AND(ISBLANK(I145),NOT(ISBLANK(H145))),"Singles",IF(ISBLANK(H145),"","Doubles"))</f>
        <v/>
      </c>
      <c r="D145" s="7"/>
      <c r="E145" s="1" t="str">
        <f t="shared" si="10"/>
        <v/>
      </c>
      <c r="F145" s="6"/>
      <c r="G145" s="7"/>
      <c r="H145" s="6"/>
      <c r="I145" s="6"/>
      <c r="J145" s="7"/>
      <c r="K145" s="1" t="str">
        <f>IFERROR(INDEX(E145:J145,0,MATCH(MAX(G145,J145),E145:J145,0)-2),"")</f>
        <v/>
      </c>
      <c r="L145" s="2" t="str">
        <f>IFERROR(INDEX(E145:J145,0,MATCH(MAX(G145,J145),E145:J145,0)-1),"")</f>
        <v/>
      </c>
      <c r="M145" s="1" t="str">
        <f t="shared" si="9"/>
        <v/>
      </c>
      <c r="N145" t="str">
        <f t="shared" si="13"/>
        <v/>
      </c>
      <c r="O145" s="63" t="str">
        <f t="shared" si="14"/>
        <v/>
      </c>
      <c r="P145" s="63" t="str">
        <f>IFERROR(SUMIFS($G$2:G145,$H$2:H145,H145,$C$2:C145,C145)/(SUMIFS($J$2:J145,$H$2:H145,H145,$C$2:C145,C145)+SUMIFS($G$2:G145,$H$2:H145,H145,$C$2:C145,C145)),"")</f>
        <v/>
      </c>
    </row>
    <row r="146" spans="1:16" x14ac:dyDescent="0.25">
      <c r="A146" s="1" t="str">
        <f ca="1">IF(NOT(B146=""),MAX($A$2:A145)+1,"")</f>
        <v/>
      </c>
      <c r="B146" s="3" t="str">
        <f t="shared" ca="1" si="12"/>
        <v/>
      </c>
      <c r="C146" s="3" t="str">
        <f>IF(AND(ISBLANK(I146),NOT(ISBLANK(H146))),"Singles",IF(ISBLANK(H146),"","Doubles"))</f>
        <v/>
      </c>
      <c r="D146" s="7"/>
      <c r="E146" s="1" t="str">
        <f t="shared" si="10"/>
        <v/>
      </c>
      <c r="F146" s="6"/>
      <c r="G146" s="7"/>
      <c r="H146" s="6"/>
      <c r="I146" s="6"/>
      <c r="J146" s="7"/>
      <c r="K146" s="1" t="str">
        <f>IFERROR(INDEX(E146:J146,0,MATCH(MAX(G146,J146),E146:J146,0)-2),"")</f>
        <v/>
      </c>
      <c r="L146" s="2" t="str">
        <f>IFERROR(INDEX(E146:J146,0,MATCH(MAX(G146,J146),E146:J146,0)-1),"")</f>
        <v/>
      </c>
      <c r="M146" s="1" t="str">
        <f t="shared" si="9"/>
        <v/>
      </c>
      <c r="N146" t="str">
        <f t="shared" si="13"/>
        <v/>
      </c>
      <c r="O146" s="63" t="str">
        <f t="shared" si="14"/>
        <v/>
      </c>
      <c r="P146" s="63" t="str">
        <f>IFERROR(SUMIFS($G$2:G146,$H$2:H146,H146,$C$2:C146,C146)/(SUMIFS($J$2:J146,$H$2:H146,H146,$C$2:C146,C146)+SUMIFS($G$2:G146,$H$2:H146,H146,$C$2:C146,C146)),"")</f>
        <v/>
      </c>
    </row>
    <row r="147" spans="1:16" x14ac:dyDescent="0.25">
      <c r="A147" s="1" t="str">
        <f ca="1">IF(NOT(B147=""),MAX($A$2:A146)+1,"")</f>
        <v/>
      </c>
      <c r="B147" s="3" t="str">
        <f t="shared" ca="1" si="12"/>
        <v/>
      </c>
      <c r="C147" s="3" t="str">
        <f>IF(AND(ISBLANK(I147),NOT(ISBLANK(H147))),"Singles",IF(ISBLANK(H147),"","Doubles"))</f>
        <v/>
      </c>
      <c r="D147" s="7"/>
      <c r="E147" s="1" t="str">
        <f t="shared" si="10"/>
        <v/>
      </c>
      <c r="F147" s="6"/>
      <c r="G147" s="7"/>
      <c r="H147" s="6"/>
      <c r="I147" s="6"/>
      <c r="J147" s="7"/>
      <c r="K147" s="1" t="str">
        <f>IFERROR(INDEX(E147:J147,0,MATCH(MAX(G147,J147),E147:J147,0)-2),"")</f>
        <v/>
      </c>
      <c r="L147" s="2" t="str">
        <f>IFERROR(INDEX(E147:J147,0,MATCH(MAX(G147,J147),E147:J147,0)-1),"")</f>
        <v/>
      </c>
      <c r="M147" s="1" t="str">
        <f t="shared" si="9"/>
        <v/>
      </c>
      <c r="N147" t="str">
        <f t="shared" si="13"/>
        <v/>
      </c>
      <c r="O147" s="63" t="str">
        <f t="shared" si="14"/>
        <v/>
      </c>
      <c r="P147" s="63" t="str">
        <f>IFERROR(SUMIFS($G$2:G147,$H$2:H147,H147,$C$2:C147,C147)/(SUMIFS($J$2:J147,$H$2:H147,H147,$C$2:C147,C147)+SUMIFS($G$2:G147,$H$2:H147,H147,$C$2:C147,C147)),"")</f>
        <v/>
      </c>
    </row>
    <row r="148" spans="1:16" x14ac:dyDescent="0.25">
      <c r="A148" s="1" t="str">
        <f ca="1">IF(NOT(B148=""),MAX($A$2:A147)+1,"")</f>
        <v/>
      </c>
      <c r="B148" s="3" t="str">
        <f t="shared" ca="1" si="12"/>
        <v/>
      </c>
      <c r="C148" s="3" t="str">
        <f>IF(AND(ISBLANK(I148),NOT(ISBLANK(H148))),"Singles",IF(ISBLANK(H148),"","Doubles"))</f>
        <v/>
      </c>
      <c r="D148" s="7"/>
      <c r="E148" s="1" t="str">
        <f t="shared" si="10"/>
        <v/>
      </c>
      <c r="F148" s="6"/>
      <c r="G148" s="7"/>
      <c r="H148" s="6"/>
      <c r="I148" s="6"/>
      <c r="J148" s="7"/>
      <c r="K148" s="1" t="str">
        <f>IFERROR(INDEX(E148:J148,0,MATCH(MAX(G148,J148),E148:J148,0)-2),"")</f>
        <v/>
      </c>
      <c r="L148" s="2" t="str">
        <f>IFERROR(INDEX(E148:J148,0,MATCH(MAX(G148,J148),E148:J148,0)-1),"")</f>
        <v/>
      </c>
      <c r="M148" s="1" t="str">
        <f t="shared" si="9"/>
        <v/>
      </c>
      <c r="N148" t="str">
        <f t="shared" si="13"/>
        <v/>
      </c>
      <c r="O148" s="63" t="str">
        <f t="shared" si="14"/>
        <v/>
      </c>
      <c r="P148" s="63" t="str">
        <f>IFERROR(SUMIFS($G$2:G148,$H$2:H148,H148,$C$2:C148,C148)/(SUMIFS($J$2:J148,$H$2:H148,H148,$C$2:C148,C148)+SUMIFS($G$2:G148,$H$2:H148,H148,$C$2:C148,C148)),"")</f>
        <v/>
      </c>
    </row>
    <row r="149" spans="1:16" x14ac:dyDescent="0.25">
      <c r="A149" s="1" t="str">
        <f ca="1">IF(NOT(B149=""),MAX($A$2:A148)+1,"")</f>
        <v/>
      </c>
      <c r="B149" s="3" t="str">
        <f t="shared" ca="1" si="12"/>
        <v/>
      </c>
      <c r="C149" s="3" t="str">
        <f>IF(AND(ISBLANK(I149),NOT(ISBLANK(H149))),"Singles",IF(ISBLANK(H149),"","Doubles"))</f>
        <v/>
      </c>
      <c r="D149" s="7"/>
      <c r="E149" s="1" t="str">
        <f t="shared" si="10"/>
        <v/>
      </c>
      <c r="F149" s="6"/>
      <c r="G149" s="7"/>
      <c r="H149" s="6"/>
      <c r="I149" s="6"/>
      <c r="J149" s="7"/>
      <c r="K149" s="1" t="str">
        <f>IFERROR(INDEX(E149:J149,0,MATCH(MAX(G149,J149),E149:J149,0)-2),"")</f>
        <v/>
      </c>
      <c r="L149" s="2" t="str">
        <f>IFERROR(INDEX(E149:J149,0,MATCH(MAX(G149,J149),E149:J149,0)-1),"")</f>
        <v/>
      </c>
      <c r="M149" s="1" t="str">
        <f t="shared" si="9"/>
        <v/>
      </c>
      <c r="N149" t="str">
        <f t="shared" si="13"/>
        <v/>
      </c>
      <c r="O149" s="63" t="str">
        <f t="shared" si="14"/>
        <v/>
      </c>
      <c r="P149" s="63" t="str">
        <f>IFERROR(SUMIFS($G$2:G149,$H$2:H149,H149,$C$2:C149,C149)/(SUMIFS($J$2:J149,$H$2:H149,H149,$C$2:C149,C149)+SUMIFS($G$2:G149,$H$2:H149,H149,$C$2:C149,C149)),"")</f>
        <v/>
      </c>
    </row>
    <row r="150" spans="1:16" x14ac:dyDescent="0.25">
      <c r="A150" s="1" t="str">
        <f ca="1">IF(NOT(B150=""),MAX($A$2:A149)+1,"")</f>
        <v/>
      </c>
      <c r="B150" s="3" t="str">
        <f t="shared" ca="1" si="12"/>
        <v/>
      </c>
      <c r="C150" s="3" t="str">
        <f>IF(AND(ISBLANK(I150),NOT(ISBLANK(H150))),"Singles",IF(ISBLANK(H150),"","Doubles"))</f>
        <v/>
      </c>
      <c r="D150" s="7"/>
      <c r="E150" s="1" t="str">
        <f t="shared" si="10"/>
        <v/>
      </c>
      <c r="F150" s="6"/>
      <c r="G150" s="7"/>
      <c r="H150" s="6"/>
      <c r="I150" s="6"/>
      <c r="J150" s="7"/>
      <c r="K150" s="1" t="str">
        <f>IFERROR(INDEX(E150:J150,0,MATCH(MAX(G150,J150),E150:J150,0)-2),"")</f>
        <v/>
      </c>
      <c r="L150" s="2" t="str">
        <f>IFERROR(INDEX(E150:J150,0,MATCH(MAX(G150,J150),E150:J150,0)-1),"")</f>
        <v/>
      </c>
      <c r="M150" s="1" t="str">
        <f t="shared" si="9"/>
        <v/>
      </c>
      <c r="N150" t="str">
        <f t="shared" si="13"/>
        <v/>
      </c>
      <c r="O150" s="63" t="str">
        <f t="shared" si="14"/>
        <v/>
      </c>
      <c r="P150" s="63" t="str">
        <f>IFERROR(SUMIFS($G$2:G150,$H$2:H150,H150,$C$2:C150,C150)/(SUMIFS($J$2:J150,$H$2:H150,H150,$C$2:C150,C150)+SUMIFS($G$2:G150,$H$2:H150,H150,$C$2:C150,C150)),"")</f>
        <v/>
      </c>
    </row>
    <row r="151" spans="1:16" x14ac:dyDescent="0.25">
      <c r="A151" s="1" t="str">
        <f ca="1">IF(NOT(B151=""),MAX($A$2:A150)+1,"")</f>
        <v/>
      </c>
      <c r="B151" s="3" t="str">
        <f t="shared" ca="1" si="12"/>
        <v/>
      </c>
      <c r="C151" s="3" t="str">
        <f>IF(AND(ISBLANK(I151),NOT(ISBLANK(H151))),"Singles",IF(ISBLANK(H151),"","Doubles"))</f>
        <v/>
      </c>
      <c r="D151" s="7"/>
      <c r="E151" s="1" t="str">
        <f t="shared" si="10"/>
        <v/>
      </c>
      <c r="F151" s="6"/>
      <c r="G151" s="7"/>
      <c r="H151" s="6"/>
      <c r="I151" s="6"/>
      <c r="J151" s="7"/>
      <c r="K151" s="1" t="str">
        <f>IFERROR(INDEX(E151:J151,0,MATCH(MAX(G151,J151),E151:J151,0)-2),"")</f>
        <v/>
      </c>
      <c r="L151" s="2" t="str">
        <f>IFERROR(INDEX(E151:J151,0,MATCH(MAX(G151,J151),E151:J151,0)-1),"")</f>
        <v/>
      </c>
      <c r="M151" s="1" t="str">
        <f t="shared" si="9"/>
        <v/>
      </c>
      <c r="N151" t="str">
        <f t="shared" si="13"/>
        <v/>
      </c>
      <c r="O151" s="63" t="str">
        <f t="shared" si="14"/>
        <v/>
      </c>
      <c r="P151" s="63" t="str">
        <f>IFERROR(SUMIFS($G$2:G151,$H$2:H151,H151,$C$2:C151,C151)/(SUMIFS($J$2:J151,$H$2:H151,H151,$C$2:C151,C151)+SUMIFS($G$2:G151,$H$2:H151,H151,$C$2:C151,C151)),"")</f>
        <v/>
      </c>
    </row>
    <row r="152" spans="1:16" x14ac:dyDescent="0.25">
      <c r="A152" s="1" t="str">
        <f ca="1">IF(NOT(B152=""),MAX($A$2:A151)+1,"")</f>
        <v/>
      </c>
      <c r="B152" s="3" t="str">
        <f t="shared" ca="1" si="12"/>
        <v/>
      </c>
      <c r="C152" s="3" t="str">
        <f>IF(AND(ISBLANK(I152),NOT(ISBLANK(H152))),"Singles",IF(ISBLANK(H152),"","Doubles"))</f>
        <v/>
      </c>
      <c r="D152" s="7"/>
      <c r="E152" s="1" t="str">
        <f t="shared" si="10"/>
        <v/>
      </c>
      <c r="F152" s="6"/>
      <c r="G152" s="7"/>
      <c r="H152" s="6"/>
      <c r="I152" s="6"/>
      <c r="J152" s="7"/>
      <c r="K152" s="1" t="str">
        <f>IFERROR(INDEX(E152:J152,0,MATCH(MAX(G152,J152),E152:J152,0)-2),"")</f>
        <v/>
      </c>
      <c r="L152" s="2" t="str">
        <f>IFERROR(INDEX(E152:J152,0,MATCH(MAX(G152,J152),E152:J152,0)-1),"")</f>
        <v/>
      </c>
      <c r="M152" s="1" t="str">
        <f t="shared" si="9"/>
        <v/>
      </c>
      <c r="N152" t="str">
        <f t="shared" si="13"/>
        <v/>
      </c>
      <c r="O152" s="63" t="str">
        <f t="shared" si="14"/>
        <v/>
      </c>
      <c r="P152" s="63" t="str">
        <f>IFERROR(SUMIFS($G$2:G152,$H$2:H152,H152,$C$2:C152,C152)/(SUMIFS($J$2:J152,$H$2:H152,H152,$C$2:C152,C152)+SUMIFS($G$2:G152,$H$2:H152,H152,$C$2:C152,C152)),"")</f>
        <v/>
      </c>
    </row>
    <row r="153" spans="1:16" x14ac:dyDescent="0.25">
      <c r="A153" s="1" t="str">
        <f ca="1">IF(NOT(B153=""),MAX($A$2:A152)+1,"")</f>
        <v/>
      </c>
      <c r="B153" s="3" t="str">
        <f t="shared" ca="1" si="12"/>
        <v/>
      </c>
      <c r="C153" s="3" t="str">
        <f>IF(AND(ISBLANK(I153),NOT(ISBLANK(H153))),"Singles",IF(ISBLANK(H153),"","Doubles"))</f>
        <v/>
      </c>
      <c r="D153" s="7"/>
      <c r="E153" s="1" t="str">
        <f t="shared" si="10"/>
        <v/>
      </c>
      <c r="F153" s="6"/>
      <c r="G153" s="7"/>
      <c r="H153" s="6"/>
      <c r="I153" s="6"/>
      <c r="J153" s="7"/>
      <c r="K153" s="1" t="str">
        <f>IFERROR(INDEX(E153:J153,0,MATCH(MAX(G153,J153),E153:J153,0)-2),"")</f>
        <v/>
      </c>
      <c r="L153" s="2" t="str">
        <f>IFERROR(INDEX(E153:J153,0,MATCH(MAX(G153,J153),E153:J153,0)-1),"")</f>
        <v/>
      </c>
      <c r="M153" s="1" t="str">
        <f t="shared" si="9"/>
        <v/>
      </c>
      <c r="N153" t="str">
        <f t="shared" si="13"/>
        <v/>
      </c>
      <c r="O153" s="63" t="str">
        <f t="shared" si="14"/>
        <v/>
      </c>
      <c r="P153" s="63" t="str">
        <f>IFERROR(SUMIFS($G$2:G153,$H$2:H153,H153,$C$2:C153,C153)/(SUMIFS($J$2:J153,$H$2:H153,H153,$C$2:C153,C153)+SUMIFS($G$2:G153,$H$2:H153,H153,$C$2:C153,C153)),"")</f>
        <v/>
      </c>
    </row>
    <row r="154" spans="1:16" x14ac:dyDescent="0.25">
      <c r="A154" s="1" t="str">
        <f ca="1">IF(NOT(B154=""),MAX($A$2:A153)+1,"")</f>
        <v/>
      </c>
      <c r="B154" s="3" t="str">
        <f t="shared" ca="1" si="12"/>
        <v/>
      </c>
      <c r="C154" s="3" t="str">
        <f>IF(AND(ISBLANK(I154),NOT(ISBLANK(H154))),"Singles",IF(ISBLANK(H154),"","Doubles"))</f>
        <v/>
      </c>
      <c r="D154" s="7"/>
      <c r="E154" s="1" t="str">
        <f t="shared" si="10"/>
        <v/>
      </c>
      <c r="F154" s="6"/>
      <c r="G154" s="7"/>
      <c r="H154" s="6"/>
      <c r="I154" s="6"/>
      <c r="J154" s="7"/>
      <c r="K154" s="1" t="str">
        <f>IFERROR(INDEX(E154:J154,0,MATCH(MAX(G154,J154),E154:J154,0)-2),"")</f>
        <v/>
      </c>
      <c r="L154" s="2" t="str">
        <f>IFERROR(INDEX(E154:J154,0,MATCH(MAX(G154,J154),E154:J154,0)-1),"")</f>
        <v/>
      </c>
      <c r="M154" s="1" t="str">
        <f t="shared" si="9"/>
        <v/>
      </c>
      <c r="N154" t="str">
        <f t="shared" si="13"/>
        <v/>
      </c>
      <c r="O154" s="63" t="str">
        <f t="shared" si="14"/>
        <v/>
      </c>
      <c r="P154" s="63" t="str">
        <f>IFERROR(SUMIFS($G$2:G154,$H$2:H154,H154,$C$2:C154,C154)/(SUMIFS($J$2:J154,$H$2:H154,H154,$C$2:C154,C154)+SUMIFS($G$2:G154,$H$2:H154,H154,$C$2:C154,C154)),"")</f>
        <v/>
      </c>
    </row>
    <row r="155" spans="1:16" x14ac:dyDescent="0.25">
      <c r="A155" s="1" t="str">
        <f ca="1">IF(NOT(B155=""),MAX($A$2:A154)+1,"")</f>
        <v/>
      </c>
      <c r="B155" s="3" t="str">
        <f t="shared" ca="1" si="12"/>
        <v/>
      </c>
      <c r="C155" s="3" t="str">
        <f>IF(AND(ISBLANK(I155),NOT(ISBLANK(H155))),"Singles",IF(ISBLANK(H155),"","Doubles"))</f>
        <v/>
      </c>
      <c r="D155" s="7"/>
      <c r="E155" s="1" t="str">
        <f t="shared" si="10"/>
        <v/>
      </c>
      <c r="F155" s="6"/>
      <c r="G155" s="7"/>
      <c r="H155" s="6"/>
      <c r="I155" s="6"/>
      <c r="J155" s="7"/>
      <c r="K155" s="1" t="str">
        <f>IFERROR(INDEX(E155:J155,0,MATCH(MAX(G155,J155),E155:J155,0)-2),"")</f>
        <v/>
      </c>
      <c r="L155" s="2" t="str">
        <f>IFERROR(INDEX(E155:J155,0,MATCH(MAX(G155,J155),E155:J155,0)-1),"")</f>
        <v/>
      </c>
      <c r="M155" s="1" t="str">
        <f t="shared" si="9"/>
        <v/>
      </c>
      <c r="N155" t="str">
        <f t="shared" si="13"/>
        <v/>
      </c>
      <c r="O155" s="63" t="str">
        <f t="shared" si="14"/>
        <v/>
      </c>
      <c r="P155" s="63" t="str">
        <f>IFERROR(SUMIFS($G$2:G155,$H$2:H155,H155,$C$2:C155,C155)/(SUMIFS($J$2:J155,$H$2:H155,H155,$C$2:C155,C155)+SUMIFS($G$2:G155,$H$2:H155,H155,$C$2:C155,C155)),"")</f>
        <v/>
      </c>
    </row>
    <row r="156" spans="1:16" x14ac:dyDescent="0.25">
      <c r="A156" s="1" t="str">
        <f ca="1">IF(NOT(B156=""),MAX($A$2:A155)+1,"")</f>
        <v/>
      </c>
      <c r="B156" s="3" t="str">
        <f t="shared" ca="1" si="12"/>
        <v/>
      </c>
      <c r="C156" s="3" t="str">
        <f>IF(AND(ISBLANK(I156),NOT(ISBLANK(H156))),"Singles",IF(ISBLANK(H156),"","Doubles"))</f>
        <v/>
      </c>
      <c r="D156" s="7"/>
      <c r="E156" s="1" t="str">
        <f t="shared" si="10"/>
        <v/>
      </c>
      <c r="F156" s="6"/>
      <c r="G156" s="7"/>
      <c r="H156" s="6"/>
      <c r="I156" s="6"/>
      <c r="J156" s="7"/>
      <c r="K156" s="1" t="str">
        <f>IFERROR(INDEX(E156:J156,0,MATCH(MAX(G156,J156),E156:J156,0)-2),"")</f>
        <v/>
      </c>
      <c r="L156" s="2" t="str">
        <f>IFERROR(INDEX(E156:J156,0,MATCH(MAX(G156,J156),E156:J156,0)-1),"")</f>
        <v/>
      </c>
      <c r="M156" s="1" t="str">
        <f t="shared" si="9"/>
        <v/>
      </c>
      <c r="N156" t="str">
        <f t="shared" si="13"/>
        <v/>
      </c>
      <c r="O156" s="63" t="str">
        <f t="shared" si="14"/>
        <v/>
      </c>
      <c r="P156" s="63" t="str">
        <f>IFERROR(SUMIFS($G$2:G156,$H$2:H156,H156,$C$2:C156,C156)/(SUMIFS($J$2:J156,$H$2:H156,H156,$C$2:C156,C156)+SUMIFS($G$2:G156,$H$2:H156,H156,$C$2:C156,C156)),"")</f>
        <v/>
      </c>
    </row>
    <row r="157" spans="1:16" x14ac:dyDescent="0.25">
      <c r="A157" s="1" t="str">
        <f ca="1">IF(NOT(B157=""),MAX($A$2:A156)+1,"")</f>
        <v/>
      </c>
      <c r="B157" s="3" t="str">
        <f t="shared" ca="1" si="12"/>
        <v/>
      </c>
      <c r="C157" s="3" t="str">
        <f>IF(AND(ISBLANK(I157),NOT(ISBLANK(H157))),"Singles",IF(ISBLANK(H157),"","Doubles"))</f>
        <v/>
      </c>
      <c r="D157" s="7"/>
      <c r="E157" s="1" t="str">
        <f t="shared" si="10"/>
        <v/>
      </c>
      <c r="F157" s="6"/>
      <c r="G157" s="7"/>
      <c r="H157" s="6"/>
      <c r="I157" s="6"/>
      <c r="J157" s="7"/>
      <c r="K157" s="1" t="str">
        <f>IFERROR(INDEX(E157:J157,0,MATCH(MAX(G157,J157),E157:J157,0)-2),"")</f>
        <v/>
      </c>
      <c r="L157" s="2" t="str">
        <f>IFERROR(INDEX(E157:J157,0,MATCH(MAX(G157,J157),E157:J157,0)-1),"")</f>
        <v/>
      </c>
      <c r="M157" s="1" t="str">
        <f t="shared" si="9"/>
        <v/>
      </c>
      <c r="N157" t="str">
        <f t="shared" si="13"/>
        <v/>
      </c>
      <c r="O157" s="63" t="str">
        <f t="shared" si="14"/>
        <v/>
      </c>
      <c r="P157" s="63" t="str">
        <f>IFERROR(SUMIFS($G$2:G157,$H$2:H157,H157,$C$2:C157,C157)/(SUMIFS($J$2:J157,$H$2:H157,H157,$C$2:C157,C157)+SUMIFS($G$2:G157,$H$2:H157,H157,$C$2:C157,C157)),"")</f>
        <v/>
      </c>
    </row>
    <row r="158" spans="1:16" x14ac:dyDescent="0.25">
      <c r="A158" s="1" t="str">
        <f ca="1">IF(NOT(B158=""),MAX($A$2:A157)+1,"")</f>
        <v/>
      </c>
      <c r="B158" s="3" t="str">
        <f t="shared" ca="1" si="12"/>
        <v/>
      </c>
      <c r="C158" s="3" t="str">
        <f>IF(AND(ISBLANK(I158),NOT(ISBLANK(H158))),"Singles",IF(ISBLANK(H158),"","Doubles"))</f>
        <v/>
      </c>
      <c r="D158" s="7"/>
      <c r="E158" s="1" t="str">
        <f t="shared" si="10"/>
        <v/>
      </c>
      <c r="F158" s="6"/>
      <c r="G158" s="7"/>
      <c r="H158" s="6"/>
      <c r="I158" s="6"/>
      <c r="J158" s="7"/>
      <c r="K158" s="1" t="str">
        <f>IFERROR(INDEX(E158:J158,0,MATCH(MAX(G158,J158),E158:J158,0)-2),"")</f>
        <v/>
      </c>
      <c r="L158" s="2" t="str">
        <f>IFERROR(INDEX(E158:J158,0,MATCH(MAX(G158,J158),E158:J158,0)-1),"")</f>
        <v/>
      </c>
      <c r="M158" s="1" t="str">
        <f t="shared" si="9"/>
        <v/>
      </c>
      <c r="N158" t="str">
        <f t="shared" si="13"/>
        <v/>
      </c>
      <c r="O158" s="63" t="str">
        <f t="shared" si="14"/>
        <v/>
      </c>
      <c r="P158" s="63" t="str">
        <f>IFERROR(SUMIFS($G$2:G158,$H$2:H158,H158,$C$2:C158,C158)/(SUMIFS($J$2:J158,$H$2:H158,H158,$C$2:C158,C158)+SUMIFS($G$2:G158,$H$2:H158,H158,$C$2:C158,C158)),"")</f>
        <v/>
      </c>
    </row>
    <row r="159" spans="1:16" x14ac:dyDescent="0.25">
      <c r="A159" s="1" t="str">
        <f ca="1">IF(NOT(B159=""),MAX($A$2:A158)+1,"")</f>
        <v/>
      </c>
      <c r="B159" s="3" t="str">
        <f t="shared" ca="1" si="12"/>
        <v/>
      </c>
      <c r="C159" s="3" t="str">
        <f>IF(AND(ISBLANK(I159),NOT(ISBLANK(H159))),"Singles",IF(ISBLANK(H159),"","Doubles"))</f>
        <v/>
      </c>
      <c r="D159" s="7"/>
      <c r="E159" s="1" t="str">
        <f t="shared" si="10"/>
        <v/>
      </c>
      <c r="F159" s="6"/>
      <c r="G159" s="7"/>
      <c r="H159" s="6"/>
      <c r="I159" s="6"/>
      <c r="J159" s="7"/>
      <c r="K159" s="1" t="str">
        <f>IFERROR(INDEX(E159:J159,0,MATCH(MAX(G159,J159),E159:J159,0)-2),"")</f>
        <v/>
      </c>
      <c r="L159" s="2" t="str">
        <f>IFERROR(INDEX(E159:J159,0,MATCH(MAX(G159,J159),E159:J159,0)-1),"")</f>
        <v/>
      </c>
      <c r="M159" s="1" t="str">
        <f t="shared" si="9"/>
        <v/>
      </c>
      <c r="N159" t="str">
        <f t="shared" si="13"/>
        <v/>
      </c>
      <c r="O159" s="63" t="str">
        <f t="shared" si="14"/>
        <v/>
      </c>
      <c r="P159" s="63" t="str">
        <f>IFERROR(SUMIFS($G$2:G159,$H$2:H159,H159,$C$2:C159,C159)/(SUMIFS($J$2:J159,$H$2:H159,H159,$C$2:C159,C159)+SUMIFS($G$2:G159,$H$2:H159,H159,$C$2:C159,C159)),"")</f>
        <v/>
      </c>
    </row>
    <row r="160" spans="1:16" x14ac:dyDescent="0.25">
      <c r="A160" s="1" t="str">
        <f ca="1">IF(NOT(B160=""),MAX($A$2:A159)+1,"")</f>
        <v/>
      </c>
      <c r="B160" s="3" t="str">
        <f t="shared" ca="1" si="12"/>
        <v/>
      </c>
      <c r="C160" s="3" t="str">
        <f>IF(AND(ISBLANK(I160),NOT(ISBLANK(H160))),"Singles",IF(ISBLANK(H160),"","Doubles"))</f>
        <v/>
      </c>
      <c r="D160" s="7"/>
      <c r="E160" s="1" t="str">
        <f t="shared" si="10"/>
        <v/>
      </c>
      <c r="F160" s="6"/>
      <c r="G160" s="7"/>
      <c r="H160" s="6"/>
      <c r="I160" s="6"/>
      <c r="J160" s="7"/>
      <c r="K160" s="1" t="str">
        <f>IFERROR(INDEX(E160:J160,0,MATCH(MAX(G160,J160),E160:J160,0)-2),"")</f>
        <v/>
      </c>
      <c r="L160" s="2" t="str">
        <f>IFERROR(INDEX(E160:J160,0,MATCH(MAX(G160,J160),E160:J160,0)-1),"")</f>
        <v/>
      </c>
      <c r="M160" s="1" t="str">
        <f t="shared" si="9"/>
        <v/>
      </c>
      <c r="N160" t="str">
        <f t="shared" si="13"/>
        <v/>
      </c>
      <c r="O160" s="63" t="str">
        <f t="shared" si="14"/>
        <v/>
      </c>
      <c r="P160" s="63" t="str">
        <f>IFERROR(SUMIFS($G$2:G160,$H$2:H160,H160,$C$2:C160,C160)/(SUMIFS($J$2:J160,$H$2:H160,H160,$C$2:C160,C160)+SUMIFS($G$2:G160,$H$2:H160,H160,$C$2:C160,C160)),"")</f>
        <v/>
      </c>
    </row>
    <row r="161" spans="1:16" x14ac:dyDescent="0.25">
      <c r="A161" s="1" t="str">
        <f ca="1">IF(NOT(B161=""),MAX($A$2:A160)+1,"")</f>
        <v/>
      </c>
      <c r="B161" s="3" t="str">
        <f t="shared" ca="1" si="12"/>
        <v/>
      </c>
      <c r="C161" s="3" t="str">
        <f>IF(AND(ISBLANK(I161),NOT(ISBLANK(H161))),"Singles",IF(ISBLANK(H161),"","Doubles"))</f>
        <v/>
      </c>
      <c r="D161" s="7"/>
      <c r="E161" s="1" t="str">
        <f t="shared" si="10"/>
        <v/>
      </c>
      <c r="F161" s="6"/>
      <c r="G161" s="7"/>
      <c r="H161" s="6"/>
      <c r="I161" s="6"/>
      <c r="J161" s="7"/>
      <c r="K161" s="1" t="str">
        <f>IFERROR(INDEX(E161:J161,0,MATCH(MAX(G161,J161),E161:J161,0)-2),"")</f>
        <v/>
      </c>
      <c r="L161" s="2" t="str">
        <f>IFERROR(INDEX(E161:J161,0,MATCH(MAX(G161,J161),E161:J161,0)-1),"")</f>
        <v/>
      </c>
      <c r="M161" s="1" t="str">
        <f t="shared" si="9"/>
        <v/>
      </c>
      <c r="N161" t="str">
        <f t="shared" si="13"/>
        <v/>
      </c>
      <c r="O161" s="63" t="str">
        <f t="shared" si="14"/>
        <v/>
      </c>
      <c r="P161" s="63" t="str">
        <f>IFERROR(SUMIFS($G$2:G161,$H$2:H161,H161,$C$2:C161,C161)/(SUMIFS($J$2:J161,$H$2:H161,H161,$C$2:C161,C161)+SUMIFS($G$2:G161,$H$2:H161,H161,$C$2:C161,C161)),"")</f>
        <v/>
      </c>
    </row>
    <row r="162" spans="1:16" x14ac:dyDescent="0.25">
      <c r="A162" s="1" t="str">
        <f ca="1">IF(NOT(B162=""),MAX($A$2:A161)+1,"")</f>
        <v/>
      </c>
      <c r="B162" s="3" t="str">
        <f t="shared" ca="1" si="12"/>
        <v/>
      </c>
      <c r="C162" s="3" t="str">
        <f>IF(AND(ISBLANK(I162),NOT(ISBLANK(H162))),"Singles",IF(ISBLANK(H162),"","Doubles"))</f>
        <v/>
      </c>
      <c r="D162" s="7"/>
      <c r="E162" s="1" t="str">
        <f t="shared" si="10"/>
        <v/>
      </c>
      <c r="F162" s="6"/>
      <c r="G162" s="7"/>
      <c r="H162" s="6"/>
      <c r="I162" s="6"/>
      <c r="J162" s="7"/>
      <c r="K162" s="1" t="str">
        <f>IFERROR(INDEX(E162:J162,0,MATCH(MAX(G162,J162),E162:J162,0)-2),"")</f>
        <v/>
      </c>
      <c r="L162" s="2" t="str">
        <f>IFERROR(INDEX(E162:J162,0,MATCH(MAX(G162,J162),E162:J162,0)-1),"")</f>
        <v/>
      </c>
      <c r="M162" s="1" t="str">
        <f t="shared" si="9"/>
        <v/>
      </c>
      <c r="N162" t="str">
        <f t="shared" si="13"/>
        <v/>
      </c>
      <c r="O162" s="63" t="str">
        <f t="shared" si="14"/>
        <v/>
      </c>
      <c r="P162" s="63" t="str">
        <f>IFERROR(SUMIFS($G$2:G162,$H$2:H162,H162,$C$2:C162,C162)/(SUMIFS($J$2:J162,$H$2:H162,H162,$C$2:C162,C162)+SUMIFS($G$2:G162,$H$2:H162,H162,$C$2:C162,C162)),"")</f>
        <v/>
      </c>
    </row>
    <row r="163" spans="1:16" x14ac:dyDescent="0.25">
      <c r="A163" s="1" t="str">
        <f ca="1">IF(NOT(B163=""),MAX($A$2:A162)+1,"")</f>
        <v/>
      </c>
      <c r="B163" s="3" t="str">
        <f t="shared" ca="1" si="12"/>
        <v/>
      </c>
      <c r="C163" s="3" t="str">
        <f>IF(AND(ISBLANK(I163),NOT(ISBLANK(H163))),"Singles",IF(ISBLANK(H163),"","Doubles"))</f>
        <v/>
      </c>
      <c r="D163" s="7"/>
      <c r="E163" s="1" t="str">
        <f t="shared" si="10"/>
        <v/>
      </c>
      <c r="F163" s="6"/>
      <c r="G163" s="7"/>
      <c r="H163" s="6"/>
      <c r="I163" s="6"/>
      <c r="J163" s="7"/>
      <c r="K163" s="1" t="str">
        <f>IFERROR(INDEX(E163:J163,0,MATCH(MAX(G163,J163),E163:J163,0)-2),"")</f>
        <v/>
      </c>
      <c r="L163" s="2" t="str">
        <f>IFERROR(INDEX(E163:J163,0,MATCH(MAX(G163,J163),E163:J163,0)-1),"")</f>
        <v/>
      </c>
      <c r="M163" s="1" t="str">
        <f t="shared" si="9"/>
        <v/>
      </c>
      <c r="N163" t="str">
        <f t="shared" si="13"/>
        <v/>
      </c>
      <c r="O163" s="63" t="str">
        <f t="shared" si="14"/>
        <v/>
      </c>
      <c r="P163" s="63" t="str">
        <f>IFERROR(SUMIFS($G$2:G163,$H$2:H163,H163,$C$2:C163,C163)/(SUMIFS($J$2:J163,$H$2:H163,H163,$C$2:C163,C163)+SUMIFS($G$2:G163,$H$2:H163,H163,$C$2:C163,C163)),"")</f>
        <v/>
      </c>
    </row>
    <row r="164" spans="1:16" x14ac:dyDescent="0.25">
      <c r="A164" s="1" t="str">
        <f ca="1">IF(NOT(B164=""),MAX($A$2:A163)+1,"")</f>
        <v/>
      </c>
      <c r="B164" s="3" t="str">
        <f t="shared" ca="1" si="12"/>
        <v/>
      </c>
      <c r="C164" s="3" t="str">
        <f>IF(AND(ISBLANK(I164),NOT(ISBLANK(H164))),"Singles",IF(ISBLANK(H164),"","Doubles"))</f>
        <v/>
      </c>
      <c r="D164" s="7"/>
      <c r="E164" s="1" t="str">
        <f t="shared" si="10"/>
        <v/>
      </c>
      <c r="F164" s="6"/>
      <c r="G164" s="7"/>
      <c r="H164" s="6"/>
      <c r="I164" s="6"/>
      <c r="J164" s="7"/>
      <c r="K164" s="1" t="str">
        <f>IFERROR(INDEX(E164:J164,0,MATCH(MAX(G164,J164),E164:J164,0)-2),"")</f>
        <v/>
      </c>
      <c r="L164" s="2" t="str">
        <f>IFERROR(INDEX(E164:J164,0,MATCH(MAX(G164,J164),E164:J164,0)-1),"")</f>
        <v/>
      </c>
      <c r="M164" s="1" t="str">
        <f t="shared" si="9"/>
        <v/>
      </c>
      <c r="N164" t="str">
        <f t="shared" si="13"/>
        <v/>
      </c>
      <c r="O164" s="63" t="str">
        <f t="shared" si="14"/>
        <v/>
      </c>
      <c r="P164" s="63" t="str">
        <f>IFERROR(SUMIFS($G$2:G164,$H$2:H164,H164,$C$2:C164,C164)/(SUMIFS($J$2:J164,$H$2:H164,H164,$C$2:C164,C164)+SUMIFS($G$2:G164,$H$2:H164,H164,$C$2:C164,C164)),"")</f>
        <v/>
      </c>
    </row>
    <row r="165" spans="1:16" x14ac:dyDescent="0.25">
      <c r="A165" s="1" t="str">
        <f ca="1">IF(NOT(B165=""),MAX($A$2:A164)+1,"")</f>
        <v/>
      </c>
      <c r="B165" s="3" t="str">
        <f t="shared" ca="1" si="12"/>
        <v/>
      </c>
      <c r="C165" s="3" t="str">
        <f>IF(AND(ISBLANK(I165),NOT(ISBLANK(H165))),"Singles",IF(ISBLANK(H165),"","Doubles"))</f>
        <v/>
      </c>
      <c r="D165" s="7"/>
      <c r="E165" s="1" t="str">
        <f t="shared" si="10"/>
        <v/>
      </c>
      <c r="F165" s="6"/>
      <c r="G165" s="7"/>
      <c r="H165" s="6"/>
      <c r="I165" s="6"/>
      <c r="J165" s="7"/>
      <c r="K165" s="1" t="str">
        <f>IFERROR(INDEX(E165:J165,0,MATCH(MAX(G165,J165),E165:J165,0)-2),"")</f>
        <v/>
      </c>
      <c r="L165" s="2" t="str">
        <f>IFERROR(INDEX(E165:J165,0,MATCH(MAX(G165,J165),E165:J165,0)-1),"")</f>
        <v/>
      </c>
      <c r="M165" s="1" t="str">
        <f t="shared" si="9"/>
        <v/>
      </c>
      <c r="N165" t="str">
        <f t="shared" si="13"/>
        <v/>
      </c>
      <c r="O165" s="63" t="str">
        <f t="shared" si="14"/>
        <v/>
      </c>
      <c r="P165" s="63" t="str">
        <f>IFERROR(SUMIFS($G$2:G165,$H$2:H165,H165,$C$2:C165,C165)/(SUMIFS($J$2:J165,$H$2:H165,H165,$C$2:C165,C165)+SUMIFS($G$2:G165,$H$2:H165,H165,$C$2:C165,C165)),"")</f>
        <v/>
      </c>
    </row>
    <row r="166" spans="1:16" x14ac:dyDescent="0.25">
      <c r="A166" s="1" t="str">
        <f ca="1">IF(NOT(B166=""),MAX($A$2:A165)+1,"")</f>
        <v/>
      </c>
      <c r="B166" s="3" t="str">
        <f t="shared" ca="1" si="12"/>
        <v/>
      </c>
      <c r="C166" s="3" t="str">
        <f>IF(AND(ISBLANK(I166),NOT(ISBLANK(H166))),"Singles",IF(ISBLANK(H166),"","Doubles"))</f>
        <v/>
      </c>
      <c r="D166" s="7"/>
      <c r="E166" s="1" t="str">
        <f t="shared" si="10"/>
        <v/>
      </c>
      <c r="F166" s="6"/>
      <c r="G166" s="7"/>
      <c r="H166" s="6"/>
      <c r="I166" s="6"/>
      <c r="J166" s="7"/>
      <c r="K166" s="1" t="str">
        <f>IFERROR(INDEX(E166:J166,0,MATCH(MAX(G166,J166),E166:J166,0)-2),"")</f>
        <v/>
      </c>
      <c r="L166" s="2" t="str">
        <f>IFERROR(INDEX(E166:J166,0,MATCH(MAX(G166,J166),E166:J166,0)-1),"")</f>
        <v/>
      </c>
      <c r="M166" s="1" t="str">
        <f t="shared" si="9"/>
        <v/>
      </c>
      <c r="N166" t="str">
        <f t="shared" si="13"/>
        <v/>
      </c>
      <c r="O166" s="63" t="str">
        <f t="shared" si="14"/>
        <v/>
      </c>
      <c r="P166" s="63" t="str">
        <f>IFERROR(SUMIFS($G$2:G166,$H$2:H166,H166,$C$2:C166,C166)/(SUMIFS($J$2:J166,$H$2:H166,H166,$C$2:C166,C166)+SUMIFS($G$2:G166,$H$2:H166,H166,$C$2:C166,C166)),"")</f>
        <v/>
      </c>
    </row>
    <row r="167" spans="1:16" x14ac:dyDescent="0.25">
      <c r="A167" s="1" t="str">
        <f ca="1">IF(NOT(B167=""),MAX($A$2:A166)+1,"")</f>
        <v/>
      </c>
      <c r="B167" s="3" t="str">
        <f t="shared" ca="1" si="12"/>
        <v/>
      </c>
      <c r="C167" s="3" t="str">
        <f>IF(AND(ISBLANK(I167),NOT(ISBLANK(H167))),"Singles",IF(ISBLANK(H167),"","Doubles"))</f>
        <v/>
      </c>
      <c r="D167" s="7"/>
      <c r="E167" s="1" t="str">
        <f t="shared" si="10"/>
        <v/>
      </c>
      <c r="F167" s="6"/>
      <c r="G167" s="7"/>
      <c r="H167" s="6"/>
      <c r="I167" s="6"/>
      <c r="J167" s="7"/>
      <c r="K167" s="1" t="str">
        <f>IFERROR(INDEX(E167:J167,0,MATCH(MAX(G167,J167),E167:J167,0)-2),"")</f>
        <v/>
      </c>
      <c r="L167" s="2" t="str">
        <f>IFERROR(INDEX(E167:J167,0,MATCH(MAX(G167,J167),E167:J167,0)-1),"")</f>
        <v/>
      </c>
      <c r="M167" s="1" t="str">
        <f t="shared" si="9"/>
        <v/>
      </c>
      <c r="N167" t="str">
        <f t="shared" si="13"/>
        <v/>
      </c>
      <c r="O167" s="63" t="str">
        <f t="shared" si="14"/>
        <v/>
      </c>
      <c r="P167" s="63" t="str">
        <f>IFERROR(SUMIFS($G$2:G167,$H$2:H167,H167,$C$2:C167,C167)/(SUMIFS($J$2:J167,$H$2:H167,H167,$C$2:C167,C167)+SUMIFS($G$2:G167,$H$2:H167,H167,$C$2:C167,C167)),"")</f>
        <v/>
      </c>
    </row>
    <row r="168" spans="1:16" x14ac:dyDescent="0.25">
      <c r="A168" s="1" t="str">
        <f ca="1">IF(NOT(B168=""),MAX($A$2:A167)+1,"")</f>
        <v/>
      </c>
      <c r="B168" s="3" t="str">
        <f t="shared" ca="1" si="12"/>
        <v/>
      </c>
      <c r="C168" s="3" t="str">
        <f>IF(AND(ISBLANK(I168),NOT(ISBLANK(H168))),"Singles",IF(ISBLANK(H168),"","Doubles"))</f>
        <v/>
      </c>
      <c r="D168" s="7"/>
      <c r="E168" s="1" t="str">
        <f t="shared" si="10"/>
        <v/>
      </c>
      <c r="F168" s="6"/>
      <c r="G168" s="7"/>
      <c r="H168" s="6"/>
      <c r="I168" s="6"/>
      <c r="J168" s="7"/>
      <c r="K168" s="1" t="str">
        <f>IFERROR(INDEX(E168:J168,0,MATCH(MAX(G168,J168),E168:J168,0)-2),"")</f>
        <v/>
      </c>
      <c r="L168" s="2" t="str">
        <f>IFERROR(INDEX(E168:J168,0,MATCH(MAX(G168,J168),E168:J168,0)-1),"")</f>
        <v/>
      </c>
      <c r="M168" s="1" t="str">
        <f t="shared" si="9"/>
        <v/>
      </c>
      <c r="N168" t="str">
        <f t="shared" si="13"/>
        <v/>
      </c>
      <c r="O168" s="63" t="str">
        <f t="shared" si="14"/>
        <v/>
      </c>
      <c r="P168" s="63" t="str">
        <f>IFERROR(SUMIFS($G$2:G168,$H$2:H168,H168,$C$2:C168,C168)/(SUMIFS($J$2:J168,$H$2:H168,H168,$C$2:C168,C168)+SUMIFS($G$2:G168,$H$2:H168,H168,$C$2:C168,C168)),"")</f>
        <v/>
      </c>
    </row>
    <row r="169" spans="1:16" x14ac:dyDescent="0.25">
      <c r="A169" s="1" t="str">
        <f ca="1">IF(NOT(B169=""),MAX($A$2:A168)+1,"")</f>
        <v/>
      </c>
      <c r="B169" s="3" t="str">
        <f t="shared" ca="1" si="12"/>
        <v/>
      </c>
      <c r="C169" s="3" t="str">
        <f>IF(AND(ISBLANK(I169),NOT(ISBLANK(H169))),"Singles",IF(ISBLANK(H169),"","Doubles"))</f>
        <v/>
      </c>
      <c r="D169" s="7"/>
      <c r="E169" s="1" t="str">
        <f t="shared" si="10"/>
        <v/>
      </c>
      <c r="F169" s="6"/>
      <c r="G169" s="7"/>
      <c r="H169" s="6"/>
      <c r="I169" s="6"/>
      <c r="J169" s="7"/>
      <c r="K169" s="1" t="str">
        <f>IFERROR(INDEX(E169:J169,0,MATCH(MAX(G169,J169),E169:J169,0)-2),"")</f>
        <v/>
      </c>
      <c r="L169" s="2" t="str">
        <f>IFERROR(INDEX(E169:J169,0,MATCH(MAX(G169,J169),E169:J169,0)-1),"")</f>
        <v/>
      </c>
      <c r="M169" s="1" t="str">
        <f t="shared" si="9"/>
        <v/>
      </c>
      <c r="N169" t="str">
        <f t="shared" si="13"/>
        <v/>
      </c>
      <c r="O169" s="63" t="str">
        <f t="shared" si="14"/>
        <v/>
      </c>
      <c r="P169" s="63" t="str">
        <f>IFERROR(SUMIFS($G$2:G169,$H$2:H169,H169,$C$2:C169,C169)/(SUMIFS($J$2:J169,$H$2:H169,H169,$C$2:C169,C169)+SUMIFS($G$2:G169,$H$2:H169,H169,$C$2:C169,C169)),"")</f>
        <v/>
      </c>
    </row>
    <row r="170" spans="1:16" x14ac:dyDescent="0.25">
      <c r="A170" s="1" t="str">
        <f ca="1">IF(NOT(B170=""),MAX($A$2:A169)+1,"")</f>
        <v/>
      </c>
      <c r="B170" s="3" t="str">
        <f t="shared" ca="1" si="12"/>
        <v/>
      </c>
      <c r="C170" s="3" t="str">
        <f>IF(AND(ISBLANK(I170),NOT(ISBLANK(H170))),"Singles",IF(ISBLANK(H170),"","Doubles"))</f>
        <v/>
      </c>
      <c r="D170" s="7"/>
      <c r="E170" s="1" t="str">
        <f t="shared" si="10"/>
        <v/>
      </c>
      <c r="F170" s="6"/>
      <c r="G170" s="7"/>
      <c r="H170" s="6"/>
      <c r="I170" s="6"/>
      <c r="J170" s="7"/>
      <c r="K170" s="1" t="str">
        <f>IFERROR(INDEX(E170:J170,0,MATCH(MAX(G170,J170),E170:J170,0)-2),"")</f>
        <v/>
      </c>
      <c r="L170" s="2" t="str">
        <f>IFERROR(INDEX(E170:J170,0,MATCH(MAX(G170,J170),E170:J170,0)-1),"")</f>
        <v/>
      </c>
      <c r="M170" s="1" t="str">
        <f t="shared" ref="M170:M201" si="15">IF(K170="Kevin","W",IF(K170="","","L"))</f>
        <v/>
      </c>
      <c r="N170" t="str">
        <f t="shared" si="13"/>
        <v/>
      </c>
      <c r="O170" s="63" t="str">
        <f t="shared" si="14"/>
        <v/>
      </c>
      <c r="P170" s="63" t="str">
        <f>IFERROR(SUMIFS($G$2:G170,$H$2:H170,H170,$C$2:C170,C170)/(SUMIFS($J$2:J170,$H$2:H170,H170,$C$2:C170,C170)+SUMIFS($G$2:G170,$H$2:H170,H170,$C$2:C170,C170)),"")</f>
        <v/>
      </c>
    </row>
    <row r="171" spans="1:16" x14ac:dyDescent="0.25">
      <c r="A171" s="1" t="str">
        <f ca="1">IF(NOT(B171=""),MAX($A$2:A170)+1,"")</f>
        <v/>
      </c>
      <c r="B171" s="3" t="str">
        <f t="shared" ca="1" si="12"/>
        <v/>
      </c>
      <c r="C171" s="3" t="str">
        <f>IF(AND(ISBLANK(I171),NOT(ISBLANK(H171))),"Singles",IF(ISBLANK(H171),"","Doubles"))</f>
        <v/>
      </c>
      <c r="D171" s="7"/>
      <c r="E171" s="1" t="str">
        <f t="shared" si="10"/>
        <v/>
      </c>
      <c r="F171" s="6"/>
      <c r="G171" s="7"/>
      <c r="H171" s="6"/>
      <c r="I171" s="6"/>
      <c r="J171" s="7"/>
      <c r="K171" s="1" t="str">
        <f>IFERROR(INDEX(E171:J171,0,MATCH(MAX(G171,J171),E171:J171,0)-2),"")</f>
        <v/>
      </c>
      <c r="L171" s="2" t="str">
        <f>IFERROR(INDEX(E171:J171,0,MATCH(MAX(G171,J171),E171:J171,0)-1),"")</f>
        <v/>
      </c>
      <c r="M171" s="1" t="str">
        <f t="shared" si="15"/>
        <v/>
      </c>
      <c r="N171" t="str">
        <f t="shared" si="13"/>
        <v/>
      </c>
      <c r="O171" s="63" t="str">
        <f t="shared" si="14"/>
        <v/>
      </c>
      <c r="P171" s="63" t="str">
        <f>IFERROR(SUMIFS($G$2:G171,$H$2:H171,H171,$C$2:C171,C171)/(SUMIFS($J$2:J171,$H$2:H171,H171,$C$2:C171,C171)+SUMIFS($G$2:G171,$H$2:H171,H171,$C$2:C171,C171)),"")</f>
        <v/>
      </c>
    </row>
    <row r="172" spans="1:16" x14ac:dyDescent="0.25">
      <c r="A172" s="1" t="str">
        <f ca="1">IF(NOT(B172=""),MAX($A$2:A171)+1,"")</f>
        <v/>
      </c>
      <c r="B172" s="3" t="str">
        <f t="shared" ref="B172:B201" ca="1" si="16">IF(ISBLANK(H172),"",TODAY())</f>
        <v/>
      </c>
      <c r="C172" s="3" t="str">
        <f t="shared" ref="C172:C201" si="17">IF(AND(ISBLANK(I172),NOT(ISBLANK(H172))),"Singles",IF(ISBLANK(H172),"","Doubles"))</f>
        <v/>
      </c>
      <c r="D172" s="7"/>
      <c r="E172" s="1" t="str">
        <f t="shared" si="10"/>
        <v/>
      </c>
      <c r="F172" s="6"/>
      <c r="G172" s="7"/>
      <c r="H172" s="6"/>
      <c r="I172" s="6"/>
      <c r="J172" s="7"/>
      <c r="K172" s="1" t="str">
        <f>IFERROR(INDEX(E172:J172,0,MATCH(MAX(G172,J172),E172:J172,0)-2),"")</f>
        <v/>
      </c>
      <c r="L172" s="2" t="str">
        <f>IFERROR(INDEX(E172:J172,0,MATCH(MAX(G172,J172),E172:J172,0)-1),"")</f>
        <v/>
      </c>
      <c r="M172" s="1" t="str">
        <f t="shared" si="15"/>
        <v/>
      </c>
      <c r="N172" t="str">
        <f t="shared" si="13"/>
        <v/>
      </c>
      <c r="O172" s="63" t="str">
        <f t="shared" si="14"/>
        <v/>
      </c>
      <c r="P172" s="63" t="str">
        <f>IFERROR(SUMIFS($G$2:G172,$H$2:H172,H172,$C$2:C172,C172)/(SUMIFS($J$2:J172,$H$2:H172,H172,$C$2:C172,C172)+SUMIFS($G$2:G172,$H$2:H172,H172,$C$2:C172,C172)),"")</f>
        <v/>
      </c>
    </row>
    <row r="173" spans="1:16" x14ac:dyDescent="0.25">
      <c r="A173" s="1" t="str">
        <f ca="1">IF(NOT(B173=""),MAX($A$2:A172)+1,"")</f>
        <v/>
      </c>
      <c r="B173" s="3" t="str">
        <f t="shared" ca="1" si="16"/>
        <v/>
      </c>
      <c r="C173" s="3" t="str">
        <f t="shared" si="17"/>
        <v/>
      </c>
      <c r="D173" s="7"/>
      <c r="E173" s="1" t="str">
        <f t="shared" ref="E173:E201" si="18">IF(ISBLANK(H173),"","Kevin")</f>
        <v/>
      </c>
      <c r="F173" s="6"/>
      <c r="G173" s="7"/>
      <c r="H173" s="6"/>
      <c r="I173" s="6"/>
      <c r="J173" s="7"/>
      <c r="K173" s="1" t="str">
        <f>IFERROR(INDEX(E173:J173,0,MATCH(MAX(G173,J173),E173:J173,0)-2),"")</f>
        <v/>
      </c>
      <c r="L173" s="2" t="str">
        <f>IFERROR(INDEX(E173:J173,0,MATCH(MAX(G173,J173),E173:J173,0)-1),"")</f>
        <v/>
      </c>
      <c r="M173" s="1" t="str">
        <f t="shared" si="15"/>
        <v/>
      </c>
      <c r="N173" t="str">
        <f t="shared" si="13"/>
        <v/>
      </c>
      <c r="O173" s="63" t="str">
        <f t="shared" si="14"/>
        <v/>
      </c>
      <c r="P173" s="63" t="str">
        <f>IFERROR(SUMIFS($G$2:G173,$H$2:H173,H173,$C$2:C173,C173)/(SUMIFS($J$2:J173,$H$2:H173,H173,$C$2:C173,C173)+SUMIFS($G$2:G173,$H$2:H173,H173,$C$2:C173,C173)),"")</f>
        <v/>
      </c>
    </row>
    <row r="174" spans="1:16" x14ac:dyDescent="0.25">
      <c r="A174" s="1" t="str">
        <f ca="1">IF(NOT(B174=""),MAX($A$2:A173)+1,"")</f>
        <v/>
      </c>
      <c r="B174" s="3" t="str">
        <f t="shared" ca="1" si="16"/>
        <v/>
      </c>
      <c r="C174" s="3" t="str">
        <f t="shared" si="17"/>
        <v/>
      </c>
      <c r="D174" s="7"/>
      <c r="E174" s="1" t="str">
        <f t="shared" si="18"/>
        <v/>
      </c>
      <c r="F174" s="6"/>
      <c r="G174" s="7"/>
      <c r="H174" s="6"/>
      <c r="I174" s="6"/>
      <c r="J174" s="7"/>
      <c r="K174" s="1" t="str">
        <f>IFERROR(INDEX(E174:J174,0,MATCH(MAX(G174,J174),E174:J174,0)-2),"")</f>
        <v/>
      </c>
      <c r="L174" s="2" t="str">
        <f>IFERROR(INDEX(E174:J174,0,MATCH(MAX(G174,J174),E174:J174,0)-1),"")</f>
        <v/>
      </c>
      <c r="M174" s="1" t="str">
        <f t="shared" si="15"/>
        <v/>
      </c>
      <c r="N174" t="str">
        <f t="shared" si="13"/>
        <v/>
      </c>
      <c r="O174" s="63" t="str">
        <f t="shared" si="14"/>
        <v/>
      </c>
      <c r="P174" s="63" t="str">
        <f>IFERROR(SUMIFS($G$2:G174,$H$2:H174,H174,$C$2:C174,C174)/(SUMIFS($J$2:J174,$H$2:H174,H174,$C$2:C174,C174)+SUMIFS($G$2:G174,$H$2:H174,H174,$C$2:C174,C174)),"")</f>
        <v/>
      </c>
    </row>
    <row r="175" spans="1:16" x14ac:dyDescent="0.25">
      <c r="A175" s="1" t="str">
        <f ca="1">IF(NOT(B175=""),MAX($A$2:A174)+1,"")</f>
        <v/>
      </c>
      <c r="B175" s="3" t="str">
        <f t="shared" ca="1" si="16"/>
        <v/>
      </c>
      <c r="C175" s="3" t="str">
        <f t="shared" si="17"/>
        <v/>
      </c>
      <c r="D175" s="7"/>
      <c r="E175" s="1" t="str">
        <f t="shared" si="18"/>
        <v/>
      </c>
      <c r="F175" s="6"/>
      <c r="G175" s="7"/>
      <c r="H175" s="6"/>
      <c r="I175" s="6"/>
      <c r="J175" s="7"/>
      <c r="K175" s="1" t="str">
        <f>IFERROR(INDEX(E175:J175,0,MATCH(MAX(G175,J175),E175:J175,0)-2),"")</f>
        <v/>
      </c>
      <c r="L175" s="2" t="str">
        <f>IFERROR(INDEX(E175:J175,0,MATCH(MAX(G175,J175),E175:J175,0)-1),"")</f>
        <v/>
      </c>
      <c r="M175" s="1" t="str">
        <f t="shared" si="15"/>
        <v/>
      </c>
      <c r="N175" t="str">
        <f t="shared" si="13"/>
        <v/>
      </c>
      <c r="O175" s="63" t="str">
        <f t="shared" si="14"/>
        <v/>
      </c>
      <c r="P175" s="63" t="str">
        <f>IFERROR(SUMIFS($G$2:G175,$H$2:H175,H175,$C$2:C175,C175)/(SUMIFS($J$2:J175,$H$2:H175,H175,$C$2:C175,C175)+SUMIFS($G$2:G175,$H$2:H175,H175,$C$2:C175,C175)),"")</f>
        <v/>
      </c>
    </row>
    <row r="176" spans="1:16" x14ac:dyDescent="0.25">
      <c r="A176" s="1" t="str">
        <f ca="1">IF(NOT(B176=""),MAX($A$2:A175)+1,"")</f>
        <v/>
      </c>
      <c r="B176" s="3" t="str">
        <f t="shared" ca="1" si="16"/>
        <v/>
      </c>
      <c r="C176" s="3" t="str">
        <f t="shared" si="17"/>
        <v/>
      </c>
      <c r="D176" s="7"/>
      <c r="E176" s="1" t="str">
        <f t="shared" si="18"/>
        <v/>
      </c>
      <c r="F176" s="6"/>
      <c r="G176" s="7"/>
      <c r="H176" s="6"/>
      <c r="I176" s="6"/>
      <c r="J176" s="7"/>
      <c r="K176" s="1" t="str">
        <f>IFERROR(INDEX(E176:J176,0,MATCH(MAX(G176,J176),E176:J176,0)-2),"")</f>
        <v/>
      </c>
      <c r="L176" s="2" t="str">
        <f>IFERROR(INDEX(E176:J176,0,MATCH(MAX(G176,J176),E176:J176,0)-1),"")</f>
        <v/>
      </c>
      <c r="M176" s="1" t="str">
        <f t="shared" si="15"/>
        <v/>
      </c>
      <c r="N176" t="str">
        <f t="shared" si="13"/>
        <v/>
      </c>
      <c r="O176" s="63" t="str">
        <f t="shared" si="14"/>
        <v/>
      </c>
      <c r="P176" s="63" t="str">
        <f>IFERROR(SUMIFS($G$2:G176,$H$2:H176,H176,$C$2:C176,C176)/(SUMIFS($J$2:J176,$H$2:H176,H176,$C$2:C176,C176)+SUMIFS($G$2:G176,$H$2:H176,H176,$C$2:C176,C176)),"")</f>
        <v/>
      </c>
    </row>
    <row r="177" spans="1:16" x14ac:dyDescent="0.25">
      <c r="A177" s="1" t="str">
        <f ca="1">IF(NOT(B177=""),MAX($A$2:A176)+1,"")</f>
        <v/>
      </c>
      <c r="B177" s="3" t="str">
        <f t="shared" ca="1" si="16"/>
        <v/>
      </c>
      <c r="C177" s="3" t="str">
        <f t="shared" si="17"/>
        <v/>
      </c>
      <c r="D177" s="7"/>
      <c r="E177" s="1" t="str">
        <f t="shared" si="18"/>
        <v/>
      </c>
      <c r="F177" s="6"/>
      <c r="G177" s="7"/>
      <c r="H177" s="6"/>
      <c r="I177" s="6"/>
      <c r="J177" s="7"/>
      <c r="K177" s="1" t="str">
        <f>IFERROR(INDEX(E177:J177,0,MATCH(MAX(G177,J177),E177:J177,0)-2),"")</f>
        <v/>
      </c>
      <c r="L177" s="2" t="str">
        <f>IFERROR(INDEX(E177:J177,0,MATCH(MAX(G177,J177),E177:J177,0)-1),"")</f>
        <v/>
      </c>
      <c r="M177" s="1" t="str">
        <f t="shared" si="15"/>
        <v/>
      </c>
      <c r="N177" t="str">
        <f t="shared" si="13"/>
        <v/>
      </c>
      <c r="O177" s="63" t="str">
        <f t="shared" si="14"/>
        <v/>
      </c>
      <c r="P177" s="63" t="str">
        <f>IFERROR(SUMIFS($G$2:G177,$H$2:H177,H177,$C$2:C177,C177)/(SUMIFS($J$2:J177,$H$2:H177,H177,$C$2:C177,C177)+SUMIFS($G$2:G177,$H$2:H177,H177,$C$2:C177,C177)),"")</f>
        <v/>
      </c>
    </row>
    <row r="178" spans="1:16" x14ac:dyDescent="0.25">
      <c r="A178" s="1" t="str">
        <f ca="1">IF(NOT(B178=""),MAX($A$2:A177)+1,"")</f>
        <v/>
      </c>
      <c r="B178" s="3" t="str">
        <f t="shared" ca="1" si="16"/>
        <v/>
      </c>
      <c r="C178" s="3" t="str">
        <f t="shared" si="17"/>
        <v/>
      </c>
      <c r="D178" s="7"/>
      <c r="E178" s="1" t="str">
        <f t="shared" si="18"/>
        <v/>
      </c>
      <c r="F178" s="6"/>
      <c r="G178" s="7"/>
      <c r="H178" s="6"/>
      <c r="I178" s="6"/>
      <c r="J178" s="7"/>
      <c r="K178" s="1" t="str">
        <f>IFERROR(INDEX(E178:J178,0,MATCH(MAX(G178,J178),E178:J178,0)-2),"")</f>
        <v/>
      </c>
      <c r="L178" s="2" t="str">
        <f>IFERROR(INDEX(E178:J178,0,MATCH(MAX(G178,J178),E178:J178,0)-1),"")</f>
        <v/>
      </c>
      <c r="M178" s="1" t="str">
        <f t="shared" si="15"/>
        <v/>
      </c>
      <c r="N178" t="str">
        <f t="shared" si="13"/>
        <v/>
      </c>
      <c r="O178" s="63" t="str">
        <f t="shared" si="14"/>
        <v/>
      </c>
      <c r="P178" s="63" t="str">
        <f>IFERROR(SUMIFS($G$2:G178,$H$2:H178,H178,$C$2:C178,C178)/(SUMIFS($J$2:J178,$H$2:H178,H178,$C$2:C178,C178)+SUMIFS($G$2:G178,$H$2:H178,H178,$C$2:C178,C178)),"")</f>
        <v/>
      </c>
    </row>
    <row r="179" spans="1:16" x14ac:dyDescent="0.25">
      <c r="A179" s="1" t="str">
        <f ca="1">IF(NOT(B179=""),MAX($A$2:A178)+1,"")</f>
        <v/>
      </c>
      <c r="B179" s="3" t="str">
        <f t="shared" ca="1" si="16"/>
        <v/>
      </c>
      <c r="C179" s="3" t="str">
        <f t="shared" si="17"/>
        <v/>
      </c>
      <c r="D179" s="7"/>
      <c r="E179" s="1" t="str">
        <f t="shared" si="18"/>
        <v/>
      </c>
      <c r="F179" s="6"/>
      <c r="G179" s="7"/>
      <c r="H179" s="6"/>
      <c r="I179" s="6"/>
      <c r="J179" s="7"/>
      <c r="K179" s="1" t="str">
        <f>IFERROR(INDEX(E179:J179,0,MATCH(MAX(G179,J179),E179:J179,0)-2),"")</f>
        <v/>
      </c>
      <c r="L179" s="2" t="str">
        <f>IFERROR(INDEX(E179:J179,0,MATCH(MAX(G179,J179),E179:J179,0)-1),"")</f>
        <v/>
      </c>
      <c r="M179" s="1" t="str">
        <f t="shared" si="15"/>
        <v/>
      </c>
      <c r="N179" t="str">
        <f t="shared" si="13"/>
        <v/>
      </c>
      <c r="O179" s="63" t="str">
        <f t="shared" si="14"/>
        <v/>
      </c>
      <c r="P179" s="63" t="str">
        <f>IFERROR(SUMIFS($G$2:G179,$H$2:H179,H179,$C$2:C179,C179)/(SUMIFS($J$2:J179,$H$2:H179,H179,$C$2:C179,C179)+SUMIFS($G$2:G179,$H$2:H179,H179,$C$2:C179,C179)),"")</f>
        <v/>
      </c>
    </row>
    <row r="180" spans="1:16" x14ac:dyDescent="0.25">
      <c r="A180" s="1" t="str">
        <f ca="1">IF(NOT(B180=""),MAX($A$2:A179)+1,"")</f>
        <v/>
      </c>
      <c r="B180" s="3" t="str">
        <f t="shared" ca="1" si="16"/>
        <v/>
      </c>
      <c r="C180" s="3" t="str">
        <f t="shared" si="17"/>
        <v/>
      </c>
      <c r="D180" s="7"/>
      <c r="E180" s="1" t="str">
        <f t="shared" si="18"/>
        <v/>
      </c>
      <c r="F180" s="6"/>
      <c r="G180" s="7"/>
      <c r="H180" s="6"/>
      <c r="I180" s="6"/>
      <c r="J180" s="7"/>
      <c r="K180" s="1" t="str">
        <f>IFERROR(INDEX(E180:J180,0,MATCH(MAX(G180,J180),E180:J180,0)-2),"")</f>
        <v/>
      </c>
      <c r="L180" s="2" t="str">
        <f>IFERROR(INDEX(E180:J180,0,MATCH(MAX(G180,J180),E180:J180,0)-1),"")</f>
        <v/>
      </c>
      <c r="M180" s="1" t="str">
        <f t="shared" si="15"/>
        <v/>
      </c>
      <c r="N180" t="str">
        <f t="shared" si="13"/>
        <v/>
      </c>
      <c r="O180" s="63" t="str">
        <f t="shared" si="14"/>
        <v/>
      </c>
      <c r="P180" s="63" t="str">
        <f>IFERROR(SUMIFS($G$2:G180,$H$2:H180,H180,$C$2:C180,C180)/(SUMIFS($J$2:J180,$H$2:H180,H180,$C$2:C180,C180)+SUMIFS($G$2:G180,$H$2:H180,H180,$C$2:C180,C180)),"")</f>
        <v/>
      </c>
    </row>
    <row r="181" spans="1:16" x14ac:dyDescent="0.25">
      <c r="A181" s="1" t="str">
        <f ca="1">IF(NOT(B181=""),MAX($A$2:A180)+1,"")</f>
        <v/>
      </c>
      <c r="B181" s="3" t="str">
        <f t="shared" ca="1" si="16"/>
        <v/>
      </c>
      <c r="C181" s="3" t="str">
        <f t="shared" si="17"/>
        <v/>
      </c>
      <c r="D181" s="7"/>
      <c r="E181" s="1" t="str">
        <f t="shared" si="18"/>
        <v/>
      </c>
      <c r="F181" s="6"/>
      <c r="G181" s="7"/>
      <c r="H181" s="6"/>
      <c r="I181" s="6"/>
      <c r="J181" s="7"/>
      <c r="K181" s="1" t="str">
        <f>IFERROR(INDEX(E181:J181,0,MATCH(MAX(G181,J181),E181:J181,0)-2),"")</f>
        <v/>
      </c>
      <c r="L181" s="2" t="str">
        <f>IFERROR(INDEX(E181:J181,0,MATCH(MAX(G181,J181),E181:J181,0)-1),"")</f>
        <v/>
      </c>
      <c r="M181" s="1" t="str">
        <f t="shared" si="15"/>
        <v/>
      </c>
      <c r="N181" t="str">
        <f t="shared" si="13"/>
        <v/>
      </c>
      <c r="O181" s="63" t="str">
        <f t="shared" si="14"/>
        <v/>
      </c>
      <c r="P181" s="63" t="str">
        <f>IFERROR(SUMIFS($G$2:G181,$H$2:H181,H181,$C$2:C181,C181)/(SUMIFS($J$2:J181,$H$2:H181,H181,$C$2:C181,C181)+SUMIFS($G$2:G181,$H$2:H181,H181,$C$2:C181,C181)),"")</f>
        <v/>
      </c>
    </row>
    <row r="182" spans="1:16" x14ac:dyDescent="0.25">
      <c r="A182" s="1" t="str">
        <f ca="1">IF(NOT(B182=""),MAX($A$2:A181)+1,"")</f>
        <v/>
      </c>
      <c r="B182" s="3" t="str">
        <f t="shared" ca="1" si="16"/>
        <v/>
      </c>
      <c r="C182" s="3" t="str">
        <f t="shared" si="17"/>
        <v/>
      </c>
      <c r="D182" s="7"/>
      <c r="E182" s="1" t="str">
        <f t="shared" si="18"/>
        <v/>
      </c>
      <c r="F182" s="6"/>
      <c r="G182" s="7"/>
      <c r="H182" s="6"/>
      <c r="I182" s="6"/>
      <c r="J182" s="7"/>
      <c r="K182" s="1" t="str">
        <f>IFERROR(INDEX(E182:J182,0,MATCH(MAX(G182,J182),E182:J182,0)-2),"")</f>
        <v/>
      </c>
      <c r="L182" s="2" t="str">
        <f>IFERROR(INDEX(E182:J182,0,MATCH(MAX(G182,J182),E182:J182,0)-1),"")</f>
        <v/>
      </c>
      <c r="M182" s="1" t="str">
        <f t="shared" si="15"/>
        <v/>
      </c>
      <c r="N182" t="str">
        <f t="shared" si="13"/>
        <v/>
      </c>
      <c r="O182" s="63" t="str">
        <f t="shared" si="14"/>
        <v/>
      </c>
      <c r="P182" s="63" t="str">
        <f>IFERROR(SUMIFS($G$2:G182,$H$2:H182,H182,$C$2:C182,C182)/(SUMIFS($J$2:J182,$H$2:H182,H182,$C$2:C182,C182)+SUMIFS($G$2:G182,$H$2:H182,H182,$C$2:C182,C182)),"")</f>
        <v/>
      </c>
    </row>
    <row r="183" spans="1:16" x14ac:dyDescent="0.25">
      <c r="A183" s="1" t="str">
        <f ca="1">IF(NOT(B183=""),MAX($A$2:A182)+1,"")</f>
        <v/>
      </c>
      <c r="B183" s="3" t="str">
        <f t="shared" ca="1" si="16"/>
        <v/>
      </c>
      <c r="C183" s="3" t="str">
        <f t="shared" si="17"/>
        <v/>
      </c>
      <c r="D183" s="7"/>
      <c r="E183" s="1" t="str">
        <f t="shared" si="18"/>
        <v/>
      </c>
      <c r="F183" s="6"/>
      <c r="G183" s="7"/>
      <c r="H183" s="6"/>
      <c r="I183" s="6"/>
      <c r="J183" s="7"/>
      <c r="K183" s="1" t="str">
        <f>IFERROR(INDEX(E183:J183,0,MATCH(MAX(G183,J183),E183:J183,0)-2),"")</f>
        <v/>
      </c>
      <c r="L183" s="2" t="str">
        <f>IFERROR(INDEX(E183:J183,0,MATCH(MAX(G183,J183),E183:J183,0)-1),"")</f>
        <v/>
      </c>
      <c r="M183" s="1" t="str">
        <f t="shared" si="15"/>
        <v/>
      </c>
      <c r="N183" t="str">
        <f t="shared" si="13"/>
        <v/>
      </c>
      <c r="O183" s="63" t="str">
        <f t="shared" si="14"/>
        <v/>
      </c>
      <c r="P183" s="63" t="str">
        <f>IFERROR(SUMIFS($G$2:G183,$H$2:H183,H183,$C$2:C183,C183)/(SUMIFS($J$2:J183,$H$2:H183,H183,$C$2:C183,C183)+SUMIFS($G$2:G183,$H$2:H183,H183,$C$2:C183,C183)),"")</f>
        <v/>
      </c>
    </row>
    <row r="184" spans="1:16" x14ac:dyDescent="0.25">
      <c r="A184" s="1" t="str">
        <f ca="1">IF(NOT(B184=""),MAX($A$2:A183)+1,"")</f>
        <v/>
      </c>
      <c r="B184" s="3" t="str">
        <f t="shared" ca="1" si="16"/>
        <v/>
      </c>
      <c r="C184" s="3" t="str">
        <f t="shared" si="17"/>
        <v/>
      </c>
      <c r="D184" s="7"/>
      <c r="E184" s="1" t="str">
        <f t="shared" si="18"/>
        <v/>
      </c>
      <c r="F184" s="6"/>
      <c r="G184" s="7"/>
      <c r="H184" s="6"/>
      <c r="I184" s="6"/>
      <c r="J184" s="7"/>
      <c r="K184" s="1" t="str">
        <f>IFERROR(INDEX(E184:J184,0,MATCH(MAX(G184,J184),E184:J184,0)-2),"")</f>
        <v/>
      </c>
      <c r="L184" s="2" t="str">
        <f>IFERROR(INDEX(E184:J184,0,MATCH(MAX(G184,J184),E184:J184,0)-1),"")</f>
        <v/>
      </c>
      <c r="M184" s="1" t="str">
        <f t="shared" si="15"/>
        <v/>
      </c>
      <c r="N184" t="str">
        <f t="shared" si="13"/>
        <v/>
      </c>
      <c r="O184" s="63" t="str">
        <f t="shared" si="14"/>
        <v/>
      </c>
      <c r="P184" s="63" t="str">
        <f>IFERROR(SUMIFS($G$2:G184,$H$2:H184,H184,$C$2:C184,C184)/(SUMIFS($J$2:J184,$H$2:H184,H184,$C$2:C184,C184)+SUMIFS($G$2:G184,$H$2:H184,H184,$C$2:C184,C184)),"")</f>
        <v/>
      </c>
    </row>
    <row r="185" spans="1:16" x14ac:dyDescent="0.25">
      <c r="A185" s="1" t="str">
        <f ca="1">IF(NOT(B185=""),MAX($A$2:A184)+1,"")</f>
        <v/>
      </c>
      <c r="B185" s="3" t="str">
        <f t="shared" ca="1" si="16"/>
        <v/>
      </c>
      <c r="C185" s="3" t="str">
        <f t="shared" si="17"/>
        <v/>
      </c>
      <c r="D185" s="7"/>
      <c r="E185" s="1" t="str">
        <f t="shared" si="18"/>
        <v/>
      </c>
      <c r="F185" s="6"/>
      <c r="G185" s="7"/>
      <c r="H185" s="6"/>
      <c r="I185" s="6"/>
      <c r="J185" s="7"/>
      <c r="K185" s="1" t="str">
        <f>IFERROR(INDEX(E185:J185,0,MATCH(MAX(G185,J185),E185:J185,0)-2),"")</f>
        <v/>
      </c>
      <c r="L185" s="2" t="str">
        <f>IFERROR(INDEX(E185:J185,0,MATCH(MAX(G185,J185),E185:J185,0)-1),"")</f>
        <v/>
      </c>
      <c r="M185" s="1" t="str">
        <f t="shared" si="15"/>
        <v/>
      </c>
      <c r="N185" t="str">
        <f t="shared" si="13"/>
        <v/>
      </c>
      <c r="O185" s="63" t="str">
        <f t="shared" si="14"/>
        <v/>
      </c>
      <c r="P185" s="63" t="str">
        <f>IFERROR(SUMIFS($G$2:G185,$H$2:H185,H185,$C$2:C185,C185)/(SUMIFS($J$2:J185,$H$2:H185,H185,$C$2:C185,C185)+SUMIFS($G$2:G185,$H$2:H185,H185,$C$2:C185,C185)),"")</f>
        <v/>
      </c>
    </row>
    <row r="186" spans="1:16" x14ac:dyDescent="0.25">
      <c r="A186" s="1" t="str">
        <f ca="1">IF(NOT(B186=""),MAX($A$2:A185)+1,"")</f>
        <v/>
      </c>
      <c r="B186" s="3" t="str">
        <f t="shared" ca="1" si="16"/>
        <v/>
      </c>
      <c r="C186" s="3" t="str">
        <f t="shared" si="17"/>
        <v/>
      </c>
      <c r="D186" s="7"/>
      <c r="E186" s="1" t="str">
        <f t="shared" si="18"/>
        <v/>
      </c>
      <c r="F186" s="6"/>
      <c r="G186" s="7"/>
      <c r="H186" s="6"/>
      <c r="I186" s="6"/>
      <c r="J186" s="7"/>
      <c r="K186" s="1" t="str">
        <f>IFERROR(INDEX(E186:J186,0,MATCH(MAX(G186,J186),E186:J186,0)-2),"")</f>
        <v/>
      </c>
      <c r="L186" s="2" t="str">
        <f>IFERROR(INDEX(E186:J186,0,MATCH(MAX(G186,J186),E186:J186,0)-1),"")</f>
        <v/>
      </c>
      <c r="M186" s="1" t="str">
        <f t="shared" si="15"/>
        <v/>
      </c>
      <c r="N186" t="str">
        <f t="shared" si="13"/>
        <v/>
      </c>
      <c r="O186" s="63" t="str">
        <f t="shared" si="14"/>
        <v/>
      </c>
      <c r="P186" s="63" t="str">
        <f>IFERROR(SUMIFS($G$2:G186,$H$2:H186,H186,$C$2:C186,C186)/(SUMIFS($J$2:J186,$H$2:H186,H186,$C$2:C186,C186)+SUMIFS($G$2:G186,$H$2:H186,H186,$C$2:C186,C186)),"")</f>
        <v/>
      </c>
    </row>
    <row r="187" spans="1:16" x14ac:dyDescent="0.25">
      <c r="A187" s="1" t="str">
        <f ca="1">IF(NOT(B187=""),MAX($A$2:A186)+1,"")</f>
        <v/>
      </c>
      <c r="B187" s="3" t="str">
        <f t="shared" ca="1" si="16"/>
        <v/>
      </c>
      <c r="C187" s="3" t="str">
        <f t="shared" si="17"/>
        <v/>
      </c>
      <c r="D187" s="7"/>
      <c r="E187" s="1" t="str">
        <f t="shared" si="18"/>
        <v/>
      </c>
      <c r="F187" s="6"/>
      <c r="G187" s="7"/>
      <c r="H187" s="6"/>
      <c r="I187" s="6"/>
      <c r="J187" s="7"/>
      <c r="K187" s="1" t="str">
        <f>IFERROR(INDEX(E187:J187,0,MATCH(MAX(G187,J187),E187:J187,0)-2),"")</f>
        <v/>
      </c>
      <c r="L187" s="2" t="str">
        <f>IFERROR(INDEX(E187:J187,0,MATCH(MAX(G187,J187),E187:J187,0)-1),"")</f>
        <v/>
      </c>
      <c r="M187" s="1" t="str">
        <f t="shared" si="15"/>
        <v/>
      </c>
      <c r="N187" t="str">
        <f t="shared" si="13"/>
        <v/>
      </c>
      <c r="O187" s="63" t="str">
        <f t="shared" si="14"/>
        <v/>
      </c>
      <c r="P187" s="63" t="str">
        <f>IFERROR(SUMIFS($G$2:G187,$H$2:H187,H187,$C$2:C187,C187)/(SUMIFS($J$2:J187,$H$2:H187,H187,$C$2:C187,C187)+SUMIFS($G$2:G187,$H$2:H187,H187,$C$2:C187,C187)),"")</f>
        <v/>
      </c>
    </row>
    <row r="188" spans="1:16" x14ac:dyDescent="0.25">
      <c r="A188" s="1" t="str">
        <f ca="1">IF(NOT(B188=""),MAX($A$2:A187)+1,"")</f>
        <v/>
      </c>
      <c r="B188" s="3" t="str">
        <f t="shared" ca="1" si="16"/>
        <v/>
      </c>
      <c r="C188" s="3" t="str">
        <f t="shared" si="17"/>
        <v/>
      </c>
      <c r="D188" s="7"/>
      <c r="E188" s="1" t="str">
        <f t="shared" si="18"/>
        <v/>
      </c>
      <c r="F188" s="6"/>
      <c r="G188" s="7"/>
      <c r="H188" s="6"/>
      <c r="I188" s="6"/>
      <c r="J188" s="7"/>
      <c r="K188" s="1" t="str">
        <f>IFERROR(INDEX(E188:J188,0,MATCH(MAX(G188,J188),E188:J188,0)-2),"")</f>
        <v/>
      </c>
      <c r="L188" s="2" t="str">
        <f>IFERROR(INDEX(E188:J188,0,MATCH(MAX(G188,J188),E188:J188,0)-1),"")</f>
        <v/>
      </c>
      <c r="M188" s="1" t="str">
        <f t="shared" si="15"/>
        <v/>
      </c>
      <c r="N188" t="str">
        <f t="shared" si="13"/>
        <v/>
      </c>
      <c r="O188" s="63" t="str">
        <f t="shared" si="14"/>
        <v/>
      </c>
      <c r="P188" s="63" t="str">
        <f>IFERROR(SUMIFS($G$2:G188,$H$2:H188,H188,$C$2:C188,C188)/(SUMIFS($J$2:J188,$H$2:H188,H188,$C$2:C188,C188)+SUMIFS($G$2:G188,$H$2:H188,H188,$C$2:C188,C188)),"")</f>
        <v/>
      </c>
    </row>
    <row r="189" spans="1:16" x14ac:dyDescent="0.25">
      <c r="A189" s="1" t="str">
        <f ca="1">IF(NOT(B189=""),MAX($A$2:A188)+1,"")</f>
        <v/>
      </c>
      <c r="B189" s="3" t="str">
        <f t="shared" ca="1" si="16"/>
        <v/>
      </c>
      <c r="C189" s="3" t="str">
        <f t="shared" si="17"/>
        <v/>
      </c>
      <c r="D189" s="7"/>
      <c r="E189" s="1" t="str">
        <f t="shared" si="18"/>
        <v/>
      </c>
      <c r="F189" s="6"/>
      <c r="G189" s="7"/>
      <c r="H189" s="6"/>
      <c r="I189" s="6"/>
      <c r="J189" s="7"/>
      <c r="K189" s="1" t="str">
        <f>IFERROR(INDEX(E189:J189,0,MATCH(MAX(G189,J189),E189:J189,0)-2),"")</f>
        <v/>
      </c>
      <c r="L189" s="2" t="str">
        <f>IFERROR(INDEX(E189:J189,0,MATCH(MAX(G189,J189),E189:J189,0)-1),"")</f>
        <v/>
      </c>
      <c r="M189" s="1" t="str">
        <f t="shared" si="15"/>
        <v/>
      </c>
      <c r="N189" t="str">
        <f t="shared" si="13"/>
        <v/>
      </c>
      <c r="O189" s="63" t="str">
        <f t="shared" si="14"/>
        <v/>
      </c>
      <c r="P189" s="63" t="str">
        <f>IFERROR(SUMIFS($G$2:G189,$H$2:H189,H189,$C$2:C189,C189)/(SUMIFS($J$2:J189,$H$2:H189,H189,$C$2:C189,C189)+SUMIFS($G$2:G189,$H$2:H189,H189,$C$2:C189,C189)),"")</f>
        <v/>
      </c>
    </row>
    <row r="190" spans="1:16" x14ac:dyDescent="0.25">
      <c r="A190" s="1" t="str">
        <f ca="1">IF(NOT(B190=""),MAX($A$2:A189)+1,"")</f>
        <v/>
      </c>
      <c r="B190" s="3" t="str">
        <f t="shared" ca="1" si="16"/>
        <v/>
      </c>
      <c r="C190" s="3" t="str">
        <f t="shared" si="17"/>
        <v/>
      </c>
      <c r="D190" s="7"/>
      <c r="E190" s="1" t="str">
        <f t="shared" si="18"/>
        <v/>
      </c>
      <c r="F190" s="6"/>
      <c r="G190" s="7"/>
      <c r="H190" s="6"/>
      <c r="I190" s="6"/>
      <c r="J190" s="7"/>
      <c r="K190" s="1" t="str">
        <f>IFERROR(INDEX(E190:J190,0,MATCH(MAX(G190,J190),E190:J190,0)-2),"")</f>
        <v/>
      </c>
      <c r="L190" s="2" t="str">
        <f>IFERROR(INDEX(E190:J190,0,MATCH(MAX(G190,J190),E190:J190,0)-1),"")</f>
        <v/>
      </c>
      <c r="M190" s="1" t="str">
        <f t="shared" si="15"/>
        <v/>
      </c>
      <c r="N190" t="str">
        <f t="shared" si="13"/>
        <v/>
      </c>
      <c r="O190" s="63" t="str">
        <f t="shared" si="14"/>
        <v/>
      </c>
      <c r="P190" s="63" t="str">
        <f>IFERROR(SUMIFS($G$2:G190,$H$2:H190,H190,$C$2:C190,C190)/(SUMIFS($J$2:J190,$H$2:H190,H190,$C$2:C190,C190)+SUMIFS($G$2:G190,$H$2:H190,H190,$C$2:C190,C190)),"")</f>
        <v/>
      </c>
    </row>
    <row r="191" spans="1:16" x14ac:dyDescent="0.25">
      <c r="A191" s="1" t="str">
        <f ca="1">IF(NOT(B191=""),MAX($A$2:A190)+1,"")</f>
        <v/>
      </c>
      <c r="B191" s="3" t="str">
        <f t="shared" ca="1" si="16"/>
        <v/>
      </c>
      <c r="C191" s="3" t="str">
        <f t="shared" si="17"/>
        <v/>
      </c>
      <c r="D191" s="7"/>
      <c r="E191" s="1" t="str">
        <f t="shared" si="18"/>
        <v/>
      </c>
      <c r="F191" s="6"/>
      <c r="G191" s="7"/>
      <c r="H191" s="6"/>
      <c r="I191" s="6"/>
      <c r="J191" s="7"/>
      <c r="K191" s="1" t="str">
        <f>IFERROR(INDEX(E191:J191,0,MATCH(MAX(G191,J191),E191:J191,0)-2),"")</f>
        <v/>
      </c>
      <c r="L191" s="2" t="str">
        <f>IFERROR(INDEX(E191:J191,0,MATCH(MAX(G191,J191),E191:J191,0)-1),"")</f>
        <v/>
      </c>
      <c r="M191" s="1" t="str">
        <f t="shared" si="15"/>
        <v/>
      </c>
      <c r="N191" t="str">
        <f t="shared" si="13"/>
        <v/>
      </c>
      <c r="O191" s="63" t="str">
        <f t="shared" si="14"/>
        <v/>
      </c>
      <c r="P191" s="63" t="str">
        <f>IFERROR(SUMIFS($G$2:G191,$H$2:H191,H191,$C$2:C191,C191)/(SUMIFS($J$2:J191,$H$2:H191,H191,$C$2:C191,C191)+SUMIFS($G$2:G191,$H$2:H191,H191,$C$2:C191,C191)),"")</f>
        <v/>
      </c>
    </row>
    <row r="192" spans="1:16" x14ac:dyDescent="0.25">
      <c r="A192" s="1" t="str">
        <f ca="1">IF(NOT(B192=""),MAX($A$2:A191)+1,"")</f>
        <v/>
      </c>
      <c r="B192" s="3" t="str">
        <f t="shared" ca="1" si="16"/>
        <v/>
      </c>
      <c r="C192" s="3" t="str">
        <f t="shared" si="17"/>
        <v/>
      </c>
      <c r="D192" s="7"/>
      <c r="E192" s="1" t="str">
        <f t="shared" si="18"/>
        <v/>
      </c>
      <c r="F192" s="6"/>
      <c r="G192" s="7"/>
      <c r="H192" s="6"/>
      <c r="I192" s="6"/>
      <c r="J192" s="7"/>
      <c r="K192" s="1" t="str">
        <f>IFERROR(INDEX(E192:J192,0,MATCH(MAX(G192,J192),E192:J192,0)-2),"")</f>
        <v/>
      </c>
      <c r="L192" s="2" t="str">
        <f>IFERROR(INDEX(E192:J192,0,MATCH(MAX(G192,J192),E192:J192,0)-1),"")</f>
        <v/>
      </c>
      <c r="M192" s="1" t="str">
        <f t="shared" si="15"/>
        <v/>
      </c>
      <c r="N192" t="str">
        <f t="shared" si="13"/>
        <v/>
      </c>
      <c r="O192" s="63" t="str">
        <f t="shared" si="14"/>
        <v/>
      </c>
      <c r="P192" s="63" t="str">
        <f>IFERROR(SUMIFS($G$2:G192,$H$2:H192,H192,$C$2:C192,C192)/(SUMIFS($J$2:J192,$H$2:H192,H192,$C$2:C192,C192)+SUMIFS($G$2:G192,$H$2:H192,H192,$C$2:C192,C192)),"")</f>
        <v/>
      </c>
    </row>
    <row r="193" spans="1:16" x14ac:dyDescent="0.25">
      <c r="A193" s="1" t="str">
        <f ca="1">IF(NOT(B193=""),MAX($A$2:A192)+1,"")</f>
        <v/>
      </c>
      <c r="B193" s="3" t="str">
        <f t="shared" ca="1" si="16"/>
        <v/>
      </c>
      <c r="C193" s="3" t="str">
        <f t="shared" si="17"/>
        <v/>
      </c>
      <c r="D193" s="7"/>
      <c r="E193" s="1" t="str">
        <f t="shared" si="18"/>
        <v/>
      </c>
      <c r="F193" s="6"/>
      <c r="G193" s="7"/>
      <c r="H193" s="6"/>
      <c r="I193" s="6"/>
      <c r="J193" s="7"/>
      <c r="K193" s="1" t="str">
        <f>IFERROR(INDEX(E193:J193,0,MATCH(MAX(G193,J193),E193:J193,0)-2),"")</f>
        <v/>
      </c>
      <c r="L193" s="2" t="str">
        <f>IFERROR(INDEX(E193:J193,0,MATCH(MAX(G193,J193),E193:J193,0)-1),"")</f>
        <v/>
      </c>
      <c r="M193" s="1" t="str">
        <f t="shared" si="15"/>
        <v/>
      </c>
      <c r="N193" t="str">
        <f t="shared" si="13"/>
        <v/>
      </c>
      <c r="O193" s="63" t="str">
        <f t="shared" si="14"/>
        <v/>
      </c>
      <c r="P193" s="63" t="str">
        <f>IFERROR(SUMIFS($G$2:G193,$H$2:H193,H193,$C$2:C193,C193)/(SUMIFS($J$2:J193,$H$2:H193,H193,$C$2:C193,C193)+SUMIFS($G$2:G193,$H$2:H193,H193,$C$2:C193,C193)),"")</f>
        <v/>
      </c>
    </row>
    <row r="194" spans="1:16" x14ac:dyDescent="0.25">
      <c r="A194" s="1" t="str">
        <f ca="1">IF(NOT(B194=""),MAX($A$2:A193)+1,"")</f>
        <v/>
      </c>
      <c r="B194" s="3" t="str">
        <f t="shared" ca="1" si="16"/>
        <v/>
      </c>
      <c r="C194" s="3" t="str">
        <f t="shared" si="17"/>
        <v/>
      </c>
      <c r="D194" s="7"/>
      <c r="E194" s="1" t="str">
        <f t="shared" si="18"/>
        <v/>
      </c>
      <c r="F194" s="6"/>
      <c r="G194" s="7"/>
      <c r="H194" s="6"/>
      <c r="I194" s="6"/>
      <c r="J194" s="7"/>
      <c r="K194" s="1" t="str">
        <f>IFERROR(INDEX(E194:J194,0,MATCH(MAX(G194,J194),E194:J194,0)-2),"")</f>
        <v/>
      </c>
      <c r="L194" s="2" t="str">
        <f>IFERROR(INDEX(E194:J194,0,MATCH(MAX(G194,J194),E194:J194,0)-1),"")</f>
        <v/>
      </c>
      <c r="M194" s="1" t="str">
        <f t="shared" si="15"/>
        <v/>
      </c>
      <c r="N194" t="str">
        <f t="shared" si="13"/>
        <v/>
      </c>
      <c r="O194" s="63" t="str">
        <f t="shared" si="14"/>
        <v/>
      </c>
      <c r="P194" s="63" t="str">
        <f>IFERROR(SUMIFS($G$2:G194,$H$2:H194,H194,$C$2:C194,C194)/(SUMIFS($J$2:J194,$H$2:H194,H194,$C$2:C194,C194)+SUMIFS($G$2:G194,$H$2:H194,H194,$C$2:C194,C194)),"")</f>
        <v/>
      </c>
    </row>
    <row r="195" spans="1:16" x14ac:dyDescent="0.25">
      <c r="A195" s="1" t="str">
        <f ca="1">IF(NOT(B195=""),MAX($A$2:A194)+1,"")</f>
        <v/>
      </c>
      <c r="B195" s="3" t="str">
        <f t="shared" ca="1" si="16"/>
        <v/>
      </c>
      <c r="C195" s="3" t="str">
        <f t="shared" si="17"/>
        <v/>
      </c>
      <c r="D195" s="7"/>
      <c r="E195" s="1" t="str">
        <f t="shared" si="18"/>
        <v/>
      </c>
      <c r="F195" s="6"/>
      <c r="G195" s="7"/>
      <c r="H195" s="6"/>
      <c r="I195" s="6"/>
      <c r="J195" s="7"/>
      <c r="K195" s="1" t="str">
        <f>IFERROR(INDEX(E195:J195,0,MATCH(MAX(G195,J195),E195:J195,0)-2),"")</f>
        <v/>
      </c>
      <c r="L195" s="2" t="str">
        <f>IFERROR(INDEX(E195:J195,0,MATCH(MAX(G195,J195),E195:J195,0)-1),"")</f>
        <v/>
      </c>
      <c r="M195" s="1" t="str">
        <f t="shared" si="15"/>
        <v/>
      </c>
      <c r="N195" t="str">
        <f t="shared" si="13"/>
        <v/>
      </c>
      <c r="O195" s="63" t="str">
        <f t="shared" si="14"/>
        <v/>
      </c>
      <c r="P195" s="63" t="str">
        <f>IFERROR(SUMIFS($G$2:G195,$H$2:H195,H195,$C$2:C195,C195)/(SUMIFS($J$2:J195,$H$2:H195,H195,$C$2:C195,C195)+SUMIFS($G$2:G195,$H$2:H195,H195,$C$2:C195,C195)),"")</f>
        <v/>
      </c>
    </row>
    <row r="196" spans="1:16" x14ac:dyDescent="0.25">
      <c r="A196" s="1" t="str">
        <f ca="1">IF(NOT(B196=""),MAX($A$2:A195)+1,"")</f>
        <v/>
      </c>
      <c r="B196" s="3" t="str">
        <f t="shared" ca="1" si="16"/>
        <v/>
      </c>
      <c r="C196" s="3" t="str">
        <f t="shared" si="17"/>
        <v/>
      </c>
      <c r="D196" s="7"/>
      <c r="E196" s="1" t="str">
        <f t="shared" si="18"/>
        <v/>
      </c>
      <c r="F196" s="6"/>
      <c r="G196" s="7"/>
      <c r="H196" s="6"/>
      <c r="I196" s="6"/>
      <c r="J196" s="7"/>
      <c r="K196" s="1" t="str">
        <f>IFERROR(INDEX(E196:J196,0,MATCH(MAX(G196,J196),E196:J196,0)-2),"")</f>
        <v/>
      </c>
      <c r="L196" s="2" t="str">
        <f>IFERROR(INDEX(E196:J196,0,MATCH(MAX(G196,J196),E196:J196,0)-1),"")</f>
        <v/>
      </c>
      <c r="M196" s="1" t="str">
        <f t="shared" si="15"/>
        <v/>
      </c>
      <c r="N196" t="str">
        <f t="shared" si="13"/>
        <v/>
      </c>
      <c r="O196" s="63" t="str">
        <f t="shared" si="14"/>
        <v/>
      </c>
      <c r="P196" s="63" t="str">
        <f>IFERROR(SUMIFS($G$2:G196,$H$2:H196,H196,$C$2:C196,C196)/(SUMIFS($J$2:J196,$H$2:H196,H196,$C$2:C196,C196)+SUMIFS($G$2:G196,$H$2:H196,H196,$C$2:C196,C196)),"")</f>
        <v/>
      </c>
    </row>
    <row r="197" spans="1:16" x14ac:dyDescent="0.25">
      <c r="A197" s="1" t="str">
        <f ca="1">IF(NOT(B197=""),MAX($A$2:A196)+1,"")</f>
        <v/>
      </c>
      <c r="B197" s="3" t="str">
        <f t="shared" ca="1" si="16"/>
        <v/>
      </c>
      <c r="C197" s="3" t="str">
        <f t="shared" si="17"/>
        <v/>
      </c>
      <c r="D197" s="7"/>
      <c r="E197" s="1" t="str">
        <f t="shared" si="18"/>
        <v/>
      </c>
      <c r="F197" s="6"/>
      <c r="G197" s="7"/>
      <c r="H197" s="6"/>
      <c r="I197" s="6"/>
      <c r="J197" s="7"/>
      <c r="K197" s="1" t="str">
        <f>IFERROR(INDEX(E197:J197,0,MATCH(MAX(G197,J197),E197:J197,0)-2),"")</f>
        <v/>
      </c>
      <c r="L197" s="2" t="str">
        <f>IFERROR(INDEX(E197:J197,0,MATCH(MAX(G197,J197),E197:J197,0)-1),"")</f>
        <v/>
      </c>
      <c r="M197" s="1" t="str">
        <f t="shared" si="15"/>
        <v/>
      </c>
      <c r="N197" t="str">
        <f t="shared" ref="N197:N201" si="19">IF(M197="","",IF(M197="W",1,IF(M197="L",-1,0))+N196)</f>
        <v/>
      </c>
      <c r="O197" s="63" t="str">
        <f t="shared" si="14"/>
        <v/>
      </c>
      <c r="P197" s="63" t="str">
        <f>IFERROR(SUMIFS($G$2:G197,$H$2:H197,H197,$C$2:C197,C197)/(SUMIFS($J$2:J197,$H$2:H197,H197,$C$2:C197,C197)+SUMIFS($G$2:G197,$H$2:H197,H197,$C$2:C197,C197)),"")</f>
        <v/>
      </c>
    </row>
    <row r="198" spans="1:16" x14ac:dyDescent="0.25">
      <c r="A198" s="1" t="str">
        <f ca="1">IF(NOT(B198=""),MAX($A$2:A197)+1,"")</f>
        <v/>
      </c>
      <c r="B198" s="3" t="str">
        <f t="shared" ca="1" si="16"/>
        <v/>
      </c>
      <c r="C198" s="3" t="str">
        <f t="shared" si="17"/>
        <v/>
      </c>
      <c r="D198" s="7"/>
      <c r="E198" s="1" t="str">
        <f t="shared" si="18"/>
        <v/>
      </c>
      <c r="F198" s="6"/>
      <c r="G198" s="7"/>
      <c r="H198" s="6"/>
      <c r="I198" s="6"/>
      <c r="J198" s="7"/>
      <c r="K198" s="1" t="str">
        <f>IFERROR(INDEX(E198:J198,0,MATCH(MAX(G198,J198),E198:J198,0)-2),"")</f>
        <v/>
      </c>
      <c r="L198" s="2" t="str">
        <f>IFERROR(INDEX(E198:J198,0,MATCH(MAX(G198,J198),E198:J198,0)-1),"")</f>
        <v/>
      </c>
      <c r="M198" s="1" t="str">
        <f t="shared" si="15"/>
        <v/>
      </c>
      <c r="N198" t="str">
        <f t="shared" si="19"/>
        <v/>
      </c>
      <c r="O198" s="63" t="str">
        <f t="shared" ref="O198:O201" si="20">IFERROR((N198-N193)/5,"")</f>
        <v/>
      </c>
      <c r="P198" s="63" t="str">
        <f>IFERROR(SUMIFS($G$2:G198,$H$2:H198,H198,$C$2:C198,C198)/(SUMIFS($J$2:J198,$H$2:H198,H198,$C$2:C198,C198)+SUMIFS($G$2:G198,$H$2:H198,H198,$C$2:C198,C198)),"")</f>
        <v/>
      </c>
    </row>
    <row r="199" spans="1:16" x14ac:dyDescent="0.25">
      <c r="A199" s="1" t="str">
        <f ca="1">IF(NOT(B199=""),MAX($A$2:A198)+1,"")</f>
        <v/>
      </c>
      <c r="B199" s="3" t="str">
        <f t="shared" ca="1" si="16"/>
        <v/>
      </c>
      <c r="C199" s="3" t="str">
        <f t="shared" si="17"/>
        <v/>
      </c>
      <c r="D199" s="7"/>
      <c r="E199" s="1" t="str">
        <f t="shared" si="18"/>
        <v/>
      </c>
      <c r="F199" s="6"/>
      <c r="G199" s="7"/>
      <c r="H199" s="6"/>
      <c r="I199" s="6"/>
      <c r="J199" s="7"/>
      <c r="K199" s="1" t="str">
        <f>IFERROR(INDEX(E199:J199,0,MATCH(MAX(G199,J199),E199:J199,0)-2),"")</f>
        <v/>
      </c>
      <c r="L199" s="2" t="str">
        <f>IFERROR(INDEX(E199:J199,0,MATCH(MAX(G199,J199),E199:J199,0)-1),"")</f>
        <v/>
      </c>
      <c r="M199" s="1" t="str">
        <f t="shared" si="15"/>
        <v/>
      </c>
      <c r="N199" t="str">
        <f t="shared" si="19"/>
        <v/>
      </c>
      <c r="O199" s="63" t="str">
        <f t="shared" si="20"/>
        <v/>
      </c>
      <c r="P199" s="63" t="str">
        <f>IFERROR(SUMIFS($G$2:G199,$H$2:H199,H199,$C$2:C199,C199)/(SUMIFS($J$2:J199,$H$2:H199,H199,$C$2:C199,C199)+SUMIFS($G$2:G199,$H$2:H199,H199,$C$2:C199,C199)),"")</f>
        <v/>
      </c>
    </row>
    <row r="200" spans="1:16" x14ac:dyDescent="0.25">
      <c r="A200" s="1" t="str">
        <f ca="1">IF(NOT(B200=""),MAX($A$2:A199)+1,"")</f>
        <v/>
      </c>
      <c r="B200" s="3" t="str">
        <f t="shared" ca="1" si="16"/>
        <v/>
      </c>
      <c r="C200" s="3" t="str">
        <f t="shared" si="17"/>
        <v/>
      </c>
      <c r="D200" s="7"/>
      <c r="E200" s="1" t="str">
        <f t="shared" si="18"/>
        <v/>
      </c>
      <c r="F200" s="6"/>
      <c r="G200" s="7"/>
      <c r="H200" s="6"/>
      <c r="I200" s="6"/>
      <c r="J200" s="7"/>
      <c r="K200" s="1" t="str">
        <f>IFERROR(INDEX(E200:J200,0,MATCH(MAX(G200,J200),E200:J200,0)-2),"")</f>
        <v/>
      </c>
      <c r="L200" s="2" t="str">
        <f>IFERROR(INDEX(E200:J200,0,MATCH(MAX(G200,J200),E200:J200,0)-1),"")</f>
        <v/>
      </c>
      <c r="M200" s="1" t="str">
        <f t="shared" si="15"/>
        <v/>
      </c>
      <c r="N200" t="str">
        <f t="shared" si="19"/>
        <v/>
      </c>
      <c r="O200" s="63" t="str">
        <f t="shared" si="20"/>
        <v/>
      </c>
      <c r="P200" s="63" t="str">
        <f>IFERROR(SUMIFS($G$2:G200,$H$2:H200,H200,$C$2:C200,C200)/(SUMIFS($J$2:J200,$H$2:H200,H200,$C$2:C200,C200)+SUMIFS($G$2:G200,$H$2:H200,H200,$C$2:C200,C200)),"")</f>
        <v/>
      </c>
    </row>
    <row r="201" spans="1:16" x14ac:dyDescent="0.25">
      <c r="A201" s="1" t="str">
        <f ca="1">IF(NOT(B201=""),MAX($A$2:A200)+1,"")</f>
        <v/>
      </c>
      <c r="B201" s="3" t="str">
        <f t="shared" ca="1" si="16"/>
        <v/>
      </c>
      <c r="C201" s="3" t="str">
        <f t="shared" si="17"/>
        <v/>
      </c>
      <c r="D201" s="7"/>
      <c r="E201" s="1" t="str">
        <f t="shared" si="18"/>
        <v/>
      </c>
      <c r="F201" s="6"/>
      <c r="G201" s="7"/>
      <c r="H201" s="6"/>
      <c r="I201" s="6"/>
      <c r="J201" s="7"/>
      <c r="K201" s="1" t="str">
        <f>IFERROR(INDEX(E201:J201,0,MATCH(MAX(G201,J201),E201:J201,0)-2),"")</f>
        <v/>
      </c>
      <c r="L201" s="2" t="str">
        <f>IFERROR(INDEX(E201:J201,0,MATCH(MAX(G201,J201),E201:J201,0)-1),"")</f>
        <v/>
      </c>
      <c r="M201" s="1" t="str">
        <f t="shared" si="15"/>
        <v/>
      </c>
      <c r="N201" t="str">
        <f t="shared" si="19"/>
        <v/>
      </c>
      <c r="O201" s="63" t="str">
        <f t="shared" si="20"/>
        <v/>
      </c>
      <c r="P201" s="63" t="str">
        <f>IFERROR(SUMIFS($G$2:G201,$H$2:H201,H201,$C$2:C201,C201)/(SUMIFS($J$2:J201,$H$2:H201,H201,$C$2:C201,C201)+SUMIFS($G$2:G201,$H$2:H201,H201,$C$2:C201,C201)),"")</f>
        <v/>
      </c>
    </row>
    <row r="202" spans="1:16" x14ac:dyDescent="0.25">
      <c r="A202" s="1"/>
      <c r="B202" s="3"/>
      <c r="C202" s="3"/>
      <c r="D202" s="7"/>
      <c r="E202" s="1"/>
      <c r="F202" s="6"/>
      <c r="G202" s="7"/>
      <c r="H202" s="6"/>
      <c r="I202" s="6"/>
      <c r="J202" s="7"/>
      <c r="K202" s="1"/>
      <c r="L202" s="2"/>
    </row>
    <row r="203" spans="1:16" x14ac:dyDescent="0.25">
      <c r="A203" s="1"/>
      <c r="B203" s="3"/>
      <c r="C203" s="3"/>
      <c r="D203" s="7"/>
      <c r="E203" s="1"/>
      <c r="F203" s="6"/>
      <c r="G203" s="7"/>
      <c r="H203" s="6"/>
      <c r="I203" s="6"/>
      <c r="J203" s="7"/>
      <c r="K203" s="1"/>
      <c r="L203" s="2"/>
    </row>
    <row r="204" spans="1:16" x14ac:dyDescent="0.25">
      <c r="A204" s="1"/>
      <c r="B204" s="3"/>
      <c r="C204" s="3"/>
      <c r="D204" s="7"/>
      <c r="E204" s="1"/>
      <c r="F204" s="6"/>
      <c r="G204" s="7"/>
      <c r="H204" s="6"/>
      <c r="I204" s="6"/>
      <c r="J204" s="7"/>
      <c r="K204" s="1"/>
      <c r="L204" s="2"/>
    </row>
    <row r="205" spans="1:16" x14ac:dyDescent="0.25">
      <c r="A205" s="1"/>
      <c r="B205" s="3"/>
      <c r="C205" s="3"/>
      <c r="D205" s="7"/>
      <c r="E205" s="1"/>
      <c r="F205" s="6"/>
      <c r="G205" s="7"/>
      <c r="H205" s="6"/>
      <c r="I205" s="6"/>
      <c r="J205" s="7"/>
      <c r="K205" s="1"/>
      <c r="L205" s="2"/>
    </row>
    <row r="206" spans="1:16" x14ac:dyDescent="0.25">
      <c r="A206" s="1"/>
      <c r="B206" s="3"/>
      <c r="C206" s="3"/>
      <c r="D206" s="7"/>
      <c r="E206" s="1"/>
      <c r="F206" s="6"/>
      <c r="G206" s="7"/>
      <c r="H206" s="6"/>
      <c r="I206" s="6"/>
      <c r="J206" s="7"/>
      <c r="K206" s="1"/>
      <c r="L206" s="2"/>
    </row>
    <row r="207" spans="1:16" x14ac:dyDescent="0.25">
      <c r="A207" s="1"/>
      <c r="B207" s="3"/>
      <c r="C207" s="3"/>
      <c r="D207" s="7"/>
      <c r="E207" s="1"/>
      <c r="F207" s="6"/>
      <c r="G207" s="7"/>
      <c r="H207" s="6"/>
      <c r="I207" s="6"/>
      <c r="J207" s="7"/>
      <c r="K207" s="1"/>
      <c r="L207" s="2"/>
    </row>
    <row r="208" spans="1:16" x14ac:dyDescent="0.25">
      <c r="A208" s="1"/>
      <c r="B208" s="3"/>
      <c r="C208" s="3"/>
      <c r="D208" s="7"/>
      <c r="E208" s="1"/>
      <c r="F208" s="6"/>
      <c r="G208" s="7"/>
      <c r="H208" s="6"/>
      <c r="I208" s="6"/>
      <c r="J208" s="7"/>
      <c r="K208" s="1"/>
      <c r="L208" s="2"/>
    </row>
    <row r="209" spans="1:12" x14ac:dyDescent="0.25">
      <c r="A209" s="1"/>
      <c r="B209" s="3"/>
      <c r="C209" s="3"/>
      <c r="D209" s="7"/>
      <c r="E209" s="1"/>
      <c r="F209" s="6"/>
      <c r="G209" s="7"/>
      <c r="H209" s="6"/>
      <c r="I209" s="6"/>
      <c r="J209" s="7"/>
      <c r="K209" s="1"/>
      <c r="L209" s="2"/>
    </row>
    <row r="210" spans="1:12" x14ac:dyDescent="0.25">
      <c r="A210" s="1"/>
      <c r="B210" s="3"/>
      <c r="C210" s="3"/>
      <c r="D210" s="7"/>
      <c r="E210" s="1"/>
      <c r="F210" s="6"/>
      <c r="G210" s="7"/>
      <c r="H210" s="6"/>
      <c r="I210" s="6"/>
      <c r="J210" s="7"/>
      <c r="K210" s="1"/>
      <c r="L210" s="2"/>
    </row>
    <row r="211" spans="1:12" x14ac:dyDescent="0.25">
      <c r="A211" s="1"/>
      <c r="B211" s="3"/>
      <c r="C211" s="3"/>
      <c r="D211" s="7"/>
      <c r="E211" s="1"/>
      <c r="F211" s="6"/>
      <c r="G211" s="7"/>
      <c r="H211" s="6"/>
      <c r="I211" s="6"/>
      <c r="J211" s="7"/>
      <c r="K211" s="1"/>
      <c r="L211" s="2"/>
    </row>
    <row r="212" spans="1:12" x14ac:dyDescent="0.25">
      <c r="A212" s="1"/>
      <c r="B212" s="3"/>
      <c r="C212" s="3"/>
      <c r="D212" s="7"/>
      <c r="E212" s="1"/>
      <c r="F212" s="6"/>
      <c r="G212" s="7"/>
      <c r="H212" s="6"/>
      <c r="I212" s="6"/>
      <c r="J212" s="7"/>
      <c r="K212" s="1"/>
      <c r="L212" s="2"/>
    </row>
    <row r="213" spans="1:12" x14ac:dyDescent="0.25">
      <c r="A213" s="1"/>
      <c r="B213" s="3"/>
      <c r="C213" s="3"/>
      <c r="D213" s="7"/>
      <c r="E213" s="1"/>
      <c r="F213" s="6"/>
      <c r="G213" s="7"/>
      <c r="H213" s="6"/>
      <c r="I213" s="6"/>
      <c r="J213" s="7"/>
      <c r="K213" s="1"/>
      <c r="L213" s="2"/>
    </row>
    <row r="214" spans="1:12" x14ac:dyDescent="0.25">
      <c r="A214" s="1"/>
      <c r="B214" s="3"/>
      <c r="C214" s="3"/>
      <c r="D214" s="7"/>
      <c r="E214" s="1"/>
      <c r="F214" s="6"/>
      <c r="G214" s="7"/>
      <c r="H214" s="6"/>
      <c r="I214" s="6"/>
      <c r="J214" s="7"/>
      <c r="K214" s="1"/>
      <c r="L214" s="2"/>
    </row>
    <row r="215" spans="1:12" x14ac:dyDescent="0.25">
      <c r="A215" s="1"/>
      <c r="B215" s="3"/>
      <c r="C215" s="3"/>
      <c r="D215" s="7"/>
      <c r="E215" s="1"/>
      <c r="F215" s="6"/>
      <c r="G215" s="7"/>
      <c r="H215" s="6"/>
      <c r="I215" s="6"/>
      <c r="J215" s="7"/>
      <c r="K215" s="1"/>
      <c r="L215" s="2"/>
    </row>
    <row r="216" spans="1:12" x14ac:dyDescent="0.25">
      <c r="A216" s="1"/>
      <c r="B216" s="3"/>
      <c r="C216" s="3"/>
      <c r="D216" s="7"/>
      <c r="E216" s="1"/>
      <c r="F216" s="6"/>
      <c r="G216" s="7"/>
      <c r="H216" s="6"/>
      <c r="I216" s="6"/>
      <c r="J216" s="7"/>
      <c r="K216" s="1"/>
      <c r="L216" s="2"/>
    </row>
    <row r="217" spans="1:12" x14ac:dyDescent="0.25">
      <c r="A217" s="1"/>
      <c r="B217" s="3"/>
      <c r="C217" s="3"/>
      <c r="D217" s="7"/>
      <c r="E217" s="1"/>
      <c r="F217" s="6"/>
      <c r="G217" s="7"/>
      <c r="H217" s="6"/>
      <c r="I217" s="6"/>
      <c r="J217" s="7"/>
      <c r="K217" s="1"/>
      <c r="L217" s="2"/>
    </row>
    <row r="218" spans="1:12" x14ac:dyDescent="0.25">
      <c r="A218" s="1"/>
      <c r="B218" s="3"/>
      <c r="C218" s="3"/>
      <c r="D218" s="7"/>
      <c r="E218" s="1"/>
      <c r="F218" s="6"/>
      <c r="G218" s="7"/>
      <c r="H218" s="6"/>
      <c r="I218" s="6"/>
      <c r="J218" s="7"/>
      <c r="K218" s="1"/>
      <c r="L218" s="2"/>
    </row>
    <row r="219" spans="1:12" x14ac:dyDescent="0.25">
      <c r="A219" s="1"/>
      <c r="B219" s="3"/>
      <c r="C219" s="3"/>
      <c r="D219" s="7"/>
      <c r="E219" s="1"/>
      <c r="F219" s="6"/>
      <c r="G219" s="7"/>
      <c r="H219" s="6"/>
      <c r="I219" s="6"/>
      <c r="J219" s="7"/>
      <c r="K219" s="1"/>
      <c r="L219" s="2"/>
    </row>
    <row r="220" spans="1:12" x14ac:dyDescent="0.25">
      <c r="A220" s="1"/>
      <c r="B220" s="3"/>
      <c r="C220" s="3"/>
      <c r="D220" s="7"/>
      <c r="E220" s="1"/>
      <c r="F220" s="6"/>
      <c r="G220" s="7"/>
      <c r="H220" s="6"/>
      <c r="I220" s="6"/>
      <c r="J220" s="7"/>
      <c r="K220" s="1"/>
      <c r="L220" s="2"/>
    </row>
    <row r="221" spans="1:12" x14ac:dyDescent="0.25">
      <c r="A221" s="1"/>
      <c r="B221" s="3"/>
      <c r="C221" s="3"/>
      <c r="D221" s="7"/>
      <c r="E221" s="1"/>
      <c r="F221" s="6"/>
      <c r="G221" s="7"/>
      <c r="H221" s="6"/>
      <c r="I221" s="6"/>
      <c r="J221" s="7"/>
      <c r="K221" s="1"/>
      <c r="L221" s="2"/>
    </row>
    <row r="222" spans="1:12" x14ac:dyDescent="0.25">
      <c r="A222" s="1"/>
      <c r="B222" s="3"/>
      <c r="C222" s="3"/>
      <c r="D222" s="7"/>
      <c r="E222" s="1"/>
      <c r="F222" s="6"/>
      <c r="G222" s="7"/>
      <c r="H222" s="6"/>
      <c r="I222" s="6"/>
      <c r="J222" s="7"/>
      <c r="K222" s="1"/>
      <c r="L222" s="2"/>
    </row>
    <row r="223" spans="1:12" x14ac:dyDescent="0.25">
      <c r="A223" s="1"/>
      <c r="B223" s="3"/>
      <c r="C223" s="3"/>
      <c r="D223" s="7"/>
      <c r="E223" s="1"/>
      <c r="F223" s="6"/>
      <c r="G223" s="7"/>
      <c r="H223" s="6"/>
      <c r="I223" s="6"/>
      <c r="J223" s="7"/>
      <c r="K223" s="1"/>
      <c r="L223" s="2"/>
    </row>
    <row r="224" spans="1:12" x14ac:dyDescent="0.25">
      <c r="A224" s="1"/>
      <c r="B224" s="3"/>
      <c r="C224" s="3"/>
      <c r="D224" s="7"/>
      <c r="E224" s="1"/>
      <c r="F224" s="6"/>
      <c r="G224" s="7"/>
      <c r="H224" s="6"/>
      <c r="I224" s="6"/>
      <c r="J224" s="7"/>
      <c r="K224" s="1"/>
      <c r="L224" s="2"/>
    </row>
    <row r="225" spans="1:12" x14ac:dyDescent="0.25">
      <c r="A225" s="1"/>
      <c r="B225" s="3"/>
      <c r="C225" s="3"/>
      <c r="D225" s="7"/>
      <c r="E225" s="1"/>
      <c r="F225" s="6"/>
      <c r="G225" s="7"/>
      <c r="H225" s="6"/>
      <c r="I225" s="6"/>
      <c r="J225" s="7"/>
      <c r="K225" s="1"/>
      <c r="L225" s="2"/>
    </row>
    <row r="226" spans="1:12" x14ac:dyDescent="0.25">
      <c r="A226" s="1"/>
      <c r="B226" s="3"/>
      <c r="C226" s="3"/>
      <c r="D226" s="7"/>
      <c r="E226" s="1"/>
      <c r="F226" s="6"/>
      <c r="G226" s="7"/>
      <c r="H226" s="6"/>
      <c r="I226" s="6"/>
      <c r="J226" s="7"/>
      <c r="K226" s="1"/>
      <c r="L226" s="2"/>
    </row>
  </sheetData>
  <autoFilter ref="A1:L201"/>
  <conditionalFormatting sqref="F1:F28 I1:I28 I227:I1048576 F227:F1048576">
    <cfRule type="containsBlanks" dxfId="15" priority="17">
      <formula>LEN(TRIM(F1))=0</formula>
    </cfRule>
  </conditionalFormatting>
  <conditionalFormatting sqref="F29:F57 I29:I57">
    <cfRule type="containsBlanks" dxfId="14" priority="16">
      <formula>LEN(TRIM(F29))=0</formula>
    </cfRule>
  </conditionalFormatting>
  <conditionalFormatting sqref="M1:M57 M227:M1048576">
    <cfRule type="containsText" dxfId="13" priority="15" operator="containsText" text="W">
      <formula>NOT(ISERROR(SEARCH("W",M1)))</formula>
    </cfRule>
  </conditionalFormatting>
  <conditionalFormatting sqref="F58:F85 I58:I85">
    <cfRule type="containsBlanks" dxfId="12" priority="14">
      <formula>LEN(TRIM(F58))=0</formula>
    </cfRule>
  </conditionalFormatting>
  <conditionalFormatting sqref="I86:I114 F86:F114">
    <cfRule type="containsBlanks" dxfId="11" priority="13">
      <formula>LEN(TRIM(F86))=0</formula>
    </cfRule>
  </conditionalFormatting>
  <conditionalFormatting sqref="M58:M114">
    <cfRule type="containsText" dxfId="10" priority="12" operator="containsText" text="W">
      <formula>NOT(ISERROR(SEARCH("W",M58)))</formula>
    </cfRule>
  </conditionalFormatting>
  <conditionalFormatting sqref="F117:F141 I117:I141">
    <cfRule type="containsBlanks" dxfId="9" priority="11">
      <formula>LEN(TRIM(F117))=0</formula>
    </cfRule>
  </conditionalFormatting>
  <conditionalFormatting sqref="F142:F170 I142:I170">
    <cfRule type="containsBlanks" dxfId="8" priority="10">
      <formula>LEN(TRIM(F142))=0</formula>
    </cfRule>
  </conditionalFormatting>
  <conditionalFormatting sqref="M117:M170">
    <cfRule type="containsText" dxfId="7" priority="9" operator="containsText" text="W">
      <formula>NOT(ISERROR(SEARCH("W",M117)))</formula>
    </cfRule>
  </conditionalFormatting>
  <conditionalFormatting sqref="F171:F197 I171:I197">
    <cfRule type="containsBlanks" dxfId="6" priority="8">
      <formula>LEN(TRIM(F171))=0</formula>
    </cfRule>
  </conditionalFormatting>
  <conditionalFormatting sqref="F198:F226 I198:I226">
    <cfRule type="containsBlanks" dxfId="5" priority="7">
      <formula>LEN(TRIM(F198))=0</formula>
    </cfRule>
  </conditionalFormatting>
  <conditionalFormatting sqref="M171:M226">
    <cfRule type="containsText" dxfId="4" priority="6" operator="containsText" text="W">
      <formula>NOT(ISERROR(SEARCH("W",M171)))</formula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{D2B58231-E2DE-4431-AD2E-FC4C8710AF27}</x14:id>
        </ext>
      </extLst>
    </cfRule>
  </conditionalFormatting>
  <conditionalFormatting sqref="F115:F116 I115:I116">
    <cfRule type="containsBlanks" dxfId="1" priority="2">
      <formula>LEN(TRIM(F115))=0</formula>
    </cfRule>
  </conditionalFormatting>
  <conditionalFormatting sqref="M115:M116">
    <cfRule type="containsText" dxfId="0" priority="1" operator="containsText" text="W">
      <formula>NOT(ISERROR(SEARCH("W",M115)))</formula>
    </cfRule>
  </conditionalFormatting>
  <dataValidations count="1">
    <dataValidation type="whole" allowBlank="1" showInputMessage="1" showErrorMessage="1" sqref="J2:J1048576 G1:G1048576">
      <formula1>0</formula1>
      <formula2>100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58231-E2DE-4431-AD2E-FC4C8710A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workbookViewId="0">
      <selection activeCell="L25" sqref="L25"/>
    </sheetView>
  </sheetViews>
  <sheetFormatPr defaultRowHeight="15" outlineLevelCol="1" x14ac:dyDescent="0.25"/>
  <cols>
    <col min="1" max="1" width="10.7109375" style="36" customWidth="1"/>
    <col min="2" max="2" width="3.42578125" style="36" customWidth="1"/>
    <col min="3" max="3" width="8" style="20" customWidth="1"/>
    <col min="4" max="4" width="10.42578125" style="10" customWidth="1"/>
    <col min="5" max="6" width="9" style="10" customWidth="1"/>
    <col min="7" max="7" width="6.85546875" style="10" bestFit="1" customWidth="1"/>
    <col min="8" max="8" width="8.28515625" style="10" hidden="1" customWidth="1" outlineLevel="1"/>
    <col min="9" max="9" width="9.42578125" style="10" customWidth="1" collapsed="1"/>
    <col min="10" max="11" width="7" style="13" customWidth="1"/>
    <col min="12" max="13" width="9.140625" style="10" customWidth="1"/>
    <col min="14" max="14" width="2.7109375" style="36" customWidth="1"/>
    <col min="15" max="16" width="9.28515625" style="36" customWidth="1"/>
    <col min="17" max="17" width="8" style="20" customWidth="1"/>
    <col min="18" max="19" width="9" customWidth="1"/>
    <col min="21" max="21" width="0" hidden="1" customWidth="1" outlineLevel="1"/>
    <col min="22" max="22" width="9.140625" collapsed="1"/>
    <col min="23" max="26" width="9.140625" style="58"/>
    <col min="27" max="27" width="2.7109375" customWidth="1"/>
    <col min="28" max="28" width="8" style="20" customWidth="1"/>
    <col min="30" max="31" width="8.7109375" customWidth="1"/>
    <col min="32" max="32" width="0" hidden="1" customWidth="1" outlineLevel="1"/>
    <col min="33" max="33" width="9.140625" collapsed="1"/>
    <col min="34" max="16384" width="9.140625" style="36"/>
  </cols>
  <sheetData>
    <row r="1" spans="1:33" x14ac:dyDescent="0.25">
      <c r="E1" s="10" t="s">
        <v>23</v>
      </c>
      <c r="F1" s="10" t="s">
        <v>24</v>
      </c>
      <c r="G1" s="10" t="s">
        <v>26</v>
      </c>
      <c r="H1" s="10" t="s">
        <v>40</v>
      </c>
      <c r="I1" s="13" t="s">
        <v>34</v>
      </c>
    </row>
    <row r="2" spans="1:33" x14ac:dyDescent="0.25">
      <c r="D2" s="12" t="s">
        <v>0</v>
      </c>
      <c r="E2" s="10">
        <f>COUNTIFS(Scores!$K:$K,"="&amp;$D2,Scores!$K:$K,"?*")</f>
        <v>69</v>
      </c>
      <c r="F2" s="10">
        <f>COUNTIFS(Scores!$K:$K,"&lt;&gt;"&amp;$D2,Scores!$K:$K,"?*")-1</f>
        <v>46</v>
      </c>
      <c r="G2" s="10">
        <f>$F2+$E2</f>
        <v>115</v>
      </c>
      <c r="H2" s="11">
        <f>IFERROR($E2/$F2,0)</f>
        <v>1.5</v>
      </c>
      <c r="I2" s="18">
        <f>IFERROR(E2/G2,"")</f>
        <v>0.6</v>
      </c>
    </row>
    <row r="3" spans="1:33" x14ac:dyDescent="0.25">
      <c r="D3" s="12"/>
      <c r="H3" s="11"/>
      <c r="I3" s="11"/>
      <c r="L3" s="11"/>
      <c r="M3" s="11"/>
    </row>
    <row r="4" spans="1:33" x14ac:dyDescent="0.25">
      <c r="D4" s="14"/>
      <c r="E4" s="14" t="s">
        <v>27</v>
      </c>
      <c r="F4" s="14"/>
      <c r="G4" s="14"/>
      <c r="H4" s="15"/>
      <c r="I4" s="15"/>
      <c r="J4" s="16"/>
      <c r="K4" s="16"/>
      <c r="L4" s="15"/>
      <c r="M4" s="15"/>
      <c r="Q4" s="14"/>
      <c r="R4" s="14" t="s">
        <v>28</v>
      </c>
      <c r="S4" s="14"/>
      <c r="T4" s="14"/>
      <c r="U4" s="14"/>
      <c r="V4" s="14"/>
      <c r="W4" s="16"/>
      <c r="X4" s="16"/>
      <c r="Y4" s="16"/>
      <c r="Z4" s="16"/>
      <c r="AA4" s="14"/>
      <c r="AB4" s="14"/>
      <c r="AC4" s="14"/>
      <c r="AD4" s="14"/>
      <c r="AE4" s="14"/>
      <c r="AF4" s="14"/>
      <c r="AG4" s="14"/>
    </row>
    <row r="5" spans="1:33" s="37" customFormat="1" ht="30.75" thickBot="1" x14ac:dyDescent="0.3">
      <c r="A5" s="53" t="s">
        <v>41</v>
      </c>
      <c r="B5" s="53"/>
      <c r="C5" s="33" t="s">
        <v>48</v>
      </c>
      <c r="D5" s="34" t="s">
        <v>39</v>
      </c>
      <c r="E5" s="33" t="s">
        <v>35</v>
      </c>
      <c r="F5" s="33" t="s">
        <v>36</v>
      </c>
      <c r="G5" s="33" t="s">
        <v>26</v>
      </c>
      <c r="H5" s="33" t="s">
        <v>40</v>
      </c>
      <c r="I5" s="35" t="s">
        <v>34</v>
      </c>
      <c r="J5" s="35" t="s">
        <v>31</v>
      </c>
      <c r="K5" s="35" t="s">
        <v>32</v>
      </c>
      <c r="L5" s="33" t="s">
        <v>42</v>
      </c>
      <c r="M5" s="33" t="s">
        <v>43</v>
      </c>
      <c r="O5" s="33" t="s">
        <v>45</v>
      </c>
      <c r="P5" s="33" t="s">
        <v>45</v>
      </c>
      <c r="Q5" s="33" t="s">
        <v>44</v>
      </c>
      <c r="R5" s="33" t="s">
        <v>35</v>
      </c>
      <c r="S5" s="33" t="s">
        <v>36</v>
      </c>
      <c r="T5" s="33" t="s">
        <v>26</v>
      </c>
      <c r="U5" s="33" t="s">
        <v>25</v>
      </c>
      <c r="V5" s="35" t="s">
        <v>34</v>
      </c>
      <c r="W5" s="35" t="s">
        <v>31</v>
      </c>
      <c r="X5" s="35" t="s">
        <v>32</v>
      </c>
      <c r="Y5" s="33" t="s">
        <v>42</v>
      </c>
      <c r="Z5" s="33" t="s">
        <v>43</v>
      </c>
      <c r="AA5" s="35"/>
      <c r="AB5" s="33" t="s">
        <v>38</v>
      </c>
      <c r="AC5" s="35" t="s">
        <v>37</v>
      </c>
      <c r="AD5" s="35" t="s">
        <v>46</v>
      </c>
      <c r="AE5" s="35" t="s">
        <v>47</v>
      </c>
      <c r="AF5" s="35" t="s">
        <v>25</v>
      </c>
      <c r="AG5" s="35" t="s">
        <v>34</v>
      </c>
    </row>
    <row r="6" spans="1:33" ht="15.75" thickTop="1" x14ac:dyDescent="0.25">
      <c r="A6" s="60">
        <f t="shared" ref="A6:A24" si="0">IFERROR(((C6*G6*2)+((P6+Q6)/20*T6))/(G6*2+T6),"")</f>
        <v>0.73821061680092692</v>
      </c>
      <c r="B6" s="54"/>
      <c r="C6" s="61">
        <f>IFERROR((M6-MIN(M:M))/(MAX(M:M)-MIN(M:M)),"")</f>
        <v>0.73763118440779607</v>
      </c>
      <c r="D6" s="12" t="s">
        <v>18</v>
      </c>
      <c r="E6" s="10">
        <f>COUNTIFS(Scores!$C:$C,$E$4,Scores!$H:$H,$D6,Scores!$K:$K,"&lt;&gt;"&amp;$D6,Scores!$K:$K,"?*")</f>
        <v>4</v>
      </c>
      <c r="F6" s="13">
        <f>COUNTIFS(Scores!$C:$C,$E$4,Scores!$K:$K,"="&amp;$D6,Scores!$K:$K,"?*")</f>
        <v>0</v>
      </c>
      <c r="G6" s="17">
        <f>E6+F6</f>
        <v>4</v>
      </c>
      <c r="H6" s="23" t="str">
        <f>IFERROR(E6/F6,"-")</f>
        <v>-</v>
      </c>
      <c r="I6" s="18">
        <f>IFERROR(E6/G6,"")</f>
        <v>1</v>
      </c>
      <c r="J6" s="22">
        <f>SUMIFS(Scores!$G:$G,Scores!$C:$C,$E$4,Scores!$H:$H,$D6)</f>
        <v>40</v>
      </c>
      <c r="K6" s="22">
        <f>SUMIFS(Scores!J:J,Scores!$C:$C,$E$4,Scores!$H:$H,$D6)</f>
        <v>18</v>
      </c>
      <c r="L6" s="11">
        <f>IFERROR(J6/K6,"-")</f>
        <v>2.2222222222222223</v>
      </c>
      <c r="M6" s="11">
        <f>IFERROR((J6-K6)/SUM(J6,K6),0)</f>
        <v>0.37931034482758619</v>
      </c>
      <c r="O6" s="61">
        <f>IFERROR(AVERAGE(P6,Q6)/10,"")</f>
        <v>0.73844238975817922</v>
      </c>
      <c r="P6" s="21">
        <f>IFERROR((Z6-MIN(Z:Z))/(MAX(Z:Z)-MIN(Z:Z))*10,"")</f>
        <v>6.2688477951635848</v>
      </c>
      <c r="Q6" s="21">
        <f>IFERROR((V6-MIN(V:V))/(MAX(V:V)-MIN(V:V))*10,"")</f>
        <v>8.5</v>
      </c>
      <c r="R6" s="10">
        <f>COUNTIFS(Scores!$C:$C,$R$4,Scores!$H:$H,$D6,Scores!$K:$K,"&lt;&gt;"&amp;$D6,Scores!$K:$K,"?*")+COUNTIFS(Scores!$C:$C,$R$4,Scores!$I:$I,$D6,Scores!$L:$L,"&lt;&gt;"&amp;$D6,Scores!$L:$L,"?*")</f>
        <v>17</v>
      </c>
      <c r="S6" s="13">
        <f>COUNTIFS(Scores!$C:$C,$R$4,Scores!$K:$K,"="&amp;$D6,Scores!$K:$K,"?*")+COUNTIFS(Scores!$K:$K,"&lt;&gt;"&amp;Ratios!$D$2,Scores!$C:$C,$R$4,Scores!$L:$L,"="&amp;$D6,Scores!$L:$L,"?*")</f>
        <v>3</v>
      </c>
      <c r="T6" s="10">
        <f>R6+S6</f>
        <v>20</v>
      </c>
      <c r="U6" s="11">
        <f>IFERROR(R6/S6,"-")</f>
        <v>5.666666666666667</v>
      </c>
      <c r="V6" s="18">
        <f>IFERROR(R6/T6,"")</f>
        <v>0.85</v>
      </c>
      <c r="W6" s="22">
        <f>SUMIFS(Scores!$G:$G,Scores!$C:$C,$R$4,Scores!$H:$H,$D6)+SUMIFS(Scores!$G:$G,Scores!$C:$C,$R$4,Scores!$I:$I,$D6)</f>
        <v>177</v>
      </c>
      <c r="X6" s="22">
        <f>SUMIFS(Scores!$J:$J,Scores!$C:$C,$R$4,Scores!$H:$H,$D6)+SUMIFS(Scores!$J:$J,Scores!$C:$C,$R$4,Scores!$I:$I,$D6)</f>
        <v>108</v>
      </c>
      <c r="Y6" s="11">
        <f>IFERROR(W6/X6,"-")</f>
        <v>1.6388888888888888</v>
      </c>
      <c r="Z6" s="11">
        <f>IFERROR((W6-X6)/SUM(W6,X6),"")</f>
        <v>0.24210526315789474</v>
      </c>
      <c r="AA6" s="18"/>
      <c r="AB6" s="21">
        <f>IFERROR(10-(AG6-MIN(AG:AG))/(MAX(AG:AG)-MIN(AG:AG))*10,"")</f>
        <v>5</v>
      </c>
      <c r="AC6" s="10">
        <f>COUNTIFS(Scores!F:F,Ratios!D6)</f>
        <v>4</v>
      </c>
      <c r="AD6">
        <f>COUNTIFS(Scores!M:M,"W",Scores!F:F,Ratios!D6)</f>
        <v>2</v>
      </c>
      <c r="AE6">
        <f>COUNTIFS(Scores!M:M,"L",Scores!F:F,Ratios!D6)</f>
        <v>2</v>
      </c>
      <c r="AF6" s="55">
        <f>IFERROR(AD6/AE6,"-")</f>
        <v>1</v>
      </c>
      <c r="AG6" s="19">
        <f>IFERROR(AD6/AC6,"")</f>
        <v>0.5</v>
      </c>
    </row>
    <row r="7" spans="1:33" x14ac:dyDescent="0.25">
      <c r="A7" s="60">
        <f t="shared" si="0"/>
        <v>0.61700102712021831</v>
      </c>
      <c r="B7" s="54"/>
      <c r="C7" s="61">
        <f t="shared" ref="C7:C24" si="1">IFERROR((M7-MIN(M:M))/(MAX(M:M)-MIN(M:M)),"")</f>
        <v>0.68416735028712061</v>
      </c>
      <c r="D7" s="12" t="s">
        <v>13</v>
      </c>
      <c r="E7" s="10">
        <f>COUNTIFS(Scores!$C:$C,$E$4,Scores!$H:$H,$D7,Scores!$K:$K,"&lt;&gt;"&amp;$D7,Scores!$K:$K,"?*")</f>
        <v>15</v>
      </c>
      <c r="F7" s="13">
        <f>COUNTIFS(Scores!$C:$C,$E$4,Scores!$K:$K,"="&amp;$D7,Scores!$K:$K,"?*")</f>
        <v>1</v>
      </c>
      <c r="G7" s="17">
        <f>E7+F7</f>
        <v>16</v>
      </c>
      <c r="H7" s="23">
        <f t="shared" ref="H7:H24" si="2">IFERROR(E7/F7,"-")</f>
        <v>15</v>
      </c>
      <c r="I7" s="18">
        <f t="shared" ref="I7:I24" si="3">IFERROR(E7/G7,"")</f>
        <v>0.9375</v>
      </c>
      <c r="J7" s="22">
        <f>SUMIFS(Scores!$G:$G,Scores!$C:$C,$E$4,Scores!$H:$H,$D7)</f>
        <v>140</v>
      </c>
      <c r="K7" s="22">
        <f>SUMIFS(Scores!J:J,Scores!$C:$C,$E$4,Scores!$H:$H,$D7)</f>
        <v>72</v>
      </c>
      <c r="L7" s="11">
        <f>IFERROR(J7/K7,"-")</f>
        <v>1.9444444444444444</v>
      </c>
      <c r="M7" s="11">
        <f t="shared" ref="M7:M9" si="4">IFERROR((J7-K7)/SUM(J7,K7),0)</f>
        <v>0.32075471698113206</v>
      </c>
      <c r="O7" s="61">
        <f t="shared" ref="O7:O24" si="5">IFERROR(AVERAGE(P7,Q7)/10,"")</f>
        <v>0.43789083200847906</v>
      </c>
      <c r="P7" s="21">
        <f t="shared" ref="P7:P23" si="6">IFERROR((Z7-MIN(Z:Z))/(MAX(Z:Z)-MIN(Z:Z))*10,"")</f>
        <v>2.9244833068362479</v>
      </c>
      <c r="Q7" s="21">
        <f t="shared" ref="Q7:Q23" si="7">IFERROR((V7-MIN(V:V))/(MAX(V:V)-MIN(V:V))*10,"")</f>
        <v>5.8333333333333339</v>
      </c>
      <c r="R7" s="10">
        <f>COUNTIFS(Scores!$C:$C,$R$4,Scores!$H:$H,$D7,Scores!$K:$K,"&lt;&gt;"&amp;$D7,Scores!$K:$K,"?*")+COUNTIFS(Scores!$C:$C,$R$4,Scores!$I:$I,$D7,Scores!$L:$L,"&lt;&gt;"&amp;$D7,Scores!$L:$L,"?*")</f>
        <v>7</v>
      </c>
      <c r="S7" s="13">
        <f>COUNTIFS(Scores!$C:$C,$R$4,Scores!$K:$K,"="&amp;$D7,Scores!$K:$K,"?*")+COUNTIFS(Scores!$K:$K,"&lt;&gt;"&amp;Ratios!$D$2,Scores!$C:$C,$R$4,Scores!$L:$L,"="&amp;$D7,Scores!$L:$L,"?*")</f>
        <v>5</v>
      </c>
      <c r="T7" s="10">
        <f>R7+S7</f>
        <v>12</v>
      </c>
      <c r="U7" s="11">
        <f t="shared" ref="U7:U24" si="8">IFERROR(R7/S7,"-")</f>
        <v>1.4</v>
      </c>
      <c r="V7" s="18">
        <f t="shared" ref="V7:V24" si="9">IFERROR(R7/T7,"")</f>
        <v>0.58333333333333337</v>
      </c>
      <c r="W7" s="22">
        <f>SUMIFS(Scores!$G:$G,Scores!$C:$C,$R$4,Scores!$H:$H,$D7)+SUMIFS(Scores!$G:$G,Scores!$C:$C,$R$4,Scores!$I:$I,$D7)</f>
        <v>83</v>
      </c>
      <c r="X7" s="22">
        <f>SUMIFS(Scores!$J:$J,Scores!$C:$C,$R$4,Scores!$H:$H,$D7)+SUMIFS(Scores!$J:$J,Scores!$C:$C,$R$4,Scores!$I:$I,$D7)</f>
        <v>87</v>
      </c>
      <c r="Y7" s="11">
        <f>IFERROR(W7/X7,"-")</f>
        <v>0.95402298850574707</v>
      </c>
      <c r="Z7" s="11">
        <f t="shared" ref="Z7:Z24" si="10">IFERROR((W7-X7)/SUM(W7,X7),"")</f>
        <v>-2.3529411764705882E-2</v>
      </c>
      <c r="AA7" s="18"/>
      <c r="AB7" s="21">
        <f t="shared" ref="AB7:AB24" si="11">IFERROR(10-(AG7-MIN(AG:AG))/(MAX(AG:AG)-MIN(AG:AG))*10,"")</f>
        <v>0</v>
      </c>
      <c r="AC7" s="10">
        <f>COUNTIFS(Scores!F:F,Ratios!D7)</f>
        <v>6</v>
      </c>
      <c r="AD7">
        <f>COUNTIFS(Scores!M:M,"W",Scores!F:F,Ratios!D7)</f>
        <v>6</v>
      </c>
      <c r="AE7">
        <f>COUNTIFS(Scores!M:M,"L",Scores!F:F,Ratios!D7)</f>
        <v>0</v>
      </c>
      <c r="AF7" s="55" t="str">
        <f t="shared" ref="AF7:AF24" si="12">IFERROR(AD7/AE7,"-")</f>
        <v>-</v>
      </c>
      <c r="AG7" s="19">
        <f t="shared" ref="AG7:AG24" si="13">IFERROR(AD7/AC7,"")</f>
        <v>1</v>
      </c>
    </row>
    <row r="8" spans="1:33" x14ac:dyDescent="0.25">
      <c r="A8" s="60">
        <f t="shared" si="0"/>
        <v>0.53367858665569323</v>
      </c>
      <c r="B8" s="54"/>
      <c r="C8" s="61">
        <f t="shared" si="1"/>
        <v>0.60946517891496732</v>
      </c>
      <c r="D8" s="12" t="s">
        <v>10</v>
      </c>
      <c r="E8" s="10">
        <f>COUNTIFS(Scores!$C:$C,$E$4,Scores!$H:$H,$D8,Scores!$K:$K,"&lt;&gt;"&amp;$D8,Scores!$K:$K,"?*")</f>
        <v>7</v>
      </c>
      <c r="F8" s="13">
        <f>COUNTIFS(Scores!$C:$C,$E$4,Scores!$K:$K,"="&amp;$D8,Scores!$K:$K,"?*")</f>
        <v>0</v>
      </c>
      <c r="G8" s="17">
        <f>E8+F8</f>
        <v>7</v>
      </c>
      <c r="H8" s="23" t="str">
        <f t="shared" si="2"/>
        <v>-</v>
      </c>
      <c r="I8" s="18">
        <f t="shared" si="3"/>
        <v>1</v>
      </c>
      <c r="J8" s="22">
        <f>SUMIFS(Scores!$G:$G,Scores!$C:$C,$E$4,Scores!$H:$H,$D8)</f>
        <v>70</v>
      </c>
      <c r="K8" s="22">
        <f>SUMIFS(Scores!J:J,Scores!$C:$C,$E$4,Scores!$H:$H,$D8)</f>
        <v>43</v>
      </c>
      <c r="L8" s="11">
        <f>IFERROR(J8/K8,"-")</f>
        <v>1.6279069767441861</v>
      </c>
      <c r="M8" s="11">
        <f t="shared" si="4"/>
        <v>0.23893805309734514</v>
      </c>
      <c r="O8" s="61">
        <f t="shared" si="5"/>
        <v>0.45789199439641914</v>
      </c>
      <c r="P8" s="21">
        <f t="shared" si="6"/>
        <v>3.4435541736426698</v>
      </c>
      <c r="Q8" s="21">
        <f t="shared" si="7"/>
        <v>5.7142857142857135</v>
      </c>
      <c r="R8" s="10">
        <f>COUNTIFS(Scores!$C:$C,$R$4,Scores!$H:$H,$D8,Scores!$K:$K,"&lt;&gt;"&amp;$D8,Scores!$K:$K,"?*")+COUNTIFS(Scores!$C:$C,$R$4,Scores!$I:$I,$D8,Scores!$L:$L,"&lt;&gt;"&amp;$D8,Scores!$L:$L,"?*")</f>
        <v>8</v>
      </c>
      <c r="S8" s="13">
        <f>COUNTIFS(Scores!$C:$C,$R$4,Scores!$K:$K,"="&amp;$D8,Scores!$K:$K,"?*")+COUNTIFS(Scores!$K:$K,"&lt;&gt;"&amp;Ratios!$D$2,Scores!$C:$C,$R$4,Scores!$L:$L,"="&amp;$D8,Scores!$L:$L,"?*")</f>
        <v>6</v>
      </c>
      <c r="T8" s="10">
        <f>R8+S8</f>
        <v>14</v>
      </c>
      <c r="U8" s="11">
        <f t="shared" si="8"/>
        <v>1.3333333333333333</v>
      </c>
      <c r="V8" s="18">
        <f t="shared" si="9"/>
        <v>0.5714285714285714</v>
      </c>
      <c r="W8" s="22">
        <f>SUMIFS(Scores!$G:$G,Scores!$C:$C,$R$4,Scores!$H:$H,$D8)+SUMIFS(Scores!$G:$G,Scores!$C:$C,$R$4,Scores!$I:$I,$D8)</f>
        <v>115</v>
      </c>
      <c r="X8" s="22">
        <f>SUMIFS(Scores!$J:$J,Scores!$C:$C,$R$4,Scores!$H:$H,$D8)+SUMIFS(Scores!$J:$J,Scores!$C:$C,$R$4,Scores!$I:$I,$D8)</f>
        <v>111</v>
      </c>
      <c r="Y8" s="11">
        <f>IFERROR(W8/X8,"-")</f>
        <v>1.0360360360360361</v>
      </c>
      <c r="Z8" s="11">
        <f t="shared" si="10"/>
        <v>1.7699115044247787E-2</v>
      </c>
      <c r="AA8" s="18"/>
      <c r="AB8" s="21">
        <f t="shared" si="11"/>
        <v>0</v>
      </c>
      <c r="AC8" s="10">
        <f>COUNTIFS(Scores!F:F,Ratios!D8)</f>
        <v>3</v>
      </c>
      <c r="AD8">
        <f>COUNTIFS(Scores!M:M,"W",Scores!F:F,Ratios!D8)</f>
        <v>3</v>
      </c>
      <c r="AE8">
        <f>COUNTIFS(Scores!M:M,"L",Scores!F:F,Ratios!D8)</f>
        <v>0</v>
      </c>
      <c r="AF8" s="55" t="str">
        <f t="shared" si="12"/>
        <v>-</v>
      </c>
      <c r="AG8" s="19">
        <f t="shared" si="13"/>
        <v>1</v>
      </c>
    </row>
    <row r="9" spans="1:33" x14ac:dyDescent="0.25">
      <c r="A9" s="60">
        <f t="shared" si="0"/>
        <v>0.78314339484552253</v>
      </c>
      <c r="B9" s="54"/>
      <c r="C9" s="61">
        <f t="shared" si="1"/>
        <v>1</v>
      </c>
      <c r="D9" s="12" t="s">
        <v>17</v>
      </c>
      <c r="E9" s="10">
        <f>COUNTIFS(Scores!$C:$C,$E$4,Scores!$H:$H,$D9,Scores!$K:$K,"&lt;&gt;"&amp;$D9,Scores!$K:$K,"?*")</f>
        <v>1</v>
      </c>
      <c r="F9" s="13">
        <f>COUNTIFS(Scores!$C:$C,$E$4,Scores!$K:$K,"="&amp;$D9,Scores!$K:$K,"?*")</f>
        <v>0</v>
      </c>
      <c r="G9" s="17">
        <f>E9+F9</f>
        <v>1</v>
      </c>
      <c r="H9" s="23" t="str">
        <f t="shared" si="2"/>
        <v>-</v>
      </c>
      <c r="I9" s="18">
        <f t="shared" si="3"/>
        <v>1</v>
      </c>
      <c r="J9" s="22">
        <f>SUMIFS(Scores!$G:$G,Scores!$C:$C,$E$4,Scores!$H:$H,$D9)</f>
        <v>10</v>
      </c>
      <c r="K9" s="22">
        <f>SUMIFS(Scores!J:J,Scores!$C:$C,$E$4,Scores!$H:$H,$D9)</f>
        <v>2</v>
      </c>
      <c r="L9" s="11">
        <f>IFERROR(J9/K9,"-")</f>
        <v>5</v>
      </c>
      <c r="M9" s="11">
        <f t="shared" si="4"/>
        <v>0.66666666666666663</v>
      </c>
      <c r="O9" s="61">
        <f t="shared" si="5"/>
        <v>0.7349530381445275</v>
      </c>
      <c r="P9" s="21">
        <f t="shared" si="6"/>
        <v>5.8101718740016608</v>
      </c>
      <c r="Q9" s="21">
        <f t="shared" si="7"/>
        <v>8.8888888888888893</v>
      </c>
      <c r="R9" s="10">
        <f>COUNTIFS(Scores!$C:$C,$R$4,Scores!$H:$H,$D9,Scores!$K:$K,"&lt;&gt;"&amp;$D9,Scores!$K:$K,"?*")+COUNTIFS(Scores!$C:$C,$R$4,Scores!$I:$I,$D9,Scores!$L:$L,"&lt;&gt;"&amp;$D9,Scores!$L:$L,"?*")</f>
        <v>8</v>
      </c>
      <c r="S9" s="13">
        <f>COUNTIFS(Scores!$C:$C,$R$4,Scores!$K:$K,"="&amp;$D9,Scores!$K:$K,"?*")+COUNTIFS(Scores!$K:$K,"&lt;&gt;"&amp;Ratios!$D$2,Scores!$C:$C,$R$4,Scores!$L:$L,"="&amp;$D9,Scores!$L:$L,"?*")</f>
        <v>1</v>
      </c>
      <c r="T9" s="10">
        <f>R9+S9</f>
        <v>9</v>
      </c>
      <c r="U9" s="11">
        <f t="shared" si="8"/>
        <v>8</v>
      </c>
      <c r="V9" s="18">
        <f t="shared" si="9"/>
        <v>0.88888888888888884</v>
      </c>
      <c r="W9" s="22">
        <f>SUMIFS(Scores!$G:$G,Scores!$C:$C,$R$4,Scores!$H:$H,$D9)+SUMIFS(Scores!$G:$G,Scores!$C:$C,$R$4,Scores!$I:$I,$D9)</f>
        <v>85</v>
      </c>
      <c r="X9" s="22">
        <f>SUMIFS(Scores!$J:$J,Scores!$C:$C,$R$4,Scores!$H:$H,$D9)+SUMIFS(Scores!$J:$J,Scores!$C:$C,$R$4,Scores!$I:$I,$D9)</f>
        <v>56</v>
      </c>
      <c r="Y9" s="11">
        <f>IFERROR(W9/X9,"-")</f>
        <v>1.5178571428571428</v>
      </c>
      <c r="Z9" s="11">
        <f t="shared" si="10"/>
        <v>0.20567375886524822</v>
      </c>
      <c r="AA9" s="18"/>
      <c r="AB9" s="21">
        <f t="shared" si="11"/>
        <v>4.5454545454545459</v>
      </c>
      <c r="AC9" s="10">
        <f>COUNTIFS(Scores!F:F,Ratios!D9)</f>
        <v>11</v>
      </c>
      <c r="AD9">
        <f>COUNTIFS(Scores!M:M,"W",Scores!F:F,Ratios!D9)</f>
        <v>6</v>
      </c>
      <c r="AE9">
        <f>COUNTIFS(Scores!M:M,"L",Scores!F:F,Ratios!D9)</f>
        <v>5</v>
      </c>
      <c r="AF9" s="55">
        <f t="shared" si="12"/>
        <v>1.2</v>
      </c>
      <c r="AG9" s="19">
        <f t="shared" si="13"/>
        <v>0.54545454545454541</v>
      </c>
    </row>
    <row r="10" spans="1:33" ht="6" customHeight="1" x14ac:dyDescent="0.25">
      <c r="A10" s="60" t="str">
        <f t="shared" si="0"/>
        <v/>
      </c>
      <c r="B10" s="54"/>
      <c r="C10" s="61" t="str">
        <f t="shared" si="1"/>
        <v/>
      </c>
      <c r="D10" s="12"/>
      <c r="F10" s="13"/>
      <c r="G10" s="17"/>
      <c r="H10" s="23"/>
      <c r="I10" s="18" t="str">
        <f t="shared" si="3"/>
        <v/>
      </c>
      <c r="J10" s="22"/>
      <c r="K10" s="22"/>
      <c r="L10" s="11"/>
      <c r="M10" s="11" t="str">
        <f t="shared" ref="M10:M24" si="14">IFERROR((J10-K10)/SUM(J10,K10),"")</f>
        <v/>
      </c>
      <c r="O10" s="61" t="str">
        <f t="shared" si="5"/>
        <v/>
      </c>
      <c r="P10" s="21" t="str">
        <f t="shared" si="6"/>
        <v/>
      </c>
      <c r="Q10" s="21" t="str">
        <f t="shared" si="7"/>
        <v/>
      </c>
      <c r="R10" s="10"/>
      <c r="S10" s="13"/>
      <c r="T10" s="10"/>
      <c r="U10" s="11"/>
      <c r="V10" s="18" t="str">
        <f t="shared" si="9"/>
        <v/>
      </c>
      <c r="W10" s="22"/>
      <c r="X10" s="22"/>
      <c r="Y10" s="11"/>
      <c r="Z10" s="11" t="str">
        <f t="shared" si="10"/>
        <v/>
      </c>
      <c r="AA10" s="18"/>
      <c r="AB10" s="21" t="str">
        <f t="shared" si="11"/>
        <v/>
      </c>
      <c r="AC10" s="10"/>
      <c r="AF10" s="55" t="str">
        <f t="shared" si="12"/>
        <v>-</v>
      </c>
      <c r="AG10" s="19" t="str">
        <f t="shared" si="13"/>
        <v/>
      </c>
    </row>
    <row r="11" spans="1:33" ht="15.75" thickBot="1" x14ac:dyDescent="0.3">
      <c r="A11" s="60">
        <f t="shared" si="0"/>
        <v>0.54152077465503545</v>
      </c>
      <c r="B11" s="54"/>
      <c r="C11" s="61">
        <f t="shared" si="1"/>
        <v>0.68024215740231153</v>
      </c>
      <c r="D11" s="25" t="s">
        <v>29</v>
      </c>
      <c r="E11" s="26">
        <f>SUM(E6:E9)</f>
        <v>27</v>
      </c>
      <c r="F11" s="26">
        <f>SUM(F6:F9)</f>
        <v>1</v>
      </c>
      <c r="G11" s="27">
        <f>SUM(G6:G9)</f>
        <v>28</v>
      </c>
      <c r="H11" s="28">
        <f t="shared" si="2"/>
        <v>27</v>
      </c>
      <c r="I11" s="29">
        <f t="shared" si="3"/>
        <v>0.9642857142857143</v>
      </c>
      <c r="J11" s="30">
        <f>SUM(J6:J9)</f>
        <v>260</v>
      </c>
      <c r="K11" s="30">
        <f>SUM(K6:K9)</f>
        <v>135</v>
      </c>
      <c r="L11" s="31">
        <f>IFERROR(J11/K11,"-")</f>
        <v>1.9259259259259258</v>
      </c>
      <c r="M11" s="31">
        <f t="shared" si="14"/>
        <v>0.31645569620253167</v>
      </c>
      <c r="O11" s="61">
        <f t="shared" si="5"/>
        <v>0.40027718494871783</v>
      </c>
      <c r="P11" s="24">
        <f>IFERROR(10-(Z11-MIN(Z:Z))/(MAX(Z:Z)-MIN(Z:Z))*10,"")</f>
        <v>5.2782709717016294</v>
      </c>
      <c r="Q11" s="24">
        <f>IFERROR(10-(V11-MIN(V:V))/(MAX(V:V)-MIN(V:V))*10,"")</f>
        <v>2.7272727272727266</v>
      </c>
      <c r="R11" s="26">
        <f>SUM(R6:R9)</f>
        <v>40</v>
      </c>
      <c r="S11" s="26">
        <f>SUM(S6:S9)</f>
        <v>15</v>
      </c>
      <c r="T11" s="26">
        <f>SUM(T6:T9)</f>
        <v>55</v>
      </c>
      <c r="U11" s="31">
        <f t="shared" si="8"/>
        <v>2.6666666666666665</v>
      </c>
      <c r="V11" s="29">
        <f t="shared" si="9"/>
        <v>0.72727272727272729</v>
      </c>
      <c r="W11" s="30">
        <f>SUM(W6:W9)</f>
        <v>460</v>
      </c>
      <c r="X11" s="30">
        <f>SUM(X6:X9)</f>
        <v>362</v>
      </c>
      <c r="Y11" s="31">
        <f>IFERROR(W11/X11,"-")</f>
        <v>1.270718232044199</v>
      </c>
      <c r="Z11" s="31">
        <f t="shared" si="10"/>
        <v>0.11922141119221411</v>
      </c>
      <c r="AA11" s="29"/>
      <c r="AB11" s="24">
        <f t="shared" si="11"/>
        <v>2.9166666666666661</v>
      </c>
      <c r="AC11" s="26">
        <f>SUM(AC6:AC9)</f>
        <v>24</v>
      </c>
      <c r="AD11" s="26">
        <f>SUM(AD6:AD9)</f>
        <v>17</v>
      </c>
      <c r="AE11" s="26">
        <f>SUM(AE6:AE9)</f>
        <v>7</v>
      </c>
      <c r="AF11" s="56">
        <f>IFERROR(AD11/AE11,"-")</f>
        <v>2.4285714285714284</v>
      </c>
      <c r="AG11" s="32">
        <f t="shared" si="13"/>
        <v>0.70833333333333337</v>
      </c>
    </row>
    <row r="12" spans="1:33" ht="6" customHeight="1" thickTop="1" x14ac:dyDescent="0.25">
      <c r="A12" s="60" t="str">
        <f t="shared" si="0"/>
        <v/>
      </c>
      <c r="B12" s="54"/>
      <c r="C12" s="61" t="str">
        <f t="shared" si="1"/>
        <v/>
      </c>
      <c r="D12" s="12"/>
      <c r="F12" s="13"/>
      <c r="G12" s="17"/>
      <c r="H12" s="23"/>
      <c r="I12" s="18" t="str">
        <f t="shared" si="3"/>
        <v/>
      </c>
      <c r="J12" s="22"/>
      <c r="K12" s="22"/>
      <c r="L12" s="11"/>
      <c r="M12" s="11" t="str">
        <f t="shared" si="14"/>
        <v/>
      </c>
      <c r="O12" s="61" t="str">
        <f t="shared" si="5"/>
        <v/>
      </c>
      <c r="P12" s="21" t="str">
        <f t="shared" si="6"/>
        <v/>
      </c>
      <c r="Q12" s="21" t="str">
        <f t="shared" si="7"/>
        <v/>
      </c>
      <c r="R12" s="10"/>
      <c r="S12" s="13"/>
      <c r="T12" s="10"/>
      <c r="U12" s="11"/>
      <c r="V12" s="18" t="str">
        <f t="shared" si="9"/>
        <v/>
      </c>
      <c r="W12" s="22"/>
      <c r="X12" s="22"/>
      <c r="Y12" s="11"/>
      <c r="Z12" s="11" t="str">
        <f t="shared" si="10"/>
        <v/>
      </c>
      <c r="AA12" s="18"/>
      <c r="AB12" s="21" t="str">
        <f t="shared" si="11"/>
        <v/>
      </c>
      <c r="AC12" s="10"/>
      <c r="AF12" s="55" t="str">
        <f t="shared" si="12"/>
        <v>-</v>
      </c>
      <c r="AG12" s="19" t="str">
        <f t="shared" si="13"/>
        <v/>
      </c>
    </row>
    <row r="13" spans="1:33" x14ac:dyDescent="0.25">
      <c r="A13" s="60">
        <f t="shared" si="0"/>
        <v>0.46371420619704373</v>
      </c>
      <c r="B13" s="54"/>
      <c r="C13" s="61">
        <f t="shared" si="1"/>
        <v>0.48913043478260876</v>
      </c>
      <c r="D13" s="12" t="s">
        <v>11</v>
      </c>
      <c r="E13" s="10">
        <f>COUNTIFS(Scores!$C:$C,$E$4,Scores!$H:$H,$D13,Scores!$K:$K,"&lt;&gt;"&amp;$D13,Scores!$K:$K,"?*")</f>
        <v>4</v>
      </c>
      <c r="F13" s="13">
        <f>COUNTIFS(Scores!$C:$C,$E$4,Scores!$K:$K,"="&amp;$D13,Scores!$K:$K,"?*")</f>
        <v>3</v>
      </c>
      <c r="G13" s="17">
        <f>E13+F13</f>
        <v>7</v>
      </c>
      <c r="H13" s="23">
        <f>IFERROR(E13/F13,"-")</f>
        <v>1.3333333333333333</v>
      </c>
      <c r="I13" s="18">
        <f>IFERROR(E13/G13,"")</f>
        <v>0.5714285714285714</v>
      </c>
      <c r="J13" s="22">
        <f>SUMIFS(Scores!$G:$G,Scores!$C:$C,$E$4,Scores!$H:$H,$D13)</f>
        <v>62</v>
      </c>
      <c r="K13" s="22">
        <f>SUMIFS(Scores!J:J,Scores!$C:$C,$E$4,Scores!$H:$H,$D13)</f>
        <v>50</v>
      </c>
      <c r="L13" s="11">
        <f>IFERROR(J13/K13,"-")</f>
        <v>1.24</v>
      </c>
      <c r="M13" s="11">
        <f t="shared" ref="M13:M20" si="15">IFERROR((J13-K13)/SUM(J13,K13),0)</f>
        <v>0.10714285714285714</v>
      </c>
      <c r="O13" s="61">
        <f t="shared" si="5"/>
        <v>0.40440967283072543</v>
      </c>
      <c r="P13" s="21">
        <f t="shared" si="6"/>
        <v>3.0881934566145093</v>
      </c>
      <c r="Q13" s="21">
        <f t="shared" si="7"/>
        <v>5</v>
      </c>
      <c r="R13" s="10">
        <f>COUNTIFS(Scores!$C:$C,$R$4,Scores!$H:$H,$D13,Scores!$K:$K,"&lt;&gt;"&amp;$D13,Scores!$K:$K,"?*")+COUNTIFS(Scores!$C:$C,$R$4,Scores!$I:$I,$D13,Scores!$L:$L,"&lt;&gt;"&amp;$D13,Scores!$L:$L,"?*")</f>
        <v>3</v>
      </c>
      <c r="S13" s="13">
        <f>COUNTIFS(Scores!$C:$C,$R$4,Scores!$K:$K,"="&amp;$D13,Scores!$K:$K,"?*")+COUNTIFS(Scores!$K:$K,"&lt;&gt;"&amp;Ratios!$D$2,Scores!$C:$C,$R$4,Scores!$L:$L,"="&amp;$D13,Scores!$L:$L,"?*")</f>
        <v>3</v>
      </c>
      <c r="T13" s="10">
        <f>R13+S13</f>
        <v>6</v>
      </c>
      <c r="U13" s="11">
        <f>IFERROR(R13/S13,"-")</f>
        <v>1</v>
      </c>
      <c r="V13" s="18">
        <f>IFERROR(R13/T13,"")</f>
        <v>0.5</v>
      </c>
      <c r="W13" s="22">
        <f>SUMIFS(Scores!$G:$G,Scores!$C:$C,$R$4,Scores!$H:$H,$D13)+SUMIFS(Scores!$G:$G,Scores!$C:$C,$R$4,Scores!$I:$I,$D13)</f>
        <v>47</v>
      </c>
      <c r="X13" s="22">
        <f>SUMIFS(Scores!$J:$J,Scores!$C:$C,$R$4,Scores!$H:$H,$D13)+SUMIFS(Scores!$J:$J,Scores!$C:$C,$R$4,Scores!$I:$I,$D13)</f>
        <v>48</v>
      </c>
      <c r="Y13" s="11">
        <f>IFERROR(W13/X13,"-")</f>
        <v>0.97916666666666663</v>
      </c>
      <c r="Z13" s="11">
        <f t="shared" si="10"/>
        <v>-1.0526315789473684E-2</v>
      </c>
      <c r="AA13" s="18"/>
      <c r="AB13" s="21">
        <f t="shared" si="11"/>
        <v>3.3333333333333339</v>
      </c>
      <c r="AC13" s="10">
        <f>COUNTIFS(Scores!F:F,Ratios!D13)</f>
        <v>3</v>
      </c>
      <c r="AD13">
        <f>COUNTIFS(Scores!M:M,"W",Scores!F:F,Ratios!D13)</f>
        <v>2</v>
      </c>
      <c r="AE13">
        <f>COUNTIFS(Scores!M:M,"L",Scores!F:F,Ratios!D13)</f>
        <v>1</v>
      </c>
      <c r="AF13" s="55">
        <f t="shared" si="12"/>
        <v>2</v>
      </c>
      <c r="AG13" s="19">
        <f t="shared" si="13"/>
        <v>0.66666666666666663</v>
      </c>
    </row>
    <row r="14" spans="1:33" x14ac:dyDescent="0.25">
      <c r="A14" s="60">
        <f t="shared" si="0"/>
        <v>0.58299408953859222</v>
      </c>
      <c r="B14" s="54"/>
      <c r="C14" s="61">
        <f t="shared" si="1"/>
        <v>0.39130434782608697</v>
      </c>
      <c r="D14" s="12" t="s">
        <v>15</v>
      </c>
      <c r="E14" s="10">
        <f>COUNTIFS(Scores!$C:$C,$E$4,Scores!$H:$H,$D14,Scores!$K:$K,"&lt;&gt;"&amp;$D14,Scores!$K:$K,"?*")</f>
        <v>0</v>
      </c>
      <c r="F14" s="13">
        <f>COUNTIFS(Scores!$C:$C,$E$4,Scores!$K:$K,"="&amp;$D14,Scores!$K:$K,"?*")</f>
        <v>0</v>
      </c>
      <c r="G14" s="17">
        <f t="shared" ref="G14:G18" si="16">E14+F14</f>
        <v>0</v>
      </c>
      <c r="H14" s="23" t="str">
        <f t="shared" si="2"/>
        <v>-</v>
      </c>
      <c r="I14" s="18" t="str">
        <f t="shared" si="3"/>
        <v/>
      </c>
      <c r="J14" s="22">
        <f>SUMIFS(Scores!$G:$G,Scores!$C:$C,$E$4,Scores!$H:$H,$D14)</f>
        <v>0</v>
      </c>
      <c r="K14" s="22">
        <f>SUMIFS(Scores!J:J,Scores!$C:$C,$E$4,Scores!$H:$H,$D14)</f>
        <v>0</v>
      </c>
      <c r="L14" s="11" t="str">
        <f>IFERROR(J14/K14,"-")</f>
        <v>-</v>
      </c>
      <c r="M14" s="11">
        <f t="shared" si="15"/>
        <v>0</v>
      </c>
      <c r="O14" s="61">
        <f t="shared" si="5"/>
        <v>0.58299408953859222</v>
      </c>
      <c r="P14" s="21">
        <f t="shared" si="6"/>
        <v>4.7368048676949206</v>
      </c>
      <c r="Q14" s="21">
        <f t="shared" si="7"/>
        <v>6.9230769230769234</v>
      </c>
      <c r="R14" s="10">
        <f>COUNTIFS(Scores!$C:$C,$R$4,Scores!$H:$H,$D14,Scores!$K:$K,"&lt;&gt;"&amp;$D14,Scores!$K:$K,"?*")+COUNTIFS(Scores!$C:$C,$R$4,Scores!$I:$I,$D14,Scores!$L:$L,"&lt;&gt;"&amp;$D14,Scores!$L:$L,"?*")</f>
        <v>9</v>
      </c>
      <c r="S14" s="13">
        <f>COUNTIFS(Scores!$C:$C,$R$4,Scores!$K:$K,"="&amp;$D14,Scores!$K:$K,"?*")+COUNTIFS(Scores!$K:$K,"&lt;&gt;"&amp;Ratios!$D$2,Scores!$C:$C,$R$4,Scores!$L:$L,"="&amp;$D14,Scores!$L:$L,"?*")</f>
        <v>4</v>
      </c>
      <c r="T14" s="10">
        <f t="shared" ref="T14:T18" si="17">R14+S14</f>
        <v>13</v>
      </c>
      <c r="U14" s="11">
        <f t="shared" si="8"/>
        <v>2.25</v>
      </c>
      <c r="V14" s="18">
        <f t="shared" si="9"/>
        <v>0.69230769230769229</v>
      </c>
      <c r="W14" s="22">
        <f>SUMIFS(Scores!$G:$G,Scores!$C:$C,$R$4,Scores!$H:$H,$D14)+SUMIFS(Scores!$G:$G,Scores!$C:$C,$R$4,Scores!$I:$I,$D14)</f>
        <v>107</v>
      </c>
      <c r="X14" s="22">
        <f>SUMIFS(Scores!$J:$J,Scores!$C:$C,$R$4,Scores!$H:$H,$D14)+SUMIFS(Scores!$J:$J,Scores!$C:$C,$R$4,Scores!$I:$I,$D14)</f>
        <v>84</v>
      </c>
      <c r="Y14" s="11">
        <f>IFERROR(W14/X14,"-")</f>
        <v>1.2738095238095237</v>
      </c>
      <c r="Z14" s="11">
        <f t="shared" si="10"/>
        <v>0.12041884816753927</v>
      </c>
      <c r="AA14" s="18"/>
      <c r="AB14" s="21">
        <f>IFERROR(10-(AG14-MIN(AG:AG))/(MAX(AG:AG)-MIN(AG:AG))*10,"")</f>
        <v>6.666666666666667</v>
      </c>
      <c r="AC14" s="10">
        <f>COUNTIFS(Scores!F:F,Ratios!D14)</f>
        <v>6</v>
      </c>
      <c r="AD14">
        <f>COUNTIFS(Scores!M:M,"W",Scores!F:F,Ratios!D14)</f>
        <v>2</v>
      </c>
      <c r="AE14">
        <f>COUNTIFS(Scores!M:M,"L",Scores!F:F,Ratios!D14)</f>
        <v>4</v>
      </c>
      <c r="AF14" s="55">
        <f t="shared" si="12"/>
        <v>0.5</v>
      </c>
      <c r="AG14" s="19">
        <f t="shared" si="13"/>
        <v>0.33333333333333331</v>
      </c>
    </row>
    <row r="15" spans="1:33" x14ac:dyDescent="0.25">
      <c r="A15" s="60">
        <f t="shared" si="0"/>
        <v>0.33696780428822015</v>
      </c>
      <c r="B15" s="54"/>
      <c r="C15" s="61">
        <f t="shared" si="1"/>
        <v>0.34782608695652173</v>
      </c>
      <c r="D15" s="12" t="s">
        <v>12</v>
      </c>
      <c r="E15" s="10">
        <f>COUNTIFS(Scores!$C:$C,$E$4,Scores!$H:$H,$D15,Scores!$K:$K,"&lt;&gt;"&amp;$D15,Scores!$K:$K,"?*")</f>
        <v>3</v>
      </c>
      <c r="F15" s="13">
        <f>COUNTIFS(Scores!$C:$C,$E$4,Scores!$K:$K,"="&amp;$D15,Scores!$K:$K,"?*")</f>
        <v>8</v>
      </c>
      <c r="G15" s="17">
        <f t="shared" si="16"/>
        <v>11</v>
      </c>
      <c r="H15" s="23">
        <f t="shared" si="2"/>
        <v>0.375</v>
      </c>
      <c r="I15" s="18">
        <f t="shared" si="3"/>
        <v>0.27272727272727271</v>
      </c>
      <c r="J15" s="22">
        <f>SUMIFS(Scores!$G:$G,Scores!$C:$C,$E$4,Scores!$H:$H,$D15)</f>
        <v>100</v>
      </c>
      <c r="K15" s="22">
        <f>SUMIFS(Scores!J:J,Scores!$C:$C,$E$4,Scores!$H:$H,$D15)</f>
        <v>110</v>
      </c>
      <c r="L15" s="11">
        <f t="shared" ref="L15:L18" si="18">IFERROR(J15/K15,"-")</f>
        <v>0.90909090909090906</v>
      </c>
      <c r="M15" s="11">
        <f t="shared" si="15"/>
        <v>-4.7619047619047616E-2</v>
      </c>
      <c r="O15" s="61">
        <f t="shared" si="5"/>
        <v>9.8085585585585597E-2</v>
      </c>
      <c r="P15" s="21">
        <f t="shared" si="6"/>
        <v>1.961711711711712</v>
      </c>
      <c r="Q15" s="21">
        <f t="shared" si="7"/>
        <v>0</v>
      </c>
      <c r="R15" s="10">
        <f>COUNTIFS(Scores!$C:$C,$R$4,Scores!$H:$H,$D15,Scores!$K:$K,"&lt;&gt;"&amp;$D15,Scores!$K:$K,"?*")+COUNTIFS(Scores!$C:$C,$R$4,Scores!$I:$I,$D15,Scores!$L:$L,"&lt;&gt;"&amp;$D15,Scores!$L:$L,"?*")</f>
        <v>0</v>
      </c>
      <c r="S15" s="13">
        <f>COUNTIFS(Scores!$C:$C,$R$4,Scores!$K:$K,"="&amp;$D15,Scores!$K:$K,"?*")+COUNTIFS(Scores!$K:$K,"&lt;&gt;"&amp;Ratios!$D$2,Scores!$C:$C,$R$4,Scores!$L:$L,"="&amp;$D15,Scores!$L:$L,"?*")</f>
        <v>1</v>
      </c>
      <c r="T15" s="10">
        <f t="shared" si="17"/>
        <v>1</v>
      </c>
      <c r="U15" s="11">
        <f t="shared" si="8"/>
        <v>0</v>
      </c>
      <c r="V15" s="18">
        <f t="shared" si="9"/>
        <v>0</v>
      </c>
      <c r="W15" s="22">
        <f>SUMIFS(Scores!$G:$G,Scores!$C:$C,$R$4,Scores!$H:$H,$D15)+SUMIFS(Scores!$G:$G,Scores!$C:$C,$R$4,Scores!$I:$I,$D15)</f>
        <v>9</v>
      </c>
      <c r="X15" s="22">
        <f>SUMIFS(Scores!$J:$J,Scores!$C:$C,$R$4,Scores!$H:$H,$D15)+SUMIFS(Scores!$J:$J,Scores!$C:$C,$R$4,Scores!$I:$I,$D15)</f>
        <v>11</v>
      </c>
      <c r="Y15" s="11">
        <f t="shared" ref="Y15:Y16" si="19">IFERROR(W15/X15,"-")</f>
        <v>0.81818181818181823</v>
      </c>
      <c r="Z15" s="11">
        <f t="shared" si="10"/>
        <v>-0.1</v>
      </c>
      <c r="AA15" s="18"/>
      <c r="AB15" s="21">
        <f t="shared" si="11"/>
        <v>3.3333333333333339</v>
      </c>
      <c r="AC15" s="10">
        <f>COUNTIFS(Scores!F:F,Ratios!D15)</f>
        <v>9</v>
      </c>
      <c r="AD15">
        <f>COUNTIFS(Scores!M:M,"W",Scores!F:F,Ratios!D15)</f>
        <v>6</v>
      </c>
      <c r="AE15">
        <f>COUNTIFS(Scores!M:M,"L",Scores!F:F,Ratios!D15)</f>
        <v>3</v>
      </c>
      <c r="AF15" s="55">
        <f t="shared" si="12"/>
        <v>2</v>
      </c>
      <c r="AG15" s="19">
        <f t="shared" si="13"/>
        <v>0.66666666666666663</v>
      </c>
    </row>
    <row r="16" spans="1:33" x14ac:dyDescent="0.25">
      <c r="A16" s="60">
        <f t="shared" si="0"/>
        <v>0.30156525403833379</v>
      </c>
      <c r="B16" s="54"/>
      <c r="C16" s="61">
        <f t="shared" si="1"/>
        <v>0.28686025990694691</v>
      </c>
      <c r="D16" s="12" t="s">
        <v>14</v>
      </c>
      <c r="E16" s="10">
        <f>COUNTIFS(Scores!$C:$C,$E$4,Scores!$H:$H,$D16,Scores!$K:$K,"&lt;&gt;"&amp;$D16,Scores!$K:$K,"?*")</f>
        <v>3</v>
      </c>
      <c r="F16" s="13">
        <f>COUNTIFS(Scores!$C:$C,$E$4,Scores!$K:$K,"="&amp;$D16,Scores!$K:$K,"?*")</f>
        <v>13</v>
      </c>
      <c r="G16" s="17">
        <f t="shared" si="16"/>
        <v>16</v>
      </c>
      <c r="H16" s="23">
        <f t="shared" si="2"/>
        <v>0.23076923076923078</v>
      </c>
      <c r="I16" s="18">
        <f t="shared" si="3"/>
        <v>0.1875</v>
      </c>
      <c r="J16" s="22">
        <f>SUMIFS(Scores!$G:$G,Scores!$C:$C,$E$4,Scores!$H:$H,$D16)</f>
        <v>120</v>
      </c>
      <c r="K16" s="22">
        <f>SUMIFS(Scores!J:J,Scores!$C:$C,$E$4,Scores!$H:$H,$D16)</f>
        <v>151</v>
      </c>
      <c r="L16" s="11">
        <f t="shared" si="18"/>
        <v>0.79470198675496684</v>
      </c>
      <c r="M16" s="11">
        <f t="shared" si="15"/>
        <v>-0.11439114391143912</v>
      </c>
      <c r="O16" s="61">
        <f t="shared" si="5"/>
        <v>0.77212506624271326</v>
      </c>
      <c r="P16" s="21">
        <f t="shared" si="6"/>
        <v>5.4425013248542662</v>
      </c>
      <c r="Q16" s="21">
        <f t="shared" si="7"/>
        <v>10</v>
      </c>
      <c r="R16" s="10">
        <f>COUNTIFS(Scores!$C:$C,$R$4,Scores!$H:$H,$D16,Scores!$K:$K,"&lt;&gt;"&amp;$D16,Scores!$K:$K,"?*")+COUNTIFS(Scores!$C:$C,$R$4,Scores!$I:$I,$D16,Scores!$L:$L,"&lt;&gt;"&amp;$D16,Scores!$L:$L,"?*")</f>
        <v>1</v>
      </c>
      <c r="S16" s="13">
        <f>COUNTIFS(Scores!$C:$C,$R$4,Scores!$K:$K,"="&amp;$D16,Scores!$K:$K,"?*")+COUNTIFS(Scores!$K:$K,"&lt;&gt;"&amp;Ratios!$D$2,Scores!$C:$C,$R$4,Scores!$L:$L,"="&amp;$D16,Scores!$L:$L,"?*")</f>
        <v>0</v>
      </c>
      <c r="T16" s="10">
        <f t="shared" si="17"/>
        <v>1</v>
      </c>
      <c r="U16" s="11" t="str">
        <f t="shared" si="8"/>
        <v>-</v>
      </c>
      <c r="V16" s="18">
        <f t="shared" si="9"/>
        <v>1</v>
      </c>
      <c r="W16" s="22">
        <f>SUMIFS(Scores!$G:$G,Scores!$C:$C,$R$4,Scores!$H:$H,$D16)+SUMIFS(Scores!$G:$G,Scores!$C:$C,$R$4,Scores!$I:$I,$D16)</f>
        <v>10</v>
      </c>
      <c r="X16" s="22">
        <f>SUMIFS(Scores!$J:$J,Scores!$C:$C,$R$4,Scores!$H:$H,$D16)+SUMIFS(Scores!$J:$J,Scores!$C:$C,$R$4,Scores!$I:$I,$D16)</f>
        <v>7</v>
      </c>
      <c r="Y16" s="11">
        <f t="shared" si="19"/>
        <v>1.4285714285714286</v>
      </c>
      <c r="Z16" s="11">
        <f t="shared" si="10"/>
        <v>0.17647058823529413</v>
      </c>
      <c r="AA16" s="18"/>
      <c r="AB16" s="21" t="str">
        <f t="shared" si="11"/>
        <v/>
      </c>
      <c r="AC16" s="10">
        <f>COUNTIFS(Scores!F:F,Ratios!D16)</f>
        <v>0</v>
      </c>
      <c r="AD16">
        <f>COUNTIFS(Scores!M:M,"W",Scores!F:F,Ratios!D16)</f>
        <v>0</v>
      </c>
      <c r="AE16">
        <f>COUNTIFS(Scores!M:M,"L",Scores!F:F,Ratios!D16)</f>
        <v>0</v>
      </c>
      <c r="AF16" s="55" t="str">
        <f t="shared" si="12"/>
        <v>-</v>
      </c>
      <c r="AG16" s="19" t="str">
        <f t="shared" si="13"/>
        <v/>
      </c>
    </row>
    <row r="17" spans="1:33" x14ac:dyDescent="0.25">
      <c r="A17" s="60">
        <f t="shared" si="0"/>
        <v>5.2284427284427371E-4</v>
      </c>
      <c r="B17" s="54"/>
      <c r="C17" s="61">
        <f t="shared" si="1"/>
        <v>0</v>
      </c>
      <c r="D17" s="12" t="s">
        <v>22</v>
      </c>
      <c r="E17" s="10">
        <f>COUNTIFS(Scores!$C:$C,$E$4,Scores!$H:$H,$D17,Scores!$K:$K,"&lt;&gt;"&amp;$D17,Scores!$K:$K,"?*")</f>
        <v>0</v>
      </c>
      <c r="F17" s="13">
        <f>COUNTIFS(Scores!$C:$C,$E$4,Scores!$K:$K,"="&amp;$D17,Scores!$K:$K,"?*")</f>
        <v>3</v>
      </c>
      <c r="G17" s="17">
        <f t="shared" si="16"/>
        <v>3</v>
      </c>
      <c r="H17" s="23">
        <f t="shared" si="2"/>
        <v>0</v>
      </c>
      <c r="I17" s="18">
        <f t="shared" si="3"/>
        <v>0</v>
      </c>
      <c r="J17" s="22">
        <f>SUMIFS(Scores!$G:$G,Scores!$C:$C,$E$4,Scores!$H:$H,$D17)</f>
        <v>12</v>
      </c>
      <c r="K17" s="22">
        <f>SUMIFS(Scores!J:J,Scores!$C:$C,$E$4,Scores!$H:$H,$D17)</f>
        <v>30</v>
      </c>
      <c r="L17" s="11">
        <f>IFERROR(J17/K17,"-")</f>
        <v>0.4</v>
      </c>
      <c r="M17" s="11">
        <f t="shared" si="15"/>
        <v>-0.42857142857142855</v>
      </c>
      <c r="O17" s="61">
        <f t="shared" si="5"/>
        <v>3.6599099099099163E-3</v>
      </c>
      <c r="P17" s="21">
        <f t="shared" si="6"/>
        <v>7.3198198198198325E-2</v>
      </c>
      <c r="Q17" s="21">
        <f t="shared" si="7"/>
        <v>0</v>
      </c>
      <c r="R17" s="10">
        <f>COUNTIFS(Scores!$C:$C,$R$4,Scores!$H:$H,$D17,Scores!$K:$K,"&lt;&gt;"&amp;$D17,Scores!$K:$K,"?*")+COUNTIFS(Scores!$C:$C,$R$4,Scores!$I:$I,$D17,Scores!$L:$L,"&lt;&gt;"&amp;$D17,Scores!$L:$L,"?*")</f>
        <v>0</v>
      </c>
      <c r="S17" s="13">
        <f>COUNTIFS(Scores!$C:$C,$R$4,Scores!$K:$K,"="&amp;$D17,Scores!$K:$K,"?*")+COUNTIFS(Scores!$K:$K,"&lt;&gt;"&amp;Ratios!$D$2,Scores!$C:$C,$R$4,Scores!$L:$L,"="&amp;$D17,Scores!$L:$L,"?*")</f>
        <v>1</v>
      </c>
      <c r="T17" s="10">
        <f t="shared" si="17"/>
        <v>1</v>
      </c>
      <c r="U17" s="11">
        <f t="shared" si="8"/>
        <v>0</v>
      </c>
      <c r="V17" s="18">
        <f t="shared" si="9"/>
        <v>0</v>
      </c>
      <c r="W17" s="22">
        <f>SUMIFS(Scores!$G:$G,Scores!$C:$C,$R$4,Scores!$H:$H,$D17)+SUMIFS(Scores!$G:$G,Scores!$C:$C,$R$4,Scores!$I:$I,$D17)</f>
        <v>6</v>
      </c>
      <c r="X17" s="22">
        <f>SUMIFS(Scores!$J:$J,Scores!$C:$C,$R$4,Scores!$H:$H,$D17)+SUMIFS(Scores!$J:$J,Scores!$C:$C,$R$4,Scores!$I:$I,$D17)</f>
        <v>10</v>
      </c>
      <c r="Y17" s="11">
        <f>IFERROR(W17/X17,"-")</f>
        <v>0.6</v>
      </c>
      <c r="Z17" s="11">
        <f t="shared" si="10"/>
        <v>-0.25</v>
      </c>
      <c r="AA17" s="18"/>
      <c r="AB17" s="21" t="str">
        <f t="shared" si="11"/>
        <v/>
      </c>
      <c r="AC17" s="10">
        <f>COUNTIFS(Scores!F:F,Ratios!D17)</f>
        <v>0</v>
      </c>
      <c r="AD17">
        <f>COUNTIFS(Scores!M:M,"W",Scores!F:F,Ratios!D17)</f>
        <v>0</v>
      </c>
      <c r="AE17">
        <f>COUNTIFS(Scores!M:M,"L",Scores!F:F,Ratios!D17)</f>
        <v>0</v>
      </c>
      <c r="AF17" s="55" t="str">
        <f t="shared" si="12"/>
        <v>-</v>
      </c>
      <c r="AG17" s="19" t="str">
        <f t="shared" si="13"/>
        <v/>
      </c>
    </row>
    <row r="18" spans="1:33" x14ac:dyDescent="0.25">
      <c r="A18" s="60">
        <f t="shared" si="0"/>
        <v>0.28816405990319033</v>
      </c>
      <c r="B18" s="54"/>
      <c r="C18" s="61">
        <f t="shared" si="1"/>
        <v>0.25083612040133779</v>
      </c>
      <c r="D18" s="12" t="s">
        <v>16</v>
      </c>
      <c r="E18" s="10">
        <f>COUNTIFS(Scores!$C:$C,$E$4,Scores!$H:$H,$D18,Scores!$K:$K,"&lt;&gt;"&amp;$D18,Scores!$K:$K,"?*")</f>
        <v>2</v>
      </c>
      <c r="F18" s="13">
        <f>COUNTIFS(Scores!$C:$C,$E$4,Scores!$K:$K,"="&amp;$D18,Scores!$K:$K,"?*")</f>
        <v>2</v>
      </c>
      <c r="G18" s="17">
        <f t="shared" si="16"/>
        <v>4</v>
      </c>
      <c r="H18" s="23">
        <f t="shared" si="2"/>
        <v>1</v>
      </c>
      <c r="I18" s="18">
        <f t="shared" si="3"/>
        <v>0.5</v>
      </c>
      <c r="J18" s="22">
        <f>SUMIFS(Scores!$G:$G,Scores!$C:$C,$E$4,Scores!$H:$H,$D18)</f>
        <v>22</v>
      </c>
      <c r="K18" s="22">
        <f>SUMIFS(Scores!J:J,Scores!$C:$C,$E$4,Scores!$H:$H,$D18)</f>
        <v>30</v>
      </c>
      <c r="L18" s="11">
        <f t="shared" si="18"/>
        <v>0.73333333333333328</v>
      </c>
      <c r="M18" s="11">
        <f t="shared" si="15"/>
        <v>-0.15384615384615385</v>
      </c>
      <c r="O18" s="61">
        <f t="shared" si="5"/>
        <v>0.31802641150467237</v>
      </c>
      <c r="P18" s="21">
        <f t="shared" si="6"/>
        <v>2.3605282300934474</v>
      </c>
      <c r="Q18" s="21">
        <f t="shared" si="7"/>
        <v>4</v>
      </c>
      <c r="R18" s="10">
        <f>COUNTIFS(Scores!$C:$C,$R$4,Scores!$H:$H,$D18,Scores!$K:$K,"&lt;&gt;"&amp;$D18,Scores!$K:$K,"?*")+COUNTIFS(Scores!$C:$C,$R$4,Scores!$I:$I,$D18,Scores!$L:$L,"&lt;&gt;"&amp;$D18,Scores!$L:$L,"?*")</f>
        <v>4</v>
      </c>
      <c r="S18" s="13">
        <f>COUNTIFS(Scores!$C:$C,$R$4,Scores!$K:$K,"="&amp;$D18,Scores!$K:$K,"?*")+COUNTIFS(Scores!$K:$K,"&lt;&gt;"&amp;Ratios!$D$2,Scores!$C:$C,$R$4,Scores!$L:$L,"="&amp;$D18,Scores!$L:$L,"?*")</f>
        <v>6</v>
      </c>
      <c r="T18" s="10">
        <f t="shared" si="17"/>
        <v>10</v>
      </c>
      <c r="U18" s="11">
        <f t="shared" si="8"/>
        <v>0.66666666666666663</v>
      </c>
      <c r="V18" s="18">
        <f t="shared" si="9"/>
        <v>0.4</v>
      </c>
      <c r="W18" s="22">
        <f>SUMIFS(Scores!$G:$G,Scores!$C:$C,$R$4,Scores!$H:$H,$D18)+SUMIFS(Scores!$G:$G,Scores!$C:$C,$R$4,Scores!$I:$I,$D18)</f>
        <v>75</v>
      </c>
      <c r="X18" s="22">
        <f>SUMIFS(Scores!$J:$J,Scores!$C:$C,$R$4,Scores!$H:$H,$D18)+SUMIFS(Scores!$J:$J,Scores!$C:$C,$R$4,Scores!$I:$I,$D18)</f>
        <v>86</v>
      </c>
      <c r="Y18" s="11">
        <f t="shared" ref="Y18:Y20" si="20">IFERROR(W18/X18,"-")</f>
        <v>0.87209302325581395</v>
      </c>
      <c r="Z18" s="11">
        <f t="shared" si="10"/>
        <v>-6.8322981366459631E-2</v>
      </c>
      <c r="AA18" s="18"/>
      <c r="AB18" s="21">
        <f t="shared" si="11"/>
        <v>0</v>
      </c>
      <c r="AC18" s="10">
        <f>COUNTIFS(Scores!F:F,Ratios!D18)</f>
        <v>2</v>
      </c>
      <c r="AD18">
        <f>COUNTIFS(Scores!M:M,"W",Scores!F:F,Ratios!D18)</f>
        <v>2</v>
      </c>
      <c r="AE18">
        <f>COUNTIFS(Scores!M:M,"L",Scores!F:F,Ratios!D18)</f>
        <v>0</v>
      </c>
      <c r="AF18" s="55" t="str">
        <f t="shared" si="12"/>
        <v>-</v>
      </c>
      <c r="AG18" s="19">
        <f t="shared" si="13"/>
        <v>1</v>
      </c>
    </row>
    <row r="19" spans="1:33" x14ac:dyDescent="0.25">
      <c r="A19" s="60">
        <f t="shared" si="0"/>
        <v>1</v>
      </c>
      <c r="B19" s="54"/>
      <c r="C19" s="61">
        <f t="shared" si="1"/>
        <v>0.39130434782608697</v>
      </c>
      <c r="D19" s="12" t="s">
        <v>19</v>
      </c>
      <c r="E19" s="10">
        <f>COUNTIFS(Scores!$C:$C,$E$4,Scores!$H:$H,$D19,Scores!$K:$K,"&lt;&gt;"&amp;$D19,Scores!$K:$K,"?*")</f>
        <v>0</v>
      </c>
      <c r="F19" s="13">
        <f>COUNTIFS(Scores!$C:$C,$E$4,Scores!$K:$K,"="&amp;$D19,Scores!$K:$K,"?*")</f>
        <v>0</v>
      </c>
      <c r="G19" s="17">
        <f t="shared" ref="G19" si="21">E19+F19</f>
        <v>0</v>
      </c>
      <c r="H19" s="23" t="str">
        <f t="shared" ref="H19" si="22">IFERROR(E19/F19,"-")</f>
        <v>-</v>
      </c>
      <c r="I19" s="18" t="str">
        <f t="shared" si="3"/>
        <v/>
      </c>
      <c r="J19" s="22">
        <f>SUMIFS(Scores!$G:$G,Scores!$C:$C,$E$4,Scores!$H:$H,$D19)</f>
        <v>0</v>
      </c>
      <c r="K19" s="22">
        <f>SUMIFS(Scores!J:J,Scores!$C:$C,$E$4,Scores!$H:$H,$D19)</f>
        <v>0</v>
      </c>
      <c r="L19" s="11" t="str">
        <f t="shared" ref="L19" si="23">IFERROR(J19/K19,"-")</f>
        <v>-</v>
      </c>
      <c r="M19" s="11">
        <f t="shared" si="15"/>
        <v>0</v>
      </c>
      <c r="O19" s="61">
        <f t="shared" si="5"/>
        <v>1</v>
      </c>
      <c r="P19" s="21">
        <f t="shared" si="6"/>
        <v>10</v>
      </c>
      <c r="Q19" s="21">
        <f t="shared" si="7"/>
        <v>10</v>
      </c>
      <c r="R19" s="10">
        <f>COUNTIFS(Scores!$C:$C,$R$4,Scores!$H:$H,$D19,Scores!$K:$K,"&lt;&gt;"&amp;$D19,Scores!$K:$K,"?*")+COUNTIFS(Scores!$C:$C,$R$4,Scores!$I:$I,$D19,Scores!$L:$L,"&lt;&gt;"&amp;$D19,Scores!$L:$L,"?*")</f>
        <v>2</v>
      </c>
      <c r="S19" s="13">
        <f>COUNTIFS(Scores!$C:$C,$R$4,Scores!$K:$K,"="&amp;$D19,Scores!$K:$K,"?*")+COUNTIFS(Scores!$K:$K,"&lt;&gt;"&amp;Ratios!$D$2,Scores!$C:$C,$R$4,Scores!$L:$L,"="&amp;$D19,Scores!$L:$L,"?*")</f>
        <v>0</v>
      </c>
      <c r="T19" s="10">
        <f t="shared" ref="T19" si="24">R19+S19</f>
        <v>2</v>
      </c>
      <c r="U19" s="11" t="str">
        <f t="shared" ref="U19" si="25">IFERROR(R19/S19,"-")</f>
        <v>-</v>
      </c>
      <c r="V19" s="18">
        <f t="shared" si="9"/>
        <v>1</v>
      </c>
      <c r="W19" s="22">
        <f>SUMIFS(Scores!$G:$G,Scores!$C:$C,$R$4,Scores!$H:$H,$D19)+SUMIFS(Scores!$G:$G,Scores!$C:$C,$R$4,Scores!$I:$I,$D19)</f>
        <v>10</v>
      </c>
      <c r="X19" s="22">
        <f>SUMIFS(Scores!$J:$J,Scores!$C:$C,$R$4,Scores!$H:$H,$D19)+SUMIFS(Scores!$J:$J,Scores!$C:$C,$R$4,Scores!$I:$I,$D19)</f>
        <v>3</v>
      </c>
      <c r="Y19" s="11">
        <f t="shared" si="20"/>
        <v>3.3333333333333335</v>
      </c>
      <c r="Z19" s="11">
        <f t="shared" si="10"/>
        <v>0.53846153846153844</v>
      </c>
      <c r="AA19" s="18"/>
      <c r="AB19" s="21">
        <f t="shared" si="11"/>
        <v>10</v>
      </c>
      <c r="AC19" s="10">
        <f>COUNTIFS(Scores!F:F,Ratios!D19)</f>
        <v>1</v>
      </c>
      <c r="AD19">
        <f>COUNTIFS(Scores!M:M,"W",Scores!F:F,Ratios!D19)</f>
        <v>0</v>
      </c>
      <c r="AE19">
        <f>COUNTIFS(Scores!M:M,"L",Scores!F:F,Ratios!D19)</f>
        <v>1</v>
      </c>
      <c r="AF19" s="55">
        <f t="shared" si="12"/>
        <v>0</v>
      </c>
      <c r="AG19" s="19">
        <f t="shared" si="13"/>
        <v>0</v>
      </c>
    </row>
    <row r="20" spans="1:33" x14ac:dyDescent="0.25">
      <c r="A20" s="60">
        <f t="shared" si="0"/>
        <v>0.16666666666666666</v>
      </c>
      <c r="B20" s="54"/>
      <c r="C20" s="61">
        <f t="shared" si="1"/>
        <v>0.39130434782608697</v>
      </c>
      <c r="D20" s="12" t="s">
        <v>20</v>
      </c>
      <c r="E20" s="10">
        <f>COUNTIFS(Scores!$C:$C,$E$4,Scores!$H:$H,$D20,Scores!$K:$K,"&lt;&gt;"&amp;$D20,Scores!$K:$K,"?*")</f>
        <v>0</v>
      </c>
      <c r="F20" s="13">
        <f>COUNTIFS(Scores!$C:$C,$E$4,Scores!$K:$K,"="&amp;$D20,Scores!$K:$K,"?*")</f>
        <v>0</v>
      </c>
      <c r="G20" s="17">
        <f t="shared" ref="G20" si="26">E20+F20</f>
        <v>0</v>
      </c>
      <c r="H20" s="23" t="str">
        <f t="shared" ref="H20" si="27">IFERROR(E20/F20,"-")</f>
        <v>-</v>
      </c>
      <c r="I20" s="18" t="str">
        <f t="shared" ref="I20" si="28">IFERROR(E20/G20,"")</f>
        <v/>
      </c>
      <c r="J20" s="22">
        <f>SUMIFS(Scores!$G:$G,Scores!$C:$C,$E$4,Scores!$H:$H,$D20)</f>
        <v>0</v>
      </c>
      <c r="K20" s="22">
        <f>SUMIFS(Scores!J:J,Scores!$C:$C,$E$4,Scores!$H:$H,$D20)</f>
        <v>0</v>
      </c>
      <c r="L20" s="11" t="str">
        <f t="shared" ref="L20" si="29">IFERROR(J20/K20,"-")</f>
        <v>-</v>
      </c>
      <c r="M20" s="11">
        <f t="shared" si="15"/>
        <v>0</v>
      </c>
      <c r="O20" s="61">
        <f t="shared" si="5"/>
        <v>0.16666666666666666</v>
      </c>
      <c r="P20" s="21">
        <f t="shared" si="6"/>
        <v>0</v>
      </c>
      <c r="Q20" s="21">
        <f t="shared" si="7"/>
        <v>3.333333333333333</v>
      </c>
      <c r="R20" s="10">
        <f>COUNTIFS(Scores!$C:$C,$R$4,Scores!$H:$H,$D20,Scores!$K:$K,"&lt;&gt;"&amp;$D20,Scores!$K:$K,"?*")+COUNTIFS(Scores!$C:$C,$R$4,Scores!$I:$I,$D20,Scores!$L:$L,"&lt;&gt;"&amp;$D20,Scores!$L:$L,"?*")</f>
        <v>1</v>
      </c>
      <c r="S20" s="13">
        <f>COUNTIFS(Scores!$C:$C,$R$4,Scores!$K:$K,"="&amp;$D20,Scores!$K:$K,"?*")+COUNTIFS(Scores!$K:$K,"&lt;&gt;"&amp;Ratios!$D$2,Scores!$C:$C,$R$4,Scores!$L:$L,"="&amp;$D20,Scores!$L:$L,"?*")</f>
        <v>2</v>
      </c>
      <c r="T20" s="10">
        <f t="shared" ref="T20" si="30">R20+S20</f>
        <v>3</v>
      </c>
      <c r="U20" s="11">
        <f t="shared" ref="U20" si="31">IFERROR(R20/S20,"-")</f>
        <v>0.5</v>
      </c>
      <c r="V20" s="18">
        <f t="shared" ref="V20" si="32">IFERROR(R20/T20,"")</f>
        <v>0.33333333333333331</v>
      </c>
      <c r="W20" s="22">
        <f>SUMIFS(Scores!$G:$G,Scores!$C:$C,$R$4,Scores!$H:$H,$D20)+SUMIFS(Scores!$G:$G,Scores!$C:$C,$R$4,Scores!$I:$I,$D20)</f>
        <v>16</v>
      </c>
      <c r="X20" s="22">
        <f>SUMIFS(Scores!$J:$J,Scores!$C:$C,$R$4,Scores!$H:$H,$D20)+SUMIFS(Scores!$J:$J,Scores!$C:$C,$R$4,Scores!$I:$I,$D20)</f>
        <v>27</v>
      </c>
      <c r="Y20" s="11">
        <f t="shared" si="20"/>
        <v>0.59259259259259256</v>
      </c>
      <c r="Z20" s="11">
        <f t="shared" si="10"/>
        <v>-0.2558139534883721</v>
      </c>
      <c r="AA20" s="18"/>
      <c r="AB20" s="21">
        <f t="shared" si="11"/>
        <v>0</v>
      </c>
      <c r="AC20" s="10">
        <f>COUNTIFS(Scores!F:F,Ratios!D20)</f>
        <v>1</v>
      </c>
      <c r="AD20">
        <f>COUNTIFS(Scores!M:M,"W",Scores!F:F,Ratios!D20)</f>
        <v>1</v>
      </c>
      <c r="AE20">
        <f>COUNTIFS(Scores!M:M,"L",Scores!F:F,Ratios!D20)</f>
        <v>0</v>
      </c>
      <c r="AF20" s="55" t="str">
        <f t="shared" si="12"/>
        <v>-</v>
      </c>
      <c r="AG20" s="19">
        <f t="shared" si="13"/>
        <v>1</v>
      </c>
    </row>
    <row r="21" spans="1:33" ht="6" customHeight="1" x14ac:dyDescent="0.25">
      <c r="A21" s="60" t="str">
        <f t="shared" si="0"/>
        <v/>
      </c>
      <c r="B21" s="54"/>
      <c r="C21" s="61" t="str">
        <f t="shared" si="1"/>
        <v/>
      </c>
      <c r="G21" s="17"/>
      <c r="H21" s="23"/>
      <c r="I21" s="18" t="str">
        <f t="shared" si="3"/>
        <v/>
      </c>
      <c r="J21" s="22"/>
      <c r="K21" s="22"/>
      <c r="L21" s="11"/>
      <c r="M21" s="11" t="str">
        <f t="shared" si="14"/>
        <v/>
      </c>
      <c r="O21" s="61" t="str">
        <f t="shared" si="5"/>
        <v/>
      </c>
      <c r="P21" s="21" t="str">
        <f t="shared" si="6"/>
        <v/>
      </c>
      <c r="Q21" s="21" t="str">
        <f t="shared" si="7"/>
        <v/>
      </c>
      <c r="U21" s="11"/>
      <c r="V21" s="18" t="str">
        <f t="shared" si="9"/>
        <v/>
      </c>
      <c r="W21" s="22"/>
      <c r="X21" s="22"/>
      <c r="Y21" s="11"/>
      <c r="Z21" s="11" t="str">
        <f t="shared" si="10"/>
        <v/>
      </c>
      <c r="AA21" s="18"/>
      <c r="AB21" s="21" t="str">
        <f t="shared" si="11"/>
        <v/>
      </c>
      <c r="AF21" s="55" t="str">
        <f t="shared" si="12"/>
        <v>-</v>
      </c>
      <c r="AG21" s="19" t="str">
        <f t="shared" si="13"/>
        <v/>
      </c>
    </row>
    <row r="22" spans="1:33" ht="15.75" thickBot="1" x14ac:dyDescent="0.3">
      <c r="A22" s="60">
        <f t="shared" si="0"/>
        <v>0.38599445181811315</v>
      </c>
      <c r="B22" s="54"/>
      <c r="C22" s="61">
        <f t="shared" si="1"/>
        <v>0.31820770837288781</v>
      </c>
      <c r="D22" s="25" t="s">
        <v>29</v>
      </c>
      <c r="E22" s="26">
        <f>SUM(E13:E18)</f>
        <v>12</v>
      </c>
      <c r="F22" s="26">
        <f>SUM(F13:F18)</f>
        <v>29</v>
      </c>
      <c r="G22" s="27">
        <f>SUM(G13:G18)</f>
        <v>41</v>
      </c>
      <c r="H22" s="28">
        <f t="shared" si="2"/>
        <v>0.41379310344827586</v>
      </c>
      <c r="I22" s="29">
        <f t="shared" si="3"/>
        <v>0.29268292682926828</v>
      </c>
      <c r="J22" s="30">
        <f>SUM(J13:J18)</f>
        <v>316</v>
      </c>
      <c r="K22" s="30">
        <f>SUM(K13:K18)</f>
        <v>371</v>
      </c>
      <c r="L22" s="31">
        <f>IFERROR(J22/K22,"-")</f>
        <v>0.85175202156334229</v>
      </c>
      <c r="M22" s="31">
        <f t="shared" si="14"/>
        <v>-8.0058224163027658E-2</v>
      </c>
      <c r="O22" s="61">
        <f t="shared" si="5"/>
        <v>0.54948012718600958</v>
      </c>
      <c r="P22" s="24">
        <f>IFERROR(10-(Z22-MIN(Z:Z))/(MAX(Z:Z)-MIN(Z:Z))*10,"")</f>
        <v>6.5778378378378379</v>
      </c>
      <c r="Q22" s="24">
        <f>IFERROR(10-(V22-MIN(V:V))/(MAX(V:V)-MIN(V:V))*10,"")</f>
        <v>4.4117647058823533</v>
      </c>
      <c r="R22" s="26">
        <f>SUM(R13:R19)</f>
        <v>19</v>
      </c>
      <c r="S22" s="26">
        <f>SUM(S13:S19)</f>
        <v>15</v>
      </c>
      <c r="T22" s="26">
        <f>SUM(T13:T19)</f>
        <v>34</v>
      </c>
      <c r="U22" s="31">
        <f t="shared" si="8"/>
        <v>1.2666666666666666</v>
      </c>
      <c r="V22" s="29">
        <f t="shared" si="9"/>
        <v>0.55882352941176472</v>
      </c>
      <c r="W22" s="30">
        <f>SUM(W13:W18)</f>
        <v>254</v>
      </c>
      <c r="X22" s="30">
        <f>SUM(X13:X18)</f>
        <v>246</v>
      </c>
      <c r="Y22" s="31">
        <f>IFERROR(W22/X22,"-")</f>
        <v>1.032520325203252</v>
      </c>
      <c r="Z22" s="31">
        <f t="shared" si="10"/>
        <v>1.6E-2</v>
      </c>
      <c r="AA22" s="29"/>
      <c r="AB22" s="24">
        <f t="shared" si="11"/>
        <v>4.2857142857142865</v>
      </c>
      <c r="AC22" s="26">
        <f>SUM(AC13:AC19)</f>
        <v>21</v>
      </c>
      <c r="AD22" s="26">
        <f>SUM(AD13:AD19)</f>
        <v>12</v>
      </c>
      <c r="AE22" s="26">
        <f>SUM(AE13:AE19)</f>
        <v>9</v>
      </c>
      <c r="AF22" s="56">
        <f t="shared" si="12"/>
        <v>1.3333333333333333</v>
      </c>
      <c r="AG22" s="32">
        <f t="shared" si="13"/>
        <v>0.5714285714285714</v>
      </c>
    </row>
    <row r="23" spans="1:33" ht="6" customHeight="1" thickTop="1" x14ac:dyDescent="0.25">
      <c r="A23" s="60" t="str">
        <f t="shared" si="0"/>
        <v/>
      </c>
      <c r="B23" s="54"/>
      <c r="C23" s="61" t="str">
        <f t="shared" si="1"/>
        <v/>
      </c>
      <c r="G23" s="17"/>
      <c r="H23" s="23"/>
      <c r="I23" s="18" t="str">
        <f t="shared" si="3"/>
        <v/>
      </c>
      <c r="J23" s="22"/>
      <c r="K23" s="22"/>
      <c r="M23" s="11" t="str">
        <f t="shared" si="14"/>
        <v/>
      </c>
      <c r="O23" s="61" t="str">
        <f t="shared" si="5"/>
        <v/>
      </c>
      <c r="P23" s="21" t="str">
        <f t="shared" si="6"/>
        <v/>
      </c>
      <c r="Q23" s="21" t="str">
        <f t="shared" si="7"/>
        <v/>
      </c>
      <c r="U23" s="11"/>
      <c r="V23" s="18" t="str">
        <f t="shared" si="9"/>
        <v/>
      </c>
      <c r="W23" s="22"/>
      <c r="X23" s="22"/>
      <c r="Y23" s="10"/>
      <c r="Z23" s="11" t="str">
        <f t="shared" si="10"/>
        <v/>
      </c>
      <c r="AA23" s="18"/>
      <c r="AB23" s="21" t="str">
        <f t="shared" si="11"/>
        <v/>
      </c>
      <c r="AF23" s="55" t="str">
        <f t="shared" si="12"/>
        <v>-</v>
      </c>
      <c r="AG23" s="19" t="str">
        <f t="shared" si="13"/>
        <v/>
      </c>
    </row>
    <row r="24" spans="1:33" x14ac:dyDescent="0.25">
      <c r="A24" s="60">
        <f t="shared" si="0"/>
        <v>0.45298291087478931</v>
      </c>
      <c r="B24" s="54"/>
      <c r="C24" s="61">
        <f t="shared" si="1"/>
        <v>0.45037370409065342</v>
      </c>
      <c r="D24" s="39" t="s">
        <v>33</v>
      </c>
      <c r="E24" s="40">
        <f>E22+E11</f>
        <v>39</v>
      </c>
      <c r="F24" s="40">
        <f>F22+F11</f>
        <v>30</v>
      </c>
      <c r="G24" s="41">
        <f>G22+G11</f>
        <v>69</v>
      </c>
      <c r="H24" s="42">
        <f t="shared" si="2"/>
        <v>1.3</v>
      </c>
      <c r="I24" s="43">
        <f t="shared" si="3"/>
        <v>0.56521739130434778</v>
      </c>
      <c r="J24" s="44">
        <f>J22+J11</f>
        <v>576</v>
      </c>
      <c r="K24" s="44">
        <f>K22+K11</f>
        <v>506</v>
      </c>
      <c r="L24" s="45">
        <f>IFERROR(J24/K24,"-")</f>
        <v>1.1383399209486167</v>
      </c>
      <c r="M24" s="46">
        <f t="shared" si="14"/>
        <v>6.4695009242144177E-2</v>
      </c>
      <c r="N24" s="47"/>
      <c r="O24" s="61">
        <f t="shared" si="5"/>
        <v>0.45702864723670783</v>
      </c>
      <c r="P24" s="38">
        <f>IFERROR(10-(Z24-MIN(Z:Z))/(MAX(Z:Z)-MIN(Z:Z))*10,"")</f>
        <v>5.7697864278802244</v>
      </c>
      <c r="Q24" s="38">
        <f>IFERROR(10-(V24-MIN(V:V))/(MAX(V:V)-MIN(V:V))*10,"")</f>
        <v>3.3707865168539328</v>
      </c>
      <c r="R24" s="40">
        <f>R22+R11</f>
        <v>59</v>
      </c>
      <c r="S24" s="40">
        <f>S22+S11</f>
        <v>30</v>
      </c>
      <c r="T24" s="40">
        <f>T22+T11</f>
        <v>89</v>
      </c>
      <c r="U24" s="45">
        <f t="shared" si="8"/>
        <v>1.9666666666666666</v>
      </c>
      <c r="V24" s="43">
        <f t="shared" si="9"/>
        <v>0.6629213483146067</v>
      </c>
      <c r="W24" s="44">
        <f>W22+W11</f>
        <v>714</v>
      </c>
      <c r="X24" s="44">
        <f>X22+X11</f>
        <v>608</v>
      </c>
      <c r="Y24" s="45">
        <f>IFERROR(W24/X24,"-")</f>
        <v>1.174342105263158</v>
      </c>
      <c r="Z24" s="46">
        <f t="shared" si="10"/>
        <v>8.0181543116490173E-2</v>
      </c>
      <c r="AA24" s="43"/>
      <c r="AB24" s="38">
        <f t="shared" si="11"/>
        <v>3.5555555555555554</v>
      </c>
      <c r="AC24" s="40">
        <f>AC22+AC11</f>
        <v>45</v>
      </c>
      <c r="AD24" s="40">
        <f>AD22+AD11</f>
        <v>29</v>
      </c>
      <c r="AE24" s="40">
        <f>AE22+AE11</f>
        <v>16</v>
      </c>
      <c r="AF24" s="57">
        <f t="shared" si="12"/>
        <v>1.8125</v>
      </c>
      <c r="AG24" s="48">
        <f t="shared" si="13"/>
        <v>0.64444444444444449</v>
      </c>
    </row>
    <row r="25" spans="1:33" ht="15.75" thickBot="1" x14ac:dyDescent="0.3">
      <c r="C25" s="49"/>
      <c r="D25" s="50"/>
      <c r="E25" s="50"/>
      <c r="F25" s="50"/>
      <c r="G25" s="50"/>
      <c r="H25" s="50"/>
      <c r="I25" s="50"/>
      <c r="J25" s="51"/>
      <c r="K25" s="51"/>
      <c r="L25" s="50">
        <f>J24/(J24+K24)</f>
        <v>0.53234750462107205</v>
      </c>
      <c r="M25" s="50"/>
      <c r="O25" s="49"/>
      <c r="P25" s="49"/>
      <c r="Q25" s="49"/>
      <c r="R25" s="50">
        <f t="shared" ref="R25:S25" si="33">R24/2</f>
        <v>29.5</v>
      </c>
      <c r="S25" s="50">
        <f t="shared" si="33"/>
        <v>15</v>
      </c>
      <c r="T25" s="50">
        <f>T24/2</f>
        <v>44.5</v>
      </c>
      <c r="U25" s="52"/>
      <c r="V25" s="52"/>
      <c r="W25" s="59"/>
      <c r="X25" s="59"/>
      <c r="Y25" s="59"/>
      <c r="Z25" s="59"/>
      <c r="AA25" s="52"/>
      <c r="AB25" s="49"/>
      <c r="AC25" s="52"/>
      <c r="AD25" s="52"/>
      <c r="AE25" s="52"/>
      <c r="AF25" s="50"/>
      <c r="AG25" s="52"/>
    </row>
    <row r="26" spans="1:33" ht="15.75" thickTop="1" x14ac:dyDescent="0.25"/>
  </sheetData>
  <conditionalFormatting sqref="L6:M22 M7:M2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{B775EAA5-CBA4-4357-887E-06C705510066}</x14:id>
        </ext>
      </extLst>
    </cfRule>
  </conditionalFormatting>
  <conditionalFormatting sqref="L1:M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{58861E78-A8BA-447D-8F42-BF33DA3E24A2}</x14:id>
        </ext>
      </extLst>
    </cfRule>
  </conditionalFormatting>
  <conditionalFormatting sqref="V1:V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{D8E2525F-7816-4F8C-A767-BED31F833726}</x14:id>
        </ext>
      </extLst>
    </cfRule>
  </conditionalFormatting>
  <conditionalFormatting sqref="AG1:AG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{9FAEC3A5-1F24-4D34-B34E-28390B5B84AF}</x14:id>
        </ext>
      </extLst>
    </cfRule>
  </conditionalFormatting>
  <conditionalFormatting sqref="A6:B24">
    <cfRule type="iconSet" priority="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Y6:Z10 Z23:Z24 Y12:Z2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{CDBB2153-AC9E-4212-8456-D4768683CA78}</x14:id>
        </ext>
      </extLst>
    </cfRule>
  </conditionalFormatting>
  <conditionalFormatting sqref="Y5:Z10 Y12:Z21 Y23:Z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{2EE1A1D0-2127-40A1-8410-44AFBF63FF1A}</x14:id>
        </ext>
      </extLst>
    </cfRule>
  </conditionalFormatting>
  <conditionalFormatting sqref="Y11:Z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{462E95DC-6F19-454E-9E8F-C083434899B8}</x14:id>
        </ext>
      </extLst>
    </cfRule>
  </conditionalFormatting>
  <conditionalFormatting sqref="Y11:Z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{EFEAB168-E621-4C74-9238-9FF14F1BAEB6}</x14:id>
        </ext>
      </extLst>
    </cfRule>
  </conditionalFormatting>
  <conditionalFormatting sqref="Y22:Z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{CC06F766-B90D-4563-A86A-750CD832AEC9}</x14:id>
        </ext>
      </extLst>
    </cfRule>
  </conditionalFormatting>
  <conditionalFormatting sqref="Y22:Z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{68067B50-70EF-4AE0-83DB-B842DF4EF0D9}</x14:id>
        </ext>
      </extLst>
    </cfRule>
  </conditionalFormatting>
  <pageMargins left="0.7" right="0.7" top="0.75" bottom="0.75" header="0.3" footer="0.3"/>
  <pageSetup orientation="portrait" r:id="rId1"/>
  <ignoredErrors>
    <ignoredError sqref="H22:H2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75EAA5-CBA4-4357-887E-06C705510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L6:M22 M7:M24</xm:sqref>
        </x14:conditionalFormatting>
        <x14:conditionalFormatting xmlns:xm="http://schemas.microsoft.com/office/excel/2006/main">
          <x14:cfRule type="dataBar" id="{58861E78-A8BA-447D-8F42-BF33DA3E2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L1:M1048576</xm:sqref>
        </x14:conditionalFormatting>
        <x14:conditionalFormatting xmlns:xm="http://schemas.microsoft.com/office/excel/2006/main">
          <x14:cfRule type="dataBar" id="{D8E2525F-7816-4F8C-A767-BED31F833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FAEC3A5-1F24-4D34-B34E-28390B5B8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CDBB2153-AC9E-4212-8456-D4768683C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Y6:Z10 Z23:Z24 Y12:Z21</xm:sqref>
        </x14:conditionalFormatting>
        <x14:conditionalFormatting xmlns:xm="http://schemas.microsoft.com/office/excel/2006/main">
          <x14:cfRule type="dataBar" id="{2EE1A1D0-2127-40A1-8410-44AFBF63FF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Y5:Z10 Y12:Z21 Y23:Z24</xm:sqref>
        </x14:conditionalFormatting>
        <x14:conditionalFormatting xmlns:xm="http://schemas.microsoft.com/office/excel/2006/main">
          <x14:cfRule type="dataBar" id="{462E95DC-6F19-454E-9E8F-C08343489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Y11:Z11</xm:sqref>
        </x14:conditionalFormatting>
        <x14:conditionalFormatting xmlns:xm="http://schemas.microsoft.com/office/excel/2006/main">
          <x14:cfRule type="dataBar" id="{EFEAB168-E621-4C74-9238-9FF14F1BAE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Y11:Z11</xm:sqref>
        </x14:conditionalFormatting>
        <x14:conditionalFormatting xmlns:xm="http://schemas.microsoft.com/office/excel/2006/main">
          <x14:cfRule type="dataBar" id="{CC06F766-B90D-4563-A86A-750CD832A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Y22:Z22</xm:sqref>
        </x14:conditionalFormatting>
        <x14:conditionalFormatting xmlns:xm="http://schemas.microsoft.com/office/excel/2006/main">
          <x14:cfRule type="dataBar" id="{68067B50-70EF-4AE0-83DB-B842DF4EF0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Y22:Z22</xm:sqref>
        </x14:conditionalFormatting>
        <x14:conditionalFormatting xmlns:xm="http://schemas.microsoft.com/office/excel/2006/main">
          <x14:cfRule type="iconSet" priority="12" id="{92ABA515-DFC8-4B74-8A2F-242D3F8FBA2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C6:C24</xm:sqref>
        </x14:conditionalFormatting>
        <x14:conditionalFormatting xmlns:xm="http://schemas.microsoft.com/office/excel/2006/main">
          <x14:cfRule type="iconSet" priority="11" id="{F10778D8-8BC2-4FB3-9057-A8839CBB8B4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Q6:Q24</xm:sqref>
        </x14:conditionalFormatting>
        <x14:conditionalFormatting xmlns:xm="http://schemas.microsoft.com/office/excel/2006/main">
          <x14:cfRule type="iconSet" priority="10" id="{290673E2-C073-4A85-9FFC-7ED1A1600B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AB6:AB24</xm:sqref>
        </x14:conditionalFormatting>
        <x14:conditionalFormatting xmlns:xm="http://schemas.microsoft.com/office/excel/2006/main">
          <x14:cfRule type="iconSet" priority="2" id="{829C43AB-6773-464B-A887-928702F39F4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P6:P24</xm:sqref>
        </x14:conditionalFormatting>
        <x14:conditionalFormatting xmlns:xm="http://schemas.microsoft.com/office/excel/2006/main">
          <x14:cfRule type="iconSet" priority="1" id="{8F99417F-A931-475E-9F87-FEC5FBC2B9F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O6:O24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5" sqref="C5"/>
    </sheetView>
  </sheetViews>
  <sheetFormatPr defaultRowHeight="15" x14ac:dyDescent="0.25"/>
  <cols>
    <col min="1" max="1" width="12.85546875" style="10" customWidth="1"/>
    <col min="2" max="2" width="12.42578125" style="10" bestFit="1" customWidth="1"/>
    <col min="3" max="3" width="13.85546875" style="10" bestFit="1" customWidth="1"/>
    <col min="4" max="4" width="5.42578125" style="10" bestFit="1" customWidth="1"/>
    <col min="5" max="5" width="9.28515625" style="10" bestFit="1" customWidth="1"/>
  </cols>
  <sheetData>
    <row r="1" spans="1:7" x14ac:dyDescent="0.25">
      <c r="B1" s="10" t="s">
        <v>23</v>
      </c>
      <c r="C1" s="10" t="s">
        <v>24</v>
      </c>
      <c r="D1" s="10" t="s">
        <v>26</v>
      </c>
      <c r="E1" s="10" t="s">
        <v>25</v>
      </c>
    </row>
    <row r="2" spans="1:7" x14ac:dyDescent="0.25">
      <c r="A2" s="12" t="s">
        <v>0</v>
      </c>
      <c r="B2" s="10">
        <f>COUNTIFS(Scores!$K:$K,"="&amp;$A2,Scores!$K:$K,"?*")</f>
        <v>69</v>
      </c>
      <c r="C2" s="10">
        <f>COUNTIFS(Scores!$K:$K,"&lt;&gt;"&amp;$A2,Scores!$K:$K,"?*")-1</f>
        <v>46</v>
      </c>
      <c r="D2" s="10">
        <f>$C2+$B2</f>
        <v>115</v>
      </c>
      <c r="E2" s="11">
        <f>IFERROR($B2/$C2,0)</f>
        <v>1.5</v>
      </c>
    </row>
    <row r="3" spans="1:7" x14ac:dyDescent="0.25">
      <c r="A3" s="12"/>
      <c r="E3" s="11"/>
    </row>
    <row r="4" spans="1:7" x14ac:dyDescent="0.25">
      <c r="A4" s="12"/>
      <c r="B4" s="10" t="s">
        <v>35</v>
      </c>
      <c r="C4" s="10" t="s">
        <v>36</v>
      </c>
      <c r="D4" s="10" t="s">
        <v>26</v>
      </c>
      <c r="E4" s="10" t="s">
        <v>25</v>
      </c>
    </row>
    <row r="5" spans="1:7" x14ac:dyDescent="0.25">
      <c r="A5" s="12" t="s">
        <v>10</v>
      </c>
      <c r="B5" s="10">
        <f>COUNTIFS(Scores!$H:$H,A5,Scores!$K:$K,"&lt;&gt;"&amp;$A5,Scores!$K:$K,"?*")</f>
        <v>13</v>
      </c>
      <c r="C5" s="13">
        <f>COUNTIFS(Scores!$K:$K,"="&amp;$A5,Scores!$K:$K,"?*")</f>
        <v>1</v>
      </c>
      <c r="D5" s="10">
        <f t="shared" ref="D5:D14" si="0">$B5+$C5</f>
        <v>14</v>
      </c>
      <c r="E5" s="11">
        <f t="shared" ref="E5:E14" si="1">IFERROR($C5/$B5,"undef")</f>
        <v>7.6923076923076927E-2</v>
      </c>
      <c r="G5">
        <f>COUNTIFS(Scores!$L:$L,"="&amp;$A5,Scores!$L:$L,"?*",Scores!$K:$K,"&lt;&gt;"&amp;$A$2)</f>
        <v>5</v>
      </c>
    </row>
    <row r="6" spans="1:7" x14ac:dyDescent="0.25">
      <c r="A6" s="12" t="s">
        <v>11</v>
      </c>
      <c r="B6" s="10">
        <f>COUNTIFS(Scores!$H:$H,A6,Scores!$K:$K,"&lt;&gt;"&amp;$A6,Scores!$K:$K,"?*")</f>
        <v>5</v>
      </c>
      <c r="C6" s="10">
        <f>COUNTIFS(Scores!$K:$K,"="&amp;$A6,Scores!$K:$K,"?*")</f>
        <v>5</v>
      </c>
      <c r="D6" s="10">
        <f t="shared" si="0"/>
        <v>10</v>
      </c>
      <c r="E6" s="11">
        <f t="shared" si="1"/>
        <v>1</v>
      </c>
    </row>
    <row r="7" spans="1:7" x14ac:dyDescent="0.25">
      <c r="A7" s="12" t="s">
        <v>12</v>
      </c>
      <c r="B7" s="10">
        <f>COUNTIFS(Scores!$H:$H,A7,Scores!$K:$K,"&lt;&gt;"&amp;$A7,Scores!$K:$K,"?*")</f>
        <v>3</v>
      </c>
      <c r="C7" s="10">
        <f>COUNTIFS(Scores!$K:$K,"="&amp;$A7,Scores!$K:$K,"?*")</f>
        <v>8</v>
      </c>
      <c r="D7" s="10">
        <f t="shared" si="0"/>
        <v>11</v>
      </c>
      <c r="E7" s="11">
        <f t="shared" si="1"/>
        <v>2.6666666666666665</v>
      </c>
    </row>
    <row r="8" spans="1:7" x14ac:dyDescent="0.25">
      <c r="A8" s="12" t="s">
        <v>13</v>
      </c>
      <c r="B8" s="10">
        <f>COUNTIFS(Scores!$H:$H,A8,Scores!$K:$K,"&lt;&gt;"&amp;$A8,Scores!$K:$K,"?*")</f>
        <v>19</v>
      </c>
      <c r="C8" s="10">
        <f>COUNTIFS(Scores!$K:$K,"="&amp;$A8,Scores!$K:$K,"?*")</f>
        <v>3</v>
      </c>
      <c r="D8" s="10">
        <f t="shared" si="0"/>
        <v>22</v>
      </c>
      <c r="E8" s="11">
        <f t="shared" si="1"/>
        <v>0.15789473684210525</v>
      </c>
    </row>
    <row r="9" spans="1:7" x14ac:dyDescent="0.25">
      <c r="A9" s="12" t="s">
        <v>14</v>
      </c>
      <c r="B9" s="10">
        <f>COUNTIFS(Scores!$H:$H,A9,Scores!$K:$K,"&lt;&gt;"&amp;$A9,Scores!$K:$K,"?*")</f>
        <v>4</v>
      </c>
      <c r="C9" s="10">
        <f>COUNTIFS(Scores!$K:$K,"="&amp;$A9,Scores!$K:$K,"?*")</f>
        <v>13</v>
      </c>
      <c r="D9" s="10">
        <f t="shared" si="0"/>
        <v>17</v>
      </c>
      <c r="E9" s="11">
        <f t="shared" si="1"/>
        <v>3.25</v>
      </c>
    </row>
    <row r="10" spans="1:7" x14ac:dyDescent="0.25">
      <c r="A10" s="12" t="s">
        <v>17</v>
      </c>
      <c r="B10" s="10">
        <f>COUNTIFS(Scores!$H:$H,A10,Scores!$K:$K,"&lt;&gt;"&amp;$A10,Scores!$K:$K,"?*")</f>
        <v>4</v>
      </c>
      <c r="C10" s="10">
        <f>COUNTIFS(Scores!$K:$K,"="&amp;$A10,Scores!$K:$K,"?*")</f>
        <v>0</v>
      </c>
      <c r="D10" s="10">
        <f t="shared" si="0"/>
        <v>4</v>
      </c>
      <c r="E10" s="11">
        <f t="shared" si="1"/>
        <v>0</v>
      </c>
    </row>
    <row r="11" spans="1:7" x14ac:dyDescent="0.25">
      <c r="A11" s="12" t="s">
        <v>18</v>
      </c>
      <c r="B11" s="10">
        <f>COUNTIFS(Scores!$H:$H,A11,Scores!$K:$K,"&lt;&gt;"&amp;$A11,Scores!$K:$K,"?*")</f>
        <v>11</v>
      </c>
      <c r="C11" s="10">
        <f>COUNTIFS(Scores!$K:$K,"="&amp;$A11,Scores!$K:$K,"?*")</f>
        <v>2</v>
      </c>
      <c r="D11" s="10">
        <f t="shared" si="0"/>
        <v>13</v>
      </c>
      <c r="E11" s="11">
        <f t="shared" si="1"/>
        <v>0.18181818181818182</v>
      </c>
    </row>
    <row r="12" spans="1:7" x14ac:dyDescent="0.25">
      <c r="A12" s="12" t="s">
        <v>16</v>
      </c>
      <c r="B12" s="10">
        <f>COUNTIFS(Scores!$H:$H,A12,Scores!$K:$K,"&lt;&gt;"&amp;$A12,Scores!$K:$K,"?*")</f>
        <v>4</v>
      </c>
      <c r="C12" s="10">
        <f>COUNTIFS(Scores!$K:$K,"="&amp;$A12,Scores!$K:$K,"?*")</f>
        <v>6</v>
      </c>
      <c r="D12" s="10">
        <f t="shared" si="0"/>
        <v>10</v>
      </c>
      <c r="E12" s="11">
        <f t="shared" si="1"/>
        <v>1.5</v>
      </c>
    </row>
    <row r="13" spans="1:7" x14ac:dyDescent="0.25">
      <c r="A13" s="12" t="s">
        <v>15</v>
      </c>
      <c r="B13" s="10">
        <f>COUNTIFS(Scores!$H:$H,A13,Scores!$K:$K,"&lt;&gt;"&amp;$A13,Scores!$K:$K,"?*")</f>
        <v>6</v>
      </c>
      <c r="C13" s="10">
        <f>COUNTIFS(Scores!$K:$K,"="&amp;$A13,Scores!$K:$K,"?*")</f>
        <v>4</v>
      </c>
      <c r="D13" s="10">
        <f t="shared" si="0"/>
        <v>10</v>
      </c>
      <c r="E13" s="11">
        <f t="shared" si="1"/>
        <v>0.66666666666666663</v>
      </c>
    </row>
    <row r="14" spans="1:7" x14ac:dyDescent="0.25">
      <c r="A14" s="12" t="s">
        <v>22</v>
      </c>
      <c r="B14" s="10">
        <f>COUNTIFS(Scores!$H:$H,A14,Scores!$K:$K,"&lt;&gt;"&amp;$A14,Scores!$K:$K,"?*")</f>
        <v>0</v>
      </c>
      <c r="C14" s="10">
        <f>COUNTIFS(Scores!$K:$K,"="&amp;$A14,Scores!$K:$K,"?*")</f>
        <v>4</v>
      </c>
      <c r="D14" s="10">
        <f t="shared" si="0"/>
        <v>4</v>
      </c>
      <c r="E14" s="11" t="str">
        <f t="shared" si="1"/>
        <v>undef</v>
      </c>
    </row>
    <row r="15" spans="1:7" x14ac:dyDescent="0.25">
      <c r="E15" s="11"/>
    </row>
    <row r="16" spans="1:7" x14ac:dyDescent="0.25">
      <c r="B16" s="10">
        <f>SUM(B5:B14)</f>
        <v>69</v>
      </c>
      <c r="C16" s="10">
        <f>SUM(C5:C14)</f>
        <v>46</v>
      </c>
      <c r="D16" s="10">
        <f>SUM(D5:D14)</f>
        <v>115</v>
      </c>
      <c r="E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Ratios</vt:lpstr>
      <vt:lpstr>Overall</vt:lpstr>
    </vt:vector>
  </TitlesOfParts>
  <Company>The Brattle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Kevin</dc:creator>
  <cp:lastModifiedBy>Pan, Kevin</cp:lastModifiedBy>
  <cp:lastPrinted>2016-09-28T00:46:29Z</cp:lastPrinted>
  <dcterms:created xsi:type="dcterms:W3CDTF">2015-01-16T22:19:58Z</dcterms:created>
  <dcterms:modified xsi:type="dcterms:W3CDTF">2016-11-04T00:56:58Z</dcterms:modified>
</cp:coreProperties>
</file>